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mc:AlternateContent xmlns:mc="http://schemas.openxmlformats.org/markup-compatibility/2006">
    <mc:Choice Requires="x15">
      <x15ac:absPath xmlns:x15ac="http://schemas.microsoft.com/office/spreadsheetml/2010/11/ac" url="C:\Users\ASUS\Desktop\Job\"/>
    </mc:Choice>
  </mc:AlternateContent>
  <xr:revisionPtr revIDLastSave="0" documentId="13_ncr:1_{C87130B5-5EBC-4CB2-ADBD-FE170594946B}" xr6:coauthVersionLast="47" xr6:coauthVersionMax="47" xr10:uidLastSave="{00000000-0000-0000-0000-000000000000}"/>
  <bookViews>
    <workbookView xWindow="-108" yWindow="-108" windowWidth="23256" windowHeight="12456" tabRatio="668" xr2:uid="{2C90BE8E-11B2-4CC8-AF13-2E0EBFDE1B2C}"/>
  </bookViews>
  <sheets>
    <sheet name="1. Modelling" sheetId="1" r:id="rId1"/>
    <sheet name="Analysis" sheetId="3" r:id="rId2"/>
    <sheet name="2. Equity Research" sheetId="2" state="hidden" r:id="rId3"/>
    <sheet name="Financial Statement" sheetId="5" r:id="rId4"/>
    <sheet name="Sheet1" sheetId="25" state="hidden" r:id="rId5"/>
    <sheet name="Assumption" sheetId="10" state="hidden" r:id="rId6"/>
    <sheet name="Dep &amp; Amort" sheetId="9" state="hidden" r:id="rId7"/>
    <sheet name="Ratio Analysis" sheetId="6" r:id="rId8"/>
    <sheet name="DCF" sheetId="7" r:id="rId9"/>
    <sheet name="Forcasting" sheetId="11" r:id="rId10"/>
    <sheet name="Table 1 - Raw Data" sheetId="13" state="hidden" r:id="rId11"/>
    <sheet name="Table 2 - Raw Data" sheetId="14" state="hidden" r:id="rId12"/>
    <sheet name="Table 3 - Raw Data" sheetId="15" state="hidden" r:id="rId13"/>
    <sheet name="Table 4 - Raw Data" sheetId="16" state="hidden" r:id="rId14"/>
    <sheet name="Table 5 - Raw Data" sheetId="17" state="hidden" r:id="rId15"/>
    <sheet name="Table 6 - Raw Data" sheetId="18" state="hidden" r:id="rId16"/>
    <sheet name="Table 1 (2) - Raw Data" sheetId="19" state="hidden" r:id="rId17"/>
    <sheet name="Table 2 (2) - Raw Data" sheetId="20" state="hidden" r:id="rId18"/>
    <sheet name="Table 3 (2) - Raw Data" sheetId="21" state="hidden" r:id="rId19"/>
    <sheet name="Table 4 (2) - Raw Data" sheetId="22" state="hidden" r:id="rId20"/>
    <sheet name="Table 5 (2) - Raw Data" sheetId="23" state="hidden" r:id="rId21"/>
    <sheet name="Table 6 (2) - Raw Data" sheetId="24" state="hidden" r:id="rId22"/>
  </sheets>
  <calcPr calcId="191029" iterate="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3" i="11" l="1"/>
  <c r="F12" i="11"/>
  <c r="F11" i="11"/>
  <c r="F10" i="11"/>
  <c r="D11" i="11"/>
  <c r="D12" i="11"/>
  <c r="E12" i="11" s="1"/>
  <c r="D13" i="11"/>
  <c r="E13" i="11" s="1"/>
  <c r="D10" i="11"/>
  <c r="E10" i="11" s="1"/>
  <c r="E11" i="11" l="1"/>
  <c r="C15" i="11" l="1"/>
  <c r="E8" i="11"/>
  <c r="E9" i="11"/>
  <c r="E7" i="11"/>
  <c r="D32" i="20"/>
  <c r="H44" i="5"/>
  <c r="I44" i="5"/>
  <c r="G44" i="5"/>
  <c r="H37" i="7"/>
  <c r="I37" i="7"/>
  <c r="J37" i="7"/>
  <c r="K37" i="7"/>
  <c r="G37" i="7"/>
  <c r="C59" i="7"/>
  <c r="I60" i="7" s="1"/>
  <c r="F61" i="7" s="1"/>
  <c r="H54" i="7"/>
  <c r="D51" i="7"/>
  <c r="E51" i="7"/>
  <c r="F51" i="7"/>
  <c r="G51" i="7"/>
  <c r="H51" i="7"/>
  <c r="I51" i="7"/>
  <c r="C51" i="7"/>
  <c r="D50" i="7"/>
  <c r="E50" i="7"/>
  <c r="F50" i="7"/>
  <c r="G50" i="7"/>
  <c r="H50" i="7"/>
  <c r="I50" i="7"/>
  <c r="C50" i="7"/>
  <c r="D49" i="7"/>
  <c r="E49" i="7"/>
  <c r="F49" i="7"/>
  <c r="G49" i="7"/>
  <c r="H49" i="7"/>
  <c r="I49" i="7"/>
  <c r="C49" i="7"/>
  <c r="D48" i="7"/>
  <c r="D53" i="7" s="1"/>
  <c r="E48" i="7"/>
  <c r="E53" i="7" s="1"/>
  <c r="F48" i="7"/>
  <c r="G48" i="7"/>
  <c r="H48" i="7"/>
  <c r="I48" i="7"/>
  <c r="I53" i="7" s="1"/>
  <c r="C48" i="7"/>
  <c r="D33" i="7"/>
  <c r="E33" i="7"/>
  <c r="F33" i="7"/>
  <c r="G33" i="7"/>
  <c r="H33" i="7"/>
  <c r="I33" i="7"/>
  <c r="C33" i="7"/>
  <c r="D162" i="5"/>
  <c r="E162" i="5"/>
  <c r="F162" i="5"/>
  <c r="G162" i="5"/>
  <c r="H162" i="5"/>
  <c r="I162" i="5"/>
  <c r="C162" i="5"/>
  <c r="D32" i="7"/>
  <c r="E32" i="7"/>
  <c r="F32" i="7"/>
  <c r="G32" i="7"/>
  <c r="H32" i="7"/>
  <c r="I32" i="7"/>
  <c r="C32" i="7"/>
  <c r="E31" i="7"/>
  <c r="F31" i="7"/>
  <c r="G31" i="7"/>
  <c r="H31" i="7"/>
  <c r="I31" i="7"/>
  <c r="D31" i="7"/>
  <c r="D30" i="7"/>
  <c r="E30" i="7"/>
  <c r="F30" i="7"/>
  <c r="G30" i="7"/>
  <c r="H30" i="7"/>
  <c r="I30" i="7"/>
  <c r="C30" i="7"/>
  <c r="D29" i="7"/>
  <c r="E29" i="7"/>
  <c r="F29" i="7"/>
  <c r="G29" i="7"/>
  <c r="H29" i="7"/>
  <c r="I29" i="7"/>
  <c r="C29" i="7"/>
  <c r="E160" i="5"/>
  <c r="F160" i="5"/>
  <c r="G160" i="5"/>
  <c r="H160" i="5"/>
  <c r="I160" i="5"/>
  <c r="D160" i="5"/>
  <c r="D159" i="5"/>
  <c r="E159" i="5"/>
  <c r="F159" i="5"/>
  <c r="G159" i="5"/>
  <c r="H159" i="5"/>
  <c r="I159" i="5"/>
  <c r="C159" i="5"/>
  <c r="B23" i="7"/>
  <c r="D6" i="7" s="1"/>
  <c r="B17" i="7"/>
  <c r="I54" i="7" s="1"/>
  <c r="I33" i="6"/>
  <c r="H33" i="6"/>
  <c r="G33" i="6"/>
  <c r="F33" i="6"/>
  <c r="E33" i="6"/>
  <c r="D33" i="6"/>
  <c r="C33" i="6"/>
  <c r="D32" i="6"/>
  <c r="E32" i="6"/>
  <c r="F32" i="6"/>
  <c r="G32" i="6"/>
  <c r="H32" i="6"/>
  <c r="I32" i="6"/>
  <c r="C32" i="6"/>
  <c r="K32" i="6" s="1"/>
  <c r="C26" i="6"/>
  <c r="D24" i="6"/>
  <c r="E24" i="6"/>
  <c r="F24" i="6"/>
  <c r="G24" i="6"/>
  <c r="H24" i="6"/>
  <c r="I24" i="6"/>
  <c r="C24" i="6"/>
  <c r="D23" i="6"/>
  <c r="E23" i="6"/>
  <c r="F23" i="6"/>
  <c r="G23" i="6"/>
  <c r="H23" i="6"/>
  <c r="I23" i="6"/>
  <c r="C23" i="6"/>
  <c r="E22" i="6"/>
  <c r="F22" i="6"/>
  <c r="G22" i="6"/>
  <c r="H22" i="6"/>
  <c r="I22" i="6"/>
  <c r="D22" i="6"/>
  <c r="D21" i="6"/>
  <c r="E21" i="6"/>
  <c r="F21" i="6"/>
  <c r="G21" i="6"/>
  <c r="H21" i="6"/>
  <c r="I21" i="6"/>
  <c r="C21" i="6"/>
  <c r="E8" i="6"/>
  <c r="D18" i="6"/>
  <c r="E18" i="6"/>
  <c r="F18" i="6"/>
  <c r="G18" i="6"/>
  <c r="H18" i="6"/>
  <c r="I18" i="6"/>
  <c r="D19" i="6"/>
  <c r="E19" i="6"/>
  <c r="F19" i="6"/>
  <c r="G19" i="6"/>
  <c r="H19" i="6"/>
  <c r="I19" i="6"/>
  <c r="C19" i="6"/>
  <c r="C18" i="6"/>
  <c r="D17" i="6"/>
  <c r="E17" i="6"/>
  <c r="F17" i="6"/>
  <c r="G17" i="6"/>
  <c r="H17" i="6"/>
  <c r="I17" i="6"/>
  <c r="C17" i="6"/>
  <c r="D30" i="6"/>
  <c r="E30" i="6"/>
  <c r="F30" i="6"/>
  <c r="G30" i="6"/>
  <c r="H30" i="6"/>
  <c r="I30" i="6"/>
  <c r="C30" i="6"/>
  <c r="D29" i="6"/>
  <c r="E29" i="6"/>
  <c r="F29" i="6"/>
  <c r="G29" i="6"/>
  <c r="H29" i="6"/>
  <c r="I29" i="6"/>
  <c r="C29" i="6"/>
  <c r="E28" i="6"/>
  <c r="F28" i="6"/>
  <c r="G28" i="6"/>
  <c r="H28" i="6"/>
  <c r="I28" i="6"/>
  <c r="D28" i="6"/>
  <c r="C28" i="6"/>
  <c r="E27" i="6"/>
  <c r="F27" i="6"/>
  <c r="G27" i="6"/>
  <c r="H27" i="6"/>
  <c r="I27" i="6"/>
  <c r="D27" i="6"/>
  <c r="C27" i="6"/>
  <c r="K27" i="6" s="1"/>
  <c r="E26" i="6"/>
  <c r="F26" i="6"/>
  <c r="G26" i="6"/>
  <c r="H26" i="6"/>
  <c r="I26" i="6"/>
  <c r="D26" i="6"/>
  <c r="D37" i="6"/>
  <c r="E37" i="6"/>
  <c r="F37" i="6"/>
  <c r="G37" i="6"/>
  <c r="H37" i="6"/>
  <c r="I37" i="6"/>
  <c r="C37" i="6"/>
  <c r="D36" i="6"/>
  <c r="E36" i="6"/>
  <c r="F36" i="6"/>
  <c r="G36" i="6"/>
  <c r="H36" i="6"/>
  <c r="I36" i="6"/>
  <c r="C36" i="6"/>
  <c r="D35" i="6"/>
  <c r="E35" i="6"/>
  <c r="F35" i="6"/>
  <c r="G35" i="6"/>
  <c r="H35" i="6"/>
  <c r="I35" i="6"/>
  <c r="C35" i="6"/>
  <c r="D15" i="6"/>
  <c r="E15" i="6"/>
  <c r="F15" i="6"/>
  <c r="G15" i="6"/>
  <c r="H15" i="6"/>
  <c r="I15" i="6"/>
  <c r="C15" i="6"/>
  <c r="D13" i="6"/>
  <c r="E13" i="6"/>
  <c r="F13" i="6"/>
  <c r="G13" i="6"/>
  <c r="H13" i="6"/>
  <c r="I13" i="6"/>
  <c r="C13" i="6"/>
  <c r="D14" i="6"/>
  <c r="E14" i="6"/>
  <c r="F14" i="6"/>
  <c r="G14" i="6"/>
  <c r="H14" i="6"/>
  <c r="I14" i="6"/>
  <c r="C14" i="6"/>
  <c r="K14" i="6" s="1"/>
  <c r="E9" i="6"/>
  <c r="F9" i="6"/>
  <c r="G9" i="6"/>
  <c r="H9" i="6"/>
  <c r="D9" i="6"/>
  <c r="F8" i="6"/>
  <c r="G8" i="6"/>
  <c r="H8" i="6"/>
  <c r="D8" i="6"/>
  <c r="E7" i="6"/>
  <c r="F7" i="6"/>
  <c r="G7" i="6"/>
  <c r="H7" i="6"/>
  <c r="I7" i="6"/>
  <c r="D7" i="6"/>
  <c r="D12" i="6"/>
  <c r="E12" i="6"/>
  <c r="F12" i="6"/>
  <c r="G12" i="6"/>
  <c r="H12" i="6"/>
  <c r="I12" i="6"/>
  <c r="C12" i="6"/>
  <c r="D11" i="6"/>
  <c r="E11" i="6"/>
  <c r="F11" i="6"/>
  <c r="G11" i="6"/>
  <c r="H11" i="6"/>
  <c r="I11" i="6"/>
  <c r="C11" i="6"/>
  <c r="D6" i="6"/>
  <c r="E6" i="6"/>
  <c r="F6" i="6"/>
  <c r="G6" i="6"/>
  <c r="H6" i="6"/>
  <c r="I6" i="6"/>
  <c r="C6" i="6"/>
  <c r="G7" i="5"/>
  <c r="H7" i="5"/>
  <c r="I7" i="5"/>
  <c r="F8" i="5"/>
  <c r="D5" i="6"/>
  <c r="E5" i="6"/>
  <c r="F5" i="6"/>
  <c r="C5" i="6"/>
  <c r="F3" i="6"/>
  <c r="G3" i="6" s="1"/>
  <c r="H3" i="6" s="1"/>
  <c r="I3" i="6" s="1"/>
  <c r="H139" i="5"/>
  <c r="I139" i="5"/>
  <c r="G139" i="5"/>
  <c r="I133" i="10"/>
  <c r="H133" i="10"/>
  <c r="G133" i="10"/>
  <c r="F134" i="10"/>
  <c r="E134" i="10"/>
  <c r="D134" i="10"/>
  <c r="C134" i="10"/>
  <c r="F139" i="10"/>
  <c r="E139" i="10"/>
  <c r="D139" i="10"/>
  <c r="C139" i="10"/>
  <c r="G132" i="10"/>
  <c r="G131" i="10" s="1"/>
  <c r="G138" i="5" s="1"/>
  <c r="F143" i="10"/>
  <c r="E143" i="10"/>
  <c r="D143" i="10"/>
  <c r="C143" i="10"/>
  <c r="G143" i="10" s="1"/>
  <c r="G142" i="10" s="1"/>
  <c r="G145" i="5" s="1"/>
  <c r="F137" i="10"/>
  <c r="E137" i="10"/>
  <c r="D137" i="10"/>
  <c r="C137" i="10"/>
  <c r="G137" i="10" s="1"/>
  <c r="G136" i="10" s="1"/>
  <c r="G141" i="5" s="1"/>
  <c r="F132" i="10"/>
  <c r="E132" i="10"/>
  <c r="D132" i="10"/>
  <c r="C132" i="10"/>
  <c r="D129" i="10"/>
  <c r="E129" i="10"/>
  <c r="F129" i="10"/>
  <c r="C129" i="10"/>
  <c r="I135" i="5"/>
  <c r="H135" i="5"/>
  <c r="G135" i="5"/>
  <c r="F120" i="10"/>
  <c r="E120" i="10"/>
  <c r="D120" i="10"/>
  <c r="C120" i="10"/>
  <c r="F118" i="10"/>
  <c r="E118" i="10"/>
  <c r="D118" i="10"/>
  <c r="C118" i="10"/>
  <c r="F115" i="10"/>
  <c r="E115" i="10"/>
  <c r="D115" i="10"/>
  <c r="C115" i="10"/>
  <c r="F113" i="10"/>
  <c r="E113" i="10"/>
  <c r="D113" i="10"/>
  <c r="C113" i="10"/>
  <c r="D111" i="10"/>
  <c r="E111" i="10"/>
  <c r="F111" i="10"/>
  <c r="C111" i="10"/>
  <c r="G137" i="5"/>
  <c r="H137" i="5" s="1"/>
  <c r="I137" i="5" s="1"/>
  <c r="G148" i="5"/>
  <c r="H148" i="5" s="1"/>
  <c r="I148" i="5" s="1"/>
  <c r="G147" i="5"/>
  <c r="G118" i="5"/>
  <c r="H118" i="5" s="1"/>
  <c r="I118" i="5" s="1"/>
  <c r="D79" i="10"/>
  <c r="D88" i="10" s="1"/>
  <c r="E79" i="10"/>
  <c r="E98" i="10" s="1"/>
  <c r="F79" i="10"/>
  <c r="C79" i="10"/>
  <c r="C88" i="10" s="1"/>
  <c r="C65" i="10"/>
  <c r="D66" i="10"/>
  <c r="E66" i="10"/>
  <c r="F66" i="10"/>
  <c r="C66" i="10"/>
  <c r="H5" i="9"/>
  <c r="G5" i="9"/>
  <c r="G97" i="5"/>
  <c r="H97" i="5" s="1"/>
  <c r="I97" i="5" s="1"/>
  <c r="G78" i="5"/>
  <c r="G82" i="5"/>
  <c r="G81" i="5"/>
  <c r="D61" i="10"/>
  <c r="E61" i="10"/>
  <c r="F61" i="10"/>
  <c r="C61" i="10"/>
  <c r="D30" i="10"/>
  <c r="E30" i="10"/>
  <c r="F30" i="10"/>
  <c r="C30" i="10"/>
  <c r="D13" i="10"/>
  <c r="E13" i="10"/>
  <c r="F13" i="10"/>
  <c r="C13" i="10"/>
  <c r="D5" i="10"/>
  <c r="D9" i="10" s="1"/>
  <c r="E5" i="10"/>
  <c r="E9" i="10" s="1"/>
  <c r="F5" i="10"/>
  <c r="F9" i="10" s="1"/>
  <c r="C5" i="10"/>
  <c r="C11" i="10" s="1"/>
  <c r="I91" i="5"/>
  <c r="I156" i="5"/>
  <c r="I50" i="5"/>
  <c r="D12" i="9"/>
  <c r="D13" i="9" s="1"/>
  <c r="E12" i="9"/>
  <c r="F12" i="9"/>
  <c r="C12" i="9"/>
  <c r="C13" i="9" s="1"/>
  <c r="D11" i="9"/>
  <c r="E11" i="9"/>
  <c r="F11" i="9"/>
  <c r="C11" i="9"/>
  <c r="D19" i="9"/>
  <c r="E19" i="9"/>
  <c r="F19" i="9"/>
  <c r="C19" i="9"/>
  <c r="D17" i="9"/>
  <c r="E17" i="9"/>
  <c r="F17" i="9"/>
  <c r="C17" i="9"/>
  <c r="C16" i="9"/>
  <c r="D8" i="9"/>
  <c r="E8" i="9"/>
  <c r="F8" i="9"/>
  <c r="C8" i="9"/>
  <c r="H1" i="9"/>
  <c r="D1" i="9"/>
  <c r="E1" i="9" s="1"/>
  <c r="F1" i="9" s="1"/>
  <c r="E8" i="5"/>
  <c r="D8" i="5"/>
  <c r="M8" i="5" s="1"/>
  <c r="D3" i="5"/>
  <c r="G53" i="7" l="1"/>
  <c r="H53" i="7"/>
  <c r="F53" i="7"/>
  <c r="G54" i="7"/>
  <c r="C53" i="7"/>
  <c r="C16" i="11"/>
  <c r="F56" i="7"/>
  <c r="F63" i="7" s="1"/>
  <c r="H35" i="7"/>
  <c r="G35" i="7"/>
  <c r="C35" i="7"/>
  <c r="I35" i="7"/>
  <c r="F35" i="7"/>
  <c r="E35" i="7"/>
  <c r="D35" i="7"/>
  <c r="K33" i="6"/>
  <c r="K29" i="6"/>
  <c r="K13" i="6"/>
  <c r="K15" i="6"/>
  <c r="K11" i="6"/>
  <c r="K37" i="6"/>
  <c r="K24" i="6"/>
  <c r="K35" i="6"/>
  <c r="K30" i="6"/>
  <c r="K8" i="6"/>
  <c r="K28" i="6"/>
  <c r="K19" i="6"/>
  <c r="K9" i="6"/>
  <c r="K36" i="6"/>
  <c r="K22" i="6"/>
  <c r="K6" i="6"/>
  <c r="K12" i="6"/>
  <c r="K7" i="6"/>
  <c r="K17" i="6"/>
  <c r="K18" i="6"/>
  <c r="K26" i="6"/>
  <c r="K23" i="6"/>
  <c r="K21" i="6"/>
  <c r="G5" i="10"/>
  <c r="G8" i="5"/>
  <c r="G5" i="6" s="1"/>
  <c r="G134" i="10"/>
  <c r="H134" i="10" s="1"/>
  <c r="G115" i="10"/>
  <c r="G114" i="10" s="1"/>
  <c r="G126" i="5" s="1"/>
  <c r="G139" i="10"/>
  <c r="G129" i="10"/>
  <c r="G128" i="10" s="1"/>
  <c r="G136" i="5" s="1"/>
  <c r="H143" i="10"/>
  <c r="H137" i="10"/>
  <c r="H132" i="10"/>
  <c r="G120" i="10"/>
  <c r="G119" i="10" s="1"/>
  <c r="G129" i="5" s="1"/>
  <c r="G118" i="10"/>
  <c r="G117" i="10" s="1"/>
  <c r="G128" i="5" s="1"/>
  <c r="G113" i="10"/>
  <c r="H113" i="10" s="1"/>
  <c r="G111" i="10"/>
  <c r="G110" i="10" s="1"/>
  <c r="G124" i="5" s="1"/>
  <c r="H111" i="10"/>
  <c r="H110" i="10" s="1"/>
  <c r="H124" i="5" s="1"/>
  <c r="H118" i="10"/>
  <c r="C94" i="10"/>
  <c r="D90" i="10"/>
  <c r="D100" i="10"/>
  <c r="C92" i="10"/>
  <c r="C98" i="10"/>
  <c r="E100" i="10"/>
  <c r="E88" i="10"/>
  <c r="C90" i="10"/>
  <c r="E90" i="10"/>
  <c r="C102" i="10"/>
  <c r="D102" i="10"/>
  <c r="C96" i="10"/>
  <c r="C100" i="10"/>
  <c r="G79" i="10"/>
  <c r="C84" i="10"/>
  <c r="C86" i="10"/>
  <c r="H147" i="5"/>
  <c r="I147" i="5" s="1"/>
  <c r="D14" i="9"/>
  <c r="F13" i="9"/>
  <c r="F14" i="9"/>
  <c r="E13" i="9"/>
  <c r="E14" i="9"/>
  <c r="F102" i="10"/>
  <c r="F100" i="10"/>
  <c r="F98" i="10"/>
  <c r="F96" i="10"/>
  <c r="F94" i="10"/>
  <c r="F92" i="10"/>
  <c r="F90" i="10"/>
  <c r="F88" i="10"/>
  <c r="F86" i="10"/>
  <c r="F84" i="10"/>
  <c r="D92" i="10"/>
  <c r="E102" i="10"/>
  <c r="E92" i="10"/>
  <c r="D94" i="10"/>
  <c r="E84" i="10"/>
  <c r="E94" i="10"/>
  <c r="D84" i="10"/>
  <c r="D96" i="10"/>
  <c r="D86" i="10"/>
  <c r="E96" i="10"/>
  <c r="E86" i="10"/>
  <c r="D98" i="10"/>
  <c r="G30" i="10"/>
  <c r="H30" i="10" s="1"/>
  <c r="I30" i="10" s="1"/>
  <c r="C71" i="10"/>
  <c r="F71" i="10"/>
  <c r="E71" i="10"/>
  <c r="I61" i="10"/>
  <c r="D71" i="10"/>
  <c r="C67" i="10"/>
  <c r="D65" i="10" s="1"/>
  <c r="D67" i="10" s="1"/>
  <c r="D73" i="10" s="1"/>
  <c r="H61" i="10"/>
  <c r="G61" i="10"/>
  <c r="G60" i="10" s="1"/>
  <c r="H81" i="5"/>
  <c r="I81" i="5" s="1"/>
  <c r="H82" i="5"/>
  <c r="I82" i="5" s="1"/>
  <c r="H78" i="5"/>
  <c r="I78" i="5" s="1"/>
  <c r="C9" i="10"/>
  <c r="G9" i="10" s="1"/>
  <c r="G8" i="10" s="1"/>
  <c r="G58" i="5" s="1"/>
  <c r="F11" i="10"/>
  <c r="E11" i="10"/>
  <c r="D11" i="10"/>
  <c r="H13" i="10"/>
  <c r="G13" i="10"/>
  <c r="I13" i="10"/>
  <c r="C18" i="9"/>
  <c r="G11" i="9"/>
  <c r="G17" i="9" s="1"/>
  <c r="H11" i="9"/>
  <c r="H17" i="9" s="1"/>
  <c r="D16" i="9"/>
  <c r="D18" i="9" s="1"/>
  <c r="C20" i="9"/>
  <c r="F149" i="5"/>
  <c r="D50" i="5"/>
  <c r="E50" i="5"/>
  <c r="F50" i="5"/>
  <c r="G50" i="5"/>
  <c r="H50" i="5"/>
  <c r="F22" i="5"/>
  <c r="E22" i="5"/>
  <c r="E23" i="5" s="1"/>
  <c r="D22" i="5"/>
  <c r="D23" i="5" s="1"/>
  <c r="C22" i="5"/>
  <c r="C23" i="5" s="1"/>
  <c r="D11" i="5"/>
  <c r="E11" i="5"/>
  <c r="F11" i="5"/>
  <c r="D13" i="5"/>
  <c r="D14" i="5" s="1"/>
  <c r="E13" i="5"/>
  <c r="E14" i="5" s="1"/>
  <c r="F13" i="5"/>
  <c r="F14" i="5" s="1"/>
  <c r="C13" i="5"/>
  <c r="C19" i="5" s="1"/>
  <c r="G38" i="7" l="1"/>
  <c r="H36" i="7"/>
  <c r="D36" i="7"/>
  <c r="F36" i="7"/>
  <c r="G36" i="7"/>
  <c r="E36" i="7"/>
  <c r="I36" i="7"/>
  <c r="J35" i="7" s="1"/>
  <c r="K35" i="7" s="1"/>
  <c r="H79" i="10"/>
  <c r="H8" i="5"/>
  <c r="I134" i="10"/>
  <c r="H115" i="10"/>
  <c r="I115" i="10" s="1"/>
  <c r="I114" i="10" s="1"/>
  <c r="I126" i="5" s="1"/>
  <c r="I143" i="10"/>
  <c r="I142" i="10" s="1"/>
  <c r="I145" i="5" s="1"/>
  <c r="H142" i="10"/>
  <c r="H145" i="5" s="1"/>
  <c r="H139" i="10"/>
  <c r="H138" i="10" s="1"/>
  <c r="H142" i="5" s="1"/>
  <c r="G138" i="10"/>
  <c r="G142" i="5" s="1"/>
  <c r="G149" i="5" s="1"/>
  <c r="I139" i="10"/>
  <c r="I138" i="10" s="1"/>
  <c r="I142" i="5" s="1"/>
  <c r="I137" i="10"/>
  <c r="I136" i="10" s="1"/>
  <c r="I141" i="5" s="1"/>
  <c r="H136" i="10"/>
  <c r="H141" i="5" s="1"/>
  <c r="I132" i="10"/>
  <c r="I131" i="10" s="1"/>
  <c r="I138" i="5" s="1"/>
  <c r="H131" i="10"/>
  <c r="H138" i="5" s="1"/>
  <c r="H129" i="10"/>
  <c r="H120" i="10"/>
  <c r="I120" i="10" s="1"/>
  <c r="I119" i="10" s="1"/>
  <c r="I129" i="5" s="1"/>
  <c r="G112" i="10"/>
  <c r="G125" i="5" s="1"/>
  <c r="I118" i="10"/>
  <c r="I117" i="10" s="1"/>
  <c r="I128" i="5" s="1"/>
  <c r="H117" i="10"/>
  <c r="H128" i="5" s="1"/>
  <c r="H114" i="10"/>
  <c r="H126" i="5" s="1"/>
  <c r="I113" i="10"/>
  <c r="I112" i="10" s="1"/>
  <c r="I125" i="5" s="1"/>
  <c r="H112" i="10"/>
  <c r="H125" i="5" s="1"/>
  <c r="I111" i="10"/>
  <c r="I110" i="10" s="1"/>
  <c r="I124" i="5" s="1"/>
  <c r="G92" i="10"/>
  <c r="G91" i="10" s="1"/>
  <c r="G114" i="5" s="1"/>
  <c r="G102" i="10"/>
  <c r="G101" i="10" s="1"/>
  <c r="G119" i="5" s="1"/>
  <c r="C69" i="10"/>
  <c r="F23" i="5"/>
  <c r="G22" i="5"/>
  <c r="G94" i="10"/>
  <c r="G93" i="10" s="1"/>
  <c r="G115" i="5" s="1"/>
  <c r="G100" i="10"/>
  <c r="H100" i="10" s="1"/>
  <c r="I100" i="10" s="1"/>
  <c r="G14" i="9"/>
  <c r="G96" i="10"/>
  <c r="G98" i="10"/>
  <c r="G86" i="10"/>
  <c r="G85" i="10" s="1"/>
  <c r="G111" i="5" s="1"/>
  <c r="G90" i="10"/>
  <c r="G89" i="10" s="1"/>
  <c r="G113" i="5" s="1"/>
  <c r="I84" i="10"/>
  <c r="G84" i="10"/>
  <c r="G83" i="10" s="1"/>
  <c r="G110" i="5" s="1"/>
  <c r="H84" i="10"/>
  <c r="G88" i="10"/>
  <c r="G87" i="10" s="1"/>
  <c r="G112" i="5" s="1"/>
  <c r="G71" i="10"/>
  <c r="G66" i="10" s="1"/>
  <c r="G131" i="5" s="1"/>
  <c r="H60" i="10"/>
  <c r="I60" i="10" s="1"/>
  <c r="E65" i="10"/>
  <c r="E67" i="10" s="1"/>
  <c r="D69" i="10"/>
  <c r="I11" i="10"/>
  <c r="H5" i="10"/>
  <c r="H9" i="10"/>
  <c r="G11" i="10"/>
  <c r="G10" i="10" s="1"/>
  <c r="G59" i="5" s="1"/>
  <c r="H11" i="10"/>
  <c r="H29" i="5"/>
  <c r="D20" i="9"/>
  <c r="E16" i="9"/>
  <c r="E18" i="9" s="1"/>
  <c r="C31" i="5"/>
  <c r="E19" i="5"/>
  <c r="E31" i="5" s="1"/>
  <c r="E104" i="10" s="1"/>
  <c r="F19" i="5"/>
  <c r="D19" i="5"/>
  <c r="G39" i="7" l="1"/>
  <c r="H5" i="6"/>
  <c r="I29" i="5"/>
  <c r="I79" i="10"/>
  <c r="I8" i="5"/>
  <c r="I5" i="6" s="1"/>
  <c r="H119" i="10"/>
  <c r="H129" i="5" s="1"/>
  <c r="H128" i="10"/>
  <c r="H136" i="5" s="1"/>
  <c r="I129" i="10"/>
  <c r="I128" i="10" s="1"/>
  <c r="I136" i="5" s="1"/>
  <c r="I149" i="5" s="1"/>
  <c r="H88" i="10"/>
  <c r="H87" i="10" s="1"/>
  <c r="H112" i="5" s="1"/>
  <c r="H94" i="10"/>
  <c r="H93" i="10" s="1"/>
  <c r="H115" i="5" s="1"/>
  <c r="H102" i="10"/>
  <c r="H92" i="10"/>
  <c r="H91" i="10" s="1"/>
  <c r="H114" i="5" s="1"/>
  <c r="C37" i="5"/>
  <c r="C42" i="5" s="1"/>
  <c r="C46" i="5" s="1"/>
  <c r="C104" i="10"/>
  <c r="H22" i="5"/>
  <c r="G23" i="5"/>
  <c r="H98" i="10"/>
  <c r="G97" i="10"/>
  <c r="G117" i="5" s="1"/>
  <c r="H96" i="10"/>
  <c r="H95" i="10" s="1"/>
  <c r="G95" i="10"/>
  <c r="H14" i="9"/>
  <c r="G12" i="9"/>
  <c r="H90" i="10"/>
  <c r="H83" i="10"/>
  <c r="H110" i="5" s="1"/>
  <c r="H10" i="10"/>
  <c r="H59" i="5" s="1"/>
  <c r="H86" i="10"/>
  <c r="H71" i="10"/>
  <c r="I71" i="10" s="1"/>
  <c r="H8" i="10"/>
  <c r="H58" i="5" s="1"/>
  <c r="E73" i="10"/>
  <c r="F65" i="10"/>
  <c r="E69" i="10"/>
  <c r="I5" i="10"/>
  <c r="I9" i="10"/>
  <c r="F16" i="9"/>
  <c r="F18" i="9" s="1"/>
  <c r="E20" i="9"/>
  <c r="D31" i="5"/>
  <c r="F31" i="5"/>
  <c r="E37" i="5"/>
  <c r="E42" i="5" s="1"/>
  <c r="K5" i="6" l="1"/>
  <c r="I88" i="10"/>
  <c r="I87" i="10" s="1"/>
  <c r="I112" i="5" s="1"/>
  <c r="I92" i="10"/>
  <c r="I91" i="10" s="1"/>
  <c r="I114" i="5" s="1"/>
  <c r="I94" i="10"/>
  <c r="I93" i="10" s="1"/>
  <c r="I115" i="5" s="1"/>
  <c r="I96" i="10"/>
  <c r="I95" i="10" s="1"/>
  <c r="I8" i="10"/>
  <c r="I58" i="5" s="1"/>
  <c r="I102" i="10"/>
  <c r="I101" i="10" s="1"/>
  <c r="I119" i="5" s="1"/>
  <c r="H101" i="10"/>
  <c r="H119" i="5" s="1"/>
  <c r="I98" i="10"/>
  <c r="I97" i="10" s="1"/>
  <c r="I117" i="5" s="1"/>
  <c r="H97" i="10"/>
  <c r="H117" i="5" s="1"/>
  <c r="F37" i="5"/>
  <c r="F104" i="10"/>
  <c r="I86" i="10"/>
  <c r="I85" i="10" s="1"/>
  <c r="I111" i="5" s="1"/>
  <c r="H85" i="10"/>
  <c r="H111" i="5" s="1"/>
  <c r="D37" i="5"/>
  <c r="D104" i="10"/>
  <c r="I90" i="10"/>
  <c r="I89" i="10" s="1"/>
  <c r="I113" i="5" s="1"/>
  <c r="H89" i="10"/>
  <c r="H113" i="5" s="1"/>
  <c r="I22" i="5"/>
  <c r="I23" i="5" s="1"/>
  <c r="H23" i="5"/>
  <c r="H12" i="9"/>
  <c r="H13" i="9" s="1"/>
  <c r="H19" i="9" s="1"/>
  <c r="I25" i="5" s="1"/>
  <c r="I109" i="5" s="1"/>
  <c r="G13" i="9"/>
  <c r="G19" i="9" s="1"/>
  <c r="I83" i="10"/>
  <c r="I110" i="5" s="1"/>
  <c r="H66" i="10"/>
  <c r="H131" i="5" s="1"/>
  <c r="F67" i="10"/>
  <c r="F73" i="10" s="1"/>
  <c r="G73" i="10" s="1"/>
  <c r="G64" i="5"/>
  <c r="I10" i="10"/>
  <c r="I59" i="5" s="1"/>
  <c r="I66" i="10"/>
  <c r="I131" i="5" s="1"/>
  <c r="I132" i="5" s="1"/>
  <c r="F20" i="9"/>
  <c r="G16" i="9"/>
  <c r="G18" i="9" s="1"/>
  <c r="G8" i="9"/>
  <c r="D42" i="5"/>
  <c r="D46" i="5" s="1"/>
  <c r="F42" i="5"/>
  <c r="F46" i="5" s="1"/>
  <c r="E46" i="5"/>
  <c r="E47" i="5" s="1"/>
  <c r="G25" i="5" l="1"/>
  <c r="G109" i="5" s="1"/>
  <c r="H25" i="5"/>
  <c r="I26" i="5"/>
  <c r="G104" i="10"/>
  <c r="G65" i="10"/>
  <c r="G67" i="10" s="1"/>
  <c r="F69" i="10"/>
  <c r="H73" i="10"/>
  <c r="I73" i="10" s="1"/>
  <c r="G20" i="9"/>
  <c r="H16" i="9"/>
  <c r="H18" i="9" s="1"/>
  <c r="H20" i="9" s="1"/>
  <c r="H8" i="9"/>
  <c r="D51" i="5"/>
  <c r="D53" i="5" s="1"/>
  <c r="D47" i="5"/>
  <c r="F51" i="5"/>
  <c r="F53" i="5" s="1"/>
  <c r="F47" i="5"/>
  <c r="E51" i="5"/>
  <c r="E53" i="5" s="1"/>
  <c r="H26" i="5" l="1"/>
  <c r="H109" i="5"/>
  <c r="H104" i="10"/>
  <c r="I104" i="10" s="1"/>
  <c r="G74" i="10"/>
  <c r="G68" i="10" s="1"/>
  <c r="G69" i="10" s="1"/>
  <c r="H65" i="10"/>
  <c r="H67" i="10" s="1"/>
  <c r="H74" i="10" s="1"/>
  <c r="H68" i="10" s="1"/>
  <c r="H64" i="5"/>
  <c r="H69" i="5" s="1"/>
  <c r="D149" i="5"/>
  <c r="E149" i="5"/>
  <c r="H149" i="5"/>
  <c r="D156" i="5"/>
  <c r="E156" i="5"/>
  <c r="F156" i="5"/>
  <c r="G156" i="5"/>
  <c r="H156" i="5"/>
  <c r="C156" i="5"/>
  <c r="H132" i="5"/>
  <c r="D121" i="5"/>
  <c r="E121" i="5"/>
  <c r="F121" i="5"/>
  <c r="C121" i="5"/>
  <c r="E3" i="5"/>
  <c r="F3" i="5" s="1"/>
  <c r="H3" i="5" s="1"/>
  <c r="I3" i="5" s="1"/>
  <c r="H91" i="5"/>
  <c r="D100" i="5"/>
  <c r="E100" i="5"/>
  <c r="F100" i="5"/>
  <c r="C100" i="5"/>
  <c r="D83" i="5"/>
  <c r="E83" i="5"/>
  <c r="F83" i="5"/>
  <c r="C83" i="5"/>
  <c r="G69" i="5"/>
  <c r="F69" i="5"/>
  <c r="E69" i="5"/>
  <c r="D69" i="5"/>
  <c r="C69" i="5"/>
  <c r="G91" i="5"/>
  <c r="F91" i="5"/>
  <c r="E91" i="5"/>
  <c r="D91" i="5"/>
  <c r="C91" i="5"/>
  <c r="D62" i="5"/>
  <c r="E62" i="5"/>
  <c r="F62" i="5"/>
  <c r="C62" i="5"/>
  <c r="C50" i="5"/>
  <c r="G132" i="5"/>
  <c r="F132" i="5"/>
  <c r="E132" i="5"/>
  <c r="G29" i="5"/>
  <c r="F29" i="5"/>
  <c r="E29" i="5"/>
  <c r="D29" i="5"/>
  <c r="E17" i="5"/>
  <c r="D17" i="5"/>
  <c r="I64" i="5" l="1"/>
  <c r="I69" i="5" s="1"/>
  <c r="H69" i="10"/>
  <c r="I65" i="10"/>
  <c r="I67" i="10" s="1"/>
  <c r="I74" i="10" s="1"/>
  <c r="I68" i="10" s="1"/>
  <c r="I69" i="10" s="1"/>
  <c r="D132" i="5"/>
  <c r="E93" i="5"/>
  <c r="E102" i="5" s="1"/>
  <c r="F93" i="5"/>
  <c r="F102" i="5" s="1"/>
  <c r="D71" i="5"/>
  <c r="D93" i="5"/>
  <c r="D102" i="5" s="1"/>
  <c r="C93" i="5"/>
  <c r="C102" i="5" s="1"/>
  <c r="F71" i="5"/>
  <c r="C71" i="5"/>
  <c r="E71" i="5"/>
  <c r="C132" i="5"/>
  <c r="F17" i="5"/>
  <c r="C11" i="5"/>
  <c r="M9" i="5" s="1"/>
  <c r="I10" i="5" s="1"/>
  <c r="C29" i="5"/>
  <c r="C149" i="5"/>
  <c r="C26" i="5"/>
  <c r="D26" i="5"/>
  <c r="E26" i="5"/>
  <c r="C17" i="5"/>
  <c r="F26" i="5"/>
  <c r="G26" i="5"/>
  <c r="M10" i="5" l="1"/>
  <c r="I16" i="5" s="1"/>
  <c r="I17" i="5" s="1"/>
  <c r="I11" i="5"/>
  <c r="I12" i="10"/>
  <c r="I60" i="5" s="1"/>
  <c r="I62" i="5" s="1"/>
  <c r="I71" i="5" s="1"/>
  <c r="I13" i="5"/>
  <c r="G10" i="5"/>
  <c r="G12" i="10" s="1"/>
  <c r="G60" i="5" s="1"/>
  <c r="G62" i="5" s="1"/>
  <c r="G71" i="5" s="1"/>
  <c r="H10" i="5"/>
  <c r="H12" i="10" s="1"/>
  <c r="H60" i="5" s="1"/>
  <c r="H62" i="5" s="1"/>
  <c r="H71" i="5" s="1"/>
  <c r="F20" i="5"/>
  <c r="C14" i="5"/>
  <c r="H16" i="5" l="1"/>
  <c r="H17" i="5" s="1"/>
  <c r="G16" i="5"/>
  <c r="G17" i="5" s="1"/>
  <c r="I14" i="5"/>
  <c r="I19" i="5"/>
  <c r="H13" i="5"/>
  <c r="H11" i="5"/>
  <c r="G13" i="5"/>
  <c r="G11" i="5"/>
  <c r="D20" i="5"/>
  <c r="C20" i="5"/>
  <c r="F32" i="5"/>
  <c r="F35" i="5"/>
  <c r="E20" i="5"/>
  <c r="I20" i="5" l="1"/>
  <c r="I31" i="5"/>
  <c r="I103" i="10" s="1"/>
  <c r="I120" i="5" s="1"/>
  <c r="G14" i="5"/>
  <c r="G19" i="5"/>
  <c r="H14" i="5"/>
  <c r="H19" i="5"/>
  <c r="F38" i="5"/>
  <c r="C32" i="5"/>
  <c r="C35" i="5"/>
  <c r="D32" i="5"/>
  <c r="D35" i="5"/>
  <c r="E32" i="5"/>
  <c r="E35" i="5"/>
  <c r="I32" i="5" l="1"/>
  <c r="M11" i="5"/>
  <c r="I34" i="5" s="1"/>
  <c r="I116" i="5" s="1"/>
  <c r="H20" i="5"/>
  <c r="H31" i="5"/>
  <c r="H103" i="10" s="1"/>
  <c r="H120" i="5" s="1"/>
  <c r="G31" i="5"/>
  <c r="G103" i="10" s="1"/>
  <c r="G120" i="5" s="1"/>
  <c r="G20" i="5"/>
  <c r="C38" i="5"/>
  <c r="E38" i="5"/>
  <c r="D38" i="5"/>
  <c r="I35" i="5" l="1"/>
  <c r="I37" i="5"/>
  <c r="G34" i="5"/>
  <c r="G116" i="5" s="1"/>
  <c r="G32" i="5"/>
  <c r="H34" i="5"/>
  <c r="H32" i="5"/>
  <c r="C47" i="5"/>
  <c r="C51" i="5"/>
  <c r="C53" i="5" s="1"/>
  <c r="H35" i="5" l="1"/>
  <c r="H116" i="5"/>
  <c r="H37" i="5"/>
  <c r="H42" i="5" s="1"/>
  <c r="H46" i="5" s="1"/>
  <c r="H107" i="5"/>
  <c r="I107" i="5"/>
  <c r="I121" i="5" s="1"/>
  <c r="I98" i="5"/>
  <c r="I100" i="5" s="1"/>
  <c r="I38" i="5"/>
  <c r="I42" i="5"/>
  <c r="I46" i="5" s="1"/>
  <c r="G37" i="5"/>
  <c r="G35" i="5"/>
  <c r="E9" i="3"/>
  <c r="E8" i="3"/>
  <c r="E7" i="3"/>
  <c r="E25" i="3"/>
  <c r="E57" i="3"/>
  <c r="J57" i="3"/>
  <c r="S64" i="3"/>
  <c r="S63" i="3"/>
  <c r="S62" i="3"/>
  <c r="S61" i="3"/>
  <c r="R58" i="3"/>
  <c r="T57" i="3"/>
  <c r="T55" i="3"/>
  <c r="T54" i="3"/>
  <c r="N64" i="3"/>
  <c r="N63" i="3"/>
  <c r="N62" i="3"/>
  <c r="N61" i="3"/>
  <c r="M58" i="3"/>
  <c r="O57" i="3"/>
  <c r="O55" i="3"/>
  <c r="O54" i="3"/>
  <c r="I64" i="3"/>
  <c r="I63" i="3"/>
  <c r="I62" i="3"/>
  <c r="I61" i="3"/>
  <c r="I12" i="1"/>
  <c r="H58" i="3"/>
  <c r="J55" i="3"/>
  <c r="J54" i="3"/>
  <c r="E55" i="3"/>
  <c r="E54" i="3"/>
  <c r="D62" i="3"/>
  <c r="D63" i="3"/>
  <c r="D64" i="3"/>
  <c r="D61" i="3"/>
  <c r="C58" i="3"/>
  <c r="E6" i="3"/>
  <c r="E16" i="3"/>
  <c r="F97" i="1"/>
  <c r="E97" i="1"/>
  <c r="D97" i="1"/>
  <c r="C97" i="1"/>
  <c r="G97" i="1" s="1"/>
  <c r="G96" i="1"/>
  <c r="G95" i="1"/>
  <c r="G94" i="1"/>
  <c r="G93" i="1"/>
  <c r="G92" i="1"/>
  <c r="G91" i="1"/>
  <c r="G90" i="1"/>
  <c r="F85" i="1"/>
  <c r="E85" i="1"/>
  <c r="D85" i="1"/>
  <c r="G85" i="1" s="1"/>
  <c r="C85" i="1"/>
  <c r="G84" i="1"/>
  <c r="G83" i="1"/>
  <c r="G82" i="1"/>
  <c r="G81" i="1"/>
  <c r="G80" i="1"/>
  <c r="G79" i="1"/>
  <c r="G78" i="1"/>
  <c r="F73" i="1"/>
  <c r="E73" i="1"/>
  <c r="D73" i="1"/>
  <c r="C73" i="1"/>
  <c r="G73" i="1" s="1"/>
  <c r="G72" i="1"/>
  <c r="G71" i="1"/>
  <c r="G70" i="1"/>
  <c r="G69" i="1"/>
  <c r="G68" i="1"/>
  <c r="G67" i="1"/>
  <c r="G66" i="1"/>
  <c r="F61" i="1"/>
  <c r="E61" i="1"/>
  <c r="D61" i="1"/>
  <c r="C61" i="1"/>
  <c r="G61" i="1" s="1"/>
  <c r="G60" i="1"/>
  <c r="G59" i="1"/>
  <c r="G58" i="1"/>
  <c r="G57" i="1"/>
  <c r="G56" i="1"/>
  <c r="G55" i="1"/>
  <c r="G54" i="1"/>
  <c r="H98" i="5" l="1"/>
  <c r="H100" i="5" s="1"/>
  <c r="H121" i="5"/>
  <c r="H38" i="5"/>
  <c r="G98" i="5"/>
  <c r="G100" i="5" s="1"/>
  <c r="G107" i="5"/>
  <c r="G121" i="5" s="1"/>
  <c r="I47" i="5"/>
  <c r="I51" i="5"/>
  <c r="I53" i="5"/>
  <c r="G42" i="5"/>
  <c r="G46" i="5" s="1"/>
  <c r="G38" i="5"/>
  <c r="H47" i="5"/>
  <c r="H51" i="5"/>
  <c r="H53" i="5" s="1"/>
  <c r="D65" i="3"/>
  <c r="E56" i="3" s="1"/>
  <c r="E58" i="3" s="1"/>
  <c r="S65" i="3"/>
  <c r="T56" i="3" s="1"/>
  <c r="T58" i="3" s="1"/>
  <c r="N65" i="3"/>
  <c r="O56" i="3" s="1"/>
  <c r="O58" i="3" s="1"/>
  <c r="I65" i="3"/>
  <c r="J56" i="3" s="1"/>
  <c r="J58" i="3" s="1"/>
  <c r="G47" i="5" l="1"/>
  <c r="G51" i="5"/>
  <c r="G53" i="5" s="1"/>
  <c r="C19" i="3"/>
  <c r="E19" i="3" s="1"/>
  <c r="C28" i="3"/>
  <c r="E28" i="3" s="1"/>
  <c r="C18" i="3"/>
  <c r="E18" i="3" s="1"/>
  <c r="C27" i="3"/>
  <c r="E27" i="3" s="1"/>
  <c r="C20" i="3"/>
  <c r="E20" i="3" s="1"/>
  <c r="C29" i="3"/>
  <c r="E29" i="3" s="1"/>
  <c r="C17" i="3"/>
  <c r="E17" i="3" s="1"/>
  <c r="C48" i="3"/>
  <c r="F48" i="3" s="1"/>
  <c r="C26" i="3" s="1"/>
  <c r="E26" i="3" s="1"/>
  <c r="G29" i="10" l="1"/>
  <c r="G76" i="5" s="1"/>
  <c r="G83" i="5" s="1"/>
  <c r="G93" i="5" s="1"/>
  <c r="G102" i="5" s="1"/>
  <c r="I29" i="10"/>
  <c r="I76" i="5" s="1"/>
  <c r="I83" i="5" s="1"/>
  <c r="I93" i="5" s="1"/>
  <c r="I102" i="5" s="1"/>
  <c r="H29" i="10"/>
  <c r="H76" i="5" s="1"/>
  <c r="H83" i="5" s="1"/>
  <c r="H93" i="5" s="1"/>
  <c r="H102" i="5" s="1"/>
</calcChain>
</file>

<file path=xl/sharedStrings.xml><?xml version="1.0" encoding="utf-8"?>
<sst xmlns="http://schemas.openxmlformats.org/spreadsheetml/2006/main" count="1085" uniqueCount="657">
  <si>
    <t>The pricing model of a software is given below, create a 5 year cost projection based on the following terms:</t>
  </si>
  <si>
    <t>Year</t>
  </si>
  <si>
    <t>Total Sites</t>
  </si>
  <si>
    <t>New Sites every Year</t>
  </si>
  <si>
    <t>Pricing is flat fee on a per site (unique physical address) basis for FSED, Urgent Care, and Hosp ED, Micro Hospital sites</t>
  </si>
  <si>
    <t>Setup per Site;</t>
  </si>
  <si>
    <t>$0.00 (Typical $3500 per site waived in entirety)</t>
  </si>
  <si>
    <t>Initial Licensing Purchase:</t>
  </si>
  <si>
    <t>There will be a payment for initial licensing purchase of 250 first year licenses</t>
  </si>
  <si>
    <t xml:space="preserve">Those licenses may be used for the first year for any facility type listed above. </t>
  </si>
  <si>
    <t>No additional payment will be due for those sites until second year of live use.</t>
  </si>
  <si>
    <t>Initial Licensing: $1,050,000</t>
  </si>
  <si>
    <t>Second and Subsequent year licensing:</t>
  </si>
  <si>
    <t>Second and subsequent year licensing, and additional initial licenses beyond the initial 250 will be according to the following schedule based on Volume ranges. (Note: Volume is the number of patients per year)</t>
  </si>
  <si>
    <t>For FSED, Urgent Cares, and ED part of a hospital (per location):</t>
  </si>
  <si>
    <t>Vol From</t>
  </si>
  <si>
    <t>Vol To</t>
  </si>
  <si>
    <t>Annual</t>
  </si>
  <si>
    <t>Micro Hospitals (per location) – Calculate pricing per the schedule above for Emergency Visits then multiply by factor of 1.3x (adds additional 30% for Inpatient areas).</t>
  </si>
  <si>
    <t>• There will be a one-time contracting and integration setup of $40,000 due on agreement</t>
  </si>
  <si>
    <t>• License term for this agreement will be 5-year term</t>
  </si>
  <si>
    <t>• Each year new customers are added as per the schedule given below</t>
  </si>
  <si>
    <t>Number of Sites in First Year</t>
  </si>
  <si>
    <t>FSED</t>
  </si>
  <si>
    <t>Urgent Care</t>
  </si>
  <si>
    <t>ED</t>
  </si>
  <si>
    <t>Micro Hospital</t>
  </si>
  <si>
    <t>Total</t>
  </si>
  <si>
    <t>Number of New Sites in Second Year</t>
  </si>
  <si>
    <t>Number of New Sites in Third Year</t>
  </si>
  <si>
    <t>Number of New Sites in Fourth Year</t>
  </si>
  <si>
    <t>Number of New Sites in Fifth Year</t>
  </si>
  <si>
    <t>1.Perform an in-depth equity research analysis on CSI (https://www.csisoftware.com/). Present your findings along with a detailed valuation</t>
  </si>
  <si>
    <t>Total site</t>
  </si>
  <si>
    <t>Yearly New Site</t>
  </si>
  <si>
    <t>Cost - Yearly</t>
  </si>
  <si>
    <t>* Payment for 250 licences is $1,050,000 already done in 1st year</t>
  </si>
  <si>
    <t>Additional cost</t>
  </si>
  <si>
    <t xml:space="preserve"> * $40,000 (one-time contracting and integration setup)</t>
  </si>
  <si>
    <t>250 site already paid</t>
  </si>
  <si>
    <t>2nd Yaer Analysis</t>
  </si>
  <si>
    <t>ITEMS</t>
  </si>
  <si>
    <t>Cost</t>
  </si>
  <si>
    <t>Analysis for ED</t>
  </si>
  <si>
    <t>Price</t>
  </si>
  <si>
    <t>3rd Yaer Analysis</t>
  </si>
  <si>
    <t>Total Cost</t>
  </si>
  <si>
    <r>
      <t xml:space="preserve"> </t>
    </r>
    <r>
      <rPr>
        <b/>
        <sz val="9"/>
        <color rgb="FFFF0000"/>
        <rFont val="Calibri"/>
        <family val="2"/>
        <scheme val="minor"/>
      </rPr>
      <t>*</t>
    </r>
    <r>
      <rPr>
        <i/>
        <sz val="9"/>
        <color rgb="FFFF0000"/>
        <rFont val="Calibri"/>
        <family val="2"/>
        <scheme val="minor"/>
      </rPr>
      <t xml:space="preserve"> Initial Licencing Cost for first 250 licences is already covered in initial payment so no extra cost need to be paid (Setup cost is waived as it's already inclued in Initial cost)</t>
    </r>
  </si>
  <si>
    <t>4th Yaer Analysis</t>
  </si>
  <si>
    <t>5th Yaer Analysis</t>
  </si>
  <si>
    <t>-</t>
  </si>
  <si>
    <t>** Micro Hospitals (per location) – Calculate pricing per the schedule above for Emergency Visits then multiply by factor of 1.3x (adds additional 30% for Inpatient areas). - Implemented in Micro Hospital step above</t>
  </si>
  <si>
    <r>
      <t xml:space="preserve"> * I am assuming it remaining liceneces are </t>
    </r>
    <r>
      <rPr>
        <b/>
        <i/>
        <u/>
        <sz val="10"/>
        <color rgb="FF7030A0"/>
        <rFont val="Calibri"/>
        <family val="2"/>
        <scheme val="minor"/>
      </rPr>
      <t>not</t>
    </r>
    <r>
      <rPr>
        <b/>
        <i/>
        <sz val="10"/>
        <color rgb="FF7030A0"/>
        <rFont val="Calibri"/>
        <family val="2"/>
        <scheme val="minor"/>
      </rPr>
      <t xml:space="preserve"> carried forward for next year</t>
    </r>
  </si>
  <si>
    <t xml:space="preserve"> * I am assuming it remaining liceneces are carried forward for next year</t>
  </si>
  <si>
    <t>Total Sites in Year 1 as mentioned: 233 sites.</t>
  </si>
  <si>
    <r>
      <t xml:space="preserve">TOTAL COST PROJECTION - </t>
    </r>
    <r>
      <rPr>
        <i/>
        <sz val="10"/>
        <color theme="1"/>
        <rFont val="Calibri"/>
        <family val="2"/>
        <scheme val="minor"/>
      </rPr>
      <t>Method: 1</t>
    </r>
  </si>
  <si>
    <r>
      <t xml:space="preserve">TOTAL COST PROJECTION - </t>
    </r>
    <r>
      <rPr>
        <i/>
        <sz val="10"/>
        <color theme="1"/>
        <rFont val="Calibri"/>
        <family val="2"/>
        <scheme val="minor"/>
      </rPr>
      <t>Method: 2</t>
    </r>
  </si>
  <si>
    <t>Total Sites at the Start of Year 2: 286 sites.</t>
  </si>
  <si>
    <t>The 17 leftover licenses from Year 1 can be applied to these new sites.</t>
  </si>
  <si>
    <t>Cost Calculation for Year 2:</t>
  </si>
  <si>
    <r>
      <t xml:space="preserve">Since 233 sites are within the 250 licenses, there are </t>
    </r>
    <r>
      <rPr>
        <b/>
        <sz val="10"/>
        <color theme="1"/>
        <rFont val="Calibri"/>
        <family val="2"/>
        <scheme val="minor"/>
      </rPr>
      <t>17 licenses left over</t>
    </r>
    <r>
      <rPr>
        <sz val="10"/>
        <color theme="1"/>
        <rFont val="Calibri"/>
        <family val="2"/>
        <scheme val="minor"/>
      </rPr>
      <t xml:space="preserve"> from 1st year (Expecting it to carry to next year)</t>
    </r>
  </si>
  <si>
    <t>Out of these, 233 sites are carried over from Year 1, leaving 53 new sites added in Year 2 (286 - 233)</t>
  </si>
  <si>
    <t>Initial 250 Licenses in beginning of the contract given in Question. These means it cover up to 250 sites for 1st year</t>
  </si>
  <si>
    <r>
      <t xml:space="preserve">For these </t>
    </r>
    <r>
      <rPr>
        <b/>
        <sz val="10"/>
        <color theme="1"/>
        <rFont val="Calibri"/>
        <family val="2"/>
        <scheme val="minor"/>
      </rPr>
      <t>36 additional sites</t>
    </r>
    <r>
      <rPr>
        <sz val="10"/>
        <color theme="1"/>
        <rFont val="Calibri"/>
        <family val="2"/>
        <scheme val="minor"/>
      </rPr>
      <t>, I need to calculate the licensing costs according to the volume range given in question</t>
    </r>
  </si>
  <si>
    <r>
      <t xml:space="preserve">53 new sites - 17 leftover licenses = </t>
    </r>
    <r>
      <rPr>
        <b/>
        <sz val="10"/>
        <color theme="1"/>
        <rFont val="Calibri"/>
        <family val="2"/>
        <scheme val="minor"/>
      </rPr>
      <t>36 additional licenses</t>
    </r>
    <r>
      <rPr>
        <sz val="10"/>
        <color theme="1"/>
        <rFont val="Calibri"/>
        <family val="2"/>
        <scheme val="minor"/>
      </rPr>
      <t xml:space="preserve"> needed for Year 2.</t>
    </r>
  </si>
  <si>
    <t>From the below we calculated cost for 53 extra site for 2nd year which is $2,04,855</t>
  </si>
  <si>
    <t>Site</t>
  </si>
  <si>
    <t>?</t>
  </si>
  <si>
    <t>I am assuming this 36 sites represent the mix of site types and volumes given, the calculation would proportionally made as per 53 sites</t>
  </si>
  <si>
    <t>Leasing cost for new 36 Sites would be as below</t>
  </si>
  <si>
    <t>COST ANALYSIS</t>
  </si>
  <si>
    <t>#</t>
  </si>
  <si>
    <t>Years</t>
  </si>
  <si>
    <t>Income Statement</t>
  </si>
  <si>
    <t>Sales</t>
  </si>
  <si>
    <t>Sales Growth</t>
  </si>
  <si>
    <t>COGS</t>
  </si>
  <si>
    <t>COGS % Sales</t>
  </si>
  <si>
    <t>Gross Profit</t>
  </si>
  <si>
    <t>Gross % Sales (Gross Profit Margins)</t>
  </si>
  <si>
    <t>SG&amp;A Exp</t>
  </si>
  <si>
    <t>S&amp;G Exp % Sales</t>
  </si>
  <si>
    <t>EBITDA</t>
  </si>
  <si>
    <t>EBITDA % Sales (EBITADA Margins)</t>
  </si>
  <si>
    <t>Depreciation / Amortization</t>
  </si>
  <si>
    <t>Depeciation / Amortization  % Sales</t>
  </si>
  <si>
    <t>Interest</t>
  </si>
  <si>
    <t>Interest % Sales</t>
  </si>
  <si>
    <t>EBT (Earning Befor Tax)</t>
  </si>
  <si>
    <t>EBT % Sales</t>
  </si>
  <si>
    <t>Tax</t>
  </si>
  <si>
    <t>Effective Tax rate</t>
  </si>
  <si>
    <t>Net Profit / Net Earning</t>
  </si>
  <si>
    <t>Net Profit Margins</t>
  </si>
  <si>
    <t xml:space="preserve">No of Equity Shares </t>
  </si>
  <si>
    <t>EPS (Earning per Share)</t>
  </si>
  <si>
    <t>EPS Growth Rate %</t>
  </si>
  <si>
    <t>Devident Amount</t>
  </si>
  <si>
    <t>Devident Per Share</t>
  </si>
  <si>
    <t>Devident Payout Ratio</t>
  </si>
  <si>
    <t>Retained Earnings</t>
  </si>
  <si>
    <t>Balance Sheet</t>
  </si>
  <si>
    <t>TOTAL LIBALITY</t>
  </si>
  <si>
    <t>TOTAL NON CURRENT ASSET</t>
  </si>
  <si>
    <t>TOTAL CURRENT ASSETS</t>
  </si>
  <si>
    <t>TOTAL ASSETS</t>
  </si>
  <si>
    <t>Operating Activities</t>
  </si>
  <si>
    <t>Cash from Operating activities</t>
  </si>
  <si>
    <t>Investing Activities</t>
  </si>
  <si>
    <t>Financing Activities</t>
  </si>
  <si>
    <t>Historical Financial Statement - Constellation Software, Inc.</t>
  </si>
  <si>
    <t>Accounts receivable</t>
  </si>
  <si>
    <t>Unbilled revenue</t>
  </si>
  <si>
    <t>Cash</t>
  </si>
  <si>
    <t xml:space="preserve">Inventories </t>
  </si>
  <si>
    <t xml:space="preserve">Other assets </t>
  </si>
  <si>
    <t>Property and equipment</t>
  </si>
  <si>
    <t>Right of use assets</t>
  </si>
  <si>
    <t>Deferred income taxes</t>
  </si>
  <si>
    <t>Other assets</t>
  </si>
  <si>
    <t>Intangible assets</t>
  </si>
  <si>
    <t xml:space="preserve"> </t>
  </si>
  <si>
    <t>Accounts payable and accrued liabilities</t>
  </si>
  <si>
    <t>Deferred revenue</t>
  </si>
  <si>
    <t>Acquisition holdback payables</t>
  </si>
  <si>
    <t>Debt with recourse to Constellation Software Inc.</t>
  </si>
  <si>
    <t>Debt without recourse to Constellation Software Inc.</t>
  </si>
  <si>
    <t>Redeemable preferred securities</t>
  </si>
  <si>
    <t>Dividends payable</t>
  </si>
  <si>
    <t>Provisions</t>
  </si>
  <si>
    <t>Lease obligations</t>
  </si>
  <si>
    <t>Income taxes payable</t>
  </si>
  <si>
    <t>TOTAL NON - CURRENT LIBALITY</t>
  </si>
  <si>
    <t>TOTAL CURRENT LIBALITY</t>
  </si>
  <si>
    <t>Other liabilities</t>
  </si>
  <si>
    <t>Other equity</t>
  </si>
  <si>
    <t>Accumulated other comprehensive income (loss)</t>
  </si>
  <si>
    <t>Retained earnings</t>
  </si>
  <si>
    <t>Capital stock</t>
  </si>
  <si>
    <t>Non-controlling interests</t>
  </si>
  <si>
    <t>TOTAL SHAREHOLDER'S EQUITY</t>
  </si>
  <si>
    <t>TOTAL LIBALITY &amp; SHAREHOLDER'S CAPITAL</t>
  </si>
  <si>
    <t>Actual</t>
  </si>
  <si>
    <t>Forecasted</t>
  </si>
  <si>
    <t>Cash-Flow Statement</t>
  </si>
  <si>
    <t>Net income (loss)</t>
  </si>
  <si>
    <t>Adjustments for:</t>
  </si>
  <si>
    <t>IRGA/TSS Membership liability revaluation charge</t>
  </si>
  <si>
    <t>Finance and other expense (income)</t>
  </si>
  <si>
    <t>Bargain purchase (gain)</t>
  </si>
  <si>
    <t>Impairment of intangible and other non-financial assets</t>
  </si>
  <si>
    <t>Finance costs</t>
  </si>
  <si>
    <t>Income tax expense (recovery)</t>
  </si>
  <si>
    <t>Foreign exchange loss (gain)</t>
  </si>
  <si>
    <t>Change in non-cash operating assets and liabilities</t>
  </si>
  <si>
    <t>Income taxes paid</t>
  </si>
  <si>
    <t>Redeemable preferred securities expense (income)</t>
  </si>
  <si>
    <t>exclusive of effects of business combinations</t>
  </si>
  <si>
    <t>Post-acquisition settlement payments, net of receipts</t>
  </si>
  <si>
    <t>Purchases of other investments</t>
  </si>
  <si>
    <t>Proceeds from sales of other investments</t>
  </si>
  <si>
    <t>Interest, dividends and other proceeds received</t>
  </si>
  <si>
    <t>Property and equipment purchased</t>
  </si>
  <si>
    <t xml:space="preserve">Acquisition of businesses </t>
  </si>
  <si>
    <t xml:space="preserve">Cash obtained with acquired businesses </t>
  </si>
  <si>
    <t xml:space="preserve">Recp. of additional sub. Amt. from the sellers of Topicus.com B.V. </t>
  </si>
  <si>
    <t>Interest paid on debt</t>
  </si>
  <si>
    <t>Increase (decrease) in revolving credit debt facilities without recourse to CSI</t>
  </si>
  <si>
    <t>Proceeds from issuance of term debt facilities without recourse to CSI</t>
  </si>
  <si>
    <t>Repayments of term debt facilities without recourse to CSI</t>
  </si>
  <si>
    <t>Other financing activities</t>
  </si>
  <si>
    <t>Credit facility transaction costs</t>
  </si>
  <si>
    <t>Payments of lease obligations</t>
  </si>
  <si>
    <t>Interest paid on lease obligations</t>
  </si>
  <si>
    <t xml:space="preserve">Increase (decrease) in CSI facility </t>
  </si>
  <si>
    <t xml:space="preserve">Distribution to the Joday Group </t>
  </si>
  <si>
    <t>Effect of Foreign Currency on Cash &amp; Cash Equivalent</t>
  </si>
  <si>
    <t>Cash from Investing activities</t>
  </si>
  <si>
    <t>Cash from Financing activities</t>
  </si>
  <si>
    <t>Increase (decrease) in cash</t>
  </si>
  <si>
    <t>Cash, beginning of year</t>
  </si>
  <si>
    <t>Cash End of Year</t>
  </si>
  <si>
    <t>Figures in Million</t>
  </si>
  <si>
    <t>Non Operating &amp; other Income (Expenses)</t>
  </si>
  <si>
    <t>Non-operating other income or Expenses % Sales</t>
  </si>
  <si>
    <t>Non-Controlling Interest</t>
  </si>
  <si>
    <t>Net Income Attributed to Common Shareholder</t>
  </si>
  <si>
    <t>Proceeds from sale of interest rate cap</t>
  </si>
  <si>
    <t>Proceeds from issuance of debentures</t>
  </si>
  <si>
    <t>Dividends paid to redeemable preferred security holders</t>
  </si>
  <si>
    <t>Dividends paid to common shareholders of the Company</t>
  </si>
  <si>
    <t>Assumption</t>
  </si>
  <si>
    <t>Revenue forecasted to be % of Growth rate</t>
  </si>
  <si>
    <t>SG&amp;A is forecasted to be % of Revenue</t>
  </si>
  <si>
    <t>COGS is forecasted to be % of Revenue</t>
  </si>
  <si>
    <t>2024 / 2025</t>
  </si>
  <si>
    <t>income Tax Expenses forecasted to be % of EBT</t>
  </si>
  <si>
    <t>Net Sales</t>
  </si>
  <si>
    <t>Gross PP&amp;E</t>
  </si>
  <si>
    <t>Capital Exp</t>
  </si>
  <si>
    <t>Net PP&amp;E</t>
  </si>
  <si>
    <t>Acc Dep</t>
  </si>
  <si>
    <t>Beg PP&amp;E</t>
  </si>
  <si>
    <t>Capex</t>
  </si>
  <si>
    <t>Total Gross PP&amp;E</t>
  </si>
  <si>
    <t>Ending net PP&amp;E</t>
  </si>
  <si>
    <t>Cap Exp % sales</t>
  </si>
  <si>
    <t>Annual Dep % of avg FA</t>
  </si>
  <si>
    <t>Dep</t>
  </si>
  <si>
    <t>Non-current Libality is based on (Sales/non current libality ratio)</t>
  </si>
  <si>
    <t>Cash is forecasted based on perior yr cash + net change in cash</t>
  </si>
  <si>
    <t>Other currect Asset assumed to be unchanged</t>
  </si>
  <si>
    <t>A/R forecasted as a % of sales</t>
  </si>
  <si>
    <t>Inventory is % of COGS</t>
  </si>
  <si>
    <t>Intangale Asset and other long term expected to be constant from 2024</t>
  </si>
  <si>
    <t>Right to use of asset and deffred income tax is expected to be constant based on PY</t>
  </si>
  <si>
    <t>Unbilled revenue is calsulated as a percentage of Revenue</t>
  </si>
  <si>
    <t>Account Payable is forcasted to be % of COGS</t>
  </si>
  <si>
    <t xml:space="preserve">Amortization </t>
  </si>
  <si>
    <t>Amo % of Intangable asset</t>
  </si>
  <si>
    <t>Income tax payable, lease obligation, defered revenue expected to be based on PY average</t>
  </si>
  <si>
    <t>Other reaning item of Cl and non-CL is based on PY values</t>
  </si>
  <si>
    <t>Depreciation &amp; Amortization of intangible assets</t>
  </si>
  <si>
    <t>Non Operating &amp; other Income (Expenses) will not forecast as it is non-recurring in nature it is expected to be same like PY</t>
  </si>
  <si>
    <t>Opening PP&amp;E</t>
  </si>
  <si>
    <t>CapEx</t>
  </si>
  <si>
    <t>Ending Net PP&amp;E</t>
  </si>
  <si>
    <t>CapEx % Sales</t>
  </si>
  <si>
    <t>Dep % of FA</t>
  </si>
  <si>
    <t>Historical Dep</t>
  </si>
  <si>
    <t xml:space="preserve">DEP  </t>
  </si>
  <si>
    <t>Depreciation Schdule</t>
  </si>
  <si>
    <t>Cash Flow Statement Opaerting Items</t>
  </si>
  <si>
    <t>% of Sales</t>
  </si>
  <si>
    <t>% of PBT</t>
  </si>
  <si>
    <t>Assumptioon</t>
  </si>
  <si>
    <t>Most of Items from Statement of operation are calculated % of sales</t>
  </si>
  <si>
    <t>A/R, A/P, Inventory calculated based on schdule</t>
  </si>
  <si>
    <t>Most of items in Statement of investing activity is calculated based on % of Sales</t>
  </si>
  <si>
    <t>Devident is calculated based on PY avg</t>
  </si>
  <si>
    <t>Proced from Sale of Int Rate Cap is expected to be constant</t>
  </si>
  <si>
    <t>Proced from sale of Debenture expected to be zero for next yr</t>
  </si>
  <si>
    <t>Other financing activities - Assumpted to be constant based on PY</t>
  </si>
  <si>
    <t>Credit facility transaction costs - Assumpted to be constant based on PY</t>
  </si>
  <si>
    <t>Distribution to the Joday Group  - Assumpted to be constant based on PY</t>
  </si>
  <si>
    <t>Interst paid on lease obligation is assumpted to be avg of PY</t>
  </si>
  <si>
    <t>Cash is expected to be constant</t>
  </si>
  <si>
    <t>EBITDA Growth</t>
  </si>
  <si>
    <t>EBIT Growth</t>
  </si>
  <si>
    <t>Net Profit Growth</t>
  </si>
  <si>
    <t>Gross Margin</t>
  </si>
  <si>
    <t>Operating Margin</t>
  </si>
  <si>
    <t>EBITDA Margin</t>
  </si>
  <si>
    <t>EBIT Margin</t>
  </si>
  <si>
    <t>EBT Margin</t>
  </si>
  <si>
    <t>Net Profit Margin</t>
  </si>
  <si>
    <t>SalesExpenses%Sales</t>
  </si>
  <si>
    <t>Depreciation%Sales</t>
  </si>
  <si>
    <t>OperatingIncome%Sales</t>
  </si>
  <si>
    <t>Return on Capital Employed</t>
  </si>
  <si>
    <t>Retained Earnings%</t>
  </si>
  <si>
    <t>Return on Equity%</t>
  </si>
  <si>
    <t>Interest Coverage Ratio</t>
  </si>
  <si>
    <t>Debtor Turnover Ratio</t>
  </si>
  <si>
    <t>Creditor Turnover Ratio</t>
  </si>
  <si>
    <t>Inventory Turnover</t>
  </si>
  <si>
    <t>Fixed Asset Turnover</t>
  </si>
  <si>
    <t>Capital Turnover Ratio</t>
  </si>
  <si>
    <t>Debtor Days</t>
  </si>
  <si>
    <t>Inventory Days</t>
  </si>
  <si>
    <t>CFO/Sales</t>
  </si>
  <si>
    <t>CFO/Total Assets</t>
  </si>
  <si>
    <t>CFO/Total Debt</t>
  </si>
  <si>
    <t>Ratio Analysis of - Constellation Software, Inc.</t>
  </si>
  <si>
    <t>Trend</t>
  </si>
  <si>
    <t>Median</t>
  </si>
  <si>
    <t>I would Not be using a Benchmark company as a Index and perform regression to get Beta - No Beta drifting (Would not perform calculation of liver and unlivered bita) or Cost of Debt or Cost of Equity instead I will directly use data from financial webite (Alpha Spread) to calculate WACC via CAPM model</t>
  </si>
  <si>
    <t>Ke (Cost of Equity)</t>
  </si>
  <si>
    <t>Kd (Cost of Debt)</t>
  </si>
  <si>
    <t>Rf (Risk freerate)</t>
  </si>
  <si>
    <t>Beta</t>
  </si>
  <si>
    <t>ERP (Equity Risk premium)</t>
  </si>
  <si>
    <t>Debt Weight</t>
  </si>
  <si>
    <t>Equity Weight</t>
  </si>
  <si>
    <t>WACC = (Weight of Equity X Cost of Equity) + (Cost of Debt X Weight of Debt)</t>
  </si>
  <si>
    <t xml:space="preserve">WACC   </t>
  </si>
  <si>
    <t>CAPM / Cost of equity</t>
  </si>
  <si>
    <t>ERP = (Rm-Rf)</t>
  </si>
  <si>
    <t>CAPM</t>
  </si>
  <si>
    <t>Rf + Beta (Rm-Rf)</t>
  </si>
  <si>
    <t>FCFF</t>
  </si>
  <si>
    <t>FCFE</t>
  </si>
  <si>
    <t>Net Income</t>
  </si>
  <si>
    <t>D&amp;A</t>
  </si>
  <si>
    <t>Change in NWC</t>
  </si>
  <si>
    <t>Net Borrowing</t>
  </si>
  <si>
    <t>Working Capital</t>
  </si>
  <si>
    <t>Change In Working Capital</t>
  </si>
  <si>
    <t>Net Debt</t>
  </si>
  <si>
    <t>Growth rate</t>
  </si>
  <si>
    <t>Non considerable</t>
  </si>
  <si>
    <t>EBITDA *(1-tax)</t>
  </si>
  <si>
    <t>Dep &amp; Amort * (Tax)</t>
  </si>
  <si>
    <t>Change in WC</t>
  </si>
  <si>
    <t>WACC</t>
  </si>
  <si>
    <t>PV</t>
  </si>
  <si>
    <t>Termal Value via Exit multiple appr.</t>
  </si>
  <si>
    <t>EV/EBITA</t>
  </si>
  <si>
    <t xml:space="preserve">Termal Value </t>
  </si>
  <si>
    <t>Pv of Termanel value</t>
  </si>
  <si>
    <t>Total Pv of operation</t>
  </si>
  <si>
    <t>Yaer</t>
  </si>
  <si>
    <t>Ke</t>
  </si>
  <si>
    <t>Projected Year using Growth Rate of PY</t>
  </si>
  <si>
    <t>PV of 3 yr</t>
  </si>
  <si>
    <t>PV of 5 yr</t>
  </si>
  <si>
    <t>S.No</t>
  </si>
  <si>
    <r>
      <rPr>
        <sz val="8"/>
        <rFont val="Arial MT"/>
        <family val="2"/>
      </rPr>
      <t xml:space="preserve">Consolidated Statements of Financial Position
</t>
    </r>
    <r>
      <rPr>
        <sz val="8"/>
        <rFont val="Arial MT"/>
        <family val="2"/>
      </rPr>
      <t>(In millions of U.S. dollars, except per share amounts.  Due to rounding, numbers presented may not foot.)</t>
    </r>
  </si>
  <si>
    <r>
      <rPr>
        <sz val="8"/>
        <rFont val="Arial MT"/>
        <family val="2"/>
      </rPr>
      <t>December 31, 2021</t>
    </r>
  </si>
  <si>
    <r>
      <rPr>
        <sz val="8"/>
        <rFont val="Arial MT"/>
        <family val="2"/>
      </rPr>
      <t>December 31, 2020</t>
    </r>
  </si>
  <si>
    <r>
      <rPr>
        <sz val="11"/>
        <rFont val="Arial MT"/>
        <family val="2"/>
      </rPr>
      <t>Assets</t>
    </r>
  </si>
  <si>
    <r>
      <rPr>
        <sz val="8"/>
        <rFont val="Arial MT"/>
        <family val="2"/>
      </rPr>
      <t xml:space="preserve">Current assets:
</t>
    </r>
    <r>
      <rPr>
        <sz val="8"/>
        <rFont val="Arial MT"/>
        <family val="2"/>
      </rPr>
      <t>Cash</t>
    </r>
  </si>
  <si>
    <r>
      <rPr>
        <sz val="8"/>
        <rFont val="Arial MT"/>
        <family val="2"/>
      </rPr>
      <t>$</t>
    </r>
  </si>
  <si>
    <r>
      <rPr>
        <sz val="8"/>
        <rFont val="Arial MT"/>
        <family val="2"/>
      </rPr>
      <t>Accounts receivable</t>
    </r>
  </si>
  <si>
    <r>
      <rPr>
        <sz val="8"/>
        <rFont val="Arial MT"/>
        <family val="2"/>
      </rPr>
      <t>Unbilled revenue</t>
    </r>
  </si>
  <si>
    <r>
      <rPr>
        <sz val="8"/>
        <rFont val="Arial MT"/>
        <family val="2"/>
      </rPr>
      <t>Inventories (note 5)</t>
    </r>
  </si>
  <si>
    <r>
      <rPr>
        <sz val="8"/>
        <rFont val="Arial MT"/>
        <family val="2"/>
      </rPr>
      <t>Other assets (note 6)</t>
    </r>
  </si>
  <si>
    <r>
      <rPr>
        <sz val="8"/>
        <rFont val="Arial MT"/>
        <family val="2"/>
      </rPr>
      <t xml:space="preserve">Non-current assets:
</t>
    </r>
    <r>
      <rPr>
        <sz val="8"/>
        <rFont val="Arial MT"/>
        <family val="2"/>
      </rPr>
      <t>Property and equipment (note 7)</t>
    </r>
  </si>
  <si>
    <r>
      <rPr>
        <sz val="8"/>
        <rFont val="Arial MT"/>
        <family val="2"/>
      </rPr>
      <t>Right of use assets (note 8)</t>
    </r>
  </si>
  <si>
    <r>
      <rPr>
        <sz val="8"/>
        <rFont val="Arial MT"/>
        <family val="2"/>
      </rPr>
      <t>Deferred income taxes (note 16)</t>
    </r>
  </si>
  <si>
    <r>
      <rPr>
        <sz val="8"/>
        <rFont val="Arial MT"/>
        <family val="2"/>
      </rPr>
      <t>Intangible assets (note 9)</t>
    </r>
  </si>
  <si>
    <r>
      <rPr>
        <sz val="8"/>
        <rFont val="Arial MT"/>
        <family val="2"/>
      </rPr>
      <t>Total assets                                                                                             $</t>
    </r>
  </si>
  <si>
    <r>
      <rPr>
        <sz val="11"/>
        <rFont val="Arial MT"/>
        <family val="2"/>
      </rPr>
      <t>Liabilities and Shareholders' Equity</t>
    </r>
  </si>
  <si>
    <r>
      <rPr>
        <sz val="8"/>
        <rFont val="Arial MT"/>
        <family val="2"/>
      </rPr>
      <t xml:space="preserve">Current liabilities:
</t>
    </r>
    <r>
      <rPr>
        <sz val="8"/>
        <rFont val="Arial MT"/>
        <family val="2"/>
      </rPr>
      <t>Debt with recourse to Constellation Software Inc. (note 10)</t>
    </r>
  </si>
  <si>
    <r>
      <rPr>
        <sz val="8"/>
        <rFont val="Arial MT"/>
        <family val="2"/>
      </rPr>
      <t>Debt without recourse to Constellation Software Inc. (note 11)</t>
    </r>
  </si>
  <si>
    <r>
      <rPr>
        <sz val="8"/>
        <rFont val="Arial MT"/>
        <family val="2"/>
      </rPr>
      <t>Redeemable preferred securities (note 12)</t>
    </r>
  </si>
  <si>
    <r>
      <rPr>
        <sz val="8"/>
        <rFont val="Arial MT"/>
        <family val="2"/>
      </rPr>
      <t>-</t>
    </r>
  </si>
  <si>
    <r>
      <rPr>
        <sz val="8"/>
        <rFont val="Arial MT"/>
        <family val="2"/>
      </rPr>
      <t>Accounts payable and accrued liabilities</t>
    </r>
  </si>
  <si>
    <r>
      <rPr>
        <sz val="8"/>
        <rFont val="Arial MT"/>
        <family val="2"/>
      </rPr>
      <t>Dividends payable (note 17)</t>
    </r>
  </si>
  <si>
    <r>
      <rPr>
        <sz val="8"/>
        <rFont val="Arial MT"/>
        <family val="2"/>
      </rPr>
      <t>Deferred revenue</t>
    </r>
  </si>
  <si>
    <r>
      <rPr>
        <sz val="8"/>
        <rFont val="Arial MT"/>
        <family val="2"/>
      </rPr>
      <t>Provisions (note 13)</t>
    </r>
  </si>
  <si>
    <r>
      <rPr>
        <sz val="8"/>
        <rFont val="Arial MT"/>
        <family val="2"/>
      </rPr>
      <t>Acquisition holdback payables</t>
    </r>
  </si>
  <si>
    <r>
      <rPr>
        <sz val="8"/>
        <rFont val="Arial MT"/>
        <family val="2"/>
      </rPr>
      <t>Lease obligations (note 14)</t>
    </r>
  </si>
  <si>
    <r>
      <rPr>
        <sz val="8"/>
        <rFont val="Arial MT"/>
        <family val="2"/>
      </rPr>
      <t>Income taxes payable (note 15)</t>
    </r>
  </si>
  <si>
    <r>
      <rPr>
        <sz val="8"/>
        <rFont val="Arial MT"/>
        <family val="2"/>
      </rPr>
      <t xml:space="preserve">Non-current liabilities:
</t>
    </r>
    <r>
      <rPr>
        <sz val="8"/>
        <rFont val="Arial MT"/>
        <family val="2"/>
      </rPr>
      <t>Debt with recourse to Constellation Software Inc. (note 10)</t>
    </r>
  </si>
  <si>
    <r>
      <rPr>
        <sz val="8"/>
        <rFont val="Arial MT"/>
        <family val="2"/>
      </rPr>
      <t>Other liabilities (note 6)</t>
    </r>
  </si>
  <si>
    <r>
      <rPr>
        <sz val="8"/>
        <rFont val="Arial MT"/>
        <family val="2"/>
      </rPr>
      <t>Total liabilities</t>
    </r>
  </si>
  <si>
    <r>
      <rPr>
        <sz val="8"/>
        <rFont val="Arial MT"/>
        <family val="2"/>
      </rPr>
      <t>Shareholders' equity (note 17): Capital stock</t>
    </r>
  </si>
  <si>
    <r>
      <rPr>
        <sz val="8"/>
        <rFont val="Arial MT"/>
        <family val="2"/>
      </rPr>
      <t>Other equity</t>
    </r>
  </si>
  <si>
    <r>
      <rPr>
        <sz val="8"/>
        <rFont val="Arial MT"/>
        <family val="2"/>
      </rPr>
      <t>Accumulated other comprehensive income (loss)</t>
    </r>
  </si>
  <si>
    <r>
      <rPr>
        <sz val="8"/>
        <rFont val="Arial MT"/>
        <family val="2"/>
      </rPr>
      <t>Retained earnings</t>
    </r>
  </si>
  <si>
    <r>
      <rPr>
        <sz val="8"/>
        <rFont val="Arial MT"/>
        <family val="2"/>
      </rPr>
      <t>Non-controlling interests (notes 1, 12 and 28)</t>
    </r>
  </si>
  <si>
    <r>
      <rPr>
        <sz val="8"/>
        <rFont val="Arial MT"/>
        <family val="2"/>
      </rPr>
      <t>Subsequent events (notes 17 and 29)</t>
    </r>
  </si>
  <si>
    <r>
      <rPr>
        <sz val="8"/>
        <rFont val="Arial MT"/>
        <family val="2"/>
      </rPr>
      <t>Total liabilities and shareholders' equity</t>
    </r>
  </si>
  <si>
    <r>
      <rPr>
        <sz val="8"/>
        <rFont val="Arial MT"/>
        <family val="2"/>
      </rPr>
      <t>See accompanying notes to the consolidated financial statements.</t>
    </r>
  </si>
  <si>
    <r>
      <rPr>
        <sz val="8"/>
        <rFont val="Arial MT"/>
        <family val="2"/>
      </rPr>
      <t>Consolidated Statements of Income (loss)</t>
    </r>
  </si>
  <si>
    <r>
      <rPr>
        <sz val="8"/>
        <rFont val="Arial MT"/>
        <family val="2"/>
      </rPr>
      <t>(In millions of U.S. dollars, except per share amounts.  Due to rounding, numbers presented may not foot.)</t>
    </r>
  </si>
  <si>
    <r>
      <rPr>
        <sz val="8"/>
        <rFont val="Arial MT"/>
        <family val="2"/>
      </rPr>
      <t>Years ended December 31,</t>
    </r>
  </si>
  <si>
    <r>
      <rPr>
        <sz val="8"/>
        <rFont val="Arial MT"/>
        <family val="2"/>
      </rPr>
      <t>Revenue</t>
    </r>
  </si>
  <si>
    <r>
      <rPr>
        <sz val="8"/>
        <rFont val="Arial MT"/>
        <family val="2"/>
      </rPr>
      <t>License</t>
    </r>
  </si>
  <si>
    <r>
      <rPr>
        <sz val="8"/>
        <rFont val="Arial MT"/>
        <family val="2"/>
      </rPr>
      <t>Professional services</t>
    </r>
  </si>
  <si>
    <r>
      <rPr>
        <sz val="8"/>
        <rFont val="Arial MT"/>
        <family val="2"/>
      </rPr>
      <t>Hardware and other</t>
    </r>
  </si>
  <si>
    <r>
      <rPr>
        <sz val="8"/>
        <rFont val="Arial MT"/>
        <family val="2"/>
      </rPr>
      <t>Maintenance and other recurring</t>
    </r>
  </si>
  <si>
    <r>
      <rPr>
        <sz val="8"/>
        <rFont val="Arial MT"/>
        <family val="2"/>
      </rPr>
      <t>Expenses</t>
    </r>
  </si>
  <si>
    <r>
      <rPr>
        <sz val="8"/>
        <rFont val="Arial MT"/>
        <family val="2"/>
      </rPr>
      <t>Staff</t>
    </r>
  </si>
  <si>
    <r>
      <rPr>
        <sz val="8"/>
        <rFont val="Arial MT"/>
        <family val="2"/>
      </rPr>
      <t>Hardware</t>
    </r>
  </si>
  <si>
    <r>
      <rPr>
        <sz val="8"/>
        <rFont val="Arial MT"/>
        <family val="2"/>
      </rPr>
      <t>Third party license, maintenance and professional services</t>
    </r>
  </si>
  <si>
    <r>
      <rPr>
        <sz val="8"/>
        <rFont val="Arial MT"/>
        <family val="2"/>
      </rPr>
      <t>Occupancy</t>
    </r>
  </si>
  <si>
    <r>
      <rPr>
        <sz val="8"/>
        <rFont val="Arial MT"/>
        <family val="2"/>
      </rPr>
      <t>Travel, telecommunications, supplies, software and equipment</t>
    </r>
  </si>
  <si>
    <r>
      <rPr>
        <sz val="8"/>
        <rFont val="Arial MT"/>
        <family val="2"/>
      </rPr>
      <t>Professional fees</t>
    </r>
  </si>
  <si>
    <r>
      <rPr>
        <sz val="8"/>
        <rFont val="Arial MT"/>
        <family val="2"/>
      </rPr>
      <t>Other, net</t>
    </r>
  </si>
  <si>
    <r>
      <rPr>
        <sz val="8"/>
        <rFont val="Arial MT"/>
        <family val="2"/>
      </rPr>
      <t>Depreciation (notes 7 and 8)</t>
    </r>
  </si>
  <si>
    <r>
      <rPr>
        <sz val="8"/>
        <rFont val="Arial MT"/>
        <family val="2"/>
      </rPr>
      <t>Amortization of intangible assets (note 9)</t>
    </r>
  </si>
  <si>
    <r>
      <rPr>
        <sz val="8"/>
        <rFont val="Arial MT"/>
        <family val="2"/>
      </rPr>
      <t>Foreign exchange loss (gain)</t>
    </r>
  </si>
  <si>
    <r>
      <rPr>
        <sz val="8"/>
        <rFont val="Arial MT"/>
        <family val="2"/>
      </rPr>
      <t>IRGA/TSS Membership liability revaluation charge (note 10)</t>
    </r>
  </si>
  <si>
    <r>
      <rPr>
        <sz val="8"/>
        <rFont val="Arial MT"/>
        <family val="2"/>
      </rPr>
      <t>Finance and other expense (income) (note 18)</t>
    </r>
  </si>
  <si>
    <r>
      <rPr>
        <sz val="8"/>
        <rFont val="Arial MT"/>
        <family val="2"/>
      </rPr>
      <t>Bargain purchase gain</t>
    </r>
  </si>
  <si>
    <r>
      <rPr>
        <sz val="8"/>
        <rFont val="Arial MT"/>
        <family val="2"/>
      </rPr>
      <t>Impairment of intangible and other non-financial assets (note 9)</t>
    </r>
  </si>
  <si>
    <r>
      <rPr>
        <sz val="8"/>
        <rFont val="Arial MT"/>
        <family val="2"/>
      </rPr>
      <t>Redeemable preferred securities expense (income) (note 12)</t>
    </r>
  </si>
  <si>
    <r>
      <rPr>
        <sz val="8"/>
        <rFont val="Arial MT"/>
        <family val="2"/>
      </rPr>
      <t>Finance costs (note 18)</t>
    </r>
  </si>
  <si>
    <r>
      <rPr>
        <sz val="8"/>
        <rFont val="Arial MT"/>
        <family val="2"/>
      </rPr>
      <t>Income (loss) before income taxes</t>
    </r>
  </si>
  <si>
    <r>
      <rPr>
        <sz val="8"/>
        <rFont val="Arial MT"/>
        <family val="2"/>
      </rPr>
      <t>Current income tax expense (recovery)</t>
    </r>
  </si>
  <si>
    <r>
      <rPr>
        <sz val="8"/>
        <rFont val="Arial MT"/>
        <family val="2"/>
      </rPr>
      <t>Deferred income tax expense (recovery)</t>
    </r>
  </si>
  <si>
    <r>
      <rPr>
        <sz val="8"/>
        <rFont val="Arial MT"/>
        <family val="2"/>
      </rPr>
      <t>Income tax expense (recovery)</t>
    </r>
  </si>
  <si>
    <r>
      <rPr>
        <sz val="8"/>
        <rFont val="Arial MT"/>
        <family val="2"/>
      </rPr>
      <t>Net income (loss)</t>
    </r>
  </si>
  <si>
    <r>
      <rPr>
        <sz val="8"/>
        <rFont val="Arial MT"/>
        <family val="2"/>
      </rPr>
      <t xml:space="preserve">Net income (loss) attributable to:
</t>
    </r>
    <r>
      <rPr>
        <sz val="8"/>
        <rFont val="Arial MT"/>
        <family val="2"/>
      </rPr>
      <t>Common shareholders of Constellation Software Inc. (notes 1 and 28)</t>
    </r>
  </si>
  <si>
    <r>
      <rPr>
        <sz val="8"/>
        <rFont val="Arial MT"/>
        <family val="2"/>
      </rPr>
      <t>Non-controlling interests (notes 1 and 28)</t>
    </r>
  </si>
  <si>
    <r>
      <rPr>
        <sz val="8"/>
        <rFont val="Arial MT"/>
        <family val="2"/>
      </rPr>
      <t xml:space="preserve">Earnings per common share of Constellation Software Inc.
</t>
    </r>
    <r>
      <rPr>
        <sz val="8"/>
        <rFont val="Arial MT"/>
        <family val="2"/>
      </rPr>
      <t>Basic and diluted (note 19)</t>
    </r>
  </si>
  <si>
    <r>
      <rPr>
        <sz val="8.5"/>
        <rFont val="Arial MT"/>
        <family val="2"/>
      </rPr>
      <t xml:space="preserve">Consolidated Statements of Comprehensive Income (Loss)
</t>
    </r>
    <r>
      <rPr>
        <sz val="8.5"/>
        <rFont val="Arial MT"/>
        <family val="2"/>
      </rPr>
      <t>(In millions of U.S. dollars, except per share amounts.  Due to rounding, numbers presented may not foot.)</t>
    </r>
  </si>
  <si>
    <r>
      <rPr>
        <sz val="8.5"/>
        <rFont val="Arial MT"/>
        <family val="2"/>
      </rPr>
      <t>Years ended December 31,</t>
    </r>
  </si>
  <si>
    <r>
      <rPr>
        <sz val="8.5"/>
        <rFont val="Arial MT"/>
        <family val="2"/>
      </rPr>
      <t>Net income (loss)</t>
    </r>
  </si>
  <si>
    <r>
      <rPr>
        <sz val="8.5"/>
        <rFont val="Arial MT"/>
        <family val="2"/>
      </rPr>
      <t>Items that are or may be reclassified subsequently to net income (loss):</t>
    </r>
  </si>
  <si>
    <r>
      <rPr>
        <sz val="8.5"/>
        <rFont val="Arial MT"/>
        <family val="2"/>
      </rPr>
      <t>Foreign currency translation differences from foreign operations and other, net of tax</t>
    </r>
  </si>
  <si>
    <r>
      <rPr>
        <sz val="8.5"/>
        <rFont val="Arial MT"/>
        <family val="2"/>
      </rPr>
      <t>Other comprehensive income (loss) for the year, net of income tax</t>
    </r>
  </si>
  <si>
    <r>
      <rPr>
        <sz val="8.5"/>
        <rFont val="Arial MT"/>
        <family val="2"/>
      </rPr>
      <t>Total comprehensive income (loss) for the year</t>
    </r>
  </si>
  <si>
    <r>
      <rPr>
        <sz val="8.5"/>
        <rFont val="Arial MT"/>
        <family val="2"/>
      </rPr>
      <t xml:space="preserve">Total other comprehensive income (loss) attributable to:
</t>
    </r>
    <r>
      <rPr>
        <sz val="8.5"/>
        <rFont val="Arial MT"/>
        <family val="2"/>
      </rPr>
      <t>Common shareholders of Constellation Software Inc. (notes 1 and 28)</t>
    </r>
  </si>
  <si>
    <r>
      <rPr>
        <sz val="8.5"/>
        <rFont val="Arial MT"/>
        <family val="2"/>
      </rPr>
      <t>Non-controlling interests (notes 1 and 28)</t>
    </r>
  </si>
  <si>
    <r>
      <rPr>
        <sz val="8.5"/>
        <rFont val="Arial MT"/>
        <family val="2"/>
      </rPr>
      <t>-</t>
    </r>
  </si>
  <si>
    <r>
      <rPr>
        <sz val="8.5"/>
        <rFont val="Arial MT"/>
        <family val="2"/>
      </rPr>
      <t>Total other comprehensive income (loss)</t>
    </r>
  </si>
  <si>
    <r>
      <rPr>
        <sz val="8.5"/>
        <rFont val="Arial MT"/>
        <family val="2"/>
      </rPr>
      <t xml:space="preserve">Total comprehensive income (loss) attributable to:
</t>
    </r>
    <r>
      <rPr>
        <sz val="8.5"/>
        <rFont val="Arial MT"/>
        <family val="2"/>
      </rPr>
      <t>Common shareholders of Constellation Software Inc. (notes 1 and 28)</t>
    </r>
  </si>
  <si>
    <r>
      <rPr>
        <sz val="8.5"/>
        <rFont val="Arial MT"/>
        <family val="2"/>
      </rPr>
      <t>Total comprehensive income (loss)</t>
    </r>
  </si>
  <si>
    <r>
      <rPr>
        <sz val="8.5"/>
        <rFont val="Arial MT"/>
        <family val="2"/>
      </rPr>
      <t>See accompanying notes to the consolidated financial statements.</t>
    </r>
  </si>
  <si>
    <r>
      <rPr>
        <sz val="5.5"/>
        <rFont val="Arial MT"/>
        <family val="2"/>
      </rPr>
      <t xml:space="preserve">Year ended December 31, 2021
</t>
    </r>
    <r>
      <rPr>
        <b/>
        <sz val="5.5"/>
        <rFont val="Arial"/>
        <family val="2"/>
      </rPr>
      <t>Equity Attributable to Common Shareholders of CSI</t>
    </r>
  </si>
  <si>
    <r>
      <rPr>
        <b/>
        <sz val="5.5"/>
        <rFont val="Arial"/>
        <family val="2"/>
      </rPr>
      <t xml:space="preserve">Capital stock    Other equity        Accumulated
</t>
    </r>
    <r>
      <rPr>
        <b/>
        <sz val="5.5"/>
        <rFont val="Arial"/>
        <family val="2"/>
      </rPr>
      <t>other comprehensive income (loss)</t>
    </r>
  </si>
  <si>
    <r>
      <rPr>
        <b/>
        <sz val="5.5"/>
        <rFont val="Arial"/>
        <family val="2"/>
      </rPr>
      <t>Retained earnings</t>
    </r>
  </si>
  <si>
    <r>
      <rPr>
        <b/>
        <sz val="5.5"/>
        <rFont val="Arial"/>
        <family val="2"/>
      </rPr>
      <t>Total    Non-controlling  Total equity interests</t>
    </r>
  </si>
  <si>
    <r>
      <rPr>
        <b/>
        <sz val="5.5"/>
        <rFont val="Arial"/>
        <family val="2"/>
      </rPr>
      <t xml:space="preserve">Balance at January 1, 2021                                                                           $              99
</t>
    </r>
    <r>
      <rPr>
        <i/>
        <sz val="5.5"/>
        <rFont val="Arial"/>
        <family val="2"/>
      </rPr>
      <t>Total comprehensive income (loss) for the year:</t>
    </r>
  </si>
  <si>
    <r>
      <rPr>
        <b/>
        <sz val="5.5"/>
        <rFont val="Arial"/>
        <family val="2"/>
      </rPr>
      <t>$                -        $</t>
    </r>
  </si>
  <si>
    <r>
      <rPr>
        <b/>
        <sz val="5.5"/>
        <rFont val="Arial"/>
        <family val="2"/>
      </rPr>
      <t>(31)   $</t>
    </r>
  </si>
  <si>
    <r>
      <rPr>
        <b/>
        <sz val="5.5"/>
        <rFont val="Arial"/>
        <family val="2"/>
      </rPr>
      <t>-        $</t>
    </r>
  </si>
  <si>
    <r>
      <rPr>
        <sz val="5.5"/>
        <rFont val="Arial MT"/>
        <family val="2"/>
      </rPr>
      <t>Net income (loss)                                                                                                            -</t>
    </r>
  </si>
  <si>
    <r>
      <rPr>
        <sz val="5.5"/>
        <rFont val="Arial MT"/>
        <family val="2"/>
      </rPr>
      <t>-</t>
    </r>
  </si>
  <si>
    <r>
      <rPr>
        <i/>
        <sz val="5.5"/>
        <rFont val="Arial"/>
        <family val="2"/>
      </rPr>
      <t>Other comprehensive income (loss)</t>
    </r>
  </si>
  <si>
    <r>
      <rPr>
        <sz val="5.5"/>
        <rFont val="Arial MT"/>
        <family val="2"/>
      </rPr>
      <t>Foreign currency translation differences from</t>
    </r>
  </si>
  <si>
    <r>
      <rPr>
        <sz val="5.5"/>
        <rFont val="Arial MT"/>
        <family val="2"/>
      </rPr>
      <t>foreign operations and other, net of tax                                                                      -</t>
    </r>
  </si>
  <si>
    <r>
      <rPr>
        <b/>
        <sz val="5.5"/>
        <rFont val="Arial"/>
        <family val="2"/>
      </rPr>
      <t xml:space="preserve">Total other comprehensive income (loss)
</t>
    </r>
    <r>
      <rPr>
        <b/>
        <sz val="5.5"/>
        <rFont val="Arial"/>
        <family val="2"/>
      </rPr>
      <t>for the year                                                                                                                -</t>
    </r>
  </si>
  <si>
    <r>
      <rPr>
        <b/>
        <sz val="5.5"/>
        <rFont val="Arial"/>
        <family val="2"/>
      </rPr>
      <t>-</t>
    </r>
  </si>
  <si>
    <r>
      <rPr>
        <b/>
        <sz val="5.5"/>
        <rFont val="Arial"/>
        <family val="2"/>
      </rPr>
      <t>Total comprehensive income (loss) for the year                                                       -</t>
    </r>
  </si>
  <si>
    <r>
      <rPr>
        <sz val="5.5"/>
        <rFont val="Arial MT"/>
        <family val="2"/>
      </rPr>
      <t>Transactions with owners, recorded directly in equity</t>
    </r>
  </si>
  <si>
    <r>
      <rPr>
        <sz val="5.5"/>
        <rFont val="Arial MT"/>
        <family val="2"/>
      </rPr>
      <t>Special dividend of Topicus Subordinate Voting Shares (note 1 and 28)</t>
    </r>
  </si>
  <si>
    <r>
      <rPr>
        <sz val="5.5"/>
        <rFont val="Arial MT"/>
        <family val="2"/>
      </rPr>
      <t>Issuance of Topicus Coop Ordinary Units to non-controlling interests</t>
    </r>
  </si>
  <si>
    <r>
      <rPr>
        <sz val="5.5"/>
        <rFont val="Arial MT"/>
        <family val="2"/>
      </rPr>
      <t>(note 4)</t>
    </r>
  </si>
  <si>
    <r>
      <rPr>
        <sz val="5.5"/>
        <rFont val="Arial MT"/>
        <family val="2"/>
      </rPr>
      <t>Net acquisition of non-controlling interest associated with acquisitions</t>
    </r>
  </si>
  <si>
    <r>
      <rPr>
        <sz val="5.5"/>
        <rFont val="Arial MT"/>
        <family val="2"/>
      </rPr>
      <t>and other movements</t>
    </r>
  </si>
  <si>
    <r>
      <rPr>
        <sz val="5.5"/>
        <rFont val="Arial MT"/>
        <family val="2"/>
      </rPr>
      <t>Dividends to shareholders of the Company (note 17)</t>
    </r>
  </si>
  <si>
    <r>
      <rPr>
        <sz val="5.5"/>
        <rFont val="Arial MT"/>
        <family val="2"/>
      </rPr>
      <t>Reclassification of redeemable preferred securities of Topicus Coop from liabilities to non-controlling interest</t>
    </r>
  </si>
  <si>
    <r>
      <rPr>
        <sz val="5.5"/>
        <rFont val="Arial MT"/>
        <family val="2"/>
      </rPr>
      <t>Accrued dividends to preference unit holders of Topicus Coop (note 12)</t>
    </r>
  </si>
  <si>
    <r>
      <rPr>
        <b/>
        <sz val="5.5"/>
        <rFont val="Arial"/>
        <family val="2"/>
      </rPr>
      <t>Balance at December 31, 2021</t>
    </r>
  </si>
  <si>
    <r>
      <rPr>
        <b/>
        <sz val="5.5"/>
        <rFont val="Arial"/>
        <family val="2"/>
      </rPr>
      <t>(66)   $</t>
    </r>
  </si>
  <si>
    <r>
      <rPr>
        <b/>
        <sz val="5.5"/>
        <rFont val="Arial"/>
        <family val="2"/>
      </rPr>
      <t>$                  460    $</t>
    </r>
  </si>
  <si>
    <r>
      <rPr>
        <sz val="5.5"/>
        <rFont val="Arial MT"/>
        <family val="2"/>
      </rPr>
      <t>See accompanying notes to the consolidated financial statements.</t>
    </r>
  </si>
  <si>
    <r>
      <rPr>
        <sz val="5.5"/>
        <rFont val="Arial MT"/>
        <family val="2"/>
      </rPr>
      <t>Year ended December 31, 2020</t>
    </r>
  </si>
  <si>
    <r>
      <rPr>
        <b/>
        <sz val="5.5"/>
        <rFont val="Arial"/>
        <family val="2"/>
      </rPr>
      <t>Equity Attributable to Common Shareholders of CSI</t>
    </r>
  </si>
  <si>
    <r>
      <rPr>
        <b/>
        <sz val="5.5"/>
        <rFont val="Arial"/>
        <family val="2"/>
      </rPr>
      <t xml:space="preserve">Balance at January 1, 2020
</t>
    </r>
    <r>
      <rPr>
        <i/>
        <sz val="5.5"/>
        <rFont val="Arial"/>
        <family val="2"/>
      </rPr>
      <t>Total comprehensive income (loss) for the year:</t>
    </r>
  </si>
  <si>
    <r>
      <rPr>
        <b/>
        <sz val="5.5"/>
        <rFont val="Arial"/>
        <family val="2"/>
      </rPr>
      <t>(40)   $</t>
    </r>
  </si>
  <si>
    <r>
      <rPr>
        <b/>
        <sz val="5.5"/>
        <rFont val="Arial"/>
        <family val="2"/>
      </rPr>
      <t>$                   -        $           687</t>
    </r>
  </si>
  <si>
    <r>
      <rPr>
        <sz val="5.5"/>
        <rFont val="Arial MT"/>
        <family val="2"/>
      </rPr>
      <t>Net income (loss)</t>
    </r>
  </si>
  <si>
    <r>
      <rPr>
        <sz val="5.5"/>
        <rFont val="Arial MT"/>
        <family val="2"/>
      </rPr>
      <t>foreign operations and other, net of tax                                                                      -                          -</t>
    </r>
  </si>
  <si>
    <r>
      <rPr>
        <sz val="6"/>
        <rFont val="Arial MT"/>
        <family val="2"/>
      </rPr>
      <t>-</t>
    </r>
  </si>
  <si>
    <r>
      <rPr>
        <b/>
        <sz val="5.5"/>
        <rFont val="Arial"/>
        <family val="2"/>
      </rPr>
      <t>Total other comprehensive income (loss) for the year                                             -                          -</t>
    </r>
  </si>
  <si>
    <r>
      <rPr>
        <b/>
        <sz val="5.5"/>
        <rFont val="Arial"/>
        <family val="2"/>
      </rPr>
      <t>Total comprehensive income (loss) for the year                                                       -                          -</t>
    </r>
  </si>
  <si>
    <r>
      <rPr>
        <sz val="5.5"/>
        <rFont val="Arial MT"/>
        <family val="2"/>
      </rPr>
      <t>Transactions with owners, recorded directly in equity Dividends to shareholders of the Company (note 17)</t>
    </r>
  </si>
  <si>
    <r>
      <rPr>
        <sz val="5.5"/>
        <rFont val="Arial MT"/>
        <family val="2"/>
      </rPr>
      <t>(85)                        -</t>
    </r>
  </si>
  <si>
    <r>
      <rPr>
        <b/>
        <sz val="5.5"/>
        <rFont val="Arial"/>
        <family val="2"/>
      </rPr>
      <t>Balance at December 31, 2020</t>
    </r>
  </si>
  <si>
    <r>
      <rPr>
        <b/>
        <sz val="5.5"/>
        <rFont val="Arial"/>
        <family val="2"/>
      </rPr>
      <t>1,048    $                   -</t>
    </r>
  </si>
  <si>
    <r>
      <rPr>
        <b/>
        <sz val="14.5"/>
        <rFont val="Arial"/>
        <family val="2"/>
      </rPr>
      <t xml:space="preserve">CONSTELLATION SOFTWARE INC.
</t>
    </r>
    <r>
      <rPr>
        <sz val="8"/>
        <rFont val="Arial MT"/>
        <family val="2"/>
      </rPr>
      <t xml:space="preserve">Consolidated Statements of Cash Flows
</t>
    </r>
    <r>
      <rPr>
        <sz val="8"/>
        <rFont val="Arial MT"/>
        <family val="2"/>
      </rPr>
      <t>(In millions of U.S. dollars, except per share amounts.  Due to rounding, numbers presented may not foot.)</t>
    </r>
  </si>
  <si>
    <r>
      <rPr>
        <sz val="8"/>
        <rFont val="Arial MT"/>
        <family val="2"/>
      </rPr>
      <t>Cash flows from (used in) operating activities:</t>
    </r>
  </si>
  <si>
    <r>
      <rPr>
        <sz val="8"/>
        <rFont val="Arial MT"/>
        <family val="2"/>
      </rPr>
      <t>Adjustments for:</t>
    </r>
  </si>
  <si>
    <r>
      <rPr>
        <sz val="8"/>
        <rFont val="Arial MT"/>
        <family val="2"/>
      </rPr>
      <t>Depreciation</t>
    </r>
  </si>
  <si>
    <r>
      <rPr>
        <sz val="8"/>
        <rFont val="Arial MT"/>
        <family val="2"/>
      </rPr>
      <t>Amortization of intangible assets</t>
    </r>
  </si>
  <si>
    <r>
      <rPr>
        <sz val="8"/>
        <rFont val="Arial MT"/>
        <family val="2"/>
      </rPr>
      <t>IRGA/TSS Membership liability revaluation charge</t>
    </r>
  </si>
  <si>
    <r>
      <rPr>
        <sz val="8"/>
        <rFont val="Arial MT"/>
        <family val="2"/>
      </rPr>
      <t>Finance and other expense (income)</t>
    </r>
  </si>
  <si>
    <r>
      <rPr>
        <sz val="8"/>
        <rFont val="Arial MT"/>
        <family val="2"/>
      </rPr>
      <t>Bargain purchase (gain)</t>
    </r>
  </si>
  <si>
    <r>
      <rPr>
        <sz val="8"/>
        <rFont val="Arial MT"/>
        <family val="2"/>
      </rPr>
      <t>Impairment of intangible and other non-financial assets</t>
    </r>
  </si>
  <si>
    <r>
      <rPr>
        <sz val="8"/>
        <rFont val="Arial MT"/>
        <family val="2"/>
      </rPr>
      <t>Finance costs</t>
    </r>
  </si>
  <si>
    <r>
      <rPr>
        <sz val="8"/>
        <rFont val="Arial MT"/>
        <family val="2"/>
      </rPr>
      <t>Change in non-cash operating assets and liabilities</t>
    </r>
  </si>
  <si>
    <r>
      <rPr>
        <sz val="8"/>
        <rFont val="Arial MT"/>
        <family val="2"/>
      </rPr>
      <t>exclusive of effects of business combinations (note 26)</t>
    </r>
  </si>
  <si>
    <r>
      <rPr>
        <sz val="8"/>
        <rFont val="Arial MT"/>
        <family val="2"/>
      </rPr>
      <t>Income taxes paid</t>
    </r>
  </si>
  <si>
    <r>
      <rPr>
        <sz val="8"/>
        <rFont val="Arial MT"/>
        <family val="2"/>
      </rPr>
      <t>Net cash flows from (used in) operating activities</t>
    </r>
  </si>
  <si>
    <r>
      <rPr>
        <sz val="8"/>
        <rFont val="Arial MT"/>
        <family val="2"/>
      </rPr>
      <t>Cash flows from (used in) financing activities: Interest paid on lease obligations</t>
    </r>
  </si>
  <si>
    <r>
      <rPr>
        <sz val="8"/>
        <rFont val="Arial MT"/>
        <family val="2"/>
      </rPr>
      <t>Interest paid on debt</t>
    </r>
  </si>
  <si>
    <r>
      <rPr>
        <sz val="8"/>
        <rFont val="Arial MT"/>
        <family val="2"/>
      </rPr>
      <t>Increase (decrease) in CSI facility (note 10)</t>
    </r>
  </si>
  <si>
    <r>
      <rPr>
        <sz val="8"/>
        <rFont val="Arial MT"/>
        <family val="2"/>
      </rPr>
      <t>Increase (decrease) in revolving credit debt facilities without recourse to CSI</t>
    </r>
  </si>
  <si>
    <r>
      <rPr>
        <sz val="8"/>
        <rFont val="Arial MT"/>
        <family val="2"/>
      </rPr>
      <t>Proceeds from issuance of term debt facilities without recourse to CSI</t>
    </r>
  </si>
  <si>
    <r>
      <rPr>
        <sz val="8"/>
        <rFont val="Arial MT"/>
        <family val="2"/>
      </rPr>
      <t>Repayments of term debt facilities without recourse to CSI</t>
    </r>
  </si>
  <si>
    <r>
      <rPr>
        <sz val="8"/>
        <rFont val="Arial MT"/>
        <family val="2"/>
      </rPr>
      <t>Other financing activities</t>
    </r>
  </si>
  <si>
    <r>
      <rPr>
        <sz val="8"/>
        <rFont val="Arial MT"/>
        <family val="2"/>
      </rPr>
      <t>Credit facility transaction costs</t>
    </r>
  </si>
  <si>
    <r>
      <rPr>
        <sz val="8"/>
        <rFont val="Arial MT"/>
        <family val="2"/>
      </rPr>
      <t>Payments of lease obligations</t>
    </r>
  </si>
  <si>
    <r>
      <rPr>
        <sz val="8"/>
        <rFont val="Arial MT"/>
        <family val="2"/>
      </rPr>
      <t>Distribution to the Joday Group (note 10)</t>
    </r>
  </si>
  <si>
    <r>
      <rPr>
        <sz val="8"/>
        <rFont val="Arial MT"/>
        <family val="2"/>
      </rPr>
      <t>Dividends paid</t>
    </r>
  </si>
  <si>
    <r>
      <rPr>
        <sz val="8"/>
        <rFont val="Arial MT"/>
        <family val="2"/>
      </rPr>
      <t>Net cash flows from (used in) in financing activities</t>
    </r>
  </si>
  <si>
    <r>
      <rPr>
        <sz val="8"/>
        <rFont val="Arial MT"/>
        <family val="2"/>
      </rPr>
      <t>Cash flows from (used in) investing activities:</t>
    </r>
  </si>
  <si>
    <r>
      <rPr>
        <sz val="8"/>
        <rFont val="Arial MT"/>
        <family val="2"/>
      </rPr>
      <t>Acquisition of businesses (note 4)</t>
    </r>
  </si>
  <si>
    <r>
      <rPr>
        <sz val="8"/>
        <rFont val="Arial MT"/>
        <family val="2"/>
      </rPr>
      <t>Cash obtained with acquired businesses (note 4)</t>
    </r>
  </si>
  <si>
    <r>
      <rPr>
        <sz val="8"/>
        <rFont val="Arial MT"/>
        <family val="2"/>
      </rPr>
      <t>Post-acquisition settlement payments, net of receipts</t>
    </r>
  </si>
  <si>
    <r>
      <rPr>
        <sz val="8"/>
        <rFont val="Arial MT"/>
        <family val="2"/>
      </rPr>
      <t>Receipt of additional subscription amount from the sellers of Topicus.com B.V. (note 4)</t>
    </r>
  </si>
  <si>
    <r>
      <rPr>
        <sz val="8"/>
        <rFont val="Arial MT"/>
        <family val="2"/>
      </rPr>
      <t>Purchases of other investments</t>
    </r>
  </si>
  <si>
    <r>
      <rPr>
        <sz val="8"/>
        <rFont val="Arial MT"/>
        <family val="2"/>
      </rPr>
      <t>Proceeds from sales of other investments</t>
    </r>
  </si>
  <si>
    <r>
      <rPr>
        <sz val="8"/>
        <rFont val="Arial MT"/>
        <family val="2"/>
      </rPr>
      <t>Interest, dividends and other proceeds received</t>
    </r>
  </si>
  <si>
    <r>
      <rPr>
        <sz val="8"/>
        <rFont val="Arial MT"/>
        <family val="2"/>
      </rPr>
      <t>Property and equipment purchased</t>
    </r>
  </si>
  <si>
    <r>
      <rPr>
        <sz val="8"/>
        <rFont val="Arial MT"/>
        <family val="2"/>
      </rPr>
      <t>Net cash flows from (used in) investing activities</t>
    </r>
  </si>
  <si>
    <r>
      <rPr>
        <sz val="8"/>
        <rFont val="Arial MT"/>
        <family val="2"/>
      </rPr>
      <t>Effect of foreign currency on</t>
    </r>
  </si>
  <si>
    <r>
      <rPr>
        <sz val="8"/>
        <rFont val="Arial MT"/>
        <family val="2"/>
      </rPr>
      <t>cash and cash equivalents</t>
    </r>
  </si>
  <si>
    <r>
      <rPr>
        <sz val="8"/>
        <rFont val="Arial MT"/>
        <family val="2"/>
      </rPr>
      <t>Increase (decrease) in cash</t>
    </r>
  </si>
  <si>
    <r>
      <rPr>
        <sz val="8"/>
        <rFont val="Arial MT"/>
        <family val="2"/>
      </rPr>
      <t>Cash, beginning of year</t>
    </r>
  </si>
  <si>
    <r>
      <rPr>
        <sz val="8"/>
        <rFont val="Arial MT"/>
        <family val="2"/>
      </rPr>
      <t>Cash, end of year</t>
    </r>
  </si>
  <si>
    <r>
      <rPr>
        <b/>
        <sz val="18"/>
        <rFont val="Arial"/>
        <family val="2"/>
      </rPr>
      <t xml:space="preserve">CONSTELLATION SOFTWARE INC.
</t>
    </r>
    <r>
      <rPr>
        <sz val="10"/>
        <rFont val="Arial MT"/>
        <family val="2"/>
      </rPr>
      <t xml:space="preserve">Notes to Consolidated Financial Statements
</t>
    </r>
    <r>
      <rPr>
        <sz val="10"/>
        <rFont val="Arial MT"/>
        <family val="2"/>
      </rPr>
      <t xml:space="preserve">(In millions of U.S. dollars or specified currency, except per share amounts and as otherwise indicated.) (Due to rounding, numbers presented may not foot.)
</t>
    </r>
    <r>
      <rPr>
        <sz val="10"/>
        <rFont val="Arial MT"/>
        <family val="2"/>
      </rPr>
      <t>Years ended December 31, 2021 and 2020</t>
    </r>
  </si>
  <si>
    <r>
      <rPr>
        <b/>
        <sz val="10"/>
        <rFont val="Arial"/>
        <family val="2"/>
      </rPr>
      <t>Notes to the consolidated financial statements</t>
    </r>
  </si>
  <si>
    <r>
      <rPr>
        <sz val="10"/>
        <rFont val="Arial MT"/>
        <family val="2"/>
      </rPr>
      <t xml:space="preserve">1.      Reporting entity                                                       16.    Deferred tax assets and liabilities
</t>
    </r>
    <r>
      <rPr>
        <sz val="10"/>
        <rFont val="Arial MT"/>
        <family val="2"/>
      </rPr>
      <t xml:space="preserve">2.      Basis of presentation                                              17.    Capital and other components of equity
</t>
    </r>
    <r>
      <rPr>
        <sz val="10"/>
        <rFont val="Arial MT"/>
        <family val="2"/>
      </rPr>
      <t xml:space="preserve">3.      Significant accounting policies                                18.    Finance and other expense (income) and finance costs
</t>
    </r>
    <r>
      <rPr>
        <sz val="10"/>
        <rFont val="Arial MT"/>
        <family val="2"/>
      </rPr>
      <t xml:space="preserve">4.      Business acquisitions                                              19.    Earnings per share
</t>
    </r>
    <r>
      <rPr>
        <sz val="10"/>
        <rFont val="Arial MT"/>
        <family val="2"/>
      </rPr>
      <t xml:space="preserve">5.      Inventories                                                              20.    Capital risk management
</t>
    </r>
    <r>
      <rPr>
        <sz val="10"/>
        <rFont val="Arial MT"/>
        <family val="2"/>
      </rPr>
      <t xml:space="preserve">6.      Other assets and liabilities                                      21.    Financial risk management and financial instruments
</t>
    </r>
    <r>
      <rPr>
        <sz val="10"/>
        <rFont val="Arial MT"/>
        <family val="2"/>
      </rPr>
      <t xml:space="preserve">7.      Property and equipment                                          22.    Revenue
</t>
    </r>
    <r>
      <rPr>
        <sz val="10"/>
        <rFont val="Arial MT"/>
        <family val="2"/>
      </rPr>
      <t xml:space="preserve">8.      Right of use assets                                                 23.    Operating segments
</t>
    </r>
    <r>
      <rPr>
        <sz val="10"/>
        <rFont val="Arial MT"/>
        <family val="2"/>
      </rPr>
      <t xml:space="preserve">9.      Intangible assets and goodwill                                24.    Contingencies
</t>
    </r>
    <r>
      <rPr>
        <sz val="10"/>
        <rFont val="Arial MT"/>
        <family val="2"/>
      </rPr>
      <t xml:space="preserve">10.    Debt with recourse to CSI                                       25.    Guarantees
</t>
    </r>
    <r>
      <rPr>
        <sz val="10"/>
        <rFont val="Arial MT"/>
        <family val="2"/>
      </rPr>
      <t xml:space="preserve">11.    Debt without recourse to CSI                                  26.    Changes in non-cash operating working capital
</t>
    </r>
    <r>
      <rPr>
        <sz val="10"/>
        <rFont val="Arial MT"/>
        <family val="2"/>
      </rPr>
      <t xml:space="preserve">12.    Redeemable preferred securities                            27.    Related parties
</t>
    </r>
    <r>
      <rPr>
        <sz val="10"/>
        <rFont val="Arial MT"/>
        <family val="2"/>
      </rPr>
      <t xml:space="preserve">13.    Provisions                                                               28.    Non-controlling interests
</t>
    </r>
    <r>
      <rPr>
        <sz val="10"/>
        <rFont val="Arial MT"/>
        <family val="2"/>
      </rPr>
      <t xml:space="preserve">14.    Lease obligations                                                    29.    Subsequent events
</t>
    </r>
    <r>
      <rPr>
        <sz val="10"/>
        <rFont val="Arial MT"/>
        <family val="2"/>
      </rPr>
      <t>15.    Income taxes</t>
    </r>
  </si>
  <si>
    <r>
      <rPr>
        <b/>
        <sz val="15"/>
        <rFont val="Arial"/>
        <family val="2"/>
      </rPr>
      <t xml:space="preserve">CONSTELLATION SOFTWARE INC
</t>
    </r>
    <r>
      <rPr>
        <sz val="8"/>
        <rFont val="Arial MT"/>
        <family val="2"/>
      </rPr>
      <t xml:space="preserve">Consolidated Statements of Financial Position
</t>
    </r>
    <r>
      <rPr>
        <sz val="8"/>
        <rFont val="Arial MT"/>
        <family val="2"/>
      </rPr>
      <t>(In millions of U.S. dollars, except per share amounts.  Due to rounding, numbers presented may not foot.)</t>
    </r>
  </si>
  <si>
    <r>
      <rPr>
        <sz val="8"/>
        <rFont val="Arial MT"/>
        <family val="2"/>
      </rPr>
      <t>December 31, 2023</t>
    </r>
  </si>
  <si>
    <r>
      <rPr>
        <sz val="8"/>
        <rFont val="Arial MT"/>
        <family val="2"/>
      </rPr>
      <t>December 31, 2022</t>
    </r>
  </si>
  <si>
    <r>
      <rPr>
        <sz val="11.5"/>
        <rFont val="Arial MT"/>
        <family val="2"/>
      </rPr>
      <t>Assets</t>
    </r>
  </si>
  <si>
    <r>
      <rPr>
        <sz val="8"/>
        <rFont val="Arial MT"/>
        <family val="2"/>
      </rPr>
      <t>Accounts receivable (note 21)</t>
    </r>
  </si>
  <si>
    <r>
      <rPr>
        <sz val="8"/>
        <rFont val="Arial MT"/>
        <family val="2"/>
      </rPr>
      <t>Unbilled revenue (note 22)</t>
    </r>
  </si>
  <si>
    <r>
      <rPr>
        <sz val="8"/>
        <rFont val="Arial MT"/>
        <family val="2"/>
      </rPr>
      <t>Total assets                                                                                                           $</t>
    </r>
  </si>
  <si>
    <r>
      <rPr>
        <sz val="11.5"/>
        <rFont val="Arial MT"/>
        <family val="2"/>
      </rPr>
      <t>Liabilities and Shareholders' Equity</t>
    </r>
  </si>
  <si>
    <r>
      <rPr>
        <sz val="8"/>
        <rFont val="Arial MT"/>
        <family val="2"/>
      </rPr>
      <t>Debt without recourse to Constellation Software Inc. (note 11</t>
    </r>
  </si>
  <si>
    <r>
      <rPr>
        <sz val="8"/>
        <rFont val="Arial MT"/>
        <family val="2"/>
      </rPr>
      <t>Deferred revenue (note 22)</t>
    </r>
  </si>
  <si>
    <r>
      <rPr>
        <sz val="8"/>
        <rFont val="Arial MT"/>
        <family val="2"/>
      </rPr>
      <t>Total liabilities and shareholders' equity                                                              $</t>
    </r>
  </si>
  <si>
    <r>
      <rPr>
        <b/>
        <sz val="16"/>
        <rFont val="Arial"/>
        <family val="2"/>
      </rPr>
      <t xml:space="preserve">CONSTELLATION SOFTWARE INC.
</t>
    </r>
    <r>
      <rPr>
        <sz val="9"/>
        <rFont val="Arial MT"/>
        <family val="2"/>
      </rPr>
      <t xml:space="preserve">Consolidated Statements of Income (loss)
</t>
    </r>
    <r>
      <rPr>
        <sz val="9"/>
        <rFont val="Arial MT"/>
        <family val="2"/>
      </rPr>
      <t>(In millions of U.S. dollars, except per share amounts.  Due to rounding, numbers presented may not foot.)</t>
    </r>
  </si>
  <si>
    <r>
      <rPr>
        <sz val="9"/>
        <rFont val="Arial MT"/>
        <family val="2"/>
      </rPr>
      <t>Year ended December 31,</t>
    </r>
  </si>
  <si>
    <r>
      <rPr>
        <sz val="9"/>
        <rFont val="Arial MT"/>
        <family val="2"/>
      </rPr>
      <t>Revenue</t>
    </r>
  </si>
  <si>
    <r>
      <rPr>
        <sz val="9"/>
        <rFont val="Arial MT"/>
        <family val="2"/>
      </rPr>
      <t>License</t>
    </r>
  </si>
  <si>
    <r>
      <rPr>
        <sz val="9"/>
        <rFont val="Arial MT"/>
        <family val="2"/>
      </rPr>
      <t>Professional services</t>
    </r>
  </si>
  <si>
    <r>
      <rPr>
        <sz val="9"/>
        <rFont val="Arial MT"/>
        <family val="2"/>
      </rPr>
      <t>Hardware and other</t>
    </r>
  </si>
  <si>
    <r>
      <rPr>
        <sz val="9"/>
        <rFont val="Arial MT"/>
        <family val="2"/>
      </rPr>
      <t>Maintenance and other recurring</t>
    </r>
  </si>
  <si>
    <r>
      <rPr>
        <sz val="9"/>
        <rFont val="Arial MT"/>
        <family val="2"/>
      </rPr>
      <t>Expenses Staff</t>
    </r>
  </si>
  <si>
    <t>SG&amp;A</t>
  </si>
  <si>
    <r>
      <rPr>
        <sz val="9"/>
        <rFont val="Arial MT"/>
        <family val="2"/>
      </rPr>
      <t>Hardware</t>
    </r>
  </si>
  <si>
    <r>
      <rPr>
        <sz val="9"/>
        <rFont val="Arial MT"/>
        <family val="2"/>
      </rPr>
      <t>Third party license, maintenance and professional services</t>
    </r>
  </si>
  <si>
    <r>
      <rPr>
        <sz val="9"/>
        <rFont val="Arial MT"/>
        <family val="2"/>
      </rPr>
      <t>Occupancy</t>
    </r>
  </si>
  <si>
    <r>
      <rPr>
        <sz val="9"/>
        <rFont val="Arial MT"/>
        <family val="2"/>
      </rPr>
      <t>Travel, telecommunications, supplies, software and equipment</t>
    </r>
  </si>
  <si>
    <r>
      <rPr>
        <sz val="9"/>
        <rFont val="Arial MT"/>
        <family val="2"/>
      </rPr>
      <t>Professional fees</t>
    </r>
  </si>
  <si>
    <r>
      <rPr>
        <sz val="9"/>
        <rFont val="Arial MT"/>
        <family val="2"/>
      </rPr>
      <t>Other, net</t>
    </r>
  </si>
  <si>
    <r>
      <rPr>
        <sz val="9"/>
        <rFont val="Arial MT"/>
        <family val="2"/>
      </rPr>
      <t>Depreciation (note 7 and 8)</t>
    </r>
  </si>
  <si>
    <r>
      <rPr>
        <sz val="9"/>
        <rFont val="Arial MT"/>
        <family val="2"/>
      </rPr>
      <t>Amortization of intangible assets (note 9)</t>
    </r>
  </si>
  <si>
    <r>
      <rPr>
        <sz val="9"/>
        <rFont val="Arial MT"/>
        <family val="2"/>
      </rPr>
      <t>Foreign exchange loss (gain)</t>
    </r>
  </si>
  <si>
    <r>
      <rPr>
        <sz val="9"/>
        <rFont val="Arial MT"/>
        <family val="2"/>
      </rPr>
      <t>IRGA/TSS Membership liability revaluation charge (note 10)</t>
    </r>
  </si>
  <si>
    <r>
      <rPr>
        <sz val="9"/>
        <rFont val="Arial MT"/>
        <family val="2"/>
      </rPr>
      <t>Finance and other expense (income) (note 18)</t>
    </r>
  </si>
  <si>
    <r>
      <rPr>
        <sz val="9"/>
        <rFont val="Arial MT"/>
        <family val="2"/>
      </rPr>
      <t>Bargain purchase gain (note 4)</t>
    </r>
  </si>
  <si>
    <r>
      <rPr>
        <sz val="9"/>
        <rFont val="Arial MT"/>
        <family val="2"/>
      </rPr>
      <t>Impairment of intangible and other non-financial assets (note 9)</t>
    </r>
  </si>
  <si>
    <r>
      <rPr>
        <sz val="9"/>
        <rFont val="Arial MT"/>
        <family val="2"/>
      </rPr>
      <t>Redeemable preferred securities expense (income) (note 12)</t>
    </r>
  </si>
  <si>
    <r>
      <rPr>
        <sz val="9"/>
        <rFont val="Arial MT"/>
        <family val="2"/>
      </rPr>
      <t>-</t>
    </r>
  </si>
  <si>
    <r>
      <rPr>
        <sz val="9"/>
        <rFont val="Arial MT"/>
        <family val="2"/>
      </rPr>
      <t>Finance costs (note 18)</t>
    </r>
  </si>
  <si>
    <r>
      <rPr>
        <sz val="9"/>
        <rFont val="Arial MT"/>
        <family val="2"/>
      </rPr>
      <t>Income (loss) before income taxes</t>
    </r>
  </si>
  <si>
    <r>
      <rPr>
        <sz val="9"/>
        <rFont val="Arial MT"/>
        <family val="2"/>
      </rPr>
      <t>Current income tax expense (recovery) (note 15)</t>
    </r>
  </si>
  <si>
    <r>
      <rPr>
        <sz val="9"/>
        <rFont val="Arial MT"/>
        <family val="2"/>
      </rPr>
      <t>Deferred income tax expense (recovery) (note 16)</t>
    </r>
  </si>
  <si>
    <r>
      <rPr>
        <sz val="9"/>
        <rFont val="Arial MT"/>
        <family val="2"/>
      </rPr>
      <t>Income tax expense (recovery)</t>
    </r>
  </si>
  <si>
    <r>
      <rPr>
        <sz val="9"/>
        <rFont val="Arial MT"/>
        <family val="2"/>
      </rPr>
      <t>Net income (loss)</t>
    </r>
  </si>
  <si>
    <r>
      <rPr>
        <sz val="9"/>
        <rFont val="Arial MT"/>
        <family val="2"/>
      </rPr>
      <t xml:space="preserve">Net income (loss) attributable to:
</t>
    </r>
    <r>
      <rPr>
        <sz val="9"/>
        <rFont val="Arial MT"/>
        <family val="2"/>
      </rPr>
      <t>Common shareholders of Constellation Software Inc. (notes 1 and 28)</t>
    </r>
  </si>
  <si>
    <r>
      <rPr>
        <sz val="9"/>
        <rFont val="Arial MT"/>
        <family val="2"/>
      </rPr>
      <t>Non-controlling interests (notes 1, 12, and 28)</t>
    </r>
  </si>
  <si>
    <r>
      <rPr>
        <sz val="9"/>
        <rFont val="Arial MT"/>
        <family val="2"/>
      </rPr>
      <t xml:space="preserve">Earnings per common share of Constellation Software Inc.
</t>
    </r>
    <r>
      <rPr>
        <sz val="9"/>
        <rFont val="Arial MT"/>
        <family val="2"/>
      </rPr>
      <t>Basic and diluted (note 19)</t>
    </r>
  </si>
  <si>
    <r>
      <rPr>
        <sz val="9"/>
        <rFont val="Arial MT"/>
        <family val="2"/>
      </rPr>
      <t>See accompanying notes to the consolidated financial statements.</t>
    </r>
  </si>
  <si>
    <r>
      <rPr>
        <b/>
        <sz val="14"/>
        <rFont val="Arial"/>
        <family val="2"/>
      </rPr>
      <t xml:space="preserve">CONSTELLATION SOFTWARE INC.
</t>
    </r>
    <r>
      <rPr>
        <sz val="8"/>
        <rFont val="Arial MT"/>
        <family val="2"/>
      </rPr>
      <t xml:space="preserve">Consolidated Statements of Comprehensive Income (loss)
</t>
    </r>
    <r>
      <rPr>
        <sz val="8"/>
        <rFont val="Arial MT"/>
        <family val="2"/>
      </rPr>
      <t>(In millions of U.S. dollars, except per share amounts.  Due to rounding, numbers presented may not foot.)</t>
    </r>
  </si>
  <si>
    <r>
      <rPr>
        <sz val="8"/>
        <rFont val="Arial MT"/>
        <family val="2"/>
      </rPr>
      <t xml:space="preserve">Year ended December 31,
</t>
    </r>
    <r>
      <rPr>
        <sz val="8"/>
        <rFont val="Arial MT"/>
        <family val="2"/>
      </rPr>
      <t>2023                             2022</t>
    </r>
  </si>
  <si>
    <r>
      <rPr>
        <sz val="8"/>
        <rFont val="Arial MT"/>
        <family val="2"/>
      </rPr>
      <t>$                   62          $</t>
    </r>
  </si>
  <si>
    <r>
      <rPr>
        <sz val="8"/>
        <rFont val="Arial MT"/>
        <family val="2"/>
      </rPr>
      <t>Items that are or may be reclassified subsequently to net income (loss):</t>
    </r>
  </si>
  <si>
    <r>
      <rPr>
        <sz val="8"/>
        <rFont val="Arial MT"/>
        <family val="2"/>
      </rPr>
      <t>Foreign currency translation differences from foreign operations and other, net of tax                                           51                                   (90)</t>
    </r>
  </si>
  <si>
    <r>
      <rPr>
        <sz val="8"/>
        <rFont val="Arial MT"/>
        <family val="2"/>
      </rPr>
      <t>Other comprehensive income (loss), net of income tax</t>
    </r>
  </si>
  <si>
    <r>
      <rPr>
        <sz val="8"/>
        <rFont val="Arial MT"/>
        <family val="2"/>
      </rPr>
      <t>Total comprehensive income (loss)</t>
    </r>
  </si>
  <si>
    <r>
      <rPr>
        <sz val="8"/>
        <rFont val="Arial MT"/>
        <family val="2"/>
      </rPr>
      <t xml:space="preserve">Total other comprehensive income (loss) attributable to:
</t>
    </r>
    <r>
      <rPr>
        <sz val="8"/>
        <rFont val="Arial MT"/>
        <family val="2"/>
      </rPr>
      <t>Common shareholders of Constellation Software Inc. (notes 1 and 28)</t>
    </r>
  </si>
  <si>
    <r>
      <rPr>
        <sz val="8"/>
        <rFont val="Arial MT"/>
        <family val="2"/>
      </rPr>
      <t>Total other comprehensive income (loss)</t>
    </r>
  </si>
  <si>
    <r>
      <rPr>
        <sz val="8"/>
        <rFont val="Arial MT"/>
        <family val="2"/>
      </rPr>
      <t xml:space="preserve">Total comprehensive income (loss) attributable to:
</t>
    </r>
    <r>
      <rPr>
        <sz val="8"/>
        <rFont val="Arial MT"/>
        <family val="2"/>
      </rPr>
      <t>Common shareholders of Constellation Software Inc. (notes 1 and 28)</t>
    </r>
  </si>
  <si>
    <r>
      <rPr>
        <b/>
        <sz val="10.5"/>
        <rFont val="Arial"/>
        <family val="2"/>
      </rPr>
      <t xml:space="preserve">CONSTELLATION SOFTWARE INC.
</t>
    </r>
    <r>
      <rPr>
        <sz val="6"/>
        <rFont val="Arial MT"/>
        <family val="2"/>
      </rPr>
      <t xml:space="preserve">Consolidated Statement of Changes in Equity
</t>
    </r>
    <r>
      <rPr>
        <sz val="6"/>
        <rFont val="Arial MT"/>
        <family val="2"/>
      </rPr>
      <t>(In millions of U.S. dollars, except per share amounts.  Due to rounding, numbers presented may not foot.)</t>
    </r>
  </si>
  <si>
    <r>
      <rPr>
        <sz val="6"/>
        <rFont val="Arial MT"/>
        <family val="2"/>
      </rPr>
      <t xml:space="preserve">Year ended December 31, 2023
</t>
    </r>
    <r>
      <rPr>
        <b/>
        <sz val="6"/>
        <rFont val="Arial"/>
        <family val="2"/>
      </rPr>
      <t>Equity Attributable to Common Shareholders of CSI</t>
    </r>
  </si>
  <si>
    <r>
      <rPr>
        <b/>
        <sz val="6"/>
        <rFont val="Arial"/>
        <family val="2"/>
      </rPr>
      <t>Capital stock</t>
    </r>
  </si>
  <si>
    <r>
      <rPr>
        <b/>
        <sz val="6"/>
        <rFont val="Arial"/>
        <family val="2"/>
      </rPr>
      <t xml:space="preserve">Other equity       Accumulated
</t>
    </r>
    <r>
      <rPr>
        <b/>
        <sz val="6"/>
        <rFont val="Arial"/>
        <family val="2"/>
      </rPr>
      <t>other comprehensive income (loss)</t>
    </r>
  </si>
  <si>
    <r>
      <rPr>
        <b/>
        <sz val="6"/>
        <rFont val="Arial"/>
        <family val="2"/>
      </rPr>
      <t>Retained earnings</t>
    </r>
  </si>
  <si>
    <r>
      <rPr>
        <b/>
        <sz val="6"/>
        <rFont val="Arial"/>
        <family val="2"/>
      </rPr>
      <t>Total    Non-controlling  Total equity interests</t>
    </r>
  </si>
  <si>
    <r>
      <rPr>
        <b/>
        <sz val="6"/>
        <rFont val="Arial"/>
        <family val="2"/>
      </rPr>
      <t>Balance at January 1, 2023</t>
    </r>
  </si>
  <si>
    <r>
      <rPr>
        <b/>
        <sz val="6"/>
        <rFont val="Arial"/>
        <family val="2"/>
      </rPr>
      <t>$</t>
    </r>
  </si>
  <si>
    <r>
      <rPr>
        <b/>
        <sz val="6"/>
        <rFont val="Arial"/>
        <family val="2"/>
      </rPr>
      <t>$               -        $                  (150)   $</t>
    </r>
  </si>
  <si>
    <r>
      <rPr>
        <i/>
        <sz val="6"/>
        <rFont val="Arial"/>
        <family val="2"/>
      </rPr>
      <t>Total comprehensive income (loss):</t>
    </r>
  </si>
  <si>
    <r>
      <rPr>
        <sz val="6"/>
        <rFont val="Arial MT"/>
        <family val="2"/>
      </rPr>
      <t>Net income (loss)</t>
    </r>
  </si>
  <si>
    <r>
      <rPr>
        <sz val="6"/>
        <rFont val="Arial MT"/>
        <family val="2"/>
      </rPr>
      <t>-                              -</t>
    </r>
  </si>
  <si>
    <r>
      <rPr>
        <i/>
        <sz val="6"/>
        <rFont val="Arial"/>
        <family val="2"/>
      </rPr>
      <t>Other comprehensive income (loss)</t>
    </r>
  </si>
  <si>
    <r>
      <rPr>
        <sz val="6"/>
        <rFont val="Arial MT"/>
        <family val="2"/>
      </rPr>
      <t>Foreign currency translation differences from</t>
    </r>
  </si>
  <si>
    <r>
      <rPr>
        <sz val="6"/>
        <rFont val="Arial MT"/>
        <family val="2"/>
      </rPr>
      <t>foreign operations and other, net of tax</t>
    </r>
  </si>
  <si>
    <r>
      <rPr>
        <sz val="6"/>
        <rFont val="Arial MT"/>
        <family val="2"/>
      </rPr>
      <t>-                         -</t>
    </r>
  </si>
  <si>
    <r>
      <rPr>
        <b/>
        <sz val="6"/>
        <rFont val="Arial"/>
        <family val="2"/>
      </rPr>
      <t>Total other comprehensive income (loss)</t>
    </r>
  </si>
  <si>
    <r>
      <rPr>
        <b/>
        <sz val="6"/>
        <rFont val="Arial"/>
        <family val="2"/>
      </rPr>
      <t>-                         -</t>
    </r>
  </si>
  <si>
    <r>
      <rPr>
        <b/>
        <sz val="6"/>
        <rFont val="Arial"/>
        <family val="2"/>
      </rPr>
      <t>-</t>
    </r>
  </si>
  <si>
    <r>
      <rPr>
        <b/>
        <sz val="6"/>
        <rFont val="Arial"/>
        <family val="2"/>
      </rPr>
      <t>Total comprehensive income (loss)</t>
    </r>
  </si>
  <si>
    <r>
      <rPr>
        <sz val="6"/>
        <rFont val="Arial MT"/>
        <family val="2"/>
      </rPr>
      <t>Transactions with owners, recorded directly in equity</t>
    </r>
  </si>
  <si>
    <r>
      <rPr>
        <sz val="6"/>
        <rFont val="Arial MT"/>
        <family val="2"/>
      </rPr>
      <t>Special dividend of Lumine Subordinate Voting Shares (note 1 and 17)</t>
    </r>
  </si>
  <si>
    <r>
      <rPr>
        <sz val="6"/>
        <rFont val="Arial MT"/>
        <family val="2"/>
      </rPr>
      <t>Non-controlling interests arising from business combinations</t>
    </r>
  </si>
  <si>
    <r>
      <rPr>
        <sz val="6"/>
        <rFont val="Arial MT"/>
        <family val="2"/>
      </rPr>
      <t>-                         -                              -</t>
    </r>
  </si>
  <si>
    <r>
      <rPr>
        <sz val="6"/>
        <rFont val="Arial MT"/>
        <family val="2"/>
      </rPr>
      <t>Acquisition of non-controlling interests</t>
    </r>
  </si>
  <si>
    <r>
      <rPr>
        <sz val="6"/>
        <rFont val="Arial MT"/>
        <family val="2"/>
      </rPr>
      <t>Conversion of Lumine Special Shares to subordinate voting shares of Lumine</t>
    </r>
  </si>
  <si>
    <r>
      <rPr>
        <sz val="6"/>
        <rFont val="Arial MT"/>
        <family val="2"/>
      </rPr>
      <t>Other movements in non-controlling interests</t>
    </r>
  </si>
  <si>
    <r>
      <rPr>
        <sz val="6"/>
        <rFont val="Arial MT"/>
        <family val="2"/>
      </rPr>
      <t>Other distributions and movements in equity</t>
    </r>
  </si>
  <si>
    <r>
      <rPr>
        <sz val="6"/>
        <rFont val="Arial MT"/>
        <family val="2"/>
      </rPr>
      <t>Dividends to shareholders of the Company (note 17)                                                  -</t>
    </r>
  </si>
  <si>
    <r>
      <rPr>
        <b/>
        <sz val="6"/>
        <rFont val="Arial"/>
        <family val="2"/>
      </rPr>
      <t>Balance at December 31, 2023                                                                           $         99</t>
    </r>
  </si>
  <si>
    <r>
      <rPr>
        <b/>
        <sz val="6"/>
        <rFont val="Arial"/>
        <family val="2"/>
      </rPr>
      <t>$               -        $                    (99)   $</t>
    </r>
  </si>
  <si>
    <r>
      <rPr>
        <sz val="6"/>
        <rFont val="Arial MT"/>
        <family val="2"/>
      </rPr>
      <t>See accompanying notes to the consolidated financial statements.</t>
    </r>
  </si>
  <si>
    <r>
      <rPr>
        <sz val="6"/>
        <rFont val="Arial MT"/>
        <family val="2"/>
      </rPr>
      <t>Year ended December 31, 2022</t>
    </r>
  </si>
  <si>
    <r>
      <rPr>
        <b/>
        <sz val="6"/>
        <rFont val="Arial"/>
        <family val="2"/>
      </rPr>
      <t>Equity Attributable to Common Shareholders of CSI</t>
    </r>
  </si>
  <si>
    <r>
      <rPr>
        <b/>
        <sz val="6"/>
        <rFont val="Arial"/>
        <family val="2"/>
      </rPr>
      <t>Balance at January 1, 2022                                                                                $</t>
    </r>
  </si>
  <si>
    <r>
      <rPr>
        <b/>
        <sz val="6"/>
        <rFont val="Arial"/>
        <family val="2"/>
      </rPr>
      <t>$             (179)   $</t>
    </r>
  </si>
  <si>
    <r>
      <rPr>
        <b/>
        <sz val="6"/>
        <rFont val="Arial"/>
        <family val="2"/>
      </rPr>
      <t>(66)   $</t>
    </r>
  </si>
  <si>
    <r>
      <rPr>
        <b/>
        <sz val="6"/>
        <rFont val="Arial"/>
        <family val="2"/>
      </rPr>
      <t>$       1,061    $</t>
    </r>
  </si>
  <si>
    <r>
      <rPr>
        <sz val="6"/>
        <rFont val="Arial MT"/>
        <family val="2"/>
      </rPr>
      <t>Net income (loss)                                                                                                            -</t>
    </r>
  </si>
  <si>
    <r>
      <rPr>
        <sz val="6"/>
        <rFont val="Arial MT"/>
        <family val="2"/>
      </rPr>
      <t xml:space="preserve">Foreign currency translation differences from
</t>
    </r>
    <r>
      <rPr>
        <sz val="6"/>
        <rFont val="Arial MT"/>
        <family val="2"/>
      </rPr>
      <t>foreign operations and other, net of tax                                                                      -</t>
    </r>
  </si>
  <si>
    <r>
      <rPr>
        <sz val="6.5"/>
        <rFont val="Arial MT"/>
        <family val="2"/>
      </rPr>
      <t>-</t>
    </r>
  </si>
  <si>
    <r>
      <rPr>
        <b/>
        <sz val="6"/>
        <rFont val="Arial"/>
        <family val="2"/>
      </rPr>
      <t>Total other comprehensive income (loss)                                                                  -</t>
    </r>
  </si>
  <si>
    <r>
      <rPr>
        <b/>
        <sz val="6"/>
        <rFont val="Arial"/>
        <family val="2"/>
      </rPr>
      <t>Total comprehensive income (loss)                                                                            -</t>
    </r>
  </si>
  <si>
    <r>
      <rPr>
        <sz val="6"/>
        <rFont val="Arial MT"/>
        <family val="2"/>
      </rPr>
      <t>Conversion of redeemable preferred securities to subordinate voting shares of Topicus.com Inc. and ordinary units of Topicus Coop and other movements</t>
    </r>
  </si>
  <si>
    <r>
      <rPr>
        <sz val="6"/>
        <rFont val="Arial MT"/>
        <family val="2"/>
      </rPr>
      <t>-                        305                            (5)</t>
    </r>
  </si>
  <si>
    <r>
      <rPr>
        <sz val="6"/>
        <rFont val="Arial MT"/>
        <family val="2"/>
      </rPr>
      <t>Dividends to shareholders of the Company (note 17)</t>
    </r>
  </si>
  <si>
    <r>
      <rPr>
        <sz val="6"/>
        <rFont val="Arial MT"/>
        <family val="2"/>
      </rPr>
      <t>Reclassification of other equity to retained earnings</t>
    </r>
  </si>
  <si>
    <r>
      <rPr>
        <sz val="6"/>
        <rFont val="Arial MT"/>
        <family val="2"/>
      </rPr>
      <t>-                       (127)                        -</t>
    </r>
  </si>
  <si>
    <r>
      <rPr>
        <b/>
        <sz val="6"/>
        <rFont val="Arial"/>
        <family val="2"/>
      </rPr>
      <t>Balance at December 31, 2022</t>
    </r>
  </si>
  <si>
    <r>
      <rPr>
        <b/>
        <sz val="6"/>
        <rFont val="Arial"/>
        <family val="2"/>
      </rPr>
      <t>$         99    $               -        $                  (150)   $</t>
    </r>
  </si>
  <si>
    <r>
      <rPr>
        <sz val="8"/>
        <rFont val="Arial MT"/>
        <family val="2"/>
      </rPr>
      <t xml:space="preserve">Year ended December 31,
</t>
    </r>
    <r>
      <rPr>
        <sz val="8"/>
        <rFont val="Arial MT"/>
        <family val="2"/>
      </rPr>
      <t>2023                   2022</t>
    </r>
  </si>
  <si>
    <r>
      <rPr>
        <sz val="8"/>
        <rFont val="Arial MT"/>
        <family val="2"/>
      </rPr>
      <t xml:space="preserve">Net income (loss)
</t>
    </r>
    <r>
      <rPr>
        <sz val="8"/>
        <rFont val="Arial MT"/>
        <family val="2"/>
      </rPr>
      <t>Adjustments for:</t>
    </r>
  </si>
  <si>
    <r>
      <rPr>
        <sz val="8"/>
        <rFont val="Arial MT"/>
        <family val="2"/>
      </rPr>
      <t>Depreciation (notes 7 and 8)                                                                                                    162                     143</t>
    </r>
  </si>
  <si>
    <r>
      <rPr>
        <sz val="8"/>
        <rFont val="Arial MT"/>
        <family val="2"/>
      </rPr>
      <t xml:space="preserve">Amortization of intangible assets (note 9)
</t>
    </r>
    <r>
      <rPr>
        <sz val="8"/>
        <rFont val="Arial MT"/>
        <family val="2"/>
      </rPr>
      <t xml:space="preserve">IRGA/TSS Membership liability revaluation charge (note 10) Finance and other expense (income) (note 18)
</t>
    </r>
    <r>
      <rPr>
        <sz val="8"/>
        <rFont val="Arial MT"/>
        <family val="2"/>
      </rPr>
      <t>Bargain purchase (gain) (note 4)</t>
    </r>
  </si>
  <si>
    <r>
      <rPr>
        <sz val="8"/>
        <rFont val="Arial MT"/>
        <family val="2"/>
      </rPr>
      <t xml:space="preserve">859                     676
</t>
    </r>
    <r>
      <rPr>
        <sz val="8"/>
        <rFont val="Arial MT"/>
        <family val="2"/>
      </rPr>
      <t xml:space="preserve">152                     112
</t>
    </r>
    <r>
      <rPr>
        <sz val="8"/>
        <rFont val="Arial MT"/>
        <family val="2"/>
      </rPr>
      <t xml:space="preserve">(34)                        0
</t>
    </r>
    <r>
      <rPr>
        <sz val="8"/>
        <rFont val="Arial MT"/>
        <family val="2"/>
      </rPr>
      <t>(54)                     (16)</t>
    </r>
  </si>
  <si>
    <r>
      <rPr>
        <sz val="8"/>
        <rFont val="Arial MT"/>
        <family val="2"/>
      </rPr>
      <t xml:space="preserve">Impairment of intangible and other non-financial assets (note 9)                                              26                          7
</t>
    </r>
    <r>
      <rPr>
        <sz val="8"/>
        <rFont val="Arial MT"/>
        <family val="2"/>
      </rPr>
      <t xml:space="preserve">Redeemable preferred securities expense (income) (note 12)                                               597                      -
</t>
    </r>
    <r>
      <rPr>
        <sz val="8"/>
        <rFont val="Arial MT"/>
        <family val="2"/>
      </rPr>
      <t>Finance costs (note 18)                                                                                                            192                     110</t>
    </r>
  </si>
  <si>
    <r>
      <rPr>
        <sz val="8"/>
        <rFont val="Arial MT"/>
        <family val="2"/>
      </rPr>
      <t xml:space="preserve">Income tax expense (recovery) (notes 15 and 16) Foreign exchange loss (gain)
</t>
    </r>
    <r>
      <rPr>
        <sz val="8"/>
        <rFont val="Arial MT"/>
        <family val="2"/>
      </rPr>
      <t xml:space="preserve">Change in non-cash operating assets and liabilities exclusive of effects of business combinations (note 26)
</t>
    </r>
    <r>
      <rPr>
        <sz val="8"/>
        <rFont val="Arial MT"/>
        <family val="2"/>
      </rPr>
      <t xml:space="preserve">Income taxes paid
</t>
    </r>
    <r>
      <rPr>
        <sz val="8"/>
        <rFont val="Arial MT"/>
        <family val="2"/>
      </rPr>
      <t xml:space="preserve">Net cash flows from (used in) operating activities
</t>
    </r>
    <r>
      <rPr>
        <sz val="8"/>
        <rFont val="Arial MT"/>
        <family val="2"/>
      </rPr>
      <t>Cash flows from (used in) financing activities:</t>
    </r>
  </si>
  <si>
    <r>
      <rPr>
        <sz val="8"/>
        <rFont val="Arial MT"/>
        <family val="2"/>
      </rPr>
      <t xml:space="preserve">204                     175
</t>
    </r>
    <r>
      <rPr>
        <sz val="8"/>
        <rFont val="Arial MT"/>
        <family val="2"/>
      </rPr>
      <t xml:space="preserve">43                      (56)
</t>
    </r>
    <r>
      <rPr>
        <sz val="8"/>
        <rFont val="Arial MT"/>
        <family val="2"/>
      </rPr>
      <t xml:space="preserve">(36)                     (60)
</t>
    </r>
    <r>
      <rPr>
        <sz val="8"/>
        <rFont val="Arial MT"/>
        <family val="2"/>
      </rPr>
      <t xml:space="preserve">(394)                   (343)
</t>
    </r>
    <r>
      <rPr>
        <sz val="8"/>
        <rFont val="Arial MT"/>
        <family val="2"/>
      </rPr>
      <t>1,779                  1,297</t>
    </r>
  </si>
  <si>
    <r>
      <rPr>
        <sz val="8"/>
        <rFont val="Arial MT"/>
        <family val="2"/>
      </rPr>
      <t>Interest paid on lease obligations</t>
    </r>
  </si>
  <si>
    <r>
      <rPr>
        <sz val="8"/>
        <rFont val="Arial MT"/>
        <family val="2"/>
      </rPr>
      <t>Proceeds from sale of interest rate cap</t>
    </r>
  </si>
  <si>
    <r>
      <rPr>
        <sz val="8"/>
        <rFont val="Arial MT"/>
        <family val="2"/>
      </rPr>
      <t>Increase (decrease) in Topicus revolving credit debt facility without</t>
    </r>
  </si>
  <si>
    <r>
      <rPr>
        <sz val="8"/>
        <rFont val="Arial MT"/>
        <family val="2"/>
      </rPr>
      <t>recourse to CSI</t>
    </r>
  </si>
  <si>
    <r>
      <rPr>
        <sz val="8"/>
        <rFont val="Arial MT"/>
        <family val="2"/>
      </rPr>
      <t>Proceeds from issuance of debentures</t>
    </r>
  </si>
  <si>
    <r>
      <rPr>
        <sz val="8"/>
        <rFont val="Arial MT"/>
        <family val="2"/>
      </rPr>
      <t>Proceeds from issuance of debt facilities without recourse to CSI</t>
    </r>
  </si>
  <si>
    <r>
      <rPr>
        <sz val="8"/>
        <rFont val="Arial MT"/>
        <family val="2"/>
      </rPr>
      <t>Repayments of debt facilities without recourse to CSI</t>
    </r>
  </si>
  <si>
    <r>
      <rPr>
        <sz val="8"/>
        <rFont val="Arial MT"/>
        <family val="2"/>
      </rPr>
      <t>Dividends paid to redeemable preferred security holders</t>
    </r>
  </si>
  <si>
    <r>
      <rPr>
        <sz val="8"/>
        <rFont val="Arial MT"/>
        <family val="2"/>
      </rPr>
      <t>Dividends paid to common shareholders of the Company (note 17)</t>
    </r>
  </si>
  <si>
    <r>
      <rPr>
        <sz val="8"/>
        <rFont val="Arial MT"/>
        <family val="2"/>
      </rPr>
      <t>Purchases of investments and other assets</t>
    </r>
  </si>
  <si>
    <r>
      <rPr>
        <sz val="8"/>
        <rFont val="Arial MT"/>
        <family val="2"/>
      </rPr>
      <t>Proceeds from sales of other investments and other assets</t>
    </r>
  </si>
  <si>
    <r>
      <rPr>
        <sz val="8"/>
        <rFont val="Arial MT"/>
        <family val="2"/>
      </rPr>
      <t>Decrease (increase) in restricted cash</t>
    </r>
  </si>
  <si>
    <r>
      <rPr>
        <sz val="8"/>
        <rFont val="Arial MT"/>
        <family val="2"/>
      </rPr>
      <t>Effect of foreign currency on cash</t>
    </r>
  </si>
  <si>
    <r>
      <rPr>
        <sz val="8"/>
        <rFont val="Arial MT"/>
        <family val="2"/>
      </rPr>
      <t>Cash, beginning of period</t>
    </r>
  </si>
  <si>
    <r>
      <rPr>
        <sz val="8"/>
        <rFont val="Arial MT"/>
        <family val="2"/>
      </rPr>
      <t>Cash, end of period</t>
    </r>
  </si>
  <si>
    <t>Sample S.D</t>
  </si>
  <si>
    <t>2020A</t>
  </si>
  <si>
    <t>2021A</t>
  </si>
  <si>
    <t>2022A</t>
  </si>
  <si>
    <t>2023A</t>
  </si>
  <si>
    <t>2024E</t>
  </si>
  <si>
    <t>2025E</t>
  </si>
  <si>
    <t>2026E</t>
  </si>
  <si>
    <t>SUMMARY OUTPUT</t>
  </si>
  <si>
    <t>Regression Statistics</t>
  </si>
  <si>
    <t>Multiple R</t>
  </si>
  <si>
    <t>R Square</t>
  </si>
  <si>
    <t>Adjusted R Square</t>
  </si>
  <si>
    <t>Standard Error</t>
  </si>
  <si>
    <t>Observations</t>
  </si>
  <si>
    <t>ANOVA</t>
  </si>
  <si>
    <t>Regression</t>
  </si>
  <si>
    <t>Residual</t>
  </si>
  <si>
    <t>Intercept</t>
  </si>
  <si>
    <t>df</t>
  </si>
  <si>
    <t>SS</t>
  </si>
  <si>
    <t>MS</t>
  </si>
  <si>
    <t>F</t>
  </si>
  <si>
    <t>Significance F</t>
  </si>
  <si>
    <t>Coefficients</t>
  </si>
  <si>
    <t>t Stat</t>
  </si>
  <si>
    <t>P-value</t>
  </si>
  <si>
    <t>Lower 95%</t>
  </si>
  <si>
    <t>Upper 95%</t>
  </si>
  <si>
    <t>Lower 95.0%</t>
  </si>
  <si>
    <t>Upper 95.0%</t>
  </si>
  <si>
    <t>X Variable 1</t>
  </si>
  <si>
    <t>Strength of reg process</t>
  </si>
  <si>
    <t>2027E</t>
  </si>
  <si>
    <t xml:space="preserve">Year Weight </t>
  </si>
  <si>
    <t>Sales and other items of I/S can be also projected via a multiple Regression model (it need not to be based on Growth rate)</t>
  </si>
  <si>
    <t>Gome. Mean</t>
  </si>
  <si>
    <t>Cobalt</t>
  </si>
  <si>
    <t>ARR</t>
  </si>
  <si>
    <t>Pantesting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</si>
</sst>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7">
    <numFmt numFmtId="43" formatCode="_ * #,##0.00_ ;_ * \-#,##0.00_ ;_ * &quot;-&quot;??_ ;_ @_ "/>
    <numFmt numFmtId="164" formatCode="&quot;#&quot;0"/>
    <numFmt numFmtId="165" formatCode="&quot;$&quot;#,##0"/>
    <numFmt numFmtId="166" formatCode="\$\ #,##0;\$\ \-#,##0"/>
    <numFmt numFmtId="167" formatCode="#,##0.0\ [$€-407]"/>
    <numFmt numFmtId="168" formatCode="[$$-409]#,##0.0"/>
    <numFmt numFmtId="169" formatCode="0.0"/>
    <numFmt numFmtId="170" formatCode="0.0%"/>
    <numFmt numFmtId="171" formatCode="0.000"/>
    <numFmt numFmtId="172" formatCode="0_);\(0\)"/>
    <numFmt numFmtId="173" formatCode="\$\ 0"/>
    <numFmt numFmtId="174" formatCode="\$\ 0.00"/>
    <numFmt numFmtId="175" formatCode="\$\ 0_);\(\$\ 0\)"/>
    <numFmt numFmtId="176" formatCode="\$\ #,##0"/>
    <numFmt numFmtId="177" formatCode="0\ \$"/>
    <numFmt numFmtId="178" formatCode="#,##0_);\(#,##0\)"/>
    <numFmt numFmtId="179" formatCode="#,##0\ \$"/>
  </numFmts>
  <fonts count="94">
    <font>
      <sz val="10"/>
      <color theme="1"/>
      <name val="Calibri"/>
      <scheme val="minor"/>
    </font>
    <font>
      <sz val="11"/>
      <color theme="1"/>
      <name val="Calibri"/>
      <family val="2"/>
    </font>
    <font>
      <sz val="10"/>
      <color theme="1"/>
      <name val="Calibri"/>
      <family val="2"/>
    </font>
    <font>
      <sz val="8"/>
      <color theme="1"/>
      <name val="Arial"/>
      <family val="2"/>
    </font>
    <font>
      <b/>
      <sz val="8"/>
      <color theme="1"/>
      <name val="Arial"/>
      <family val="2"/>
    </font>
    <font>
      <b/>
      <u/>
      <sz val="8"/>
      <color theme="1"/>
      <name val="Arial"/>
      <family val="2"/>
    </font>
    <font>
      <u/>
      <sz val="10"/>
      <color theme="1"/>
      <name val="Calibri"/>
      <family val="2"/>
    </font>
    <font>
      <sz val="10"/>
      <color theme="1"/>
      <name val="Calibri"/>
      <family val="2"/>
      <scheme val="minor"/>
    </font>
    <font>
      <b/>
      <sz val="11"/>
      <color theme="0"/>
      <name val="Calibri"/>
      <family val="2"/>
    </font>
    <font>
      <i/>
      <sz val="10"/>
      <color theme="1"/>
      <name val="Calibri"/>
      <family val="2"/>
      <scheme val="minor"/>
    </font>
    <font>
      <i/>
      <sz val="9"/>
      <color rgb="FFFF0000"/>
      <name val="Calibri"/>
      <family val="2"/>
      <scheme val="minor"/>
    </font>
    <font>
      <b/>
      <i/>
      <sz val="10"/>
      <color rgb="FF0070C0"/>
      <name val="Calibri"/>
      <family val="2"/>
      <scheme val="minor"/>
    </font>
    <font>
      <sz val="9"/>
      <color theme="1"/>
      <name val="Calibri"/>
      <family val="2"/>
      <scheme val="minor"/>
    </font>
    <font>
      <b/>
      <sz val="10"/>
      <color theme="1"/>
      <name val="Calibri"/>
      <family val="2"/>
      <scheme val="minor"/>
    </font>
    <font>
      <b/>
      <i/>
      <sz val="10"/>
      <color theme="1"/>
      <name val="Calibri"/>
      <family val="2"/>
      <scheme val="minor"/>
    </font>
    <font>
      <b/>
      <i/>
      <sz val="10"/>
      <color rgb="FF7030A0"/>
      <name val="Calibri"/>
      <family val="2"/>
      <scheme val="minor"/>
    </font>
    <font>
      <b/>
      <sz val="11"/>
      <color rgb="FFFF0000"/>
      <name val="Calibri"/>
      <family val="2"/>
      <scheme val="minor"/>
    </font>
    <font>
      <b/>
      <sz val="9"/>
      <color rgb="FFFF0000"/>
      <name val="Calibri"/>
      <family val="2"/>
      <scheme val="minor"/>
    </font>
    <font>
      <b/>
      <i/>
      <sz val="8"/>
      <color theme="4" tint="-0.249977111117893"/>
      <name val="Arial"/>
      <family val="2"/>
    </font>
    <font>
      <b/>
      <i/>
      <u/>
      <sz val="10"/>
      <color rgb="FF7030A0"/>
      <name val="Calibri"/>
      <family val="2"/>
      <scheme val="minor"/>
    </font>
    <font>
      <b/>
      <i/>
      <sz val="10"/>
      <color theme="1" tint="0.249977111117893"/>
      <name val="Calibri"/>
      <family val="2"/>
      <scheme val="minor"/>
    </font>
    <font>
      <b/>
      <i/>
      <sz val="11"/>
      <color rgb="FF7030A0"/>
      <name val="Calibri"/>
      <family val="2"/>
      <scheme val="minor"/>
    </font>
    <font>
      <b/>
      <sz val="14"/>
      <color theme="0"/>
      <name val="Calibri"/>
      <family val="2"/>
      <scheme val="minor"/>
    </font>
    <font>
      <i/>
      <sz val="11"/>
      <color theme="2" tint="-0.499984740745262"/>
      <name val="Calibri"/>
      <family val="2"/>
    </font>
    <font>
      <b/>
      <sz val="11"/>
      <name val="Calibri"/>
      <family val="2"/>
    </font>
    <font>
      <b/>
      <i/>
      <sz val="11"/>
      <color theme="1"/>
      <name val="Calibri"/>
      <family val="2"/>
    </font>
    <font>
      <b/>
      <i/>
      <sz val="11"/>
      <color theme="3"/>
      <name val="Calibri"/>
      <family val="2"/>
    </font>
    <font>
      <b/>
      <i/>
      <sz val="10"/>
      <color theme="3"/>
      <name val="Calibri"/>
      <family val="2"/>
      <scheme val="minor"/>
    </font>
    <font>
      <b/>
      <i/>
      <sz val="11"/>
      <name val="Calibri"/>
      <family val="2"/>
    </font>
    <font>
      <b/>
      <i/>
      <sz val="10"/>
      <name val="Calibri"/>
      <family val="2"/>
      <scheme val="minor"/>
    </font>
    <font>
      <b/>
      <sz val="12"/>
      <color theme="0"/>
      <name val="Calibri"/>
      <family val="2"/>
    </font>
    <font>
      <b/>
      <sz val="14"/>
      <color rgb="FF002060"/>
      <name val="Calibri"/>
      <family val="2"/>
    </font>
    <font>
      <sz val="14"/>
      <color theme="1"/>
      <name val="Calibri"/>
      <family val="2"/>
      <scheme val="minor"/>
    </font>
    <font>
      <sz val="10"/>
      <name val="Calibri"/>
      <family val="2"/>
      <scheme val="minor"/>
    </font>
    <font>
      <i/>
      <sz val="11"/>
      <name val="Calibri"/>
      <family val="2"/>
    </font>
    <font>
      <sz val="11"/>
      <name val="Calibri"/>
      <family val="2"/>
    </font>
    <font>
      <b/>
      <i/>
      <sz val="12"/>
      <color rgb="FF7030A0"/>
      <name val="Calibri"/>
      <family val="2"/>
    </font>
    <font>
      <sz val="11"/>
      <color theme="2" tint="-0.499984740745262"/>
      <name val="Calibri"/>
      <family val="2"/>
    </font>
    <font>
      <i/>
      <sz val="8"/>
      <color theme="3" tint="0.499984740745262"/>
      <name val="Calibri"/>
      <family val="2"/>
    </font>
    <font>
      <b/>
      <i/>
      <sz val="10"/>
      <color theme="0" tint="-0.34998626667073579"/>
      <name val="Calibri"/>
      <family val="2"/>
      <scheme val="minor"/>
    </font>
    <font>
      <i/>
      <sz val="10"/>
      <color theme="0" tint="-0.34998626667073579"/>
      <name val="Calibri"/>
      <family val="2"/>
      <scheme val="minor"/>
    </font>
    <font>
      <sz val="10"/>
      <color theme="0" tint="-0.34998626667073579"/>
      <name val="Calibri"/>
      <family val="2"/>
      <scheme val="minor"/>
    </font>
    <font>
      <i/>
      <sz val="10"/>
      <color theme="2" tint="-0.34998626667073579"/>
      <name val="Calibri"/>
      <family val="2"/>
      <scheme val="minor"/>
    </font>
    <font>
      <sz val="8"/>
      <color theme="0" tint="-0.34998626667073579"/>
      <name val="Calibri"/>
      <family val="2"/>
      <scheme val="minor"/>
    </font>
    <font>
      <sz val="10"/>
      <color theme="2" tint="-0.34998626667073579"/>
      <name val="Calibri"/>
      <family val="2"/>
      <scheme val="minor"/>
    </font>
    <font>
      <b/>
      <sz val="10"/>
      <color theme="2" tint="-0.34998626667073579"/>
      <name val="Calibri"/>
      <family val="2"/>
      <scheme val="minor"/>
    </font>
    <font>
      <b/>
      <sz val="11"/>
      <color theme="2" tint="-0.34998626667073579"/>
      <name val="Calibri"/>
      <family val="2"/>
    </font>
    <font>
      <b/>
      <i/>
      <sz val="11"/>
      <color theme="1"/>
      <name val="Calibri"/>
      <family val="2"/>
      <scheme val="minor"/>
    </font>
    <font>
      <b/>
      <i/>
      <sz val="10"/>
      <color rgb="FF00B0F0"/>
      <name val="Calibri"/>
      <family val="2"/>
      <scheme val="minor"/>
    </font>
    <font>
      <sz val="10"/>
      <color theme="0" tint="-0.499984740745262"/>
      <name val="Calibri"/>
      <family val="2"/>
      <scheme val="minor"/>
    </font>
    <font>
      <i/>
      <sz val="10"/>
      <color theme="0" tint="-0.499984740745262"/>
      <name val="Calibri"/>
      <family val="2"/>
      <scheme val="minor"/>
    </font>
    <font>
      <b/>
      <i/>
      <sz val="10"/>
      <color theme="0" tint="-0.499984740745262"/>
      <name val="Calibri"/>
      <family val="2"/>
      <scheme val="minor"/>
    </font>
    <font>
      <i/>
      <sz val="10"/>
      <color theme="0" tint="-0.249977111117893"/>
      <name val="Calibri"/>
      <family val="2"/>
      <scheme val="minor"/>
    </font>
    <font>
      <i/>
      <sz val="10"/>
      <color theme="1" tint="0.249977111117893"/>
      <name val="Calibri"/>
      <family val="2"/>
      <scheme val="minor"/>
    </font>
    <font>
      <sz val="10"/>
      <color theme="1" tint="0.249977111117893"/>
      <name val="Calibri"/>
      <family val="2"/>
      <scheme val="minor"/>
    </font>
    <font>
      <sz val="10"/>
      <color rgb="FF0000FF"/>
      <name val="Calibri"/>
      <family val="2"/>
      <scheme val="minor"/>
    </font>
    <font>
      <i/>
      <sz val="10"/>
      <color rgb="FF0000FF"/>
      <name val="Calibri"/>
      <family val="2"/>
      <scheme val="minor"/>
    </font>
    <font>
      <sz val="10"/>
      <color rgb="FF000000"/>
      <name val="Times New Roman"/>
      <family val="1"/>
    </font>
    <font>
      <sz val="8"/>
      <name val="Arial MT"/>
      <family val="2"/>
    </font>
    <font>
      <sz val="8"/>
      <name val="Arial MT"/>
    </font>
    <font>
      <sz val="11"/>
      <name val="Arial MT"/>
    </font>
    <font>
      <sz val="11"/>
      <name val="Arial MT"/>
      <family val="2"/>
    </font>
    <font>
      <sz val="8"/>
      <color rgb="FF000000"/>
      <name val="Arial MT"/>
      <family val="2"/>
    </font>
    <font>
      <sz val="8.5"/>
      <name val="Arial MT"/>
      <family val="2"/>
    </font>
    <font>
      <sz val="8.5"/>
      <name val="Arial MT"/>
    </font>
    <font>
      <sz val="8.5"/>
      <color rgb="FF000000"/>
      <name val="Arial MT"/>
      <family val="2"/>
    </font>
    <font>
      <sz val="5.5"/>
      <name val="Arial MT"/>
      <family val="2"/>
    </font>
    <font>
      <b/>
      <sz val="5.5"/>
      <name val="Arial"/>
      <family val="2"/>
    </font>
    <font>
      <i/>
      <sz val="5.5"/>
      <name val="Arial"/>
      <family val="2"/>
    </font>
    <font>
      <b/>
      <sz val="5.5"/>
      <color rgb="FF000000"/>
      <name val="Arial"/>
      <family val="2"/>
    </font>
    <font>
      <sz val="5.5"/>
      <name val="Arial MT"/>
    </font>
    <font>
      <sz val="5.5"/>
      <color rgb="FF000000"/>
      <name val="Arial MT"/>
      <family val="2"/>
    </font>
    <font>
      <sz val="6"/>
      <name val="Arial MT"/>
    </font>
    <font>
      <sz val="6"/>
      <name val="Arial MT"/>
      <family val="2"/>
    </font>
    <font>
      <b/>
      <sz val="14.5"/>
      <name val="Arial"/>
      <family val="2"/>
    </font>
    <font>
      <b/>
      <sz val="18"/>
      <name val="Arial"/>
      <family val="2"/>
    </font>
    <font>
      <sz val="10"/>
      <name val="Arial MT"/>
      <family val="2"/>
    </font>
    <font>
      <b/>
      <sz val="10"/>
      <name val="Arial"/>
      <family val="2"/>
    </font>
    <font>
      <b/>
      <sz val="15"/>
      <name val="Arial"/>
      <family val="2"/>
    </font>
    <font>
      <sz val="11.5"/>
      <name val="Arial MT"/>
    </font>
    <font>
      <sz val="11.5"/>
      <name val="Arial MT"/>
      <family val="2"/>
    </font>
    <font>
      <b/>
      <sz val="16"/>
      <name val="Arial"/>
      <family val="2"/>
    </font>
    <font>
      <sz val="9"/>
      <name val="Arial MT"/>
      <family val="2"/>
    </font>
    <font>
      <sz val="9"/>
      <name val="Arial MT"/>
    </font>
    <font>
      <sz val="9"/>
      <color rgb="FF000000"/>
      <name val="Arial MT"/>
      <family val="2"/>
    </font>
    <font>
      <b/>
      <sz val="14"/>
      <name val="Arial"/>
      <family val="2"/>
    </font>
    <font>
      <b/>
      <sz val="10.5"/>
      <name val="Arial"/>
      <family val="2"/>
    </font>
    <font>
      <b/>
      <sz val="6"/>
      <name val="Arial"/>
      <family val="2"/>
    </font>
    <font>
      <b/>
      <sz val="6"/>
      <color rgb="FF000000"/>
      <name val="Arial"/>
      <family val="2"/>
    </font>
    <font>
      <i/>
      <sz val="6"/>
      <name val="Arial"/>
      <family val="2"/>
    </font>
    <font>
      <sz val="6"/>
      <color rgb="FF000000"/>
      <name val="Arial MT"/>
      <family val="2"/>
    </font>
    <font>
      <sz val="6.5"/>
      <name val="Arial MT"/>
    </font>
    <font>
      <sz val="6.5"/>
      <name val="Arial MT"/>
      <family val="2"/>
    </font>
    <font>
      <b/>
      <i/>
      <sz val="10"/>
      <color theme="2" tint="-0.34998626667073579"/>
      <name val="Calibri"/>
      <family val="2"/>
      <scheme val="minor"/>
    </font>
  </fonts>
  <fills count="19">
    <fill>
      <patternFill patternType="none"/>
    </fill>
    <fill>
      <patternFill patternType="gray125"/>
    </fill>
    <fill>
      <patternFill patternType="solid">
        <fgColor rgb="FFFFFF00"/>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4" tint="0.79998168889431442"/>
        <bgColor indexed="64"/>
      </patternFill>
    </fill>
    <fill>
      <patternFill patternType="solid">
        <fgColor theme="2" tint="-0.14999847407452621"/>
        <bgColor indexed="64"/>
      </patternFill>
    </fill>
    <fill>
      <patternFill patternType="solid">
        <fgColor theme="7" tint="0.59999389629810485"/>
        <bgColor indexed="64"/>
      </patternFill>
    </fill>
    <fill>
      <patternFill patternType="solid">
        <fgColor rgb="FF00B0F0"/>
        <bgColor indexed="64"/>
      </patternFill>
    </fill>
    <fill>
      <patternFill patternType="solid">
        <fgColor theme="8" tint="-0.249977111117893"/>
        <bgColor indexed="64"/>
      </patternFill>
    </fill>
    <fill>
      <patternFill patternType="solid">
        <fgColor theme="0" tint="-0.14999847407452621"/>
        <bgColor indexed="64"/>
      </patternFill>
    </fill>
    <fill>
      <patternFill patternType="solid">
        <fgColor theme="4" tint="-0.249977111117893"/>
        <bgColor indexed="64"/>
      </patternFill>
    </fill>
    <fill>
      <patternFill patternType="solid">
        <fgColor theme="8" tint="0.79998168889431442"/>
        <bgColor indexed="64"/>
      </patternFill>
    </fill>
    <fill>
      <patternFill patternType="solid">
        <fgColor theme="0" tint="-4.9989318521683403E-2"/>
        <bgColor indexed="64"/>
      </patternFill>
    </fill>
    <fill>
      <patternFill patternType="solid">
        <fgColor rgb="FFF0F0F0"/>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8" tint="-0.499984740745262"/>
        <bgColor indexed="64"/>
      </patternFill>
    </fill>
    <fill>
      <patternFill patternType="solid">
        <fgColor theme="2" tint="-0.34998626667073579"/>
        <bgColor indexed="64"/>
      </patternFill>
    </fill>
  </fills>
  <borders count="41">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style="thin">
        <color indexed="64"/>
      </left>
      <right style="thin">
        <color indexed="64"/>
      </right>
      <top style="thin">
        <color indexed="64"/>
      </top>
      <bottom style="medium">
        <color indexed="64"/>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top/>
      <bottom style="thin">
        <color indexed="64"/>
      </bottom>
      <diagonal/>
    </border>
    <border>
      <left/>
      <right/>
      <top/>
      <bottom style="medium">
        <color indexed="64"/>
      </bottom>
      <diagonal/>
    </border>
    <border>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right/>
      <top/>
      <bottom style="hair">
        <color theme="0" tint="-0.249977111117893"/>
      </bottom>
      <diagonal/>
    </border>
    <border>
      <left style="hair">
        <color theme="0" tint="-0.249977111117893"/>
      </left>
      <right style="hair">
        <color theme="0" tint="-0.249977111117893"/>
      </right>
      <top style="hair">
        <color theme="0" tint="-0.249977111117893"/>
      </top>
      <bottom style="hair">
        <color theme="0" tint="-0.249977111117893"/>
      </bottom>
      <diagonal/>
    </border>
    <border>
      <left style="hair">
        <color theme="0" tint="-0.249977111117893"/>
      </left>
      <right/>
      <top style="hair">
        <color theme="0" tint="-0.249977111117893"/>
      </top>
      <bottom/>
      <diagonal/>
    </border>
    <border>
      <left/>
      <right/>
      <top style="hair">
        <color theme="0" tint="-0.249977111117893"/>
      </top>
      <bottom/>
      <diagonal/>
    </border>
    <border>
      <left/>
      <right style="hair">
        <color theme="0" tint="-0.249977111117893"/>
      </right>
      <top style="hair">
        <color theme="0" tint="-0.249977111117893"/>
      </top>
      <bottom/>
      <diagonal/>
    </border>
    <border>
      <left style="hair">
        <color theme="0" tint="-0.249977111117893"/>
      </left>
      <right/>
      <top/>
      <bottom/>
      <diagonal/>
    </border>
    <border>
      <left/>
      <right style="hair">
        <color theme="0" tint="-0.249977111117893"/>
      </right>
      <top/>
      <bottom/>
      <diagonal/>
    </border>
    <border>
      <left style="hair">
        <color theme="0" tint="-0.249977111117893"/>
      </left>
      <right/>
      <top/>
      <bottom style="hair">
        <color theme="0" tint="-0.249977111117893"/>
      </bottom>
      <diagonal/>
    </border>
    <border>
      <left/>
      <right style="hair">
        <color theme="0" tint="-0.249977111117893"/>
      </right>
      <top/>
      <bottom style="hair">
        <color theme="0" tint="-0.249977111117893"/>
      </bottom>
      <diagonal/>
    </border>
    <border>
      <left/>
      <right/>
      <top/>
      <bottom style="hair">
        <color auto="1"/>
      </bottom>
      <diagonal/>
    </border>
    <border>
      <left/>
      <right/>
      <top/>
      <bottom style="thin">
        <color rgb="FF000000"/>
      </bottom>
      <diagonal/>
    </border>
    <border>
      <left/>
      <right/>
      <top style="thin">
        <color rgb="FF000000"/>
      </top>
      <bottom/>
      <diagonal/>
    </border>
    <border>
      <left/>
      <right/>
      <top style="thin">
        <color rgb="FF000000"/>
      </top>
      <bottom style="thin">
        <color rgb="FF000000"/>
      </bottom>
      <diagonal/>
    </border>
    <border>
      <left style="hair">
        <color theme="0" tint="-0.249977111117893"/>
      </left>
      <right/>
      <top style="hair">
        <color theme="0" tint="-0.249977111117893"/>
      </top>
      <bottom style="hair">
        <color theme="0" tint="-0.249977111117893"/>
      </bottom>
      <diagonal/>
    </border>
    <border>
      <left/>
      <right style="hair">
        <color theme="0" tint="-0.249977111117893"/>
      </right>
      <top style="hair">
        <color theme="0" tint="-0.249977111117893"/>
      </top>
      <bottom style="hair">
        <color theme="0" tint="-0.249977111117893"/>
      </bottom>
      <diagonal/>
    </border>
    <border>
      <left style="thin">
        <color indexed="64"/>
      </left>
      <right/>
      <top/>
      <bottom/>
      <diagonal/>
    </border>
  </borders>
  <cellStyleXfs count="4">
    <xf numFmtId="0" fontId="0" fillId="0" borderId="0"/>
    <xf numFmtId="43" fontId="7" fillId="0" borderId="0" applyFont="0" applyFill="0" applyBorder="0" applyAlignment="0" applyProtection="0"/>
    <xf numFmtId="9" fontId="7" fillId="0" borderId="0" applyFont="0" applyFill="0" applyBorder="0" applyAlignment="0" applyProtection="0"/>
    <xf numFmtId="0" fontId="57" fillId="0" borderId="0"/>
  </cellStyleXfs>
  <cellXfs count="728">
    <xf numFmtId="0" fontId="0" fillId="0" borderId="0" xfId="0"/>
    <xf numFmtId="0" fontId="2" fillId="0" borderId="0" xfId="0" applyFont="1"/>
    <xf numFmtId="0" fontId="2" fillId="0" borderId="1" xfId="0" applyFont="1" applyBorder="1"/>
    <xf numFmtId="0" fontId="2" fillId="0" borderId="2" xfId="0" applyFont="1" applyBorder="1"/>
    <xf numFmtId="0" fontId="2" fillId="0" borderId="3" xfId="0" applyFont="1" applyBorder="1"/>
    <xf numFmtId="164" fontId="2" fillId="0" borderId="3" xfId="0" applyNumberFormat="1" applyFont="1" applyBorder="1"/>
    <xf numFmtId="164" fontId="2" fillId="0" borderId="0" xfId="0" applyNumberFormat="1" applyFont="1"/>
    <xf numFmtId="0" fontId="3" fillId="0" borderId="0" xfId="0" applyFont="1"/>
    <xf numFmtId="0" fontId="4" fillId="0" borderId="0" xfId="0" applyFont="1"/>
    <xf numFmtId="0" fontId="5" fillId="0" borderId="0" xfId="0" applyFont="1" applyAlignment="1">
      <alignment horizontal="center"/>
    </xf>
    <xf numFmtId="3" fontId="3" fillId="0" borderId="0" xfId="0" applyNumberFormat="1" applyFont="1" applyAlignment="1">
      <alignment horizontal="center"/>
    </xf>
    <xf numFmtId="165" fontId="3" fillId="0" borderId="0" xfId="0" applyNumberFormat="1" applyFont="1" applyAlignment="1">
      <alignment horizontal="center"/>
    </xf>
    <xf numFmtId="3" fontId="3" fillId="0" borderId="0" xfId="0" applyNumberFormat="1" applyFont="1"/>
    <xf numFmtId="164" fontId="3" fillId="0" borderId="0" xfId="0" applyNumberFormat="1" applyFont="1" applyAlignment="1">
      <alignment horizontal="center"/>
    </xf>
    <xf numFmtId="0" fontId="3" fillId="0" borderId="0" xfId="0" applyFont="1" applyAlignment="1">
      <alignment horizontal="center"/>
    </xf>
    <xf numFmtId="164" fontId="4" fillId="0" borderId="0" xfId="0" applyNumberFormat="1" applyFont="1" applyAlignment="1">
      <alignment horizontal="center"/>
    </xf>
    <xf numFmtId="164" fontId="3" fillId="0" borderId="0" xfId="0" applyNumberFormat="1" applyFont="1"/>
    <xf numFmtId="0" fontId="6" fillId="0" borderId="0" xfId="0" applyFont="1"/>
    <xf numFmtId="0" fontId="7" fillId="0" borderId="0" xfId="0" applyFont="1"/>
    <xf numFmtId="0" fontId="0" fillId="0" borderId="4" xfId="0" applyBorder="1"/>
    <xf numFmtId="0" fontId="7" fillId="0" borderId="4" xfId="0" applyFont="1" applyBorder="1" applyAlignment="1">
      <alignment horizontal="center"/>
    </xf>
    <xf numFmtId="0" fontId="0" fillId="0" borderId="4" xfId="0" applyBorder="1" applyAlignment="1">
      <alignment horizontal="center"/>
    </xf>
    <xf numFmtId="0" fontId="0" fillId="0" borderId="0" xfId="0" applyAlignment="1">
      <alignment horizontal="center"/>
    </xf>
    <xf numFmtId="0" fontId="10" fillId="0" borderId="0" xfId="0" applyFont="1"/>
    <xf numFmtId="166" fontId="0" fillId="0" borderId="4" xfId="1" applyNumberFormat="1" applyFont="1" applyBorder="1"/>
    <xf numFmtId="0" fontId="12" fillId="0" borderId="0" xfId="0" applyFont="1"/>
    <xf numFmtId="0" fontId="7" fillId="0" borderId="0" xfId="0" applyFont="1" applyAlignment="1">
      <alignment wrapText="1"/>
    </xf>
    <xf numFmtId="166" fontId="0" fillId="0" borderId="4" xfId="0" applyNumberFormat="1" applyBorder="1" applyAlignment="1">
      <alignment horizontal="center"/>
    </xf>
    <xf numFmtId="0" fontId="7" fillId="0" borderId="4" xfId="0" applyFont="1" applyBorder="1" applyAlignment="1">
      <alignment horizontal="center" wrapText="1"/>
    </xf>
    <xf numFmtId="0" fontId="9" fillId="0" borderId="4" xfId="0" applyFont="1" applyBorder="1"/>
    <xf numFmtId="0" fontId="9" fillId="0" borderId="4" xfId="0" applyFont="1" applyBorder="1" applyAlignment="1">
      <alignment horizontal="center" wrapText="1"/>
    </xf>
    <xf numFmtId="3" fontId="3" fillId="2" borderId="0" xfId="0" applyNumberFormat="1" applyFont="1" applyFill="1" applyAlignment="1">
      <alignment horizontal="center"/>
    </xf>
    <xf numFmtId="165" fontId="3" fillId="2" borderId="0" xfId="0" applyNumberFormat="1" applyFont="1" applyFill="1" applyAlignment="1">
      <alignment horizontal="center"/>
    </xf>
    <xf numFmtId="3" fontId="3" fillId="3" borderId="0" xfId="0" applyNumberFormat="1" applyFont="1" applyFill="1" applyAlignment="1">
      <alignment horizontal="center"/>
    </xf>
    <xf numFmtId="165" fontId="3" fillId="3" borderId="0" xfId="0" applyNumberFormat="1" applyFont="1" applyFill="1" applyAlignment="1">
      <alignment horizontal="center"/>
    </xf>
    <xf numFmtId="3" fontId="3" fillId="4" borderId="0" xfId="0" applyNumberFormat="1" applyFont="1" applyFill="1" applyAlignment="1">
      <alignment horizontal="center"/>
    </xf>
    <xf numFmtId="165" fontId="3" fillId="4" borderId="0" xfId="0" applyNumberFormat="1" applyFont="1" applyFill="1" applyAlignment="1">
      <alignment horizontal="center"/>
    </xf>
    <xf numFmtId="3" fontId="3" fillId="5" borderId="0" xfId="0" applyNumberFormat="1" applyFont="1" applyFill="1" applyAlignment="1">
      <alignment horizontal="center"/>
    </xf>
    <xf numFmtId="165" fontId="3" fillId="5" borderId="0" xfId="0" applyNumberFormat="1" applyFont="1" applyFill="1" applyAlignment="1">
      <alignment horizontal="center"/>
    </xf>
    <xf numFmtId="3" fontId="3" fillId="6" borderId="0" xfId="0" applyNumberFormat="1" applyFont="1" applyFill="1" applyAlignment="1">
      <alignment horizontal="center"/>
    </xf>
    <xf numFmtId="165" fontId="3" fillId="6" borderId="0" xfId="0" applyNumberFormat="1" applyFont="1" applyFill="1" applyAlignment="1">
      <alignment horizontal="center"/>
    </xf>
    <xf numFmtId="3" fontId="3" fillId="7" borderId="0" xfId="0" applyNumberFormat="1" applyFont="1" applyFill="1" applyAlignment="1">
      <alignment horizontal="center"/>
    </xf>
    <xf numFmtId="165" fontId="3" fillId="7" borderId="0" xfId="0" applyNumberFormat="1" applyFont="1" applyFill="1" applyAlignment="1">
      <alignment horizontal="center"/>
    </xf>
    <xf numFmtId="3" fontId="3" fillId="8" borderId="0" xfId="0" applyNumberFormat="1" applyFont="1" applyFill="1" applyAlignment="1">
      <alignment horizontal="center"/>
    </xf>
    <xf numFmtId="165" fontId="3" fillId="8" borderId="0" xfId="0" applyNumberFormat="1" applyFont="1" applyFill="1" applyAlignment="1">
      <alignment horizontal="center"/>
    </xf>
    <xf numFmtId="164" fontId="3" fillId="3" borderId="0" xfId="0" applyNumberFormat="1" applyFont="1" applyFill="1" applyAlignment="1">
      <alignment horizontal="center"/>
    </xf>
    <xf numFmtId="166" fontId="0" fillId="0" borderId="4" xfId="0" applyNumberFormat="1" applyBorder="1"/>
    <xf numFmtId="0" fontId="7" fillId="0" borderId="10" xfId="0" applyFont="1" applyBorder="1"/>
    <xf numFmtId="0" fontId="0" fillId="0" borderId="11" xfId="0" applyBorder="1"/>
    <xf numFmtId="0" fontId="7" fillId="0" borderId="12" xfId="0" applyFont="1" applyBorder="1" applyAlignment="1">
      <alignment wrapText="1"/>
    </xf>
    <xf numFmtId="0" fontId="7" fillId="0" borderId="13" xfId="0" applyFont="1" applyBorder="1" applyAlignment="1">
      <alignment wrapText="1"/>
    </xf>
    <xf numFmtId="0" fontId="9" fillId="0" borderId="10" xfId="0" applyFont="1" applyBorder="1" applyAlignment="1">
      <alignment horizontal="center" wrapText="1"/>
    </xf>
    <xf numFmtId="0" fontId="7" fillId="0" borderId="10" xfId="0" applyFont="1" applyBorder="1" applyAlignment="1">
      <alignment horizontal="center" wrapText="1"/>
    </xf>
    <xf numFmtId="0" fontId="7" fillId="0" borderId="10" xfId="0" applyFont="1" applyBorder="1" applyAlignment="1">
      <alignment horizontal="center"/>
    </xf>
    <xf numFmtId="0" fontId="0" fillId="0" borderId="13" xfId="0" applyBorder="1"/>
    <xf numFmtId="0" fontId="0" fillId="0" borderId="10" xfId="0" applyBorder="1" applyAlignment="1">
      <alignment horizontal="center"/>
    </xf>
    <xf numFmtId="0" fontId="0" fillId="0" borderId="14" xfId="0" applyBorder="1"/>
    <xf numFmtId="0" fontId="0" fillId="0" borderId="16" xfId="0" applyBorder="1"/>
    <xf numFmtId="0" fontId="18" fillId="0" borderId="0" xfId="0" applyFont="1"/>
    <xf numFmtId="166" fontId="0" fillId="0" borderId="4" xfId="1" applyNumberFormat="1" applyFont="1" applyBorder="1" applyAlignment="1">
      <alignment horizontal="center"/>
    </xf>
    <xf numFmtId="0" fontId="9" fillId="0" borderId="4" xfId="0" applyFont="1" applyBorder="1" applyAlignment="1">
      <alignment horizontal="center"/>
    </xf>
    <xf numFmtId="0" fontId="15" fillId="0" borderId="0" xfId="0" applyFont="1"/>
    <xf numFmtId="0" fontId="7" fillId="0" borderId="0" xfId="0" applyFont="1" applyAlignment="1">
      <alignment horizontal="left" vertical="center" indent="1"/>
    </xf>
    <xf numFmtId="0" fontId="7" fillId="0" borderId="0" xfId="0" applyFont="1" applyAlignment="1">
      <alignment vertical="center"/>
    </xf>
    <xf numFmtId="0" fontId="16" fillId="0" borderId="4" xfId="0" applyFont="1" applyBorder="1" applyAlignment="1">
      <alignment horizontal="center"/>
    </xf>
    <xf numFmtId="0" fontId="0" fillId="0" borderId="0" xfId="0" applyAlignment="1">
      <alignment horizontal="left"/>
    </xf>
    <xf numFmtId="0" fontId="14" fillId="0" borderId="7" xfId="0" applyFont="1" applyBorder="1" applyAlignment="1">
      <alignment horizontal="left" indent="1"/>
    </xf>
    <xf numFmtId="0" fontId="14" fillId="0" borderId="8" xfId="0" applyFont="1" applyBorder="1" applyAlignment="1">
      <alignment horizontal="left" indent="1"/>
    </xf>
    <xf numFmtId="0" fontId="14" fillId="0" borderId="9" xfId="0" applyFont="1" applyBorder="1" applyAlignment="1">
      <alignment horizontal="left" indent="1"/>
    </xf>
    <xf numFmtId="0" fontId="14" fillId="0" borderId="14" xfId="0" applyFont="1" applyBorder="1"/>
    <xf numFmtId="0" fontId="14" fillId="0" borderId="16" xfId="0" applyFont="1" applyBorder="1"/>
    <xf numFmtId="0" fontId="20" fillId="0" borderId="10" xfId="0" applyFont="1" applyBorder="1" applyAlignment="1">
      <alignment horizontal="center"/>
    </xf>
    <xf numFmtId="0" fontId="20" fillId="0" borderId="4" xfId="0" applyFont="1" applyBorder="1" applyAlignment="1">
      <alignment horizontal="center"/>
    </xf>
    <xf numFmtId="0" fontId="20" fillId="0" borderId="11" xfId="0" applyFont="1" applyBorder="1" applyAlignment="1">
      <alignment horizontal="center"/>
    </xf>
    <xf numFmtId="0" fontId="14" fillId="6" borderId="10" xfId="0" applyFont="1" applyFill="1" applyBorder="1"/>
    <xf numFmtId="0" fontId="14" fillId="6" borderId="4" xfId="0" applyFont="1" applyFill="1" applyBorder="1"/>
    <xf numFmtId="166" fontId="14" fillId="6" borderId="11" xfId="1" applyNumberFormat="1" applyFont="1" applyFill="1" applyBorder="1"/>
    <xf numFmtId="0" fontId="14" fillId="6" borderId="15" xfId="0" applyFont="1" applyFill="1" applyBorder="1" applyAlignment="1">
      <alignment horizontal="center"/>
    </xf>
    <xf numFmtId="0" fontId="21" fillId="0" borderId="0" xfId="0" applyFont="1"/>
    <xf numFmtId="0" fontId="0" fillId="9" borderId="0" xfId="0" applyFill="1"/>
    <xf numFmtId="0" fontId="9" fillId="10" borderId="4" xfId="0" applyFont="1" applyFill="1" applyBorder="1" applyAlignment="1">
      <alignment horizontal="center"/>
    </xf>
    <xf numFmtId="0" fontId="8" fillId="0" borderId="0" xfId="0" applyFont="1"/>
    <xf numFmtId="167" fontId="0" fillId="0" borderId="0" xfId="0" applyNumberFormat="1"/>
    <xf numFmtId="0" fontId="23" fillId="0" borderId="0" xfId="0" applyFont="1"/>
    <xf numFmtId="10" fontId="23" fillId="0" borderId="0" xfId="2" applyNumberFormat="1" applyFont="1"/>
    <xf numFmtId="10" fontId="23" fillId="0" borderId="0" xfId="2" applyNumberFormat="1" applyFont="1" applyAlignment="1">
      <alignment horizontal="right"/>
    </xf>
    <xf numFmtId="0" fontId="23" fillId="0" borderId="0" xfId="0" applyFont="1" applyAlignment="1">
      <alignment horizontal="left"/>
    </xf>
    <xf numFmtId="10" fontId="23" fillId="0" borderId="0" xfId="2" applyNumberFormat="1" applyFont="1" applyAlignment="1">
      <alignment horizontal="left"/>
    </xf>
    <xf numFmtId="168" fontId="0" fillId="0" borderId="0" xfId="0" applyNumberFormat="1"/>
    <xf numFmtId="168" fontId="7" fillId="0" borderId="0" xfId="0" applyNumberFormat="1" applyFont="1"/>
    <xf numFmtId="0" fontId="25" fillId="0" borderId="0" xfId="0" applyFont="1"/>
    <xf numFmtId="168" fontId="14" fillId="0" borderId="0" xfId="0" applyNumberFormat="1" applyFont="1"/>
    <xf numFmtId="0" fontId="26" fillId="0" borderId="0" xfId="0" applyFont="1"/>
    <xf numFmtId="168" fontId="27" fillId="0" borderId="0" xfId="0" applyNumberFormat="1" applyFont="1"/>
    <xf numFmtId="0" fontId="1" fillId="0" borderId="0" xfId="0" applyFont="1"/>
    <xf numFmtId="168" fontId="9" fillId="0" borderId="0" xfId="0" applyNumberFormat="1" applyFont="1"/>
    <xf numFmtId="168" fontId="7" fillId="0" borderId="0" xfId="0" applyNumberFormat="1" applyFont="1" applyAlignment="1">
      <alignment horizontal="right"/>
    </xf>
    <xf numFmtId="0" fontId="28" fillId="13" borderId="22" xfId="0" applyFont="1" applyFill="1" applyBorder="1"/>
    <xf numFmtId="0" fontId="30" fillId="11" borderId="0" xfId="0" applyFont="1" applyFill="1"/>
    <xf numFmtId="17" fontId="30" fillId="11" borderId="0" xfId="0" applyNumberFormat="1" applyFont="1" applyFill="1"/>
    <xf numFmtId="0" fontId="31" fillId="12" borderId="0" xfId="0" applyFont="1" applyFill="1"/>
    <xf numFmtId="0" fontId="32" fillId="12" borderId="0" xfId="0" applyFont="1" applyFill="1"/>
    <xf numFmtId="0" fontId="28" fillId="14" borderId="22" xfId="0" applyFont="1" applyFill="1" applyBorder="1"/>
    <xf numFmtId="168" fontId="29" fillId="14" borderId="22" xfId="0" applyNumberFormat="1" applyFont="1" applyFill="1" applyBorder="1"/>
    <xf numFmtId="0" fontId="25" fillId="14" borderId="22" xfId="0" applyFont="1" applyFill="1" applyBorder="1"/>
    <xf numFmtId="168" fontId="14" fillId="14" borderId="22" xfId="0" applyNumberFormat="1" applyFont="1" applyFill="1" applyBorder="1"/>
    <xf numFmtId="0" fontId="30" fillId="11" borderId="0" xfId="0" applyFont="1" applyFill="1" applyAlignment="1">
      <alignment horizontal="left" indent="32"/>
    </xf>
    <xf numFmtId="17" fontId="24" fillId="0" borderId="0" xfId="0" applyNumberFormat="1" applyFont="1" applyAlignment="1">
      <alignment horizontal="center"/>
    </xf>
    <xf numFmtId="0" fontId="31" fillId="12" borderId="0" xfId="0" applyFont="1" applyFill="1" applyAlignment="1">
      <alignment vertical="center"/>
    </xf>
    <xf numFmtId="0" fontId="34" fillId="0" borderId="0" xfId="0" applyFont="1"/>
    <xf numFmtId="0" fontId="28" fillId="10" borderId="0" xfId="0" applyFont="1" applyFill="1"/>
    <xf numFmtId="168" fontId="14" fillId="13" borderId="22" xfId="0" applyNumberFormat="1" applyFont="1" applyFill="1" applyBorder="1"/>
    <xf numFmtId="0" fontId="36" fillId="0" borderId="0" xfId="0" applyFont="1"/>
    <xf numFmtId="0" fontId="35" fillId="0" borderId="0" xfId="0" applyFont="1" applyAlignment="1">
      <alignment horizontal="left" indent="2"/>
    </xf>
    <xf numFmtId="0" fontId="33" fillId="0" borderId="0" xfId="0" applyFont="1" applyAlignment="1">
      <alignment horizontal="left" indent="2"/>
    </xf>
    <xf numFmtId="0" fontId="7" fillId="0" borderId="0" xfId="0" applyFont="1" applyAlignment="1">
      <alignment horizontal="left" indent="2"/>
    </xf>
    <xf numFmtId="168" fontId="14" fillId="13" borderId="0" xfId="0" applyNumberFormat="1" applyFont="1" applyFill="1"/>
    <xf numFmtId="0" fontId="13" fillId="13" borderId="0" xfId="0" applyFont="1" applyFill="1"/>
    <xf numFmtId="0" fontId="28" fillId="13" borderId="20" xfId="0" applyFont="1" applyFill="1" applyBorder="1"/>
    <xf numFmtId="168" fontId="14" fillId="13" borderId="20" xfId="0" applyNumberFormat="1" applyFont="1" applyFill="1" applyBorder="1"/>
    <xf numFmtId="0" fontId="28" fillId="0" borderId="0" xfId="0" applyFont="1"/>
    <xf numFmtId="2" fontId="0" fillId="0" borderId="0" xfId="0" applyNumberFormat="1"/>
    <xf numFmtId="169" fontId="0" fillId="0" borderId="0" xfId="0" applyNumberFormat="1"/>
    <xf numFmtId="1" fontId="0" fillId="0" borderId="0" xfId="0" applyNumberFormat="1"/>
    <xf numFmtId="10" fontId="35" fillId="0" borderId="0" xfId="2" applyNumberFormat="1" applyFont="1" applyAlignment="1">
      <alignment horizontal="left"/>
    </xf>
    <xf numFmtId="10" fontId="37" fillId="0" borderId="0" xfId="2" applyNumberFormat="1" applyFont="1" applyAlignment="1">
      <alignment horizontal="left"/>
    </xf>
    <xf numFmtId="0" fontId="14" fillId="0" borderId="0" xfId="0" applyFont="1" applyAlignment="1">
      <alignment horizontal="left"/>
    </xf>
    <xf numFmtId="10" fontId="28" fillId="0" borderId="0" xfId="2" applyNumberFormat="1" applyFont="1" applyAlignment="1">
      <alignment horizontal="left"/>
    </xf>
    <xf numFmtId="168" fontId="28" fillId="0" borderId="0" xfId="2" applyNumberFormat="1" applyFont="1" applyAlignment="1">
      <alignment horizontal="right"/>
    </xf>
    <xf numFmtId="0" fontId="13" fillId="0" borderId="0" xfId="0" applyFont="1"/>
    <xf numFmtId="0" fontId="14" fillId="0" borderId="0" xfId="0" applyFont="1"/>
    <xf numFmtId="0" fontId="38" fillId="0" borderId="0" xfId="0" applyFont="1"/>
    <xf numFmtId="0" fontId="39" fillId="0" borderId="0" xfId="0" applyFont="1"/>
    <xf numFmtId="0" fontId="40" fillId="0" borderId="0" xfId="0" applyFont="1"/>
    <xf numFmtId="10" fontId="0" fillId="0" borderId="0" xfId="0" applyNumberFormat="1"/>
    <xf numFmtId="0" fontId="41" fillId="0" borderId="0" xfId="0" applyFont="1"/>
    <xf numFmtId="10" fontId="41" fillId="0" borderId="0" xfId="0" applyNumberFormat="1" applyFont="1"/>
    <xf numFmtId="170" fontId="0" fillId="0" borderId="0" xfId="2" applyNumberFormat="1" applyFont="1"/>
    <xf numFmtId="10" fontId="0" fillId="0" borderId="0" xfId="2" applyNumberFormat="1" applyFont="1"/>
    <xf numFmtId="1" fontId="7" fillId="0" borderId="0" xfId="0" applyNumberFormat="1" applyFont="1"/>
    <xf numFmtId="17" fontId="24" fillId="16" borderId="0" xfId="0" applyNumberFormat="1" applyFont="1" applyFill="1" applyAlignment="1">
      <alignment horizontal="left" indent="10"/>
    </xf>
    <xf numFmtId="0" fontId="30" fillId="11" borderId="0" xfId="0" applyFont="1" applyFill="1" applyAlignment="1">
      <alignment horizontal="left" indent="36"/>
    </xf>
    <xf numFmtId="0" fontId="30" fillId="11" borderId="0" xfId="0" applyFont="1" applyFill="1" applyAlignment="1">
      <alignment horizontal="center"/>
    </xf>
    <xf numFmtId="0" fontId="30" fillId="11" borderId="0" xfId="0" applyFont="1" applyFill="1" applyAlignment="1">
      <alignment horizontal="left"/>
    </xf>
    <xf numFmtId="17" fontId="24" fillId="0" borderId="0" xfId="0" applyNumberFormat="1" applyFont="1" applyAlignment="1">
      <alignment horizontal="left" indent="10"/>
    </xf>
    <xf numFmtId="168" fontId="0" fillId="15" borderId="0" xfId="0" applyNumberFormat="1" applyFill="1"/>
    <xf numFmtId="170" fontId="9" fillId="0" borderId="0" xfId="2" applyNumberFormat="1" applyFont="1"/>
    <xf numFmtId="10" fontId="9" fillId="0" borderId="0" xfId="2" applyNumberFormat="1" applyFont="1"/>
    <xf numFmtId="0" fontId="42" fillId="0" borderId="0" xfId="0" applyFont="1"/>
    <xf numFmtId="10" fontId="42" fillId="0" borderId="0" xfId="2" applyNumberFormat="1" applyFont="1"/>
    <xf numFmtId="10" fontId="42" fillId="0" borderId="0" xfId="0" applyNumberFormat="1" applyFont="1"/>
    <xf numFmtId="1" fontId="42" fillId="0" borderId="0" xfId="0" applyNumberFormat="1" applyFont="1"/>
    <xf numFmtId="9" fontId="0" fillId="0" borderId="0" xfId="2" applyFont="1"/>
    <xf numFmtId="0" fontId="44" fillId="0" borderId="0" xfId="0" applyFont="1"/>
    <xf numFmtId="1" fontId="44" fillId="0" borderId="0" xfId="0" applyNumberFormat="1" applyFont="1"/>
    <xf numFmtId="0" fontId="45" fillId="0" borderId="0" xfId="0" applyFont="1"/>
    <xf numFmtId="1" fontId="45" fillId="0" borderId="0" xfId="0" applyNumberFormat="1" applyFont="1"/>
    <xf numFmtId="10" fontId="44" fillId="0" borderId="0" xfId="2" applyNumberFormat="1" applyFont="1"/>
    <xf numFmtId="9" fontId="44" fillId="0" borderId="0" xfId="2" applyFont="1"/>
    <xf numFmtId="170" fontId="7" fillId="0" borderId="0" xfId="2" applyNumberFormat="1" applyFont="1" applyAlignment="1">
      <alignment horizontal="right"/>
    </xf>
    <xf numFmtId="10" fontId="7" fillId="0" borderId="0" xfId="2" applyNumberFormat="1" applyFont="1" applyAlignment="1">
      <alignment horizontal="right"/>
    </xf>
    <xf numFmtId="10" fontId="13" fillId="0" borderId="0" xfId="2" applyNumberFormat="1" applyFont="1" applyAlignment="1">
      <alignment horizontal="right"/>
    </xf>
    <xf numFmtId="10" fontId="14" fillId="0" borderId="0" xfId="2" applyNumberFormat="1" applyFont="1" applyAlignment="1">
      <alignment horizontal="right"/>
    </xf>
    <xf numFmtId="170" fontId="13" fillId="0" borderId="0" xfId="2" applyNumberFormat="1" applyFont="1" applyAlignment="1">
      <alignment horizontal="right"/>
    </xf>
    <xf numFmtId="170" fontId="14" fillId="0" borderId="0" xfId="2" applyNumberFormat="1" applyFont="1" applyAlignment="1">
      <alignment horizontal="right"/>
    </xf>
    <xf numFmtId="0" fontId="46" fillId="0" borderId="0" xfId="0" applyFont="1" applyAlignment="1">
      <alignment horizontal="left" indent="2"/>
    </xf>
    <xf numFmtId="0" fontId="7" fillId="15" borderId="0" xfId="0" applyFont="1" applyFill="1"/>
    <xf numFmtId="1" fontId="0" fillId="15" borderId="0" xfId="0" applyNumberFormat="1" applyFill="1"/>
    <xf numFmtId="0" fontId="44" fillId="13" borderId="0" xfId="0" applyFont="1" applyFill="1"/>
    <xf numFmtId="10" fontId="13" fillId="13" borderId="0" xfId="2" applyNumberFormat="1" applyFont="1" applyFill="1" applyAlignment="1">
      <alignment horizontal="right"/>
    </xf>
    <xf numFmtId="10" fontId="7" fillId="13" borderId="0" xfId="2" applyNumberFormat="1" applyFont="1" applyFill="1" applyAlignment="1">
      <alignment horizontal="right"/>
    </xf>
    <xf numFmtId="0" fontId="8" fillId="17" borderId="0" xfId="0" applyFont="1" applyFill="1"/>
    <xf numFmtId="17" fontId="8" fillId="17" borderId="0" xfId="0" applyNumberFormat="1" applyFont="1" applyFill="1"/>
    <xf numFmtId="17" fontId="8" fillId="17" borderId="0" xfId="0" applyNumberFormat="1" applyFont="1" applyFill="1" applyAlignment="1">
      <alignment horizontal="center"/>
    </xf>
    <xf numFmtId="0" fontId="7" fillId="0" borderId="7" xfId="0" applyFont="1" applyBorder="1"/>
    <xf numFmtId="0" fontId="0" fillId="0" borderId="8" xfId="0" applyBorder="1"/>
    <xf numFmtId="0" fontId="0" fillId="0" borderId="9" xfId="0" applyBorder="1"/>
    <xf numFmtId="0" fontId="13" fillId="0" borderId="12" xfId="0" applyFont="1" applyBorder="1" applyAlignment="1">
      <alignment horizontal="left"/>
    </xf>
    <xf numFmtId="10" fontId="13" fillId="0" borderId="14" xfId="2" applyNumberFormat="1" applyFont="1" applyBorder="1" applyAlignment="1">
      <alignment horizontal="left"/>
    </xf>
    <xf numFmtId="0" fontId="0" fillId="0" borderId="21" xfId="0" applyBorder="1"/>
    <xf numFmtId="0" fontId="7" fillId="0" borderId="23" xfId="0" applyFont="1" applyBorder="1"/>
    <xf numFmtId="0" fontId="7" fillId="0" borderId="24" xfId="0" applyFont="1" applyBorder="1"/>
    <xf numFmtId="0" fontId="13" fillId="0" borderId="24" xfId="0" applyFont="1" applyBorder="1" applyAlignment="1">
      <alignment horizontal="left"/>
    </xf>
    <xf numFmtId="0" fontId="47" fillId="16" borderId="0" xfId="0" applyFont="1" applyFill="1"/>
    <xf numFmtId="10" fontId="13" fillId="0" borderId="24" xfId="2" applyNumberFormat="1" applyFont="1" applyBorder="1" applyAlignment="1">
      <alignment horizontal="left"/>
    </xf>
    <xf numFmtId="0" fontId="0" fillId="0" borderId="25" xfId="0" applyBorder="1"/>
    <xf numFmtId="0" fontId="0" fillId="0" borderId="27" xfId="0" applyBorder="1"/>
    <xf numFmtId="0" fontId="0" fillId="0" borderId="28" xfId="0" applyBorder="1"/>
    <xf numFmtId="0" fontId="47" fillId="16" borderId="30" xfId="0" applyFont="1" applyFill="1" applyBorder="1"/>
    <xf numFmtId="0" fontId="0" fillId="0" borderId="30" xfId="0" applyBorder="1"/>
    <xf numFmtId="0" fontId="48" fillId="0" borderId="0" xfId="0" applyFont="1"/>
    <xf numFmtId="0" fontId="48" fillId="13" borderId="0" xfId="0" applyFont="1" applyFill="1"/>
    <xf numFmtId="0" fontId="48" fillId="13" borderId="31" xfId="0" applyFont="1" applyFill="1" applyBorder="1"/>
    <xf numFmtId="0" fontId="14" fillId="15" borderId="0" xfId="0" applyFont="1" applyFill="1"/>
    <xf numFmtId="0" fontId="14" fillId="15" borderId="31" xfId="0" applyFont="1" applyFill="1" applyBorder="1"/>
    <xf numFmtId="0" fontId="0" fillId="13" borderId="0" xfId="0" applyFill="1"/>
    <xf numFmtId="0" fontId="0" fillId="13" borderId="31" xfId="0" applyFill="1" applyBorder="1"/>
    <xf numFmtId="0" fontId="0" fillId="0" borderId="31" xfId="0" applyBorder="1"/>
    <xf numFmtId="0" fontId="0" fillId="0" borderId="32" xfId="0" applyBorder="1"/>
    <xf numFmtId="0" fontId="0" fillId="0" borderId="33" xfId="0" applyBorder="1"/>
    <xf numFmtId="0" fontId="52" fillId="0" borderId="0" xfId="0" applyFont="1" applyAlignment="1">
      <alignment horizontal="left" indent="1"/>
    </xf>
    <xf numFmtId="0" fontId="7" fillId="0" borderId="26" xfId="0" applyFont="1" applyBorder="1"/>
    <xf numFmtId="0" fontId="0" fillId="0" borderId="26" xfId="0" applyBorder="1"/>
    <xf numFmtId="1" fontId="0" fillId="0" borderId="26" xfId="0" applyNumberFormat="1" applyBorder="1"/>
    <xf numFmtId="0" fontId="50" fillId="0" borderId="26" xfId="0" applyFont="1" applyBorder="1"/>
    <xf numFmtId="169" fontId="0" fillId="0" borderId="26" xfId="0" applyNumberFormat="1" applyBorder="1"/>
    <xf numFmtId="0" fontId="53" fillId="0" borderId="26" xfId="0" applyFont="1" applyBorder="1"/>
    <xf numFmtId="0" fontId="50" fillId="0" borderId="0" xfId="0" applyFont="1"/>
    <xf numFmtId="0" fontId="50" fillId="0" borderId="28" xfId="0" applyFont="1" applyBorder="1"/>
    <xf numFmtId="1" fontId="0" fillId="0" borderId="28" xfId="0" applyNumberFormat="1" applyBorder="1"/>
    <xf numFmtId="0" fontId="0" fillId="18" borderId="0" xfId="0" applyFill="1"/>
    <xf numFmtId="0" fontId="0" fillId="0" borderId="0" xfId="0" applyAlignment="1">
      <alignment horizontal="right"/>
    </xf>
    <xf numFmtId="0" fontId="54" fillId="0" borderId="0" xfId="0" applyFont="1" applyAlignment="1">
      <alignment horizontal="right"/>
    </xf>
    <xf numFmtId="0" fontId="54" fillId="6" borderId="0" xfId="0" applyFont="1" applyFill="1" applyAlignment="1">
      <alignment horizontal="right"/>
    </xf>
    <xf numFmtId="168" fontId="55" fillId="0" borderId="0" xfId="0" applyNumberFormat="1" applyFont="1" applyAlignment="1">
      <alignment horizontal="right"/>
    </xf>
    <xf numFmtId="168" fontId="55" fillId="0" borderId="0" xfId="0" applyNumberFormat="1" applyFont="1"/>
    <xf numFmtId="168" fontId="33" fillId="0" borderId="0" xfId="0" applyNumberFormat="1" applyFont="1"/>
    <xf numFmtId="1" fontId="55" fillId="0" borderId="0" xfId="0" applyNumberFormat="1" applyFont="1"/>
    <xf numFmtId="168" fontId="56" fillId="0" borderId="0" xfId="0" applyNumberFormat="1" applyFont="1"/>
    <xf numFmtId="0" fontId="0" fillId="0" borderId="34" xfId="0" applyBorder="1"/>
    <xf numFmtId="170" fontId="0" fillId="0" borderId="26" xfId="0" applyNumberFormat="1" applyBorder="1"/>
    <xf numFmtId="170" fontId="0" fillId="0" borderId="26" xfId="2" applyNumberFormat="1" applyFont="1" applyBorder="1"/>
    <xf numFmtId="169" fontId="0" fillId="0" borderId="26" xfId="2" applyNumberFormat="1" applyFont="1" applyBorder="1"/>
    <xf numFmtId="10" fontId="0" fillId="0" borderId="26" xfId="0" applyNumberFormat="1" applyBorder="1"/>
    <xf numFmtId="10" fontId="49" fillId="0" borderId="26" xfId="0" applyNumberFormat="1" applyFont="1" applyBorder="1"/>
    <xf numFmtId="9" fontId="0" fillId="0" borderId="26" xfId="0" applyNumberFormat="1" applyBorder="1"/>
    <xf numFmtId="0" fontId="0" fillId="13" borderId="26" xfId="0" applyFill="1" applyBorder="1"/>
    <xf numFmtId="0" fontId="51" fillId="0" borderId="26" xfId="0" applyFont="1" applyBorder="1"/>
    <xf numFmtId="1" fontId="51" fillId="0" borderId="26" xfId="0" applyNumberFormat="1" applyFont="1" applyBorder="1"/>
    <xf numFmtId="1" fontId="50" fillId="13" borderId="26" xfId="0" applyNumberFormat="1" applyFont="1" applyFill="1" applyBorder="1"/>
    <xf numFmtId="0" fontId="49" fillId="0" borderId="26" xfId="0" applyFont="1" applyBorder="1"/>
    <xf numFmtId="170" fontId="0" fillId="13" borderId="26" xfId="2" applyNumberFormat="1" applyFont="1" applyFill="1" applyBorder="1"/>
    <xf numFmtId="169" fontId="7" fillId="0" borderId="26" xfId="0" applyNumberFormat="1" applyFont="1" applyBorder="1"/>
    <xf numFmtId="1" fontId="49" fillId="0" borderId="26" xfId="0" applyNumberFormat="1" applyFont="1" applyBorder="1"/>
    <xf numFmtId="171" fontId="49" fillId="0" borderId="26" xfId="0" applyNumberFormat="1" applyFont="1" applyBorder="1"/>
    <xf numFmtId="0" fontId="9" fillId="13" borderId="26" xfId="0" applyFont="1" applyFill="1" applyBorder="1"/>
    <xf numFmtId="0" fontId="14" fillId="15" borderId="26" xfId="0" applyFont="1" applyFill="1" applyBorder="1"/>
    <xf numFmtId="0" fontId="57" fillId="0" borderId="0" xfId="3" applyAlignment="1">
      <alignment horizontal="left" vertical="top"/>
    </xf>
    <xf numFmtId="0" fontId="57" fillId="0" borderId="0" xfId="3" applyAlignment="1">
      <alignment horizontal="left" wrapText="1"/>
    </xf>
    <xf numFmtId="0" fontId="59" fillId="0" borderId="35" xfId="3" applyFont="1" applyBorder="1" applyAlignment="1">
      <alignment horizontal="right" vertical="top" wrapText="1"/>
    </xf>
    <xf numFmtId="0" fontId="57" fillId="0" borderId="35" xfId="3" applyBorder="1" applyAlignment="1">
      <alignment horizontal="left" wrapText="1"/>
    </xf>
    <xf numFmtId="0" fontId="60" fillId="0" borderId="36" xfId="3" applyFont="1" applyBorder="1" applyAlignment="1">
      <alignment horizontal="left" vertical="top" wrapText="1" indent="7"/>
    </xf>
    <xf numFmtId="0" fontId="57" fillId="0" borderId="36" xfId="3" applyBorder="1" applyAlignment="1">
      <alignment horizontal="left" vertical="center" wrapText="1"/>
    </xf>
    <xf numFmtId="0" fontId="57" fillId="0" borderId="0" xfId="3" applyAlignment="1">
      <alignment horizontal="left" vertical="top" wrapText="1" indent="7"/>
    </xf>
    <xf numFmtId="0" fontId="59" fillId="0" borderId="0" xfId="3" applyFont="1" applyAlignment="1">
      <alignment horizontal="right" vertical="center" wrapText="1"/>
    </xf>
    <xf numFmtId="1" fontId="62" fillId="0" borderId="0" xfId="3" applyNumberFormat="1" applyFont="1" applyAlignment="1">
      <alignment horizontal="right" vertical="center" indent="1" shrinkToFit="1"/>
    </xf>
    <xf numFmtId="0" fontId="59" fillId="0" borderId="0" xfId="3" applyFont="1" applyAlignment="1">
      <alignment horizontal="center" vertical="center" wrapText="1"/>
    </xf>
    <xf numFmtId="0" fontId="59" fillId="0" borderId="0" xfId="3" applyFont="1" applyAlignment="1">
      <alignment horizontal="left" vertical="top" wrapText="1" indent="9"/>
    </xf>
    <xf numFmtId="1" fontId="62" fillId="0" borderId="0" xfId="3" applyNumberFormat="1" applyFont="1" applyAlignment="1">
      <alignment horizontal="right" vertical="top" indent="1" shrinkToFit="1"/>
    </xf>
    <xf numFmtId="0" fontId="59" fillId="0" borderId="35" xfId="3" applyFont="1" applyBorder="1" applyAlignment="1">
      <alignment horizontal="left" vertical="top" wrapText="1" indent="9"/>
    </xf>
    <xf numFmtId="1" fontId="62" fillId="0" borderId="35" xfId="3" applyNumberFormat="1" applyFont="1" applyBorder="1" applyAlignment="1">
      <alignment horizontal="right" vertical="top" indent="1" shrinkToFit="1"/>
    </xf>
    <xf numFmtId="0" fontId="57" fillId="0" borderId="36" xfId="3" applyBorder="1" applyAlignment="1">
      <alignment horizontal="left" wrapText="1"/>
    </xf>
    <xf numFmtId="3" fontId="62" fillId="0" borderId="36" xfId="3" applyNumberFormat="1" applyFont="1" applyBorder="1" applyAlignment="1">
      <alignment horizontal="right" vertical="top" indent="1" shrinkToFit="1"/>
    </xf>
    <xf numFmtId="0" fontId="57" fillId="0" borderId="0" xfId="3" applyAlignment="1">
      <alignment horizontal="left" vertical="center" wrapText="1"/>
    </xf>
    <xf numFmtId="3" fontId="62" fillId="0" borderId="35" xfId="3" applyNumberFormat="1" applyFont="1" applyBorder="1" applyAlignment="1">
      <alignment horizontal="right" vertical="top" indent="1" shrinkToFit="1"/>
    </xf>
    <xf numFmtId="0" fontId="57" fillId="0" borderId="37" xfId="3" applyBorder="1" applyAlignment="1">
      <alignment horizontal="left" wrapText="1"/>
    </xf>
    <xf numFmtId="3" fontId="62" fillId="0" borderId="37" xfId="3" applyNumberFormat="1" applyFont="1" applyBorder="1" applyAlignment="1">
      <alignment horizontal="right" vertical="top" indent="1" shrinkToFit="1"/>
    </xf>
    <xf numFmtId="0" fontId="59" fillId="0" borderId="35" xfId="3" applyFont="1" applyBorder="1" applyAlignment="1">
      <alignment horizontal="center" vertical="top" wrapText="1"/>
    </xf>
    <xf numFmtId="0" fontId="60" fillId="0" borderId="0" xfId="3" applyFont="1" applyAlignment="1">
      <alignment horizontal="left" vertical="top" wrapText="1" indent="7"/>
    </xf>
    <xf numFmtId="0" fontId="59" fillId="0" borderId="0" xfId="3" applyFont="1" applyAlignment="1">
      <alignment horizontal="right" vertical="top" wrapText="1" indent="1"/>
    </xf>
    <xf numFmtId="0" fontId="59" fillId="0" borderId="0" xfId="3" applyFont="1" applyAlignment="1">
      <alignment horizontal="center" vertical="top" wrapText="1"/>
    </xf>
    <xf numFmtId="3" fontId="62" fillId="0" borderId="0" xfId="3" applyNumberFormat="1" applyFont="1" applyAlignment="1">
      <alignment horizontal="right" vertical="top" indent="1" shrinkToFit="1"/>
    </xf>
    <xf numFmtId="0" fontId="57" fillId="0" borderId="37" xfId="3" applyBorder="1" applyAlignment="1">
      <alignment horizontal="left" vertical="center" wrapText="1"/>
    </xf>
    <xf numFmtId="0" fontId="59" fillId="0" borderId="37" xfId="3" applyFont="1" applyBorder="1" applyAlignment="1">
      <alignment horizontal="left" vertical="top" wrapText="1" indent="7"/>
    </xf>
    <xf numFmtId="0" fontId="59" fillId="0" borderId="36" xfId="3" applyFont="1" applyBorder="1" applyAlignment="1">
      <alignment horizontal="left" vertical="top" wrapText="1" indent="7"/>
    </xf>
    <xf numFmtId="0" fontId="57" fillId="0" borderId="36" xfId="3" applyBorder="1" applyAlignment="1">
      <alignment horizontal="left" vertical="top" wrapText="1"/>
    </xf>
    <xf numFmtId="1" fontId="62" fillId="0" borderId="36" xfId="3" applyNumberFormat="1" applyFont="1" applyBorder="1" applyAlignment="1">
      <alignment horizontal="right" vertical="center" indent="1" shrinkToFit="1"/>
    </xf>
    <xf numFmtId="172" fontId="62" fillId="0" borderId="0" xfId="3" applyNumberFormat="1" applyFont="1" applyAlignment="1">
      <alignment horizontal="right" vertical="top" shrinkToFit="1"/>
    </xf>
    <xf numFmtId="0" fontId="59" fillId="0" borderId="35" xfId="3" applyFont="1" applyBorder="1" applyAlignment="1">
      <alignment horizontal="left" vertical="top" wrapText="1" indent="7"/>
    </xf>
    <xf numFmtId="0" fontId="57" fillId="0" borderId="35" xfId="3" applyBorder="1" applyAlignment="1">
      <alignment horizontal="left" vertical="center" wrapText="1"/>
    </xf>
    <xf numFmtId="0" fontId="59" fillId="0" borderId="37" xfId="3" applyFont="1" applyBorder="1" applyAlignment="1">
      <alignment horizontal="right" vertical="top" wrapText="1"/>
    </xf>
    <xf numFmtId="0" fontId="59" fillId="0" borderId="37" xfId="3" applyFont="1" applyBorder="1" applyAlignment="1">
      <alignment horizontal="center" vertical="top" wrapText="1"/>
    </xf>
    <xf numFmtId="0" fontId="59" fillId="0" borderId="36" xfId="3" applyFont="1" applyBorder="1" applyAlignment="1">
      <alignment horizontal="right" vertical="top" wrapText="1" indent="1"/>
    </xf>
    <xf numFmtId="0" fontId="59" fillId="0" borderId="0" xfId="3" applyFont="1" applyAlignment="1">
      <alignment horizontal="left" vertical="top" wrapText="1" indent="1"/>
    </xf>
    <xf numFmtId="1" fontId="62" fillId="0" borderId="35" xfId="3" applyNumberFormat="1" applyFont="1" applyBorder="1" applyAlignment="1">
      <alignment horizontal="right" vertical="top" shrinkToFit="1"/>
    </xf>
    <xf numFmtId="0" fontId="59" fillId="0" borderId="36" xfId="3" applyFont="1" applyBorder="1" applyAlignment="1">
      <alignment horizontal="left" wrapText="1"/>
    </xf>
    <xf numFmtId="173" fontId="62" fillId="0" borderId="0" xfId="3" applyNumberFormat="1" applyFont="1" applyAlignment="1">
      <alignment horizontal="right" vertical="top" indent="1" shrinkToFit="1"/>
    </xf>
    <xf numFmtId="173" fontId="62" fillId="0" borderId="0" xfId="3" applyNumberFormat="1" applyFont="1" applyAlignment="1">
      <alignment horizontal="left" vertical="top" shrinkToFit="1"/>
    </xf>
    <xf numFmtId="1" fontId="62" fillId="0" borderId="0" xfId="3" applyNumberFormat="1" applyFont="1" applyAlignment="1">
      <alignment horizontal="right" vertical="top" shrinkToFit="1"/>
    </xf>
    <xf numFmtId="0" fontId="59" fillId="0" borderId="35" xfId="3" applyFont="1" applyBorder="1" applyAlignment="1">
      <alignment horizontal="left" vertical="top" wrapText="1" indent="1"/>
    </xf>
    <xf numFmtId="3" fontId="62" fillId="0" borderId="35" xfId="3" applyNumberFormat="1" applyFont="1" applyBorder="1" applyAlignment="1">
      <alignment horizontal="right" vertical="top" shrinkToFit="1"/>
    </xf>
    <xf numFmtId="3" fontId="62" fillId="0" borderId="36" xfId="3" applyNumberFormat="1" applyFont="1" applyBorder="1" applyAlignment="1">
      <alignment horizontal="right" vertical="top" shrinkToFit="1"/>
    </xf>
    <xf numFmtId="0" fontId="59" fillId="0" borderId="0" xfId="3" applyFont="1" applyAlignment="1">
      <alignment horizontal="left" vertical="top" wrapText="1"/>
    </xf>
    <xf numFmtId="3" fontId="62" fillId="0" borderId="0" xfId="3" applyNumberFormat="1" applyFont="1" applyAlignment="1">
      <alignment horizontal="right" vertical="top" shrinkToFit="1"/>
    </xf>
    <xf numFmtId="0" fontId="59" fillId="0" borderId="0" xfId="3" applyFont="1" applyAlignment="1">
      <alignment horizontal="left" vertical="center" wrapText="1"/>
    </xf>
    <xf numFmtId="1" fontId="62" fillId="0" borderId="0" xfId="3" applyNumberFormat="1" applyFont="1" applyAlignment="1">
      <alignment horizontal="right" vertical="center" shrinkToFit="1"/>
    </xf>
    <xf numFmtId="172" fontId="62" fillId="0" borderId="0" xfId="3" applyNumberFormat="1" applyFont="1" applyAlignment="1">
      <alignment horizontal="right" vertical="top" indent="1" shrinkToFit="1"/>
    </xf>
    <xf numFmtId="0" fontId="59" fillId="0" borderId="0" xfId="3" applyFont="1" applyAlignment="1">
      <alignment horizontal="right" vertical="top" wrapText="1" indent="2"/>
    </xf>
    <xf numFmtId="0" fontId="59" fillId="0" borderId="35" xfId="3" applyFont="1" applyBorder="1" applyAlignment="1">
      <alignment horizontal="left" vertical="top" wrapText="1"/>
    </xf>
    <xf numFmtId="1" fontId="62" fillId="0" borderId="36" xfId="3" applyNumberFormat="1" applyFont="1" applyBorder="1" applyAlignment="1">
      <alignment horizontal="right" vertical="top" indent="1" shrinkToFit="1"/>
    </xf>
    <xf numFmtId="1" fontId="62" fillId="0" borderId="36" xfId="3" applyNumberFormat="1" applyFont="1" applyBorder="1" applyAlignment="1">
      <alignment horizontal="right" vertical="top" shrinkToFit="1"/>
    </xf>
    <xf numFmtId="172" fontId="62" fillId="0" borderId="35" xfId="3" applyNumberFormat="1" applyFont="1" applyBorder="1" applyAlignment="1">
      <alignment horizontal="right" vertical="top" indent="1" shrinkToFit="1"/>
    </xf>
    <xf numFmtId="172" fontId="62" fillId="0" borderId="35" xfId="3" applyNumberFormat="1" applyFont="1" applyBorder="1" applyAlignment="1">
      <alignment horizontal="right" vertical="top" shrinkToFit="1"/>
    </xf>
    <xf numFmtId="0" fontId="59" fillId="0" borderId="37" xfId="3" applyFont="1" applyBorder="1" applyAlignment="1">
      <alignment horizontal="left" vertical="top" wrapText="1"/>
    </xf>
    <xf numFmtId="1" fontId="62" fillId="0" borderId="37" xfId="3" applyNumberFormat="1" applyFont="1" applyBorder="1" applyAlignment="1">
      <alignment horizontal="right" vertical="top" indent="1" shrinkToFit="1"/>
    </xf>
    <xf numFmtId="1" fontId="62" fillId="0" borderId="37" xfId="3" applyNumberFormat="1" applyFont="1" applyBorder="1" applyAlignment="1">
      <alignment horizontal="right" vertical="top" shrinkToFit="1"/>
    </xf>
    <xf numFmtId="1" fontId="62" fillId="0" borderId="36" xfId="3" applyNumberFormat="1" applyFont="1" applyBorder="1" applyAlignment="1">
      <alignment horizontal="right" indent="1" shrinkToFit="1"/>
    </xf>
    <xf numFmtId="1" fontId="62" fillId="0" borderId="36" xfId="3" applyNumberFormat="1" applyFont="1" applyBorder="1" applyAlignment="1">
      <alignment horizontal="right" shrinkToFit="1"/>
    </xf>
    <xf numFmtId="0" fontId="59" fillId="0" borderId="35" xfId="3" applyFont="1" applyBorder="1" applyAlignment="1">
      <alignment horizontal="right" vertical="top" wrapText="1" indent="2"/>
    </xf>
    <xf numFmtId="174" fontId="62" fillId="0" borderId="36" xfId="3" applyNumberFormat="1" applyFont="1" applyBorder="1" applyAlignment="1">
      <alignment horizontal="right" indent="1" shrinkToFit="1"/>
    </xf>
    <xf numFmtId="174" fontId="62" fillId="0" borderId="36" xfId="3" applyNumberFormat="1" applyFont="1" applyBorder="1" applyAlignment="1">
      <alignment horizontal="left" shrinkToFit="1"/>
    </xf>
    <xf numFmtId="1" fontId="65" fillId="0" borderId="35" xfId="3" applyNumberFormat="1" applyFont="1" applyBorder="1" applyAlignment="1">
      <alignment horizontal="center" vertical="top" shrinkToFit="1"/>
    </xf>
    <xf numFmtId="0" fontId="64" fillId="0" borderId="36" xfId="3" applyFont="1" applyBorder="1" applyAlignment="1">
      <alignment horizontal="left" vertical="center" wrapText="1"/>
    </xf>
    <xf numFmtId="173" fontId="65" fillId="0" borderId="36" xfId="3" applyNumberFormat="1" applyFont="1" applyBorder="1" applyAlignment="1">
      <alignment horizontal="right" vertical="center" indent="2" shrinkToFit="1"/>
    </xf>
    <xf numFmtId="173" fontId="65" fillId="0" borderId="36" xfId="3" applyNumberFormat="1" applyFont="1" applyBorder="1" applyAlignment="1">
      <alignment horizontal="right" vertical="center" shrinkToFit="1"/>
    </xf>
    <xf numFmtId="0" fontId="64" fillId="0" borderId="0" xfId="3" applyFont="1" applyAlignment="1">
      <alignment horizontal="left" vertical="top" wrapText="1"/>
    </xf>
    <xf numFmtId="0" fontId="64" fillId="0" borderId="35" xfId="3" applyFont="1" applyBorder="1" applyAlignment="1">
      <alignment horizontal="left" vertical="top" wrapText="1" indent="1"/>
    </xf>
    <xf numFmtId="172" fontId="65" fillId="0" borderId="35" xfId="3" applyNumberFormat="1" applyFont="1" applyBorder="1" applyAlignment="1">
      <alignment horizontal="right" vertical="top" indent="1" shrinkToFit="1"/>
    </xf>
    <xf numFmtId="1" fontId="65" fillId="0" borderId="35" xfId="3" applyNumberFormat="1" applyFont="1" applyBorder="1" applyAlignment="1">
      <alignment horizontal="right" vertical="top" shrinkToFit="1"/>
    </xf>
    <xf numFmtId="0" fontId="64" fillId="0" borderId="37" xfId="3" applyFont="1" applyBorder="1" applyAlignment="1">
      <alignment horizontal="left" vertical="top" wrapText="1"/>
    </xf>
    <xf numFmtId="172" fontId="65" fillId="0" borderId="37" xfId="3" applyNumberFormat="1" applyFont="1" applyBorder="1" applyAlignment="1">
      <alignment horizontal="right" vertical="top" indent="1" shrinkToFit="1"/>
    </xf>
    <xf numFmtId="1" fontId="65" fillId="0" borderId="37" xfId="3" applyNumberFormat="1" applyFont="1" applyBorder="1" applyAlignment="1">
      <alignment horizontal="right" vertical="top" shrinkToFit="1"/>
    </xf>
    <xf numFmtId="173" fontId="65" fillId="0" borderId="37" xfId="3" applyNumberFormat="1" applyFont="1" applyBorder="1" applyAlignment="1">
      <alignment horizontal="right" vertical="top" indent="2" shrinkToFit="1"/>
    </xf>
    <xf numFmtId="173" fontId="65" fillId="0" borderId="37" xfId="3" applyNumberFormat="1" applyFont="1" applyBorder="1" applyAlignment="1">
      <alignment horizontal="right" vertical="top" shrinkToFit="1"/>
    </xf>
    <xf numFmtId="172" fontId="65" fillId="0" borderId="36" xfId="3" applyNumberFormat="1" applyFont="1" applyBorder="1" applyAlignment="1">
      <alignment horizontal="right" indent="1" shrinkToFit="1"/>
    </xf>
    <xf numFmtId="1" fontId="65" fillId="0" borderId="36" xfId="3" applyNumberFormat="1" applyFont="1" applyBorder="1" applyAlignment="1">
      <alignment horizontal="right" shrinkToFit="1"/>
    </xf>
    <xf numFmtId="0" fontId="64" fillId="0" borderId="35" xfId="3" applyFont="1" applyBorder="1" applyAlignment="1">
      <alignment horizontal="right" vertical="top" wrapText="1" indent="2"/>
    </xf>
    <xf numFmtId="175" fontId="65" fillId="0" borderId="37" xfId="3" applyNumberFormat="1" applyFont="1" applyBorder="1" applyAlignment="1">
      <alignment horizontal="right" vertical="top" indent="1" shrinkToFit="1"/>
    </xf>
    <xf numFmtId="1" fontId="65" fillId="0" borderId="36" xfId="3" applyNumberFormat="1" applyFont="1" applyBorder="1" applyAlignment="1">
      <alignment horizontal="right" indent="2" shrinkToFit="1"/>
    </xf>
    <xf numFmtId="0" fontId="64" fillId="0" borderId="36" xfId="3" applyFont="1" applyBorder="1" applyAlignment="1">
      <alignment horizontal="left" vertical="top" wrapText="1"/>
    </xf>
    <xf numFmtId="0" fontId="67" fillId="0" borderId="36" xfId="3" applyFont="1" applyBorder="1" applyAlignment="1">
      <alignment horizontal="left" vertical="top" wrapText="1" indent="1"/>
    </xf>
    <xf numFmtId="0" fontId="67" fillId="0" borderId="0" xfId="3" applyFont="1" applyAlignment="1">
      <alignment horizontal="left" vertical="top" wrapText="1"/>
    </xf>
    <xf numFmtId="1" fontId="69" fillId="0" borderId="0" xfId="3" applyNumberFormat="1" applyFont="1" applyAlignment="1">
      <alignment horizontal="right" vertical="top" shrinkToFit="1"/>
    </xf>
    <xf numFmtId="176" fontId="69" fillId="0" borderId="0" xfId="3" applyNumberFormat="1" applyFont="1" applyAlignment="1">
      <alignment horizontal="right" vertical="top" shrinkToFit="1"/>
    </xf>
    <xf numFmtId="0" fontId="67" fillId="0" borderId="0" xfId="3" applyFont="1" applyAlignment="1">
      <alignment horizontal="right" vertical="top" wrapText="1"/>
    </xf>
    <xf numFmtId="0" fontId="70" fillId="0" borderId="0" xfId="3" applyFont="1" applyAlignment="1">
      <alignment horizontal="left" vertical="top" wrapText="1" indent="7"/>
    </xf>
    <xf numFmtId="0" fontId="70" fillId="0" borderId="0" xfId="3" applyFont="1" applyAlignment="1">
      <alignment horizontal="center" vertical="top" wrapText="1"/>
    </xf>
    <xf numFmtId="1" fontId="71" fillId="0" borderId="0" xfId="3" applyNumberFormat="1" applyFont="1" applyAlignment="1">
      <alignment horizontal="right" vertical="top" shrinkToFit="1"/>
    </xf>
    <xf numFmtId="172" fontId="71" fillId="0" borderId="0" xfId="3" applyNumberFormat="1" applyFont="1" applyAlignment="1">
      <alignment horizontal="left" vertical="top" indent="4" shrinkToFit="1"/>
    </xf>
    <xf numFmtId="1" fontId="71" fillId="0" borderId="0" xfId="3" applyNumberFormat="1" applyFont="1" applyAlignment="1">
      <alignment horizontal="left" vertical="top" indent="1" shrinkToFit="1"/>
    </xf>
    <xf numFmtId="0" fontId="68" fillId="0" borderId="0" xfId="3" applyFont="1" applyAlignment="1">
      <alignment horizontal="left" vertical="top" wrapText="1" indent="7"/>
    </xf>
    <xf numFmtId="0" fontId="70" fillId="0" borderId="0" xfId="3" applyFont="1" applyAlignment="1">
      <alignment horizontal="left" vertical="top" wrapText="1" indent="8"/>
    </xf>
    <xf numFmtId="0" fontId="70" fillId="0" borderId="35" xfId="3" applyFont="1" applyBorder="1" applyAlignment="1">
      <alignment horizontal="center" vertical="top" wrapText="1"/>
    </xf>
    <xf numFmtId="172" fontId="71" fillId="0" borderId="35" xfId="3" applyNumberFormat="1" applyFont="1" applyBorder="1" applyAlignment="1">
      <alignment horizontal="left" vertical="top" indent="4" shrinkToFit="1"/>
    </xf>
    <xf numFmtId="172" fontId="71" fillId="0" borderId="35" xfId="3" applyNumberFormat="1" applyFont="1" applyBorder="1" applyAlignment="1">
      <alignment horizontal="right" vertical="top" shrinkToFit="1"/>
    </xf>
    <xf numFmtId="0" fontId="67" fillId="0" borderId="37" xfId="3" applyFont="1" applyBorder="1" applyAlignment="1">
      <alignment horizontal="center" vertical="center" wrapText="1"/>
    </xf>
    <xf numFmtId="172" fontId="69" fillId="0" borderId="37" xfId="3" applyNumberFormat="1" applyFont="1" applyBorder="1" applyAlignment="1">
      <alignment horizontal="left" vertical="center" indent="4" shrinkToFit="1"/>
    </xf>
    <xf numFmtId="172" fontId="69" fillId="0" borderId="37" xfId="3" applyNumberFormat="1" applyFont="1" applyBorder="1" applyAlignment="1">
      <alignment horizontal="right" vertical="center" shrinkToFit="1"/>
    </xf>
    <xf numFmtId="0" fontId="67" fillId="0" borderId="37" xfId="3" applyFont="1" applyBorder="1" applyAlignment="1">
      <alignment horizontal="center" vertical="top" wrapText="1"/>
    </xf>
    <xf numFmtId="172" fontId="69" fillId="0" borderId="37" xfId="3" applyNumberFormat="1" applyFont="1" applyBorder="1" applyAlignment="1">
      <alignment horizontal="left" vertical="top" indent="4" shrinkToFit="1"/>
    </xf>
    <xf numFmtId="1" fontId="69" fillId="0" borderId="37" xfId="3" applyNumberFormat="1" applyFont="1" applyBorder="1" applyAlignment="1">
      <alignment horizontal="right" vertical="top" shrinkToFit="1"/>
    </xf>
    <xf numFmtId="1" fontId="69" fillId="0" borderId="37" xfId="3" applyNumberFormat="1" applyFont="1" applyBorder="1" applyAlignment="1">
      <alignment horizontal="left" vertical="top" indent="1" shrinkToFit="1"/>
    </xf>
    <xf numFmtId="0" fontId="70" fillId="0" borderId="0" xfId="3" applyFont="1" applyAlignment="1">
      <alignment horizontal="left" vertical="center" wrapText="1" indent="7"/>
    </xf>
    <xf numFmtId="0" fontId="70" fillId="0" borderId="0" xfId="3" applyFont="1" applyAlignment="1">
      <alignment horizontal="right" vertical="top" wrapText="1"/>
    </xf>
    <xf numFmtId="0" fontId="70" fillId="0" borderId="0" xfId="3" applyFont="1" applyAlignment="1">
      <alignment horizontal="right" vertical="top" wrapText="1" indent="1"/>
    </xf>
    <xf numFmtId="172" fontId="71" fillId="0" borderId="0" xfId="3" applyNumberFormat="1" applyFont="1" applyAlignment="1">
      <alignment horizontal="right" vertical="top" indent="1" shrinkToFit="1"/>
    </xf>
    <xf numFmtId="172" fontId="71" fillId="0" borderId="0" xfId="3" applyNumberFormat="1" applyFont="1" applyAlignment="1">
      <alignment horizontal="right" vertical="top" shrinkToFit="1"/>
    </xf>
    <xf numFmtId="1" fontId="71" fillId="0" borderId="0" xfId="3" applyNumberFormat="1" applyFont="1" applyAlignment="1">
      <alignment horizontal="left" vertical="top" indent="4" shrinkToFit="1"/>
    </xf>
    <xf numFmtId="1" fontId="71" fillId="0" borderId="0" xfId="3" applyNumberFormat="1" applyFont="1" applyAlignment="1">
      <alignment horizontal="left" vertical="top" indent="5" shrinkToFit="1"/>
    </xf>
    <xf numFmtId="0" fontId="70" fillId="0" borderId="0" xfId="3" applyFont="1" applyAlignment="1">
      <alignment horizontal="right" vertical="center" wrapText="1" indent="1"/>
    </xf>
    <xf numFmtId="0" fontId="70" fillId="0" borderId="0" xfId="3" applyFont="1" applyAlignment="1">
      <alignment horizontal="center" vertical="center" wrapText="1"/>
    </xf>
    <xf numFmtId="1" fontId="71" fillId="0" borderId="0" xfId="3" applyNumberFormat="1" applyFont="1" applyAlignment="1">
      <alignment horizontal="left" vertical="center" indent="4" shrinkToFit="1"/>
    </xf>
    <xf numFmtId="0" fontId="70" fillId="0" borderId="35" xfId="3" applyFont="1" applyBorder="1" applyAlignment="1">
      <alignment horizontal="right" vertical="top" wrapText="1"/>
    </xf>
    <xf numFmtId="0" fontId="70" fillId="0" borderId="35" xfId="3" applyFont="1" applyBorder="1" applyAlignment="1">
      <alignment horizontal="right" vertical="top" wrapText="1" indent="1"/>
    </xf>
    <xf numFmtId="172" fontId="71" fillId="0" borderId="35" xfId="3" applyNumberFormat="1" applyFont="1" applyBorder="1" applyAlignment="1">
      <alignment horizontal="left" vertical="top" indent="5" shrinkToFit="1"/>
    </xf>
    <xf numFmtId="0" fontId="67" fillId="0" borderId="37" xfId="3" applyFont="1" applyBorder="1" applyAlignment="1">
      <alignment horizontal="left" vertical="top" wrapText="1" indent="7"/>
    </xf>
    <xf numFmtId="173" fontId="69" fillId="0" borderId="37" xfId="3" applyNumberFormat="1" applyFont="1" applyBorder="1" applyAlignment="1">
      <alignment horizontal="left" vertical="top" shrinkToFit="1"/>
    </xf>
    <xf numFmtId="175" fontId="69" fillId="0" borderId="37" xfId="3" applyNumberFormat="1" applyFont="1" applyBorder="1" applyAlignment="1">
      <alignment horizontal="left" vertical="top" shrinkToFit="1"/>
    </xf>
    <xf numFmtId="3" fontId="69" fillId="0" borderId="37" xfId="3" applyNumberFormat="1" applyFont="1" applyBorder="1" applyAlignment="1">
      <alignment horizontal="right" vertical="top" shrinkToFit="1"/>
    </xf>
    <xf numFmtId="176" fontId="69" fillId="0" borderId="37" xfId="3" applyNumberFormat="1" applyFont="1" applyBorder="1" applyAlignment="1">
      <alignment horizontal="right" vertical="top" shrinkToFit="1"/>
    </xf>
    <xf numFmtId="0" fontId="67" fillId="0" borderId="37" xfId="3" applyFont="1" applyBorder="1" applyAlignment="1">
      <alignment horizontal="right" vertical="top" wrapText="1"/>
    </xf>
    <xf numFmtId="0" fontId="70" fillId="0" borderId="36" xfId="3" applyFont="1" applyBorder="1" applyAlignment="1">
      <alignment horizontal="left" wrapText="1" indent="7"/>
    </xf>
    <xf numFmtId="173" fontId="69" fillId="0" borderId="0" xfId="3" applyNumberFormat="1" applyFont="1" applyAlignment="1">
      <alignment horizontal="right" vertical="top" shrinkToFit="1"/>
    </xf>
    <xf numFmtId="1" fontId="69" fillId="0" borderId="0" xfId="3" applyNumberFormat="1" applyFont="1" applyAlignment="1">
      <alignment horizontal="left" vertical="top" indent="1" shrinkToFit="1"/>
    </xf>
    <xf numFmtId="0" fontId="72" fillId="0" borderId="35" xfId="3" applyFont="1" applyBorder="1" applyAlignment="1">
      <alignment horizontal="left" vertical="top" wrapText="1" indent="1"/>
    </xf>
    <xf numFmtId="0" fontId="67" fillId="0" borderId="37" xfId="3" applyFont="1" applyBorder="1" applyAlignment="1">
      <alignment horizontal="left" vertical="top" wrapText="1" indent="1"/>
    </xf>
    <xf numFmtId="0" fontId="70" fillId="0" borderId="35" xfId="3" applyFont="1" applyBorder="1" applyAlignment="1">
      <alignment horizontal="left" vertical="top" wrapText="1" indent="7"/>
    </xf>
    <xf numFmtId="0" fontId="70" fillId="0" borderId="35" xfId="3" applyFont="1" applyBorder="1" applyAlignment="1">
      <alignment horizontal="right" vertical="center" wrapText="1" indent="1"/>
    </xf>
    <xf numFmtId="0" fontId="57" fillId="0" borderId="35" xfId="3" applyBorder="1" applyAlignment="1">
      <alignment horizontal="left" vertical="top" wrapText="1"/>
    </xf>
    <xf numFmtId="173" fontId="69" fillId="0" borderId="37" xfId="3" applyNumberFormat="1" applyFont="1" applyBorder="1" applyAlignment="1">
      <alignment horizontal="right" vertical="top" shrinkToFit="1"/>
    </xf>
    <xf numFmtId="0" fontId="67" fillId="0" borderId="37" xfId="3" applyFont="1" applyBorder="1" applyAlignment="1">
      <alignment horizontal="left" vertical="top" wrapText="1"/>
    </xf>
    <xf numFmtId="0" fontId="70" fillId="0" borderId="36" xfId="3" applyFont="1" applyBorder="1" applyAlignment="1">
      <alignment horizontal="left" vertical="center" wrapText="1" indent="7"/>
    </xf>
    <xf numFmtId="0" fontId="59" fillId="0" borderId="36" xfId="3" applyFont="1" applyBorder="1" applyAlignment="1">
      <alignment horizontal="left" vertical="top" wrapText="1"/>
    </xf>
    <xf numFmtId="0" fontId="59" fillId="0" borderId="0" xfId="3" applyFont="1" applyAlignment="1">
      <alignment horizontal="left" vertical="top" wrapText="1" indent="2"/>
    </xf>
    <xf numFmtId="0" fontId="59" fillId="0" borderId="0" xfId="3" applyFont="1" applyAlignment="1">
      <alignment horizontal="left" vertical="top" wrapText="1" indent="3"/>
    </xf>
    <xf numFmtId="173" fontId="62" fillId="0" borderId="37" xfId="3" applyNumberFormat="1" applyFont="1" applyBorder="1" applyAlignment="1">
      <alignment horizontal="right" vertical="top" indent="1" shrinkToFit="1"/>
    </xf>
    <xf numFmtId="0" fontId="0" fillId="6" borderId="0" xfId="0" applyFill="1"/>
    <xf numFmtId="0" fontId="9" fillId="0" borderId="26" xfId="0" applyFont="1" applyBorder="1"/>
    <xf numFmtId="0" fontId="59" fillId="0" borderId="35" xfId="3" applyFont="1" applyBorder="1" applyAlignment="1">
      <alignment horizontal="right" vertical="top" wrapText="1" indent="5"/>
    </xf>
    <xf numFmtId="0" fontId="79" fillId="0" borderId="36" xfId="3" applyFont="1" applyBorder="1" applyAlignment="1">
      <alignment horizontal="left" vertical="top" wrapText="1"/>
    </xf>
    <xf numFmtId="0" fontId="57" fillId="0" borderId="0" xfId="3" applyAlignment="1">
      <alignment horizontal="left" vertical="top" wrapText="1"/>
    </xf>
    <xf numFmtId="3" fontId="62" fillId="0" borderId="0" xfId="3" applyNumberFormat="1" applyFont="1" applyAlignment="1">
      <alignment horizontal="right" vertical="center" indent="1" shrinkToFit="1"/>
    </xf>
    <xf numFmtId="1" fontId="62" fillId="0" borderId="0" xfId="3" applyNumberFormat="1" applyFont="1" applyAlignment="1">
      <alignment horizontal="center" vertical="center" shrinkToFit="1"/>
    </xf>
    <xf numFmtId="1" fontId="62" fillId="0" borderId="0" xfId="3" applyNumberFormat="1" applyFont="1" applyAlignment="1">
      <alignment horizontal="center" vertical="top" shrinkToFit="1"/>
    </xf>
    <xf numFmtId="0" fontId="59" fillId="0" borderId="35" xfId="3" applyFont="1" applyBorder="1" applyAlignment="1">
      <alignment horizontal="left" vertical="top" wrapText="1" indent="2"/>
    </xf>
    <xf numFmtId="1" fontId="62" fillId="0" borderId="35" xfId="3" applyNumberFormat="1" applyFont="1" applyBorder="1" applyAlignment="1">
      <alignment horizontal="center" vertical="top" shrinkToFit="1"/>
    </xf>
    <xf numFmtId="3" fontId="62" fillId="0" borderId="36" xfId="3" applyNumberFormat="1" applyFont="1" applyBorder="1" applyAlignment="1">
      <alignment horizontal="center" vertical="top" shrinkToFit="1"/>
    </xf>
    <xf numFmtId="3" fontId="62" fillId="0" borderId="35" xfId="3" applyNumberFormat="1" applyFont="1" applyBorder="1" applyAlignment="1">
      <alignment horizontal="center" vertical="top" shrinkToFit="1"/>
    </xf>
    <xf numFmtId="3" fontId="62" fillId="0" borderId="37" xfId="3" applyNumberFormat="1" applyFont="1" applyBorder="1" applyAlignment="1">
      <alignment horizontal="center" vertical="top" shrinkToFit="1"/>
    </xf>
    <xf numFmtId="0" fontId="79" fillId="0" borderId="0" xfId="3" applyFont="1" applyAlignment="1">
      <alignment horizontal="left" vertical="top" wrapText="1"/>
    </xf>
    <xf numFmtId="0" fontId="59" fillId="0" borderId="0" xfId="3" applyFont="1" applyAlignment="1">
      <alignment horizontal="right" vertical="top" wrapText="1"/>
    </xf>
    <xf numFmtId="3" fontId="62" fillId="0" borderId="0" xfId="3" applyNumberFormat="1" applyFont="1" applyAlignment="1">
      <alignment horizontal="center" vertical="top" shrinkToFit="1"/>
    </xf>
    <xf numFmtId="1" fontId="62" fillId="0" borderId="36" xfId="3" applyNumberFormat="1" applyFont="1" applyBorder="1" applyAlignment="1">
      <alignment horizontal="center" vertical="center" shrinkToFit="1"/>
    </xf>
    <xf numFmtId="172" fontId="62" fillId="0" borderId="0" xfId="3" applyNumberFormat="1" applyFont="1" applyAlignment="1">
      <alignment horizontal="right" vertical="top" indent="6" shrinkToFit="1"/>
    </xf>
    <xf numFmtId="3" fontId="62" fillId="0" borderId="36" xfId="3" applyNumberFormat="1" applyFont="1" applyBorder="1" applyAlignment="1">
      <alignment horizontal="right" vertical="top" indent="6" shrinkToFit="1"/>
    </xf>
    <xf numFmtId="1" fontId="84" fillId="0" borderId="35" xfId="3" applyNumberFormat="1" applyFont="1" applyBorder="1" applyAlignment="1">
      <alignment horizontal="right" vertical="top" shrinkToFit="1"/>
    </xf>
    <xf numFmtId="0" fontId="83" fillId="0" borderId="36" xfId="3" applyFont="1" applyBorder="1" applyAlignment="1">
      <alignment horizontal="left" wrapText="1"/>
    </xf>
    <xf numFmtId="0" fontId="83" fillId="0" borderId="0" xfId="3" applyFont="1" applyAlignment="1">
      <alignment horizontal="left" vertical="top" wrapText="1" indent="1"/>
    </xf>
    <xf numFmtId="173" fontId="84" fillId="0" borderId="0" xfId="3" applyNumberFormat="1" applyFont="1" applyAlignment="1">
      <alignment horizontal="right" vertical="top" indent="1" shrinkToFit="1"/>
    </xf>
    <xf numFmtId="173" fontId="84" fillId="0" borderId="0" xfId="3" applyNumberFormat="1" applyFont="1" applyAlignment="1">
      <alignment horizontal="right" vertical="top" shrinkToFit="1"/>
    </xf>
    <xf numFmtId="3" fontId="84" fillId="0" borderId="0" xfId="3" applyNumberFormat="1" applyFont="1" applyAlignment="1">
      <alignment horizontal="right" vertical="top" indent="1" shrinkToFit="1"/>
    </xf>
    <xf numFmtId="3" fontId="84" fillId="0" borderId="0" xfId="3" applyNumberFormat="1" applyFont="1" applyAlignment="1">
      <alignment horizontal="right" vertical="top" shrinkToFit="1"/>
    </xf>
    <xf numFmtId="1" fontId="84" fillId="0" borderId="0" xfId="3" applyNumberFormat="1" applyFont="1" applyAlignment="1">
      <alignment horizontal="right" vertical="top" indent="1" shrinkToFit="1"/>
    </xf>
    <xf numFmtId="1" fontId="84" fillId="0" borderId="0" xfId="3" applyNumberFormat="1" applyFont="1" applyAlignment="1">
      <alignment horizontal="right" vertical="top" shrinkToFit="1"/>
    </xf>
    <xf numFmtId="0" fontId="83" fillId="0" borderId="35" xfId="3" applyFont="1" applyBorder="1" applyAlignment="1">
      <alignment horizontal="left" vertical="top" wrapText="1" indent="1"/>
    </xf>
    <xf numFmtId="3" fontId="84" fillId="0" borderId="35" xfId="3" applyNumberFormat="1" applyFont="1" applyBorder="1" applyAlignment="1">
      <alignment horizontal="right" vertical="top" indent="1" shrinkToFit="1"/>
    </xf>
    <xf numFmtId="3" fontId="84" fillId="0" borderId="35" xfId="3" applyNumberFormat="1" applyFont="1" applyBorder="1" applyAlignment="1">
      <alignment horizontal="right" vertical="top" shrinkToFit="1"/>
    </xf>
    <xf numFmtId="0" fontId="57" fillId="3" borderId="36" xfId="3" applyFill="1" applyBorder="1" applyAlignment="1">
      <alignment horizontal="left" wrapText="1"/>
    </xf>
    <xf numFmtId="3" fontId="84" fillId="3" borderId="36" xfId="3" applyNumberFormat="1" applyFont="1" applyFill="1" applyBorder="1" applyAlignment="1">
      <alignment horizontal="right" vertical="top" indent="1" shrinkToFit="1"/>
    </xf>
    <xf numFmtId="3" fontId="84" fillId="3" borderId="36" xfId="3" applyNumberFormat="1" applyFont="1" applyFill="1" applyBorder="1" applyAlignment="1">
      <alignment horizontal="right" vertical="top" shrinkToFit="1"/>
    </xf>
    <xf numFmtId="0" fontId="57" fillId="3" borderId="0" xfId="3" applyFill="1" applyAlignment="1">
      <alignment horizontal="left" vertical="top"/>
    </xf>
    <xf numFmtId="0" fontId="83" fillId="0" borderId="0" xfId="3" applyFont="1" applyAlignment="1">
      <alignment horizontal="left" vertical="top" wrapText="1"/>
    </xf>
    <xf numFmtId="3" fontId="84" fillId="0" borderId="0" xfId="3" applyNumberFormat="1" applyFont="1" applyAlignment="1">
      <alignment horizontal="right" vertical="center" indent="1" shrinkToFit="1"/>
    </xf>
    <xf numFmtId="3" fontId="84" fillId="0" borderId="0" xfId="3" applyNumberFormat="1" applyFont="1" applyAlignment="1">
      <alignment horizontal="right" vertical="center" shrinkToFit="1"/>
    </xf>
    <xf numFmtId="0" fontId="83" fillId="3" borderId="0" xfId="3" applyFont="1" applyFill="1" applyAlignment="1">
      <alignment horizontal="left" vertical="top" wrapText="1" indent="1"/>
    </xf>
    <xf numFmtId="1" fontId="84" fillId="3" borderId="0" xfId="3" applyNumberFormat="1" applyFont="1" applyFill="1" applyAlignment="1">
      <alignment horizontal="right" vertical="top" indent="1" shrinkToFit="1"/>
    </xf>
    <xf numFmtId="1" fontId="84" fillId="3" borderId="0" xfId="3" applyNumberFormat="1" applyFont="1" applyFill="1" applyAlignment="1">
      <alignment horizontal="right" vertical="top" shrinkToFit="1"/>
    </xf>
    <xf numFmtId="0" fontId="83" fillId="3" borderId="35" xfId="3" applyFont="1" applyFill="1" applyBorder="1" applyAlignment="1">
      <alignment horizontal="left" vertical="top" wrapText="1" indent="1"/>
    </xf>
    <xf numFmtId="1" fontId="84" fillId="3" borderId="35" xfId="3" applyNumberFormat="1" applyFont="1" applyFill="1" applyBorder="1" applyAlignment="1">
      <alignment horizontal="right" vertical="top" indent="1" shrinkToFit="1"/>
    </xf>
    <xf numFmtId="1" fontId="84" fillId="3" borderId="35" xfId="3" applyNumberFormat="1" applyFont="1" applyFill="1" applyBorder="1" applyAlignment="1">
      <alignment horizontal="right" vertical="top" shrinkToFit="1"/>
    </xf>
    <xf numFmtId="3" fontId="84" fillId="0" borderId="36" xfId="3" applyNumberFormat="1" applyFont="1" applyBorder="1" applyAlignment="1">
      <alignment horizontal="right" vertical="top" indent="1" shrinkToFit="1"/>
    </xf>
    <xf numFmtId="3" fontId="84" fillId="0" borderId="36" xfId="3" applyNumberFormat="1" applyFont="1" applyBorder="1" applyAlignment="1">
      <alignment horizontal="right" vertical="top" shrinkToFit="1"/>
    </xf>
    <xf numFmtId="0" fontId="83" fillId="0" borderId="0" xfId="3" applyFont="1" applyAlignment="1">
      <alignment horizontal="left" vertical="center" wrapText="1"/>
    </xf>
    <xf numFmtId="1" fontId="84" fillId="0" borderId="0" xfId="3" applyNumberFormat="1" applyFont="1" applyAlignment="1">
      <alignment horizontal="right" vertical="center" indent="1" shrinkToFit="1"/>
    </xf>
    <xf numFmtId="172" fontId="84" fillId="0" borderId="0" xfId="3" applyNumberFormat="1" applyFont="1" applyAlignment="1">
      <alignment horizontal="right" vertical="center" shrinkToFit="1"/>
    </xf>
    <xf numFmtId="172" fontId="84" fillId="0" borderId="0" xfId="3" applyNumberFormat="1" applyFont="1" applyAlignment="1">
      <alignment horizontal="right" vertical="top" shrinkToFit="1"/>
    </xf>
    <xf numFmtId="0" fontId="83" fillId="0" borderId="0" xfId="3" applyFont="1" applyAlignment="1">
      <alignment horizontal="right" vertical="top" wrapText="1" indent="2"/>
    </xf>
    <xf numFmtId="0" fontId="83" fillId="0" borderId="35" xfId="3" applyFont="1" applyBorder="1" applyAlignment="1">
      <alignment horizontal="left" vertical="top" wrapText="1"/>
    </xf>
    <xf numFmtId="1" fontId="84" fillId="0" borderId="35" xfId="3" applyNumberFormat="1" applyFont="1" applyBorder="1" applyAlignment="1">
      <alignment horizontal="right" vertical="top" indent="1" shrinkToFit="1"/>
    </xf>
    <xf numFmtId="1" fontId="84" fillId="3" borderId="36" xfId="3" applyNumberFormat="1" applyFont="1" applyFill="1" applyBorder="1" applyAlignment="1">
      <alignment horizontal="right" vertical="top" indent="1" shrinkToFit="1"/>
    </xf>
    <xf numFmtId="1" fontId="84" fillId="3" borderId="36" xfId="3" applyNumberFormat="1" applyFont="1" applyFill="1" applyBorder="1" applyAlignment="1">
      <alignment horizontal="right" vertical="top" shrinkToFit="1"/>
    </xf>
    <xf numFmtId="172" fontId="84" fillId="0" borderId="35" xfId="3" applyNumberFormat="1" applyFont="1" applyBorder="1" applyAlignment="1">
      <alignment horizontal="right" vertical="top" shrinkToFit="1"/>
    </xf>
    <xf numFmtId="0" fontId="83" fillId="0" borderId="37" xfId="3" applyFont="1" applyBorder="1" applyAlignment="1">
      <alignment horizontal="left" vertical="top" wrapText="1"/>
    </xf>
    <xf numFmtId="1" fontId="84" fillId="0" borderId="37" xfId="3" applyNumberFormat="1" applyFont="1" applyBorder="1" applyAlignment="1">
      <alignment horizontal="right" vertical="top" indent="1" shrinkToFit="1"/>
    </xf>
    <xf numFmtId="1" fontId="84" fillId="0" borderId="37" xfId="3" applyNumberFormat="1" applyFont="1" applyBorder="1" applyAlignment="1">
      <alignment horizontal="right" vertical="top" shrinkToFit="1"/>
    </xf>
    <xf numFmtId="0" fontId="83" fillId="3" borderId="37" xfId="3" applyFont="1" applyFill="1" applyBorder="1" applyAlignment="1">
      <alignment horizontal="left" vertical="top" wrapText="1"/>
    </xf>
    <xf numFmtId="1" fontId="84" fillId="3" borderId="37" xfId="3" applyNumberFormat="1" applyFont="1" applyFill="1" applyBorder="1" applyAlignment="1">
      <alignment horizontal="right" vertical="top" indent="1" shrinkToFit="1"/>
    </xf>
    <xf numFmtId="1" fontId="84" fillId="3" borderId="37" xfId="3" applyNumberFormat="1" applyFont="1" applyFill="1" applyBorder="1" applyAlignment="1">
      <alignment horizontal="right" vertical="top" shrinkToFit="1"/>
    </xf>
    <xf numFmtId="1" fontId="84" fillId="0" borderId="36" xfId="3" applyNumberFormat="1" applyFont="1" applyBorder="1" applyAlignment="1">
      <alignment horizontal="right" indent="1" shrinkToFit="1"/>
    </xf>
    <xf numFmtId="1" fontId="84" fillId="0" borderId="36" xfId="3" applyNumberFormat="1" applyFont="1" applyBorder="1" applyAlignment="1">
      <alignment horizontal="right" shrinkToFit="1"/>
    </xf>
    <xf numFmtId="1" fontId="57" fillId="0" borderId="0" xfId="3" applyNumberFormat="1" applyAlignment="1">
      <alignment horizontal="left" vertical="top"/>
    </xf>
    <xf numFmtId="174" fontId="84" fillId="0" borderId="36" xfId="3" applyNumberFormat="1" applyFont="1" applyBorder="1" applyAlignment="1">
      <alignment horizontal="right" indent="1" shrinkToFit="1"/>
    </xf>
    <xf numFmtId="174" fontId="84" fillId="0" borderId="36" xfId="3" applyNumberFormat="1" applyFont="1" applyBorder="1" applyAlignment="1">
      <alignment horizontal="right" shrinkToFit="1"/>
    </xf>
    <xf numFmtId="0" fontId="87" fillId="0" borderId="0" xfId="3" applyFont="1" applyAlignment="1">
      <alignment horizontal="left" vertical="top" wrapText="1"/>
    </xf>
    <xf numFmtId="0" fontId="87" fillId="0" borderId="0" xfId="3" applyFont="1" applyAlignment="1">
      <alignment horizontal="left" vertical="top" wrapText="1" indent="1"/>
    </xf>
    <xf numFmtId="1" fontId="88" fillId="0" borderId="0" xfId="3" applyNumberFormat="1" applyFont="1" applyAlignment="1">
      <alignment horizontal="left" vertical="top" shrinkToFit="1"/>
    </xf>
    <xf numFmtId="3" fontId="88" fillId="0" borderId="0" xfId="3" applyNumberFormat="1" applyFont="1" applyAlignment="1">
      <alignment horizontal="right" vertical="top" shrinkToFit="1"/>
    </xf>
    <xf numFmtId="0" fontId="89" fillId="0" borderId="0" xfId="3" applyFont="1" applyAlignment="1">
      <alignment horizontal="left" vertical="top" wrapText="1"/>
    </xf>
    <xf numFmtId="0" fontId="72" fillId="0" borderId="0" xfId="3" applyFont="1" applyAlignment="1">
      <alignment horizontal="left" vertical="top" wrapText="1"/>
    </xf>
    <xf numFmtId="0" fontId="72" fillId="0" borderId="0" xfId="3" applyFont="1" applyAlignment="1">
      <alignment horizontal="right" vertical="top" wrapText="1"/>
    </xf>
    <xf numFmtId="1" fontId="90" fillId="0" borderId="0" xfId="3" applyNumberFormat="1" applyFont="1" applyAlignment="1">
      <alignment horizontal="right" vertical="top" shrinkToFit="1"/>
    </xf>
    <xf numFmtId="0" fontId="72" fillId="0" borderId="35" xfId="3" applyFont="1" applyBorder="1" applyAlignment="1">
      <alignment horizontal="center" vertical="top" wrapText="1"/>
    </xf>
    <xf numFmtId="1" fontId="90" fillId="0" borderId="35" xfId="3" applyNumberFormat="1" applyFont="1" applyBorder="1" applyAlignment="1">
      <alignment horizontal="right" vertical="top" shrinkToFit="1"/>
    </xf>
    <xf numFmtId="0" fontId="87" fillId="0" borderId="37" xfId="3" applyFont="1" applyBorder="1" applyAlignment="1">
      <alignment horizontal="left" vertical="center" wrapText="1"/>
    </xf>
    <xf numFmtId="0" fontId="87" fillId="0" borderId="37" xfId="3" applyFont="1" applyBorder="1" applyAlignment="1">
      <alignment horizontal="center" vertical="center" wrapText="1"/>
    </xf>
    <xf numFmtId="1" fontId="88" fillId="0" borderId="37" xfId="3" applyNumberFormat="1" applyFont="1" applyBorder="1" applyAlignment="1">
      <alignment horizontal="right" vertical="center" shrinkToFit="1"/>
    </xf>
    <xf numFmtId="0" fontId="87" fillId="0" borderId="37" xfId="3" applyFont="1" applyBorder="1" applyAlignment="1">
      <alignment horizontal="left" vertical="top" wrapText="1"/>
    </xf>
    <xf numFmtId="1" fontId="88" fillId="0" borderId="37" xfId="3" applyNumberFormat="1" applyFont="1" applyBorder="1" applyAlignment="1">
      <alignment horizontal="right" vertical="top" shrinkToFit="1"/>
    </xf>
    <xf numFmtId="0" fontId="72" fillId="0" borderId="36" xfId="3" applyFont="1" applyBorder="1" applyAlignment="1">
      <alignment horizontal="left" vertical="top" wrapText="1"/>
    </xf>
    <xf numFmtId="0" fontId="72" fillId="0" borderId="0" xfId="3" applyFont="1" applyAlignment="1">
      <alignment horizontal="left" vertical="top" wrapText="1" indent="1"/>
    </xf>
    <xf numFmtId="172" fontId="90" fillId="0" borderId="0" xfId="3" applyNumberFormat="1" applyFont="1" applyAlignment="1">
      <alignment horizontal="right" vertical="top" shrinkToFit="1"/>
    </xf>
    <xf numFmtId="0" fontId="72" fillId="0" borderId="0" xfId="3" applyFont="1" applyAlignment="1">
      <alignment horizontal="center" vertical="top" wrapText="1"/>
    </xf>
    <xf numFmtId="0" fontId="72" fillId="0" borderId="0" xfId="3" applyFont="1" applyAlignment="1">
      <alignment horizontal="center" vertical="center" wrapText="1"/>
    </xf>
    <xf numFmtId="1" fontId="90" fillId="0" borderId="0" xfId="3" applyNumberFormat="1" applyFont="1" applyAlignment="1">
      <alignment horizontal="right" vertical="center" shrinkToFit="1"/>
    </xf>
    <xf numFmtId="172" fontId="90" fillId="0" borderId="35" xfId="3" applyNumberFormat="1" applyFont="1" applyBorder="1" applyAlignment="1">
      <alignment horizontal="right" vertical="center" shrinkToFit="1"/>
    </xf>
    <xf numFmtId="0" fontId="72" fillId="0" borderId="35" xfId="3" applyFont="1" applyBorder="1" applyAlignment="1">
      <alignment horizontal="right" vertical="center" wrapText="1"/>
    </xf>
    <xf numFmtId="3" fontId="88" fillId="0" borderId="37" xfId="3" applyNumberFormat="1" applyFont="1" applyBorder="1" applyAlignment="1">
      <alignment horizontal="right" vertical="top" shrinkToFit="1"/>
    </xf>
    <xf numFmtId="1" fontId="88" fillId="0" borderId="37" xfId="3" applyNumberFormat="1" applyFont="1" applyBorder="1" applyAlignment="1">
      <alignment horizontal="left" vertical="top" shrinkToFit="1"/>
    </xf>
    <xf numFmtId="3" fontId="88" fillId="0" borderId="0" xfId="3" applyNumberFormat="1" applyFont="1" applyAlignment="1">
      <alignment horizontal="center" vertical="top" shrinkToFit="1"/>
    </xf>
    <xf numFmtId="1" fontId="90" fillId="0" borderId="0" xfId="3" applyNumberFormat="1" applyFont="1" applyAlignment="1">
      <alignment horizontal="center" vertical="top" shrinkToFit="1"/>
    </xf>
    <xf numFmtId="0" fontId="91" fillId="0" borderId="35" xfId="3" applyFont="1" applyBorder="1" applyAlignment="1">
      <alignment horizontal="center" vertical="top" wrapText="1"/>
    </xf>
    <xf numFmtId="172" fontId="90" fillId="0" borderId="35" xfId="3" applyNumberFormat="1" applyFont="1" applyBorder="1" applyAlignment="1">
      <alignment horizontal="center" vertical="top" shrinkToFit="1"/>
    </xf>
    <xf numFmtId="0" fontId="87" fillId="0" borderId="37" xfId="3" applyFont="1" applyBorder="1" applyAlignment="1">
      <alignment horizontal="center" vertical="top" wrapText="1"/>
    </xf>
    <xf numFmtId="172" fontId="88" fillId="0" borderId="37" xfId="3" applyNumberFormat="1" applyFont="1" applyBorder="1" applyAlignment="1">
      <alignment horizontal="center" vertical="top" shrinkToFit="1"/>
    </xf>
    <xf numFmtId="1" fontId="88" fillId="0" borderId="37" xfId="3" applyNumberFormat="1" applyFont="1" applyBorder="1" applyAlignment="1">
      <alignment horizontal="center" vertical="top" shrinkToFit="1"/>
    </xf>
    <xf numFmtId="0" fontId="72" fillId="0" borderId="0" xfId="3" applyFont="1" applyAlignment="1">
      <alignment horizontal="left" vertical="center" wrapText="1"/>
    </xf>
    <xf numFmtId="1" fontId="90" fillId="0" borderId="0" xfId="3" applyNumberFormat="1" applyFont="1" applyAlignment="1">
      <alignment horizontal="left" vertical="center" indent="1" shrinkToFit="1"/>
    </xf>
    <xf numFmtId="172" fontId="90" fillId="0" borderId="0" xfId="3" applyNumberFormat="1" applyFont="1" applyAlignment="1">
      <alignment horizontal="right" vertical="center" shrinkToFit="1"/>
    </xf>
    <xf numFmtId="0" fontId="72" fillId="0" borderId="0" xfId="3" applyFont="1" applyAlignment="1">
      <alignment horizontal="left" vertical="center" wrapText="1" indent="1"/>
    </xf>
    <xf numFmtId="1" fontId="90" fillId="0" borderId="0" xfId="3" applyNumberFormat="1" applyFont="1" applyAlignment="1">
      <alignment horizontal="center" vertical="center" shrinkToFit="1"/>
    </xf>
    <xf numFmtId="172" fontId="90" fillId="0" borderId="0" xfId="3" applyNumberFormat="1" applyFont="1" applyAlignment="1">
      <alignment horizontal="left" vertical="top" indent="1" shrinkToFit="1"/>
    </xf>
    <xf numFmtId="179" fontId="88" fillId="0" borderId="37" xfId="3" applyNumberFormat="1" applyFont="1" applyBorder="1" applyAlignment="1">
      <alignment horizontal="left" vertical="top" shrinkToFit="1"/>
    </xf>
    <xf numFmtId="0" fontId="72" fillId="0" borderId="36" xfId="3" applyFont="1" applyBorder="1" applyAlignment="1">
      <alignment horizontal="left" vertical="center" wrapText="1"/>
    </xf>
    <xf numFmtId="0" fontId="57" fillId="0" borderId="0" xfId="3" applyAlignment="1">
      <alignment horizontal="left" vertical="top" wrapText="1" indent="3"/>
    </xf>
    <xf numFmtId="0" fontId="59" fillId="0" borderId="0" xfId="3" applyFont="1" applyAlignment="1">
      <alignment vertical="top" wrapText="1"/>
    </xf>
    <xf numFmtId="0" fontId="57" fillId="0" borderId="0" xfId="3" applyAlignment="1">
      <alignment vertical="top" wrapText="1"/>
    </xf>
    <xf numFmtId="178" fontId="62" fillId="0" borderId="0" xfId="3" applyNumberFormat="1" applyFont="1" applyAlignment="1">
      <alignment vertical="top" shrinkToFit="1"/>
    </xf>
    <xf numFmtId="1" fontId="62" fillId="0" borderId="0" xfId="3" applyNumberFormat="1" applyFont="1" applyAlignment="1">
      <alignment vertical="top" shrinkToFit="1"/>
    </xf>
    <xf numFmtId="172" fontId="62" fillId="0" borderId="0" xfId="3" applyNumberFormat="1" applyFont="1" applyAlignment="1">
      <alignment vertical="top" shrinkToFit="1"/>
    </xf>
    <xf numFmtId="172" fontId="62" fillId="0" borderId="35" xfId="3" applyNumberFormat="1" applyFont="1" applyBorder="1" applyAlignment="1">
      <alignment vertical="top" shrinkToFit="1"/>
    </xf>
    <xf numFmtId="0" fontId="7" fillId="6" borderId="0" xfId="0" applyFont="1" applyFill="1" applyAlignment="1">
      <alignment horizontal="right"/>
    </xf>
    <xf numFmtId="170" fontId="0" fillId="0" borderId="0" xfId="2" applyNumberFormat="1" applyFont="1" applyAlignment="1">
      <alignment horizontal="right"/>
    </xf>
    <xf numFmtId="0" fontId="9" fillId="0" borderId="18" xfId="0" applyFont="1" applyBorder="1" applyAlignment="1">
      <alignment horizontal="center"/>
    </xf>
    <xf numFmtId="0" fontId="9" fillId="0" borderId="18" xfId="0" applyFont="1" applyBorder="1" applyAlignment="1">
      <alignment horizontal="centerContinuous"/>
    </xf>
    <xf numFmtId="0" fontId="0" fillId="13" borderId="21" xfId="0" applyFill="1" applyBorder="1"/>
    <xf numFmtId="0" fontId="9" fillId="13" borderId="18" xfId="0" applyFont="1" applyFill="1" applyBorder="1" applyAlignment="1">
      <alignment horizontal="center"/>
    </xf>
    <xf numFmtId="0" fontId="7" fillId="0" borderId="27" xfId="0" applyFont="1" applyBorder="1"/>
    <xf numFmtId="170" fontId="0" fillId="0" borderId="29" xfId="2" applyNumberFormat="1" applyFont="1" applyBorder="1"/>
    <xf numFmtId="0" fontId="7" fillId="0" borderId="38" xfId="0" applyFont="1" applyBorder="1"/>
    <xf numFmtId="10" fontId="0" fillId="0" borderId="39" xfId="2" applyNumberFormat="1" applyFont="1" applyBorder="1"/>
    <xf numFmtId="0" fontId="54" fillId="13" borderId="0" xfId="0" applyFont="1" applyFill="1" applyAlignment="1">
      <alignment horizontal="right"/>
    </xf>
    <xf numFmtId="0" fontId="7" fillId="10" borderId="0" xfId="0" applyFont="1" applyFill="1" applyAlignment="1">
      <alignment horizontal="right"/>
    </xf>
    <xf numFmtId="169" fontId="55" fillId="0" borderId="0" xfId="0" applyNumberFormat="1" applyFont="1"/>
    <xf numFmtId="169" fontId="0" fillId="13" borderId="0" xfId="0" applyNumberFormat="1" applyFill="1" applyAlignment="1">
      <alignment horizontal="right"/>
    </xf>
    <xf numFmtId="0" fontId="54" fillId="6" borderId="0" xfId="0" applyFont="1" applyFill="1" applyAlignment="1">
      <alignment horizontal="center"/>
    </xf>
    <xf numFmtId="168" fontId="33" fillId="13" borderId="40" xfId="0" applyNumberFormat="1" applyFont="1" applyFill="1" applyBorder="1" applyAlignment="1">
      <alignment horizontal="right"/>
    </xf>
    <xf numFmtId="0" fontId="7" fillId="2" borderId="0" xfId="0" applyFont="1" applyFill="1"/>
    <xf numFmtId="10" fontId="55" fillId="0" borderId="26" xfId="0" applyNumberFormat="1" applyFont="1" applyBorder="1"/>
    <xf numFmtId="0" fontId="22" fillId="9" borderId="0" xfId="0" applyFont="1" applyFill="1" applyAlignment="1">
      <alignment horizontal="left" indent="1"/>
    </xf>
    <xf numFmtId="0" fontId="11" fillId="0" borderId="17" xfId="0" applyFont="1" applyBorder="1" applyAlignment="1">
      <alignment horizontal="center"/>
    </xf>
    <xf numFmtId="0" fontId="11" fillId="0" borderId="18" xfId="0" applyFont="1" applyBorder="1" applyAlignment="1">
      <alignment horizontal="center"/>
    </xf>
    <xf numFmtId="0" fontId="11" fillId="0" borderId="19" xfId="0" applyFont="1" applyBorder="1" applyAlignment="1">
      <alignment horizontal="center"/>
    </xf>
    <xf numFmtId="0" fontId="7" fillId="2" borderId="20" xfId="0" applyFont="1" applyFill="1" applyBorder="1" applyAlignment="1">
      <alignment horizontal="center"/>
    </xf>
    <xf numFmtId="166" fontId="14" fillId="0" borderId="21" xfId="0" applyNumberFormat="1" applyFont="1" applyBorder="1" applyAlignment="1">
      <alignment horizontal="center"/>
    </xf>
    <xf numFmtId="0" fontId="11" fillId="0" borderId="5" xfId="0" applyFont="1" applyBorder="1" applyAlignment="1">
      <alignment horizontal="center" wrapText="1"/>
    </xf>
    <xf numFmtId="0" fontId="11" fillId="0" borderId="6" xfId="0" applyFont="1" applyBorder="1" applyAlignment="1">
      <alignment horizontal="center" wrapText="1"/>
    </xf>
    <xf numFmtId="17" fontId="24" fillId="15" borderId="0" xfId="0" applyNumberFormat="1" applyFont="1" applyFill="1" applyAlignment="1">
      <alignment horizontal="center"/>
    </xf>
    <xf numFmtId="17" fontId="24" fillId="16" borderId="0" xfId="0" applyNumberFormat="1" applyFont="1" applyFill="1" applyAlignment="1">
      <alignment horizontal="left" indent="10"/>
    </xf>
    <xf numFmtId="0" fontId="43" fillId="0" borderId="0" xfId="0" applyFont="1" applyAlignment="1">
      <alignment horizontal="left" wrapText="1"/>
    </xf>
    <xf numFmtId="17" fontId="24" fillId="16" borderId="0" xfId="0" applyNumberFormat="1" applyFont="1" applyFill="1" applyAlignment="1">
      <alignment horizontal="center"/>
    </xf>
    <xf numFmtId="0" fontId="8" fillId="17" borderId="0" xfId="0" applyFont="1" applyFill="1" applyAlignment="1">
      <alignment horizontal="left" indent="30"/>
    </xf>
    <xf numFmtId="0" fontId="7" fillId="0" borderId="0" xfId="0" applyFont="1" applyAlignment="1">
      <alignment horizontal="center" wrapText="1"/>
    </xf>
    <xf numFmtId="0" fontId="40" fillId="13" borderId="28" xfId="0" applyFont="1" applyFill="1" applyBorder="1" applyAlignment="1">
      <alignment horizontal="center" wrapText="1"/>
    </xf>
    <xf numFmtId="0" fontId="40" fillId="13" borderId="29" xfId="0" applyFont="1" applyFill="1" applyBorder="1" applyAlignment="1">
      <alignment horizontal="center" wrapText="1"/>
    </xf>
    <xf numFmtId="0" fontId="40" fillId="13" borderId="0" xfId="0" applyFont="1" applyFill="1" applyAlignment="1">
      <alignment horizontal="center" wrapText="1"/>
    </xf>
    <xf numFmtId="0" fontId="40" fillId="13" borderId="31" xfId="0" applyFont="1" applyFill="1" applyBorder="1" applyAlignment="1">
      <alignment horizontal="center" wrapText="1"/>
    </xf>
    <xf numFmtId="0" fontId="14" fillId="0" borderId="0" xfId="0" applyFont="1" applyAlignment="1">
      <alignment horizontal="center"/>
    </xf>
    <xf numFmtId="0" fontId="93" fillId="0" borderId="0" xfId="0" applyFont="1" applyAlignment="1">
      <alignment horizontal="right"/>
    </xf>
    <xf numFmtId="1" fontId="62" fillId="0" borderId="0" xfId="3" applyNumberFormat="1" applyFont="1" applyAlignment="1">
      <alignment horizontal="right" vertical="top" indent="10" shrinkToFit="1"/>
    </xf>
    <xf numFmtId="0" fontId="57" fillId="0" borderId="0" xfId="3" applyAlignment="1">
      <alignment horizontal="left" vertical="top" wrapText="1" indent="1"/>
    </xf>
    <xf numFmtId="0" fontId="57" fillId="0" borderId="0" xfId="3" applyAlignment="1">
      <alignment horizontal="left" wrapText="1"/>
    </xf>
    <xf numFmtId="0" fontId="59" fillId="0" borderId="35" xfId="3" applyFont="1" applyBorder="1" applyAlignment="1">
      <alignment horizontal="right" vertical="top" wrapText="1" indent="10"/>
    </xf>
    <xf numFmtId="0" fontId="57" fillId="0" borderId="36" xfId="3" applyBorder="1" applyAlignment="1">
      <alignment horizontal="left" vertical="center" wrapText="1"/>
    </xf>
    <xf numFmtId="1" fontId="62" fillId="0" borderId="0" xfId="3" applyNumberFormat="1" applyFont="1" applyAlignment="1">
      <alignment horizontal="right" vertical="center" indent="10" shrinkToFit="1"/>
    </xf>
    <xf numFmtId="1" fontId="62" fillId="0" borderId="35" xfId="3" applyNumberFormat="1" applyFont="1" applyBorder="1" applyAlignment="1">
      <alignment horizontal="right" vertical="top" indent="10" shrinkToFit="1"/>
    </xf>
    <xf numFmtId="3" fontId="62" fillId="0" borderId="36" xfId="3" applyNumberFormat="1" applyFont="1" applyBorder="1" applyAlignment="1">
      <alignment horizontal="right" vertical="top" indent="10" shrinkToFit="1"/>
    </xf>
    <xf numFmtId="3" fontId="62" fillId="0" borderId="35" xfId="3" applyNumberFormat="1" applyFont="1" applyBorder="1" applyAlignment="1">
      <alignment horizontal="right" vertical="top" indent="10" shrinkToFit="1"/>
    </xf>
    <xf numFmtId="3" fontId="62" fillId="0" borderId="37" xfId="3" applyNumberFormat="1" applyFont="1" applyBorder="1" applyAlignment="1">
      <alignment horizontal="right" vertical="top" indent="10" shrinkToFit="1"/>
    </xf>
    <xf numFmtId="0" fontId="59" fillId="0" borderId="0" xfId="3" applyFont="1" applyAlignment="1">
      <alignment horizontal="left" vertical="top" wrapText="1" indent="7"/>
    </xf>
    <xf numFmtId="0" fontId="57" fillId="0" borderId="0" xfId="3" applyAlignment="1">
      <alignment horizontal="left" vertical="center" wrapText="1"/>
    </xf>
    <xf numFmtId="0" fontId="59" fillId="0" borderId="0" xfId="3" applyFont="1" applyAlignment="1">
      <alignment horizontal="center" vertical="top" wrapText="1"/>
    </xf>
    <xf numFmtId="1" fontId="62" fillId="0" borderId="36" xfId="3" applyNumberFormat="1" applyFont="1" applyBorder="1" applyAlignment="1">
      <alignment horizontal="right" vertical="center" indent="10" shrinkToFit="1"/>
    </xf>
    <xf numFmtId="172" fontId="62" fillId="0" borderId="0" xfId="3" applyNumberFormat="1" applyFont="1" applyAlignment="1">
      <alignment horizontal="right" vertical="top" indent="10" shrinkToFit="1"/>
    </xf>
    <xf numFmtId="0" fontId="59" fillId="0" borderId="35" xfId="3" applyFont="1" applyBorder="1" applyAlignment="1">
      <alignment horizontal="center" vertical="top" wrapText="1"/>
    </xf>
    <xf numFmtId="0" fontId="57" fillId="0" borderId="35" xfId="3" applyBorder="1" applyAlignment="1">
      <alignment horizontal="left" vertical="center" wrapText="1"/>
    </xf>
    <xf numFmtId="0" fontId="57" fillId="0" borderId="36" xfId="3" applyBorder="1" applyAlignment="1">
      <alignment horizontal="left" wrapText="1"/>
    </xf>
    <xf numFmtId="0" fontId="59" fillId="0" borderId="0" xfId="3" applyFont="1" applyAlignment="1">
      <alignment horizontal="left" vertical="top" wrapText="1" indent="1"/>
    </xf>
    <xf numFmtId="0" fontId="59" fillId="0" borderId="0" xfId="3" applyFont="1" applyAlignment="1">
      <alignment horizontal="left" vertical="top" wrapText="1" indent="40"/>
    </xf>
    <xf numFmtId="0" fontId="64" fillId="0" borderId="0" xfId="3" applyFont="1" applyAlignment="1">
      <alignment horizontal="right" vertical="top" wrapText="1" indent="7"/>
    </xf>
    <xf numFmtId="0" fontId="57" fillId="0" borderId="36" xfId="3" applyBorder="1" applyAlignment="1">
      <alignment horizontal="center" vertical="top" wrapText="1"/>
    </xf>
    <xf numFmtId="0" fontId="67" fillId="0" borderId="0" xfId="3" applyFont="1" applyAlignment="1">
      <alignment horizontal="left" vertical="top" wrapText="1" indent="2"/>
    </xf>
    <xf numFmtId="0" fontId="57" fillId="0" borderId="0" xfId="3" applyAlignment="1">
      <alignment horizontal="left" vertical="top" wrapText="1" indent="7"/>
    </xf>
    <xf numFmtId="0" fontId="67" fillId="0" borderId="0" xfId="3" applyFont="1" applyAlignment="1">
      <alignment horizontal="left" vertical="top" wrapText="1" indent="4"/>
    </xf>
    <xf numFmtId="3" fontId="69" fillId="0" borderId="0" xfId="3" applyNumberFormat="1" applyFont="1" applyAlignment="1">
      <alignment horizontal="left" vertical="top" shrinkToFit="1"/>
    </xf>
    <xf numFmtId="0" fontId="70" fillId="0" borderId="0" xfId="3" applyFont="1" applyAlignment="1">
      <alignment horizontal="left" vertical="top" wrapText="1" indent="7"/>
    </xf>
    <xf numFmtId="0" fontId="70" fillId="0" borderId="0" xfId="3" applyFont="1" applyAlignment="1">
      <alignment horizontal="left" vertical="top" wrapText="1" indent="4"/>
    </xf>
    <xf numFmtId="1" fontId="71" fillId="0" borderId="0" xfId="3" applyNumberFormat="1" applyFont="1" applyAlignment="1">
      <alignment horizontal="left" vertical="top" indent="1" shrinkToFit="1"/>
    </xf>
    <xf numFmtId="0" fontId="68" fillId="0" borderId="0" xfId="3" applyFont="1" applyAlignment="1">
      <alignment horizontal="left" vertical="top" wrapText="1" indent="7"/>
    </xf>
    <xf numFmtId="0" fontId="70" fillId="0" borderId="0" xfId="3" applyFont="1" applyAlignment="1">
      <alignment horizontal="left" vertical="top" wrapText="1" indent="8"/>
    </xf>
    <xf numFmtId="172" fontId="71" fillId="0" borderId="35" xfId="3" applyNumberFormat="1" applyFont="1" applyBorder="1" applyAlignment="1">
      <alignment horizontal="left" vertical="top" indent="4" shrinkToFit="1"/>
    </xf>
    <xf numFmtId="172" fontId="71" fillId="0" borderId="35" xfId="3" applyNumberFormat="1" applyFont="1" applyBorder="1" applyAlignment="1">
      <alignment horizontal="left" vertical="top" indent="1" shrinkToFit="1"/>
    </xf>
    <xf numFmtId="0" fontId="57" fillId="0" borderId="36" xfId="3" applyBorder="1" applyAlignment="1">
      <alignment horizontal="left" vertical="top" wrapText="1" indent="7"/>
    </xf>
    <xf numFmtId="172" fontId="69" fillId="0" borderId="37" xfId="3" applyNumberFormat="1" applyFont="1" applyBorder="1" applyAlignment="1">
      <alignment horizontal="left" vertical="center" indent="4" shrinkToFit="1"/>
    </xf>
    <xf numFmtId="172" fontId="69" fillId="0" borderId="37" xfId="3" applyNumberFormat="1" applyFont="1" applyBorder="1" applyAlignment="1">
      <alignment horizontal="left" vertical="center" indent="1" shrinkToFit="1"/>
    </xf>
    <xf numFmtId="0" fontId="67" fillId="0" borderId="36" xfId="3" applyFont="1" applyBorder="1" applyAlignment="1">
      <alignment horizontal="left" vertical="top" wrapText="1" indent="7"/>
    </xf>
    <xf numFmtId="172" fontId="69" fillId="0" borderId="37" xfId="3" applyNumberFormat="1" applyFont="1" applyBorder="1" applyAlignment="1">
      <alignment horizontal="left" vertical="top" indent="4" shrinkToFit="1"/>
    </xf>
    <xf numFmtId="1" fontId="69" fillId="0" borderId="37" xfId="3" applyNumberFormat="1" applyFont="1" applyBorder="1" applyAlignment="1">
      <alignment horizontal="left" vertical="top" indent="1" shrinkToFit="1"/>
    </xf>
    <xf numFmtId="172" fontId="71" fillId="0" borderId="0" xfId="3" applyNumberFormat="1" applyFont="1" applyAlignment="1">
      <alignment horizontal="left" vertical="top" indent="4" shrinkToFit="1"/>
    </xf>
    <xf numFmtId="0" fontId="70" fillId="0" borderId="0" xfId="3" applyFont="1" applyAlignment="1">
      <alignment horizontal="left" vertical="top" wrapText="1" indent="1"/>
    </xf>
    <xf numFmtId="172" fontId="71" fillId="0" borderId="0" xfId="3" applyNumberFormat="1" applyFont="1" applyAlignment="1">
      <alignment horizontal="center" vertical="top" shrinkToFit="1"/>
    </xf>
    <xf numFmtId="1" fontId="71" fillId="0" borderId="0" xfId="3" applyNumberFormat="1" applyFont="1" applyAlignment="1">
      <alignment horizontal="right" vertical="top" indent="3" shrinkToFit="1"/>
    </xf>
    <xf numFmtId="0" fontId="67" fillId="0" borderId="37" xfId="3" applyFont="1" applyBorder="1" applyAlignment="1">
      <alignment horizontal="left" vertical="top" wrapText="1" indent="4"/>
    </xf>
    <xf numFmtId="3" fontId="69" fillId="0" borderId="37" xfId="3" applyNumberFormat="1" applyFont="1" applyBorder="1" applyAlignment="1">
      <alignment horizontal="left" vertical="top" shrinkToFit="1"/>
    </xf>
    <xf numFmtId="172" fontId="71" fillId="0" borderId="0" xfId="3" applyNumberFormat="1" applyFont="1" applyAlignment="1">
      <alignment horizontal="left" vertical="top" indent="1" shrinkToFit="1"/>
    </xf>
    <xf numFmtId="0" fontId="70" fillId="0" borderId="0" xfId="3" applyFont="1" applyAlignment="1">
      <alignment horizontal="left" vertical="center" wrapText="1" indent="4"/>
    </xf>
    <xf numFmtId="1" fontId="71" fillId="0" borderId="0" xfId="3" applyNumberFormat="1" applyFont="1" applyAlignment="1">
      <alignment horizontal="left" vertical="center" indent="1" shrinkToFit="1"/>
    </xf>
    <xf numFmtId="0" fontId="70" fillId="0" borderId="35" xfId="3" applyFont="1" applyBorder="1" applyAlignment="1">
      <alignment horizontal="left" vertical="top" wrapText="1" indent="4"/>
    </xf>
    <xf numFmtId="172" fontId="71" fillId="0" borderId="35" xfId="3" applyNumberFormat="1" applyFont="1" applyBorder="1" applyAlignment="1">
      <alignment horizontal="right" vertical="top" indent="3" shrinkToFit="1"/>
    </xf>
    <xf numFmtId="0" fontId="67" fillId="0" borderId="0" xfId="3" applyFont="1" applyAlignment="1">
      <alignment horizontal="left" vertical="top" wrapText="1" indent="30"/>
    </xf>
    <xf numFmtId="173" fontId="69" fillId="0" borderId="0" xfId="3" applyNumberFormat="1" applyFont="1" applyAlignment="1">
      <alignment horizontal="left" vertical="top" shrinkToFit="1"/>
    </xf>
    <xf numFmtId="0" fontId="67" fillId="0" borderId="0" xfId="3" applyFont="1" applyAlignment="1">
      <alignment horizontal="left" vertical="top" wrapText="1"/>
    </xf>
    <xf numFmtId="1" fontId="71" fillId="0" borderId="0" xfId="3" applyNumberFormat="1" applyFont="1" applyAlignment="1">
      <alignment horizontal="right" vertical="top" shrinkToFit="1"/>
    </xf>
    <xf numFmtId="1" fontId="71" fillId="0" borderId="0" xfId="3" applyNumberFormat="1" applyFont="1" applyAlignment="1">
      <alignment horizontal="left" vertical="top" indent="4" shrinkToFit="1"/>
    </xf>
    <xf numFmtId="1" fontId="71" fillId="0" borderId="35" xfId="3" applyNumberFormat="1" applyFont="1" applyBorder="1" applyAlignment="1">
      <alignment horizontal="center" vertical="top" shrinkToFit="1"/>
    </xf>
    <xf numFmtId="1" fontId="71" fillId="0" borderId="35" xfId="3" applyNumberFormat="1" applyFont="1" applyBorder="1" applyAlignment="1">
      <alignment horizontal="right" vertical="top" shrinkToFit="1"/>
    </xf>
    <xf numFmtId="1" fontId="71" fillId="0" borderId="35" xfId="3" applyNumberFormat="1" applyFont="1" applyBorder="1" applyAlignment="1">
      <alignment horizontal="right" vertical="top" indent="3" shrinkToFit="1"/>
    </xf>
    <xf numFmtId="1" fontId="69" fillId="0" borderId="37" xfId="3" applyNumberFormat="1" applyFont="1" applyBorder="1" applyAlignment="1">
      <alignment horizontal="center" vertical="top" shrinkToFit="1"/>
    </xf>
    <xf numFmtId="1" fontId="69" fillId="0" borderId="37" xfId="3" applyNumberFormat="1" applyFont="1" applyBorder="1" applyAlignment="1">
      <alignment horizontal="right" vertical="top" shrinkToFit="1"/>
    </xf>
    <xf numFmtId="1" fontId="69" fillId="0" borderId="37" xfId="3" applyNumberFormat="1" applyFont="1" applyBorder="1" applyAlignment="1">
      <alignment horizontal="right" vertical="top" indent="3" shrinkToFit="1"/>
    </xf>
    <xf numFmtId="0" fontId="70" fillId="0" borderId="35" xfId="3" applyFont="1" applyBorder="1" applyAlignment="1">
      <alignment horizontal="left" vertical="center" wrapText="1" indent="4"/>
    </xf>
    <xf numFmtId="172" fontId="71" fillId="0" borderId="35" xfId="3" applyNumberFormat="1" applyFont="1" applyBorder="1" applyAlignment="1">
      <alignment horizontal="left" vertical="center" indent="1" shrinkToFit="1"/>
    </xf>
    <xf numFmtId="0" fontId="70" fillId="0" borderId="35" xfId="3" applyFont="1" applyBorder="1" applyAlignment="1">
      <alignment horizontal="left" vertical="center" wrapText="1" indent="2"/>
    </xf>
    <xf numFmtId="172" fontId="71" fillId="0" borderId="35" xfId="3" applyNumberFormat="1" applyFont="1" applyBorder="1" applyAlignment="1">
      <alignment horizontal="right" vertical="center" indent="3" shrinkToFit="1"/>
    </xf>
    <xf numFmtId="177" fontId="69" fillId="0" borderId="37" xfId="3" applyNumberFormat="1" applyFont="1" applyBorder="1" applyAlignment="1">
      <alignment horizontal="left" vertical="top" indent="1" shrinkToFit="1"/>
    </xf>
    <xf numFmtId="0" fontId="67" fillId="0" borderId="37" xfId="3" applyFont="1" applyBorder="1" applyAlignment="1">
      <alignment horizontal="left" vertical="top" wrapText="1" indent="1"/>
    </xf>
    <xf numFmtId="176" fontId="69" fillId="0" borderId="37" xfId="3" applyNumberFormat="1" applyFont="1" applyBorder="1" applyAlignment="1">
      <alignment horizontal="right" vertical="top" indent="3" shrinkToFit="1"/>
    </xf>
    <xf numFmtId="0" fontId="59" fillId="0" borderId="0" xfId="3" applyFont="1" applyAlignment="1">
      <alignment horizontal="right" vertical="top" wrapText="1" indent="6"/>
    </xf>
    <xf numFmtId="1" fontId="62" fillId="0" borderId="35" xfId="3" applyNumberFormat="1" applyFont="1" applyBorder="1" applyAlignment="1">
      <alignment horizontal="right" vertical="top" indent="1" shrinkToFit="1"/>
    </xf>
    <xf numFmtId="1" fontId="62" fillId="0" borderId="35" xfId="3" applyNumberFormat="1" applyFont="1" applyBorder="1" applyAlignment="1">
      <alignment horizontal="right" vertical="top" shrinkToFit="1"/>
    </xf>
    <xf numFmtId="1" fontId="62" fillId="0" borderId="0" xfId="3" applyNumberFormat="1" applyFont="1" applyAlignment="1">
      <alignment horizontal="right" vertical="top" indent="1" shrinkToFit="1"/>
    </xf>
    <xf numFmtId="1" fontId="62" fillId="0" borderId="0" xfId="3" applyNumberFormat="1" applyFont="1" applyAlignment="1">
      <alignment horizontal="right" vertical="top" shrinkToFit="1"/>
    </xf>
    <xf numFmtId="172" fontId="62" fillId="0" borderId="0" xfId="3" applyNumberFormat="1" applyFont="1" applyAlignment="1">
      <alignment horizontal="right" vertical="top" indent="1" shrinkToFit="1"/>
    </xf>
    <xf numFmtId="172" fontId="62" fillId="0" borderId="0" xfId="3" applyNumberFormat="1" applyFont="1" applyAlignment="1">
      <alignment horizontal="right" vertical="top" shrinkToFit="1"/>
    </xf>
    <xf numFmtId="173" fontId="62" fillId="0" borderId="0" xfId="3" applyNumberFormat="1" applyFont="1" applyAlignment="1">
      <alignment horizontal="right" vertical="top" indent="1" shrinkToFit="1"/>
    </xf>
    <xf numFmtId="173" fontId="62" fillId="0" borderId="0" xfId="3" applyNumberFormat="1" applyFont="1" applyAlignment="1">
      <alignment horizontal="left" vertical="top" indent="1" shrinkToFit="1"/>
    </xf>
    <xf numFmtId="0" fontId="59" fillId="0" borderId="0" xfId="3" applyFont="1" applyAlignment="1">
      <alignment horizontal="right" vertical="top" wrapText="1" indent="1"/>
    </xf>
    <xf numFmtId="0" fontId="59" fillId="0" borderId="36" xfId="3" applyFont="1" applyBorder="1" applyAlignment="1">
      <alignment horizontal="left" vertical="top" wrapText="1" indent="10"/>
    </xf>
    <xf numFmtId="3" fontId="62" fillId="0" borderId="36" xfId="3" applyNumberFormat="1" applyFont="1" applyBorder="1" applyAlignment="1">
      <alignment horizontal="right" vertical="top" indent="1" shrinkToFit="1"/>
    </xf>
    <xf numFmtId="3" fontId="62" fillId="0" borderId="36" xfId="3" applyNumberFormat="1" applyFont="1" applyBorder="1" applyAlignment="1">
      <alignment horizontal="right" vertical="top" shrinkToFit="1"/>
    </xf>
    <xf numFmtId="0" fontId="59" fillId="0" borderId="0" xfId="3" applyFont="1" applyAlignment="1">
      <alignment horizontal="left" vertical="center" wrapText="1" indent="7"/>
    </xf>
    <xf numFmtId="172" fontId="62" fillId="0" borderId="0" xfId="3" applyNumberFormat="1" applyFont="1" applyAlignment="1">
      <alignment horizontal="right" indent="1" shrinkToFit="1"/>
    </xf>
    <xf numFmtId="172" fontId="62" fillId="0" borderId="0" xfId="3" applyNumberFormat="1" applyFont="1" applyAlignment="1">
      <alignment horizontal="right" shrinkToFit="1"/>
    </xf>
    <xf numFmtId="0" fontId="59" fillId="0" borderId="0" xfId="3" applyFont="1" applyAlignment="1">
      <alignment horizontal="left" vertical="top" wrapText="1" indent="10"/>
    </xf>
    <xf numFmtId="172" fontId="62" fillId="0" borderId="35" xfId="3" applyNumberFormat="1" applyFont="1" applyBorder="1" applyAlignment="1">
      <alignment horizontal="right" vertical="top" indent="1" shrinkToFit="1"/>
    </xf>
    <xf numFmtId="172" fontId="62" fillId="0" borderId="35" xfId="3" applyNumberFormat="1" applyFont="1" applyBorder="1" applyAlignment="1">
      <alignment horizontal="right" vertical="top" shrinkToFit="1"/>
    </xf>
    <xf numFmtId="0" fontId="59" fillId="0" borderId="0" xfId="3" applyFont="1" applyAlignment="1">
      <alignment horizontal="right" vertical="top" wrapText="1" indent="3"/>
    </xf>
    <xf numFmtId="172" fontId="62" fillId="0" borderId="36" xfId="3" applyNumberFormat="1" applyFont="1" applyBorder="1" applyAlignment="1">
      <alignment horizontal="right" vertical="top" indent="1" shrinkToFit="1"/>
    </xf>
    <xf numFmtId="172" fontId="62" fillId="0" borderId="36" xfId="3" applyNumberFormat="1" applyFont="1" applyBorder="1" applyAlignment="1">
      <alignment horizontal="right" vertical="top" shrinkToFit="1"/>
    </xf>
    <xf numFmtId="178" fontId="62" fillId="0" borderId="0" xfId="3" applyNumberFormat="1" applyFont="1" applyAlignment="1">
      <alignment horizontal="right" vertical="top" indent="1" shrinkToFit="1"/>
    </xf>
    <xf numFmtId="0" fontId="59" fillId="0" borderId="36" xfId="3" applyFont="1" applyBorder="1" applyAlignment="1">
      <alignment horizontal="left" vertical="top" wrapText="1" indent="7"/>
    </xf>
    <xf numFmtId="1" fontId="62" fillId="0" borderId="36" xfId="3" applyNumberFormat="1" applyFont="1" applyBorder="1" applyAlignment="1">
      <alignment horizontal="right" vertical="top" indent="1" shrinkToFit="1"/>
    </xf>
    <xf numFmtId="1" fontId="62" fillId="0" borderId="36" xfId="3" applyNumberFormat="1" applyFont="1" applyBorder="1" applyAlignment="1">
      <alignment horizontal="right" vertical="top" shrinkToFit="1"/>
    </xf>
    <xf numFmtId="173" fontId="62" fillId="0" borderId="35" xfId="3" applyNumberFormat="1" applyFont="1" applyBorder="1" applyAlignment="1">
      <alignment horizontal="right" vertical="top" indent="1" shrinkToFit="1"/>
    </xf>
    <xf numFmtId="173" fontId="62" fillId="0" borderId="35" xfId="3" applyNumberFormat="1" applyFont="1" applyBorder="1" applyAlignment="1">
      <alignment horizontal="left" vertical="top" indent="1" shrinkToFit="1"/>
    </xf>
    <xf numFmtId="178" fontId="62" fillId="0" borderId="36" xfId="3" applyNumberFormat="1" applyFont="1" applyBorder="1" applyAlignment="1">
      <alignment horizontal="right" vertical="top" indent="1" shrinkToFit="1"/>
    </xf>
    <xf numFmtId="0" fontId="77" fillId="0" borderId="0" xfId="3" applyFont="1" applyAlignment="1">
      <alignment horizontal="left" vertical="top" wrapText="1" indent="1"/>
    </xf>
    <xf numFmtId="173" fontId="62" fillId="0" borderId="37" xfId="3" applyNumberFormat="1" applyFont="1" applyBorder="1" applyAlignment="1">
      <alignment horizontal="right" vertical="top" indent="1" shrinkToFit="1"/>
    </xf>
    <xf numFmtId="173" fontId="62" fillId="0" borderId="37" xfId="3" applyNumberFormat="1" applyFont="1" applyBorder="1" applyAlignment="1">
      <alignment horizontal="left" vertical="top" indent="1" shrinkToFit="1"/>
    </xf>
    <xf numFmtId="0" fontId="59" fillId="0" borderId="36" xfId="3" applyFont="1" applyBorder="1" applyAlignment="1">
      <alignment horizontal="left" vertical="center" wrapText="1" indent="7"/>
    </xf>
    <xf numFmtId="0" fontId="57" fillId="0" borderId="35" xfId="3" applyBorder="1" applyAlignment="1">
      <alignment horizontal="left" wrapText="1"/>
    </xf>
    <xf numFmtId="0" fontId="59" fillId="0" borderId="35" xfId="3" applyFont="1" applyBorder="1" applyAlignment="1">
      <alignment horizontal="left" vertical="top" wrapText="1"/>
    </xf>
    <xf numFmtId="0" fontId="83" fillId="0" borderId="0" xfId="3" applyFont="1" applyAlignment="1">
      <alignment horizontal="right" vertical="top" wrapText="1" indent="8"/>
    </xf>
    <xf numFmtId="0" fontId="83" fillId="0" borderId="0" xfId="3" applyFont="1" applyAlignment="1">
      <alignment horizontal="left" vertical="top" wrapText="1" indent="1"/>
    </xf>
    <xf numFmtId="0" fontId="59" fillId="0" borderId="37" xfId="3" applyFont="1" applyBorder="1" applyAlignment="1">
      <alignment horizontal="left" vertical="top" wrapText="1"/>
    </xf>
    <xf numFmtId="172" fontId="62" fillId="0" borderId="37" xfId="3" applyNumberFormat="1" applyFont="1" applyBorder="1" applyAlignment="1">
      <alignment horizontal="right" vertical="top" shrinkToFit="1"/>
    </xf>
    <xf numFmtId="0" fontId="57" fillId="0" borderId="0" xfId="3" applyAlignment="1">
      <alignment horizontal="right" vertical="top" wrapText="1" indent="4"/>
    </xf>
    <xf numFmtId="0" fontId="59" fillId="0" borderId="0" xfId="3" applyFont="1" applyAlignment="1">
      <alignment horizontal="left" vertical="top" wrapText="1" indent="19"/>
    </xf>
    <xf numFmtId="1" fontId="62" fillId="0" borderId="0" xfId="3" applyNumberFormat="1" applyFont="1" applyAlignment="1">
      <alignment horizontal="left" vertical="top" indent="3" shrinkToFit="1"/>
    </xf>
    <xf numFmtId="1" fontId="62" fillId="0" borderId="37" xfId="3" applyNumberFormat="1" applyFont="1" applyBorder="1" applyAlignment="1">
      <alignment horizontal="right" vertical="top" shrinkToFit="1"/>
    </xf>
    <xf numFmtId="0" fontId="57" fillId="0" borderId="36" xfId="3" applyBorder="1" applyAlignment="1">
      <alignment horizontal="left" vertical="top" wrapText="1"/>
    </xf>
    <xf numFmtId="172" fontId="62" fillId="0" borderId="36" xfId="3" applyNumberFormat="1" applyFont="1" applyBorder="1" applyAlignment="1">
      <alignment horizontal="right" vertical="center" shrinkToFit="1"/>
    </xf>
    <xf numFmtId="0" fontId="59" fillId="0" borderId="35" xfId="3" applyFont="1" applyBorder="1" applyAlignment="1">
      <alignment horizontal="left" vertical="top" wrapText="1" indent="1"/>
    </xf>
    <xf numFmtId="0" fontId="59" fillId="0" borderId="36" xfId="3" applyFont="1" applyBorder="1" applyAlignment="1">
      <alignment horizontal="left" vertical="top" wrapText="1"/>
    </xf>
    <xf numFmtId="1" fontId="62" fillId="0" borderId="36" xfId="3" applyNumberFormat="1" applyFont="1" applyBorder="1" applyAlignment="1">
      <alignment horizontal="right" vertical="center" shrinkToFit="1"/>
    </xf>
    <xf numFmtId="0" fontId="87" fillId="0" borderId="0" xfId="3" applyFont="1" applyAlignment="1">
      <alignment horizontal="right" vertical="top" wrapText="1"/>
    </xf>
    <xf numFmtId="0" fontId="87" fillId="0" borderId="36" xfId="3" applyFont="1" applyBorder="1" applyAlignment="1">
      <alignment horizontal="left" vertical="top" wrapText="1" indent="1"/>
    </xf>
    <xf numFmtId="0" fontId="87" fillId="0" borderId="0" xfId="3" applyFont="1" applyAlignment="1">
      <alignment horizontal="left" vertical="top" wrapText="1"/>
    </xf>
    <xf numFmtId="176" fontId="88" fillId="0" borderId="0" xfId="3" applyNumberFormat="1" applyFont="1" applyAlignment="1">
      <alignment horizontal="left" vertical="top" shrinkToFit="1"/>
    </xf>
    <xf numFmtId="177" fontId="88" fillId="0" borderId="0" xfId="3" applyNumberFormat="1" applyFont="1" applyAlignment="1">
      <alignment horizontal="left" vertical="top" indent="5" shrinkToFit="1"/>
    </xf>
    <xf numFmtId="0" fontId="72" fillId="0" borderId="0" xfId="3" applyFont="1" applyAlignment="1">
      <alignment horizontal="left" vertical="top" wrapText="1" indent="4"/>
    </xf>
    <xf numFmtId="1" fontId="90" fillId="0" borderId="0" xfId="3" applyNumberFormat="1" applyFont="1" applyAlignment="1">
      <alignment horizontal="left" vertical="top" indent="3" shrinkToFit="1"/>
    </xf>
    <xf numFmtId="172" fontId="90" fillId="0" borderId="0" xfId="3" applyNumberFormat="1" applyFont="1" applyAlignment="1">
      <alignment horizontal="left" vertical="top" indent="4" shrinkToFit="1"/>
    </xf>
    <xf numFmtId="0" fontId="72" fillId="0" borderId="35" xfId="3" applyFont="1" applyBorder="1" applyAlignment="1">
      <alignment horizontal="left" vertical="top" wrapText="1" indent="3"/>
    </xf>
    <xf numFmtId="1" fontId="90" fillId="0" borderId="35" xfId="3" applyNumberFormat="1" applyFont="1" applyBorder="1" applyAlignment="1">
      <alignment horizontal="right" vertical="top" indent="2" shrinkToFit="1"/>
    </xf>
    <xf numFmtId="1" fontId="90" fillId="0" borderId="35" xfId="3" applyNumberFormat="1" applyFont="1" applyBorder="1" applyAlignment="1">
      <alignment horizontal="right" vertical="top" shrinkToFit="1"/>
    </xf>
    <xf numFmtId="1" fontId="90" fillId="0" borderId="35" xfId="3" applyNumberFormat="1" applyFont="1" applyBorder="1" applyAlignment="1">
      <alignment horizontal="left" vertical="top" indent="5" shrinkToFit="1"/>
    </xf>
    <xf numFmtId="0" fontId="87" fillId="0" borderId="37" xfId="3" applyFont="1" applyBorder="1" applyAlignment="1">
      <alignment horizontal="left" vertical="center" wrapText="1" indent="3"/>
    </xf>
    <xf numFmtId="1" fontId="88" fillId="0" borderId="37" xfId="3" applyNumberFormat="1" applyFont="1" applyBorder="1" applyAlignment="1">
      <alignment horizontal="right" vertical="center" indent="2" shrinkToFit="1"/>
    </xf>
    <xf numFmtId="1" fontId="88" fillId="0" borderId="37" xfId="3" applyNumberFormat="1" applyFont="1" applyBorder="1" applyAlignment="1">
      <alignment horizontal="right" vertical="center" shrinkToFit="1"/>
    </xf>
    <xf numFmtId="1" fontId="88" fillId="0" borderId="37" xfId="3" applyNumberFormat="1" applyFont="1" applyBorder="1" applyAlignment="1">
      <alignment horizontal="left" vertical="center" indent="5" shrinkToFit="1"/>
    </xf>
    <xf numFmtId="0" fontId="87" fillId="0" borderId="37" xfId="3" applyFont="1" applyBorder="1" applyAlignment="1">
      <alignment horizontal="left" vertical="top" wrapText="1" indent="3"/>
    </xf>
    <xf numFmtId="1" fontId="88" fillId="0" borderId="37" xfId="3" applyNumberFormat="1" applyFont="1" applyBorder="1" applyAlignment="1">
      <alignment horizontal="right" vertical="top" indent="2" shrinkToFit="1"/>
    </xf>
    <xf numFmtId="1" fontId="88" fillId="0" borderId="37" xfId="3" applyNumberFormat="1" applyFont="1" applyBorder="1" applyAlignment="1">
      <alignment horizontal="left" vertical="top" indent="3" shrinkToFit="1"/>
    </xf>
    <xf numFmtId="172" fontId="88" fillId="0" borderId="37" xfId="3" applyNumberFormat="1" applyFont="1" applyBorder="1" applyAlignment="1">
      <alignment horizontal="left" vertical="top" indent="4" shrinkToFit="1"/>
    </xf>
    <xf numFmtId="0" fontId="72" fillId="0" borderId="0" xfId="3" applyFont="1" applyAlignment="1">
      <alignment horizontal="left" vertical="top" wrapText="1" indent="3"/>
    </xf>
    <xf numFmtId="1" fontId="90" fillId="0" borderId="0" xfId="3" applyNumberFormat="1" applyFont="1" applyAlignment="1">
      <alignment horizontal="right" vertical="top" indent="2" shrinkToFit="1"/>
    </xf>
    <xf numFmtId="172" fontId="90" fillId="0" borderId="0" xfId="3" applyNumberFormat="1" applyFont="1" applyAlignment="1">
      <alignment horizontal="left" vertical="top" indent="3" shrinkToFit="1"/>
    </xf>
    <xf numFmtId="1" fontId="90" fillId="0" borderId="0" xfId="3" applyNumberFormat="1" applyFont="1" applyAlignment="1">
      <alignment horizontal="left" vertical="top" indent="5" shrinkToFit="1"/>
    </xf>
    <xf numFmtId="172" fontId="90" fillId="0" borderId="0" xfId="3" applyNumberFormat="1" applyFont="1" applyAlignment="1">
      <alignment horizontal="left" vertical="top" indent="5" shrinkToFit="1"/>
    </xf>
    <xf numFmtId="0" fontId="72" fillId="0" borderId="0" xfId="3" applyFont="1" applyAlignment="1">
      <alignment horizontal="left" vertical="center" wrapText="1" indent="3"/>
    </xf>
    <xf numFmtId="1" fontId="90" fillId="0" borderId="0" xfId="3" applyNumberFormat="1" applyFont="1" applyAlignment="1">
      <alignment horizontal="right" vertical="center" indent="2" shrinkToFit="1"/>
    </xf>
    <xf numFmtId="1" fontId="90" fillId="0" borderId="0" xfId="3" applyNumberFormat="1" applyFont="1" applyAlignment="1">
      <alignment horizontal="right" vertical="top" shrinkToFit="1"/>
    </xf>
    <xf numFmtId="172" fontId="90" fillId="0" borderId="0" xfId="3" applyNumberFormat="1" applyFont="1" applyAlignment="1">
      <alignment horizontal="right" vertical="top" shrinkToFit="1"/>
    </xf>
    <xf numFmtId="0" fontId="72" fillId="0" borderId="0" xfId="3" applyFont="1" applyAlignment="1">
      <alignment horizontal="center" vertical="top" wrapText="1"/>
    </xf>
    <xf numFmtId="0" fontId="72" fillId="0" borderId="35" xfId="3" applyFont="1" applyBorder="1" applyAlignment="1">
      <alignment horizontal="left" vertical="center" wrapText="1" indent="1"/>
    </xf>
    <xf numFmtId="0" fontId="72" fillId="0" borderId="35" xfId="3" applyFont="1" applyBorder="1" applyAlignment="1">
      <alignment horizontal="left" vertical="center" wrapText="1" indent="4"/>
    </xf>
    <xf numFmtId="172" fontId="90" fillId="0" borderId="35" xfId="3" applyNumberFormat="1" applyFont="1" applyBorder="1" applyAlignment="1">
      <alignment horizontal="center" vertical="center" shrinkToFit="1"/>
    </xf>
    <xf numFmtId="172" fontId="90" fillId="0" borderId="35" xfId="3" applyNumberFormat="1" applyFont="1" applyBorder="1" applyAlignment="1">
      <alignment horizontal="right" vertical="center" shrinkToFit="1"/>
    </xf>
    <xf numFmtId="0" fontId="87" fillId="0" borderId="37" xfId="3" applyFont="1" applyBorder="1" applyAlignment="1">
      <alignment horizontal="left" vertical="top" wrapText="1"/>
    </xf>
    <xf numFmtId="179" fontId="88" fillId="0" borderId="37" xfId="3" applyNumberFormat="1" applyFont="1" applyBorder="1" applyAlignment="1">
      <alignment horizontal="left" vertical="top" indent="1" shrinkToFit="1"/>
    </xf>
    <xf numFmtId="176" fontId="88" fillId="0" borderId="37" xfId="3" applyNumberFormat="1" applyFont="1" applyBorder="1" applyAlignment="1">
      <alignment horizontal="left" vertical="top" shrinkToFit="1"/>
    </xf>
    <xf numFmtId="0" fontId="72" fillId="0" borderId="0" xfId="3" applyFont="1" applyAlignment="1">
      <alignment horizontal="left" vertical="top" wrapText="1" indent="1"/>
    </xf>
    <xf numFmtId="0" fontId="87" fillId="0" borderId="0" xfId="3" applyFont="1" applyAlignment="1">
      <alignment horizontal="left" vertical="top" wrapText="1" indent="32"/>
    </xf>
    <xf numFmtId="0" fontId="89" fillId="0" borderId="0" xfId="3" applyFont="1" applyAlignment="1">
      <alignment horizontal="left" vertical="top" wrapText="1"/>
    </xf>
    <xf numFmtId="0" fontId="87" fillId="0" borderId="0" xfId="3" applyFont="1" applyAlignment="1">
      <alignment horizontal="left" vertical="top" wrapText="1" indent="4"/>
    </xf>
    <xf numFmtId="177" fontId="88" fillId="0" borderId="0" xfId="3" applyNumberFormat="1" applyFont="1" applyAlignment="1">
      <alignment horizontal="left" vertical="top" indent="2" shrinkToFit="1"/>
    </xf>
    <xf numFmtId="0" fontId="72" fillId="0" borderId="0" xfId="3" applyFont="1" applyAlignment="1">
      <alignment horizontal="left" vertical="top" wrapText="1"/>
    </xf>
    <xf numFmtId="1" fontId="90" fillId="0" borderId="0" xfId="3" applyNumberFormat="1" applyFont="1" applyAlignment="1">
      <alignment horizontal="center" vertical="top" shrinkToFit="1"/>
    </xf>
    <xf numFmtId="0" fontId="87" fillId="0" borderId="37" xfId="3" applyFont="1" applyBorder="1" applyAlignment="1">
      <alignment horizontal="center" vertical="top" wrapText="1"/>
    </xf>
    <xf numFmtId="172" fontId="88" fillId="0" borderId="37" xfId="3" applyNumberFormat="1" applyFont="1" applyBorder="1" applyAlignment="1">
      <alignment horizontal="center" vertical="top" shrinkToFit="1"/>
    </xf>
    <xf numFmtId="172" fontId="88" fillId="0" borderId="37" xfId="3" applyNumberFormat="1" applyFont="1" applyBorder="1" applyAlignment="1">
      <alignment horizontal="left" vertical="top" indent="2" shrinkToFit="1"/>
    </xf>
    <xf numFmtId="0" fontId="57" fillId="0" borderId="35" xfId="3" applyBorder="1" applyAlignment="1">
      <alignment horizontal="left" vertical="top" wrapText="1"/>
    </xf>
    <xf numFmtId="0" fontId="72" fillId="0" borderId="35" xfId="3" applyFont="1" applyBorder="1" applyAlignment="1">
      <alignment horizontal="center" vertical="top" wrapText="1"/>
    </xf>
    <xf numFmtId="172" fontId="90" fillId="0" borderId="35" xfId="3" applyNumberFormat="1" applyFont="1" applyBorder="1" applyAlignment="1">
      <alignment horizontal="left" vertical="top" indent="4" shrinkToFit="1"/>
    </xf>
    <xf numFmtId="172" fontId="90" fillId="0" borderId="35" xfId="3" applyNumberFormat="1" applyFont="1" applyBorder="1" applyAlignment="1">
      <alignment horizontal="center" vertical="top" shrinkToFit="1"/>
    </xf>
    <xf numFmtId="172" fontId="90" fillId="0" borderId="35" xfId="3" applyNumberFormat="1" applyFont="1" applyBorder="1" applyAlignment="1">
      <alignment horizontal="left" vertical="top" indent="2" shrinkToFit="1"/>
    </xf>
    <xf numFmtId="1" fontId="88" fillId="0" borderId="37" xfId="3" applyNumberFormat="1" applyFont="1" applyBorder="1" applyAlignment="1">
      <alignment horizontal="center" vertical="top" shrinkToFit="1"/>
    </xf>
    <xf numFmtId="0" fontId="72" fillId="0" borderId="0" xfId="3" applyFont="1" applyAlignment="1">
      <alignment horizontal="center" vertical="center" wrapText="1"/>
    </xf>
    <xf numFmtId="0" fontId="72" fillId="0" borderId="0" xfId="3" applyFont="1" applyAlignment="1">
      <alignment horizontal="right" vertical="center" wrapText="1" indent="1"/>
    </xf>
    <xf numFmtId="1" fontId="90" fillId="0" borderId="0" xfId="3" applyNumberFormat="1" applyFont="1" applyAlignment="1">
      <alignment horizontal="right" vertical="center" shrinkToFit="1"/>
    </xf>
    <xf numFmtId="1" fontId="90" fillId="0" borderId="0" xfId="3" applyNumberFormat="1" applyFont="1" applyAlignment="1">
      <alignment horizontal="center" vertical="center" shrinkToFit="1"/>
    </xf>
    <xf numFmtId="172" fontId="90" fillId="0" borderId="0" xfId="3" applyNumberFormat="1" applyFont="1" applyAlignment="1">
      <alignment horizontal="right" vertical="center" shrinkToFit="1"/>
    </xf>
    <xf numFmtId="172" fontId="90" fillId="0" borderId="0" xfId="3" applyNumberFormat="1" applyFont="1" applyAlignment="1">
      <alignment horizontal="center" vertical="top" shrinkToFit="1"/>
    </xf>
    <xf numFmtId="1" fontId="90" fillId="0" borderId="35" xfId="3" applyNumberFormat="1" applyFont="1" applyBorder="1" applyAlignment="1">
      <alignment horizontal="left" vertical="top" indent="1" shrinkToFit="1"/>
    </xf>
    <xf numFmtId="0" fontId="72" fillId="0" borderId="35" xfId="3" applyFont="1" applyBorder="1" applyAlignment="1">
      <alignment horizontal="right" vertical="top" wrapText="1" indent="1"/>
    </xf>
    <xf numFmtId="0" fontId="87" fillId="0" borderId="37" xfId="3" applyFont="1" applyBorder="1" applyAlignment="1">
      <alignment horizontal="left" vertical="top" wrapText="1" indent="1"/>
    </xf>
    <xf numFmtId="0" fontId="59" fillId="0" borderId="0" xfId="3" applyFont="1" applyAlignment="1">
      <alignment horizontal="left" vertical="top" wrapText="1" indent="2"/>
    </xf>
    <xf numFmtId="172" fontId="62" fillId="0" borderId="0" xfId="3" applyNumberFormat="1" applyFont="1" applyAlignment="1">
      <alignment horizontal="right" vertical="top" indent="9" shrinkToFit="1"/>
    </xf>
    <xf numFmtId="0" fontId="59" fillId="0" borderId="0" xfId="3" applyFont="1" applyAlignment="1">
      <alignment horizontal="left" vertical="center" wrapText="1" indent="1"/>
    </xf>
    <xf numFmtId="0" fontId="57" fillId="0" borderId="0" xfId="3" applyAlignment="1">
      <alignment horizontal="left" vertical="top" wrapText="1" indent="10"/>
    </xf>
    <xf numFmtId="173" fontId="62" fillId="0" borderId="0" xfId="3" applyNumberFormat="1" applyFont="1" applyAlignment="1">
      <alignment horizontal="left" vertical="top" indent="14" shrinkToFit="1"/>
    </xf>
    <xf numFmtId="0" fontId="59" fillId="0" borderId="0" xfId="3" applyFont="1" applyAlignment="1">
      <alignment horizontal="left" vertical="top" wrapText="1" indent="5"/>
    </xf>
    <xf numFmtId="1" fontId="62" fillId="0" borderId="0" xfId="3" applyNumberFormat="1" applyFont="1" applyAlignment="1">
      <alignment horizontal="right" vertical="top" indent="9" shrinkToFit="1"/>
    </xf>
    <xf numFmtId="0" fontId="59" fillId="0" borderId="0" xfId="3" applyFont="1" applyAlignment="1">
      <alignment horizontal="right" vertical="top" wrapText="1" indent="4"/>
    </xf>
    <xf numFmtId="0" fontId="59" fillId="0" borderId="0" xfId="3" applyFont="1" applyAlignment="1">
      <alignment horizontal="right" vertical="top" wrapText="1" indent="2"/>
    </xf>
    <xf numFmtId="0" fontId="59" fillId="0" borderId="35" xfId="3" applyFont="1" applyBorder="1" applyAlignment="1">
      <alignment horizontal="right" vertical="top" wrapText="1" indent="4"/>
    </xf>
    <xf numFmtId="172" fontId="62" fillId="0" borderId="35" xfId="3" applyNumberFormat="1" applyFont="1" applyBorder="1" applyAlignment="1">
      <alignment horizontal="right" vertical="top" indent="9" shrinkToFit="1"/>
    </xf>
    <xf numFmtId="0" fontId="59" fillId="0" borderId="36" xfId="3" applyFont="1" applyBorder="1" applyAlignment="1">
      <alignment horizontal="left" vertical="top" wrapText="1" indent="2"/>
    </xf>
    <xf numFmtId="1" fontId="62" fillId="0" borderId="36" xfId="3" applyNumberFormat="1" applyFont="1" applyBorder="1" applyAlignment="1">
      <alignment horizontal="right" vertical="top" indent="9" shrinkToFit="1"/>
    </xf>
    <xf numFmtId="0" fontId="59" fillId="0" borderId="0" xfId="3" applyFont="1" applyAlignment="1">
      <alignment horizontal="left" vertical="top" wrapText="1"/>
    </xf>
    <xf numFmtId="0" fontId="59" fillId="0" borderId="35" xfId="3" applyFont="1" applyBorder="1" applyAlignment="1">
      <alignment horizontal="left" vertical="top" wrapText="1" indent="2"/>
    </xf>
    <xf numFmtId="178" fontId="62" fillId="0" borderId="36" xfId="3" applyNumberFormat="1" applyFont="1" applyBorder="1" applyAlignment="1">
      <alignment horizontal="right" vertical="top" indent="9" shrinkToFit="1"/>
    </xf>
    <xf numFmtId="1" fontId="62" fillId="0" borderId="35" xfId="3" applyNumberFormat="1" applyFont="1" applyBorder="1" applyAlignment="1">
      <alignment horizontal="right" vertical="center" indent="1" shrinkToFit="1"/>
    </xf>
    <xf numFmtId="172" fontId="62" fillId="0" borderId="35" xfId="3" applyNumberFormat="1" applyFont="1" applyBorder="1" applyAlignment="1">
      <alignment horizontal="right" vertical="center" indent="9" shrinkToFit="1"/>
    </xf>
    <xf numFmtId="0" fontId="59" fillId="0" borderId="36" xfId="3" applyFont="1" applyBorder="1" applyAlignment="1">
      <alignment horizontal="left" vertical="center" wrapText="1"/>
    </xf>
    <xf numFmtId="173" fontId="62" fillId="0" borderId="35" xfId="3" applyNumberFormat="1" applyFont="1" applyBorder="1" applyAlignment="1">
      <alignment horizontal="right" vertical="top" indent="9" shrinkToFit="1"/>
    </xf>
    <xf numFmtId="176" fontId="62" fillId="0" borderId="37" xfId="3" applyNumberFormat="1" applyFont="1" applyBorder="1" applyAlignment="1">
      <alignment horizontal="left" vertical="top" indent="1" shrinkToFit="1"/>
    </xf>
    <xf numFmtId="173" fontId="62" fillId="0" borderId="37" xfId="3" applyNumberFormat="1" applyFont="1" applyBorder="1" applyAlignment="1">
      <alignment horizontal="right" vertical="top" indent="9" shrinkToFit="1"/>
    </xf>
  </cellXfs>
  <cellStyles count="4">
    <cellStyle name="Comma" xfId="1" builtinId="3"/>
    <cellStyle name="Normal" xfId="0" builtinId="0"/>
    <cellStyle name="Normal 2" xfId="3" xr:uid="{81312992-6865-43ED-ACA0-96CC5C2F55AE}"/>
    <cellStyle name="Percent" xfId="2" builtinId="5"/>
  </cellStyles>
  <dxfs count="0"/>
  <tableStyles count="0" defaultTableStyle="TableStyleMedium2" defaultPivotStyle="PivotStyleLight16"/>
  <colors>
    <mruColors>
      <color rgb="FF0000FF"/>
      <color rgb="FFF0F0F0"/>
      <color rgb="FFF7F7F7"/>
      <color rgb="FFFDFDF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Regression of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strRef>
              <c:f>Forcasting!$C$6:$C$9</c:f>
              <c:strCache>
                <c:ptCount val="4"/>
                <c:pt idx="0">
                  <c:v>2020A</c:v>
                </c:pt>
                <c:pt idx="1">
                  <c:v>2021A</c:v>
                </c:pt>
                <c:pt idx="2">
                  <c:v>2022A</c:v>
                </c:pt>
                <c:pt idx="3">
                  <c:v>2023A</c:v>
                </c:pt>
              </c:strCache>
            </c:strRef>
          </c:xVal>
          <c:yVal>
            <c:numRef>
              <c:f>Forcasting!$D$6:$D$9</c:f>
              <c:numCache>
                <c:formatCode>[$$-409]#,##0.0</c:formatCode>
                <c:ptCount val="4"/>
                <c:pt idx="0">
                  <c:v>3969</c:v>
                </c:pt>
                <c:pt idx="1">
                  <c:v>5107</c:v>
                </c:pt>
                <c:pt idx="2">
                  <c:v>6622</c:v>
                </c:pt>
                <c:pt idx="3">
                  <c:v>8407</c:v>
                </c:pt>
              </c:numCache>
            </c:numRef>
          </c:yVal>
          <c:smooth val="0"/>
          <c:extLst>
            <c:ext xmlns:c16="http://schemas.microsoft.com/office/drawing/2014/chart" uri="{C3380CC4-5D6E-409C-BE32-E72D297353CC}">
              <c16:uniqueId val="{00000000-F018-4B33-A931-6D378ED44C85}"/>
            </c:ext>
          </c:extLst>
        </c:ser>
        <c:dLbls>
          <c:showLegendKey val="0"/>
          <c:showVal val="0"/>
          <c:showCatName val="0"/>
          <c:showSerName val="0"/>
          <c:showPercent val="0"/>
          <c:showBubbleSize val="0"/>
        </c:dLbls>
        <c:axId val="1135260591"/>
        <c:axId val="1135266351"/>
      </c:scatterChart>
      <c:valAx>
        <c:axId val="1135260591"/>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5266351"/>
        <c:crosses val="autoZero"/>
        <c:crossBetween val="midCat"/>
      </c:valAx>
      <c:valAx>
        <c:axId val="1135266351"/>
        <c:scaling>
          <c:orientation val="minMax"/>
        </c:scaling>
        <c:delete val="0"/>
        <c:axPos val="l"/>
        <c:majorGridlines>
          <c:spPr>
            <a:ln w="9525" cap="flat" cmpd="sng" algn="ctr">
              <a:solidFill>
                <a:schemeClr val="tx1">
                  <a:lumMod val="15000"/>
                  <a:lumOff val="85000"/>
                </a:schemeClr>
              </a:solidFill>
              <a:round/>
            </a:ln>
            <a:effectLst/>
          </c:spPr>
        </c:majorGridlines>
        <c:numFmt formatCode="[$$-409]#,##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526059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11</xdr:col>
      <xdr:colOff>99060</xdr:colOff>
      <xdr:row>3</xdr:row>
      <xdr:rowOff>160020</xdr:rowOff>
    </xdr:from>
    <xdr:to>
      <xdr:col>15</xdr:col>
      <xdr:colOff>114300</xdr:colOff>
      <xdr:row>14</xdr:row>
      <xdr:rowOff>76200</xdr:rowOff>
    </xdr:to>
    <xdr:graphicFrame macro="">
      <xdr:nvGraphicFramePr>
        <xdr:cNvPr id="2" name="Chart 1">
          <a:extLst>
            <a:ext uri="{FF2B5EF4-FFF2-40B4-BE49-F238E27FC236}">
              <a16:creationId xmlns:a16="http://schemas.microsoft.com/office/drawing/2014/main" id="{3F4BCB1A-0C4B-34E4-6F01-D233ABDAD0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oneCellAnchor>
    <xdr:from>
      <xdr:col>0</xdr:col>
      <xdr:colOff>77723</xdr:colOff>
      <xdr:row>0</xdr:row>
      <xdr:rowOff>0</xdr:rowOff>
    </xdr:from>
    <xdr:ext cx="6341745" cy="18415"/>
    <xdr:sp macro="" textlink="">
      <xdr:nvSpPr>
        <xdr:cNvPr id="2" name="Shape 5">
          <a:extLst>
            <a:ext uri="{FF2B5EF4-FFF2-40B4-BE49-F238E27FC236}">
              <a16:creationId xmlns:a16="http://schemas.microsoft.com/office/drawing/2014/main" id="{2D1CB079-26CF-43D8-9482-0B78087F5485}"/>
            </a:ext>
          </a:extLst>
        </xdr:cNvPr>
        <xdr:cNvSpPr/>
      </xdr:nvSpPr>
      <xdr:spPr>
        <a:xfrm>
          <a:off x="77723" y="0"/>
          <a:ext cx="6341745" cy="18415"/>
        </a:xfrm>
        <a:custGeom>
          <a:avLst/>
          <a:gdLst/>
          <a:ahLst/>
          <a:cxnLst/>
          <a:rect l="0" t="0" r="0" b="0"/>
          <a:pathLst>
            <a:path w="6341745" h="18415">
              <a:moveTo>
                <a:pt x="6341363" y="0"/>
              </a:moveTo>
              <a:lnTo>
                <a:pt x="0" y="0"/>
              </a:lnTo>
              <a:lnTo>
                <a:pt x="0" y="18288"/>
              </a:lnTo>
              <a:lnTo>
                <a:pt x="6341363" y="18288"/>
              </a:lnTo>
              <a:lnTo>
                <a:pt x="6341363" y="0"/>
              </a:lnTo>
              <a:close/>
            </a:path>
          </a:pathLst>
        </a:custGeom>
        <a:solidFill>
          <a:srgbClr val="000000"/>
        </a:solidFill>
      </xdr:spPr>
    </xdr:sp>
    <xdr:clientData/>
  </xdr:oneCellAnchor>
  <xdr:oneCellAnchor>
    <xdr:from>
      <xdr:col>0</xdr:col>
      <xdr:colOff>77723</xdr:colOff>
      <xdr:row>0</xdr:row>
      <xdr:rowOff>286511</xdr:rowOff>
    </xdr:from>
    <xdr:ext cx="6341745" cy="9525"/>
    <xdr:sp macro="" textlink="">
      <xdr:nvSpPr>
        <xdr:cNvPr id="3" name="Shape 6">
          <a:extLst>
            <a:ext uri="{FF2B5EF4-FFF2-40B4-BE49-F238E27FC236}">
              <a16:creationId xmlns:a16="http://schemas.microsoft.com/office/drawing/2014/main" id="{9FD3B2D7-0444-4DD7-9A02-2A3EC0932C44}"/>
            </a:ext>
          </a:extLst>
        </xdr:cNvPr>
        <xdr:cNvSpPr/>
      </xdr:nvSpPr>
      <xdr:spPr>
        <a:xfrm>
          <a:off x="77723" y="286511"/>
          <a:ext cx="6341745" cy="9525"/>
        </a:xfrm>
        <a:custGeom>
          <a:avLst/>
          <a:gdLst/>
          <a:ahLst/>
          <a:cxnLst/>
          <a:rect l="0" t="0" r="0" b="0"/>
          <a:pathLst>
            <a:path w="6341745" h="9525">
              <a:moveTo>
                <a:pt x="6341363" y="0"/>
              </a:moveTo>
              <a:lnTo>
                <a:pt x="0" y="0"/>
              </a:lnTo>
              <a:lnTo>
                <a:pt x="0" y="9144"/>
              </a:lnTo>
              <a:lnTo>
                <a:pt x="6341363" y="9144"/>
              </a:lnTo>
              <a:lnTo>
                <a:pt x="6341363" y="0"/>
              </a:lnTo>
              <a:close/>
            </a:path>
          </a:pathLst>
        </a:custGeom>
        <a:solidFill>
          <a:srgbClr val="000000"/>
        </a:solidFill>
      </xdr:spPr>
    </xdr:sp>
    <xdr:clientData/>
  </xdr:oneCellAnchor>
</xdr:wsDr>
</file>

<file path=xl/drawings/drawing11.xml><?xml version="1.0" encoding="utf-8"?>
<xdr:wsDr xmlns:xdr="http://schemas.openxmlformats.org/drawingml/2006/spreadsheetDrawing" xmlns:a="http://schemas.openxmlformats.org/drawingml/2006/main">
  <xdr:oneCellAnchor>
    <xdr:from>
      <xdr:col>0</xdr:col>
      <xdr:colOff>76200</xdr:colOff>
      <xdr:row>0</xdr:row>
      <xdr:rowOff>347345</xdr:rowOff>
    </xdr:from>
    <xdr:ext cx="6335395" cy="15240"/>
    <xdr:sp macro="" textlink="">
      <xdr:nvSpPr>
        <xdr:cNvPr id="2" name="Shape 7">
          <a:extLst>
            <a:ext uri="{FF2B5EF4-FFF2-40B4-BE49-F238E27FC236}">
              <a16:creationId xmlns:a16="http://schemas.microsoft.com/office/drawing/2014/main" id="{2E030B44-6E86-419D-894A-489D79D59498}"/>
            </a:ext>
          </a:extLst>
        </xdr:cNvPr>
        <xdr:cNvSpPr/>
      </xdr:nvSpPr>
      <xdr:spPr>
        <a:xfrm>
          <a:off x="76200" y="347345"/>
          <a:ext cx="6335395" cy="15240"/>
        </a:xfrm>
        <a:custGeom>
          <a:avLst/>
          <a:gdLst/>
          <a:ahLst/>
          <a:cxnLst/>
          <a:rect l="0" t="0" r="0" b="0"/>
          <a:pathLst>
            <a:path w="6335395" h="15240">
              <a:moveTo>
                <a:pt x="6335267" y="0"/>
              </a:moveTo>
              <a:lnTo>
                <a:pt x="0" y="0"/>
              </a:lnTo>
              <a:lnTo>
                <a:pt x="0" y="15240"/>
              </a:lnTo>
              <a:lnTo>
                <a:pt x="6335267" y="15240"/>
              </a:lnTo>
              <a:lnTo>
                <a:pt x="6335267" y="0"/>
              </a:lnTo>
              <a:close/>
            </a:path>
          </a:pathLst>
        </a:custGeom>
        <a:solidFill>
          <a:srgbClr val="000000"/>
        </a:solidFill>
      </xdr:spPr>
    </xdr:sp>
    <xdr:clientData/>
  </xdr:oneCellAnchor>
  <xdr:oneCellAnchor>
    <xdr:from>
      <xdr:col>1</xdr:col>
      <xdr:colOff>105848</xdr:colOff>
      <xdr:row>1</xdr:row>
      <xdr:rowOff>203835</xdr:rowOff>
    </xdr:from>
    <xdr:ext cx="2586355" cy="7620"/>
    <xdr:sp macro="" textlink="">
      <xdr:nvSpPr>
        <xdr:cNvPr id="3" name="Shape 8">
          <a:extLst>
            <a:ext uri="{FF2B5EF4-FFF2-40B4-BE49-F238E27FC236}">
              <a16:creationId xmlns:a16="http://schemas.microsoft.com/office/drawing/2014/main" id="{4B14504E-EFF1-4E73-BD43-C8801150A257}"/>
            </a:ext>
          </a:extLst>
        </xdr:cNvPr>
        <xdr:cNvSpPr/>
      </xdr:nvSpPr>
      <xdr:spPr>
        <a:xfrm>
          <a:off x="3397688" y="600075"/>
          <a:ext cx="2586355" cy="7620"/>
        </a:xfrm>
        <a:custGeom>
          <a:avLst/>
          <a:gdLst/>
          <a:ahLst/>
          <a:cxnLst/>
          <a:rect l="0" t="0" r="0" b="0"/>
          <a:pathLst>
            <a:path w="2586355" h="7620">
              <a:moveTo>
                <a:pt x="2586228" y="0"/>
              </a:moveTo>
              <a:lnTo>
                <a:pt x="0" y="0"/>
              </a:lnTo>
              <a:lnTo>
                <a:pt x="0" y="7620"/>
              </a:lnTo>
              <a:lnTo>
                <a:pt x="2586228" y="7620"/>
              </a:lnTo>
              <a:lnTo>
                <a:pt x="2586228" y="0"/>
              </a:lnTo>
              <a:close/>
            </a:path>
          </a:pathLst>
        </a:custGeom>
        <a:solidFill>
          <a:srgbClr val="000000"/>
        </a:solidFill>
      </xdr:spPr>
    </xdr:sp>
    <xdr:clientData/>
  </xdr:oneCellAnchor>
</xdr:wsDr>
</file>

<file path=xl/drawings/drawing12.xml><?xml version="1.0" encoding="utf-8"?>
<xdr:wsDr xmlns:xdr="http://schemas.openxmlformats.org/drawingml/2006/spreadsheetDrawing" xmlns:a="http://schemas.openxmlformats.org/drawingml/2006/main">
  <xdr:oneCellAnchor>
    <xdr:from>
      <xdr:col>0</xdr:col>
      <xdr:colOff>76200</xdr:colOff>
      <xdr:row>0</xdr:row>
      <xdr:rowOff>347345</xdr:rowOff>
    </xdr:from>
    <xdr:ext cx="6335395" cy="15240"/>
    <xdr:sp macro="" textlink="">
      <xdr:nvSpPr>
        <xdr:cNvPr id="2" name="Shape 9">
          <a:extLst>
            <a:ext uri="{FF2B5EF4-FFF2-40B4-BE49-F238E27FC236}">
              <a16:creationId xmlns:a16="http://schemas.microsoft.com/office/drawing/2014/main" id="{F8DC37E9-325B-4DAC-B13B-583CB5C1BAF4}"/>
            </a:ext>
          </a:extLst>
        </xdr:cNvPr>
        <xdr:cNvSpPr/>
      </xdr:nvSpPr>
      <xdr:spPr>
        <a:xfrm>
          <a:off x="76200" y="347345"/>
          <a:ext cx="6335395" cy="15240"/>
        </a:xfrm>
        <a:custGeom>
          <a:avLst/>
          <a:gdLst/>
          <a:ahLst/>
          <a:cxnLst/>
          <a:rect l="0" t="0" r="0" b="0"/>
          <a:pathLst>
            <a:path w="6335395" h="15240">
              <a:moveTo>
                <a:pt x="6335267" y="0"/>
              </a:moveTo>
              <a:lnTo>
                <a:pt x="0" y="0"/>
              </a:lnTo>
              <a:lnTo>
                <a:pt x="0" y="15240"/>
              </a:lnTo>
              <a:lnTo>
                <a:pt x="6335267" y="15240"/>
              </a:lnTo>
              <a:lnTo>
                <a:pt x="6335267" y="0"/>
              </a:lnTo>
              <a:close/>
            </a:path>
          </a:pathLst>
        </a:custGeom>
        <a:solidFill>
          <a:srgbClr val="000000"/>
        </a:solidFill>
      </xdr:spPr>
    </xdr:sp>
    <xdr:clientData/>
  </xdr:oneCellAnchor>
  <xdr:oneCellAnchor>
    <xdr:from>
      <xdr:col>1</xdr:col>
      <xdr:colOff>105848</xdr:colOff>
      <xdr:row>2</xdr:row>
      <xdr:rowOff>93344</xdr:rowOff>
    </xdr:from>
    <xdr:ext cx="2586355" cy="7620"/>
    <xdr:sp macro="" textlink="">
      <xdr:nvSpPr>
        <xdr:cNvPr id="3" name="Shape 10">
          <a:extLst>
            <a:ext uri="{FF2B5EF4-FFF2-40B4-BE49-F238E27FC236}">
              <a16:creationId xmlns:a16="http://schemas.microsoft.com/office/drawing/2014/main" id="{9B45E6CC-0F62-40D7-8AE7-8709C4AFA1B5}"/>
            </a:ext>
          </a:extLst>
        </xdr:cNvPr>
        <xdr:cNvSpPr/>
      </xdr:nvSpPr>
      <xdr:spPr>
        <a:xfrm>
          <a:off x="3397688" y="588644"/>
          <a:ext cx="2586355" cy="7620"/>
        </a:xfrm>
        <a:custGeom>
          <a:avLst/>
          <a:gdLst/>
          <a:ahLst/>
          <a:cxnLst/>
          <a:rect l="0" t="0" r="0" b="0"/>
          <a:pathLst>
            <a:path w="2586355" h="7620">
              <a:moveTo>
                <a:pt x="2586228" y="0"/>
              </a:moveTo>
              <a:lnTo>
                <a:pt x="0" y="0"/>
              </a:lnTo>
              <a:lnTo>
                <a:pt x="0" y="7620"/>
              </a:lnTo>
              <a:lnTo>
                <a:pt x="2586228" y="7620"/>
              </a:lnTo>
              <a:lnTo>
                <a:pt x="2586228" y="0"/>
              </a:lnTo>
              <a:close/>
            </a:path>
          </a:pathLst>
        </a:custGeom>
        <a:solidFill>
          <a:srgbClr val="000000"/>
        </a:solidFill>
      </xdr:spPr>
    </xdr:sp>
    <xdr:clientData/>
  </xdr:oneCellAnchor>
</xdr:wsDr>
</file>

<file path=xl/drawings/drawing13.xml><?xml version="1.0" encoding="utf-8"?>
<xdr:wsDr xmlns:xdr="http://schemas.openxmlformats.org/drawingml/2006/spreadsheetDrawing" xmlns:a="http://schemas.openxmlformats.org/drawingml/2006/main">
  <xdr:oneCellAnchor>
    <xdr:from>
      <xdr:col>0</xdr:col>
      <xdr:colOff>79247</xdr:colOff>
      <xdr:row>0</xdr:row>
      <xdr:rowOff>470280</xdr:rowOff>
    </xdr:from>
    <xdr:ext cx="5477510" cy="18415"/>
    <xdr:sp macro="" textlink="">
      <xdr:nvSpPr>
        <xdr:cNvPr id="2" name="Shape 11">
          <a:extLst>
            <a:ext uri="{FF2B5EF4-FFF2-40B4-BE49-F238E27FC236}">
              <a16:creationId xmlns:a16="http://schemas.microsoft.com/office/drawing/2014/main" id="{A82FBF54-B48F-4D33-B06C-4F3D3554A228}"/>
            </a:ext>
          </a:extLst>
        </xdr:cNvPr>
        <xdr:cNvSpPr/>
      </xdr:nvSpPr>
      <xdr:spPr>
        <a:xfrm>
          <a:off x="79247" y="470280"/>
          <a:ext cx="5477510" cy="18415"/>
        </a:xfrm>
        <a:custGeom>
          <a:avLst/>
          <a:gdLst/>
          <a:ahLst/>
          <a:cxnLst/>
          <a:rect l="0" t="0" r="0" b="0"/>
          <a:pathLst>
            <a:path w="5477510" h="18415">
              <a:moveTo>
                <a:pt x="5477256" y="0"/>
              </a:moveTo>
              <a:lnTo>
                <a:pt x="0" y="0"/>
              </a:lnTo>
              <a:lnTo>
                <a:pt x="0" y="18288"/>
              </a:lnTo>
              <a:lnTo>
                <a:pt x="5477256" y="18288"/>
              </a:lnTo>
              <a:lnTo>
                <a:pt x="5477256" y="0"/>
              </a:lnTo>
              <a:close/>
            </a:path>
          </a:pathLst>
        </a:custGeom>
        <a:solidFill>
          <a:srgbClr val="000000"/>
        </a:solidFill>
      </xdr:spPr>
    </xdr:sp>
    <xdr:clientData/>
  </xdr:oneCellAnchor>
  <xdr:oneCellAnchor>
    <xdr:from>
      <xdr:col>0</xdr:col>
      <xdr:colOff>79247</xdr:colOff>
      <xdr:row>1</xdr:row>
      <xdr:rowOff>260604</xdr:rowOff>
    </xdr:from>
    <xdr:ext cx="5477510" cy="9525"/>
    <xdr:sp macro="" textlink="">
      <xdr:nvSpPr>
        <xdr:cNvPr id="3" name="Shape 12">
          <a:extLst>
            <a:ext uri="{FF2B5EF4-FFF2-40B4-BE49-F238E27FC236}">
              <a16:creationId xmlns:a16="http://schemas.microsoft.com/office/drawing/2014/main" id="{57CDB00F-B478-4CF4-9BBD-239DB34159CE}"/>
            </a:ext>
          </a:extLst>
        </xdr:cNvPr>
        <xdr:cNvSpPr/>
      </xdr:nvSpPr>
      <xdr:spPr>
        <a:xfrm>
          <a:off x="79247" y="801624"/>
          <a:ext cx="5477510" cy="9525"/>
        </a:xfrm>
        <a:custGeom>
          <a:avLst/>
          <a:gdLst/>
          <a:ahLst/>
          <a:cxnLst/>
          <a:rect l="0" t="0" r="0" b="0"/>
          <a:pathLst>
            <a:path w="5477510" h="9525">
              <a:moveTo>
                <a:pt x="5477256" y="0"/>
              </a:moveTo>
              <a:lnTo>
                <a:pt x="0" y="0"/>
              </a:lnTo>
              <a:lnTo>
                <a:pt x="0" y="9144"/>
              </a:lnTo>
              <a:lnTo>
                <a:pt x="5477256" y="9144"/>
              </a:lnTo>
              <a:lnTo>
                <a:pt x="5477256" y="0"/>
              </a:lnTo>
              <a:close/>
            </a:path>
          </a:pathLst>
        </a:custGeom>
        <a:solidFill>
          <a:srgbClr val="000000"/>
        </a:solidFill>
      </xdr:spPr>
    </xdr:sp>
    <xdr:clientData/>
  </xdr:oneCellAnchor>
  <xdr:oneCellAnchor>
    <xdr:from>
      <xdr:col>0</xdr:col>
      <xdr:colOff>303275</xdr:colOff>
      <xdr:row>6</xdr:row>
      <xdr:rowOff>617967</xdr:rowOff>
    </xdr:from>
    <xdr:ext cx="5253355" cy="9525"/>
    <xdr:sp macro="" textlink="">
      <xdr:nvSpPr>
        <xdr:cNvPr id="4" name="Shape 13">
          <a:extLst>
            <a:ext uri="{FF2B5EF4-FFF2-40B4-BE49-F238E27FC236}">
              <a16:creationId xmlns:a16="http://schemas.microsoft.com/office/drawing/2014/main" id="{5304D417-8A97-4A51-8A8F-EB58F0342E82}"/>
            </a:ext>
          </a:extLst>
        </xdr:cNvPr>
        <xdr:cNvSpPr/>
      </xdr:nvSpPr>
      <xdr:spPr>
        <a:xfrm>
          <a:off x="303275" y="3025887"/>
          <a:ext cx="5253355" cy="9525"/>
        </a:xfrm>
        <a:custGeom>
          <a:avLst/>
          <a:gdLst/>
          <a:ahLst/>
          <a:cxnLst/>
          <a:rect l="0" t="0" r="0" b="0"/>
          <a:pathLst>
            <a:path w="5253355" h="9525">
              <a:moveTo>
                <a:pt x="5253228" y="0"/>
              </a:moveTo>
              <a:lnTo>
                <a:pt x="0" y="0"/>
              </a:lnTo>
              <a:lnTo>
                <a:pt x="0" y="9144"/>
              </a:lnTo>
              <a:lnTo>
                <a:pt x="5253228" y="9144"/>
              </a:lnTo>
              <a:lnTo>
                <a:pt x="5253228" y="0"/>
              </a:lnTo>
              <a:close/>
            </a:path>
          </a:pathLst>
        </a:custGeom>
        <a:solidFill>
          <a:srgbClr val="000000"/>
        </a:solidFill>
      </xdr:spPr>
    </xdr:sp>
    <xdr:clientData/>
  </xdr:oneCellAnchor>
</xdr:wsDr>
</file>

<file path=xl/drawings/drawing2.xml><?xml version="1.0" encoding="utf-8"?>
<xdr:wsDr xmlns:xdr="http://schemas.openxmlformats.org/drawingml/2006/spreadsheetDrawing" xmlns:a="http://schemas.openxmlformats.org/drawingml/2006/main">
  <xdr:oneCellAnchor>
    <xdr:from>
      <xdr:col>0</xdr:col>
      <xdr:colOff>688848</xdr:colOff>
      <xdr:row>0</xdr:row>
      <xdr:rowOff>252729</xdr:rowOff>
    </xdr:from>
    <xdr:ext cx="5364480" cy="27940"/>
    <xdr:sp macro="" textlink="">
      <xdr:nvSpPr>
        <xdr:cNvPr id="2" name="Shape 2">
          <a:extLst>
            <a:ext uri="{FF2B5EF4-FFF2-40B4-BE49-F238E27FC236}">
              <a16:creationId xmlns:a16="http://schemas.microsoft.com/office/drawing/2014/main" id="{660FBA46-F985-4D09-9C95-A6F1ADDD3356}"/>
            </a:ext>
          </a:extLst>
        </xdr:cNvPr>
        <xdr:cNvSpPr/>
      </xdr:nvSpPr>
      <xdr:spPr>
        <a:xfrm>
          <a:off x="688848" y="252729"/>
          <a:ext cx="5364480" cy="27940"/>
        </a:xfrm>
        <a:custGeom>
          <a:avLst/>
          <a:gdLst/>
          <a:ahLst/>
          <a:cxnLst/>
          <a:rect l="0" t="0" r="0" b="0"/>
          <a:pathLst>
            <a:path w="5364480" h="27940">
              <a:moveTo>
                <a:pt x="5364480" y="0"/>
              </a:moveTo>
              <a:lnTo>
                <a:pt x="0" y="0"/>
              </a:lnTo>
              <a:lnTo>
                <a:pt x="0" y="27431"/>
              </a:lnTo>
              <a:lnTo>
                <a:pt x="5364480" y="27431"/>
              </a:lnTo>
              <a:lnTo>
                <a:pt x="5364480" y="0"/>
              </a:lnTo>
              <a:close/>
            </a:path>
          </a:pathLst>
        </a:custGeom>
        <a:solidFill>
          <a:srgbClr val="000000"/>
        </a:solidFill>
      </xdr:spPr>
    </xdr:sp>
    <xdr:clientData/>
  </xdr:oneCellAnchor>
</xdr:wsDr>
</file>

<file path=xl/drawings/drawing3.xml><?xml version="1.0" encoding="utf-8"?>
<xdr:wsDr xmlns:xdr="http://schemas.openxmlformats.org/drawingml/2006/spreadsheetDrawing" xmlns:a="http://schemas.openxmlformats.org/drawingml/2006/main">
  <xdr:oneCellAnchor>
    <xdr:from>
      <xdr:col>0</xdr:col>
      <xdr:colOff>79247</xdr:colOff>
      <xdr:row>1</xdr:row>
      <xdr:rowOff>106425</xdr:rowOff>
    </xdr:from>
    <xdr:ext cx="5329555" cy="18415"/>
    <xdr:sp macro="" textlink="">
      <xdr:nvSpPr>
        <xdr:cNvPr id="2" name="Shape 3">
          <a:extLst>
            <a:ext uri="{FF2B5EF4-FFF2-40B4-BE49-F238E27FC236}">
              <a16:creationId xmlns:a16="http://schemas.microsoft.com/office/drawing/2014/main" id="{87E82EFD-2BF8-4231-B059-66F2B5679875}"/>
            </a:ext>
          </a:extLst>
        </xdr:cNvPr>
        <xdr:cNvSpPr/>
      </xdr:nvSpPr>
      <xdr:spPr>
        <a:xfrm>
          <a:off x="79247" y="243585"/>
          <a:ext cx="5329555" cy="18415"/>
        </a:xfrm>
        <a:custGeom>
          <a:avLst/>
          <a:gdLst/>
          <a:ahLst/>
          <a:cxnLst/>
          <a:rect l="0" t="0" r="0" b="0"/>
          <a:pathLst>
            <a:path w="5329555" h="18415">
              <a:moveTo>
                <a:pt x="5329428" y="0"/>
              </a:moveTo>
              <a:lnTo>
                <a:pt x="0" y="0"/>
              </a:lnTo>
              <a:lnTo>
                <a:pt x="0" y="18288"/>
              </a:lnTo>
              <a:lnTo>
                <a:pt x="5329428" y="18288"/>
              </a:lnTo>
              <a:lnTo>
                <a:pt x="5329428" y="0"/>
              </a:lnTo>
              <a:close/>
            </a:path>
          </a:pathLst>
        </a:custGeom>
        <a:solidFill>
          <a:srgbClr val="000000"/>
        </a:solidFill>
      </xdr:spPr>
    </xdr:sp>
    <xdr:clientData/>
  </xdr:oneCellAnchor>
  <xdr:oneCellAnchor>
    <xdr:from>
      <xdr:col>0</xdr:col>
      <xdr:colOff>688848</xdr:colOff>
      <xdr:row>38</xdr:row>
      <xdr:rowOff>115569</xdr:rowOff>
    </xdr:from>
    <xdr:ext cx="5329555" cy="18415"/>
    <xdr:sp macro="" textlink="">
      <xdr:nvSpPr>
        <xdr:cNvPr id="3" name="Shape 4">
          <a:extLst>
            <a:ext uri="{FF2B5EF4-FFF2-40B4-BE49-F238E27FC236}">
              <a16:creationId xmlns:a16="http://schemas.microsoft.com/office/drawing/2014/main" id="{FB458081-B1F8-4877-873D-202A46F97106}"/>
            </a:ext>
          </a:extLst>
        </xdr:cNvPr>
        <xdr:cNvSpPr/>
      </xdr:nvSpPr>
      <xdr:spPr>
        <a:xfrm>
          <a:off x="688848" y="7270749"/>
          <a:ext cx="5329555" cy="18415"/>
        </a:xfrm>
        <a:custGeom>
          <a:avLst/>
          <a:gdLst/>
          <a:ahLst/>
          <a:cxnLst/>
          <a:rect l="0" t="0" r="0" b="0"/>
          <a:pathLst>
            <a:path w="5329555" h="18415">
              <a:moveTo>
                <a:pt x="5329428" y="0"/>
              </a:moveTo>
              <a:lnTo>
                <a:pt x="0" y="0"/>
              </a:lnTo>
              <a:lnTo>
                <a:pt x="0" y="18288"/>
              </a:lnTo>
              <a:lnTo>
                <a:pt x="5329428" y="18288"/>
              </a:lnTo>
              <a:lnTo>
                <a:pt x="5329428" y="0"/>
              </a:lnTo>
              <a:close/>
            </a:path>
          </a:pathLst>
        </a:custGeom>
        <a:solidFill>
          <a:srgbClr val="000000"/>
        </a:solidFill>
      </xdr:spPr>
    </xdr:sp>
    <xdr:clientData/>
  </xdr:oneCellAnchor>
</xdr:wsDr>
</file>

<file path=xl/drawings/drawing4.xml><?xml version="1.0" encoding="utf-8"?>
<xdr:wsDr xmlns:xdr="http://schemas.openxmlformats.org/drawingml/2006/spreadsheetDrawing" xmlns:a="http://schemas.openxmlformats.org/drawingml/2006/main">
  <xdr:oneCellAnchor>
    <xdr:from>
      <xdr:col>0</xdr:col>
      <xdr:colOff>77723</xdr:colOff>
      <xdr:row>0</xdr:row>
      <xdr:rowOff>0</xdr:rowOff>
    </xdr:from>
    <xdr:ext cx="6247130" cy="21590"/>
    <xdr:sp macro="" textlink="">
      <xdr:nvSpPr>
        <xdr:cNvPr id="2" name="Shape 5">
          <a:extLst>
            <a:ext uri="{FF2B5EF4-FFF2-40B4-BE49-F238E27FC236}">
              <a16:creationId xmlns:a16="http://schemas.microsoft.com/office/drawing/2014/main" id="{75C5C3DE-F8C7-4E2E-AD0B-237198C7E380}"/>
            </a:ext>
          </a:extLst>
        </xdr:cNvPr>
        <xdr:cNvSpPr/>
      </xdr:nvSpPr>
      <xdr:spPr>
        <a:xfrm>
          <a:off x="77723" y="0"/>
          <a:ext cx="6247130" cy="21590"/>
        </a:xfrm>
        <a:custGeom>
          <a:avLst/>
          <a:gdLst/>
          <a:ahLst/>
          <a:cxnLst/>
          <a:rect l="0" t="0" r="0" b="0"/>
          <a:pathLst>
            <a:path w="6247130" h="21590">
              <a:moveTo>
                <a:pt x="6246876" y="0"/>
              </a:moveTo>
              <a:lnTo>
                <a:pt x="0" y="0"/>
              </a:lnTo>
              <a:lnTo>
                <a:pt x="0" y="21334"/>
              </a:lnTo>
              <a:lnTo>
                <a:pt x="6246876" y="21334"/>
              </a:lnTo>
              <a:lnTo>
                <a:pt x="6246876" y="0"/>
              </a:lnTo>
              <a:close/>
            </a:path>
          </a:pathLst>
        </a:custGeom>
        <a:solidFill>
          <a:srgbClr val="000000"/>
        </a:solidFill>
      </xdr:spPr>
    </xdr:sp>
    <xdr:clientData/>
  </xdr:oneCellAnchor>
</xdr:wsDr>
</file>

<file path=xl/drawings/drawing5.xml><?xml version="1.0" encoding="utf-8"?>
<xdr:wsDr xmlns:xdr="http://schemas.openxmlformats.org/drawingml/2006/spreadsheetDrawing" xmlns:a="http://schemas.openxmlformats.org/drawingml/2006/main">
  <xdr:oneCellAnchor>
    <xdr:from>
      <xdr:col>0</xdr:col>
      <xdr:colOff>74676</xdr:colOff>
      <xdr:row>0</xdr:row>
      <xdr:rowOff>0</xdr:rowOff>
    </xdr:from>
    <xdr:ext cx="6049010" cy="12700"/>
    <xdr:sp macro="" textlink="">
      <xdr:nvSpPr>
        <xdr:cNvPr id="2" name="Shape 6">
          <a:extLst>
            <a:ext uri="{FF2B5EF4-FFF2-40B4-BE49-F238E27FC236}">
              <a16:creationId xmlns:a16="http://schemas.microsoft.com/office/drawing/2014/main" id="{E70D1D09-F2E3-441E-A4EB-04E20B12F76B}"/>
            </a:ext>
          </a:extLst>
        </xdr:cNvPr>
        <xdr:cNvSpPr/>
      </xdr:nvSpPr>
      <xdr:spPr>
        <a:xfrm>
          <a:off x="74676" y="0"/>
          <a:ext cx="6049010" cy="12700"/>
        </a:xfrm>
        <a:custGeom>
          <a:avLst/>
          <a:gdLst/>
          <a:ahLst/>
          <a:cxnLst/>
          <a:rect l="0" t="0" r="0" b="0"/>
          <a:pathLst>
            <a:path w="6049010" h="12700">
              <a:moveTo>
                <a:pt x="6048756" y="0"/>
              </a:moveTo>
              <a:lnTo>
                <a:pt x="0" y="0"/>
              </a:lnTo>
              <a:lnTo>
                <a:pt x="0" y="12192"/>
              </a:lnTo>
              <a:lnTo>
                <a:pt x="6048756" y="12192"/>
              </a:lnTo>
              <a:lnTo>
                <a:pt x="6048756" y="0"/>
              </a:lnTo>
              <a:close/>
            </a:path>
          </a:pathLst>
        </a:custGeom>
        <a:solidFill>
          <a:srgbClr val="000000"/>
        </a:solidFill>
      </xdr:spPr>
    </xdr:sp>
    <xdr:clientData/>
  </xdr:oneCellAnchor>
  <xdr:oneCellAnchor>
    <xdr:from>
      <xdr:col>0</xdr:col>
      <xdr:colOff>2404872</xdr:colOff>
      <xdr:row>0</xdr:row>
      <xdr:rowOff>182880</xdr:rowOff>
    </xdr:from>
    <xdr:ext cx="2689860" cy="6350"/>
    <xdr:sp macro="" textlink="">
      <xdr:nvSpPr>
        <xdr:cNvPr id="3" name="Shape 7">
          <a:extLst>
            <a:ext uri="{FF2B5EF4-FFF2-40B4-BE49-F238E27FC236}">
              <a16:creationId xmlns:a16="http://schemas.microsoft.com/office/drawing/2014/main" id="{8F514306-E7E3-4EAC-9CFF-0CB0E894F51D}"/>
            </a:ext>
          </a:extLst>
        </xdr:cNvPr>
        <xdr:cNvSpPr/>
      </xdr:nvSpPr>
      <xdr:spPr>
        <a:xfrm>
          <a:off x="2404872" y="182880"/>
          <a:ext cx="2689860" cy="6350"/>
        </a:xfrm>
        <a:custGeom>
          <a:avLst/>
          <a:gdLst/>
          <a:ahLst/>
          <a:cxnLst/>
          <a:rect l="0" t="0" r="0" b="0"/>
          <a:pathLst>
            <a:path w="2689860" h="6350">
              <a:moveTo>
                <a:pt x="2689860" y="0"/>
              </a:moveTo>
              <a:lnTo>
                <a:pt x="0" y="0"/>
              </a:lnTo>
              <a:lnTo>
                <a:pt x="0" y="6095"/>
              </a:lnTo>
              <a:lnTo>
                <a:pt x="2689860" y="6095"/>
              </a:lnTo>
              <a:lnTo>
                <a:pt x="2689860" y="0"/>
              </a:lnTo>
              <a:close/>
            </a:path>
          </a:pathLst>
        </a:custGeom>
        <a:solidFill>
          <a:srgbClr val="000000"/>
        </a:solidFill>
      </xdr:spPr>
    </xdr:sp>
    <xdr:clientData/>
  </xdr:oneCellAnchor>
</xdr:wsDr>
</file>

<file path=xl/drawings/drawing6.xml><?xml version="1.0" encoding="utf-8"?>
<xdr:wsDr xmlns:xdr="http://schemas.openxmlformats.org/drawingml/2006/spreadsheetDrawing" xmlns:a="http://schemas.openxmlformats.org/drawingml/2006/main">
  <xdr:oneCellAnchor>
    <xdr:from>
      <xdr:col>0</xdr:col>
      <xdr:colOff>74676</xdr:colOff>
      <xdr:row>0</xdr:row>
      <xdr:rowOff>0</xdr:rowOff>
    </xdr:from>
    <xdr:ext cx="6049010" cy="12700"/>
    <xdr:sp macro="" textlink="">
      <xdr:nvSpPr>
        <xdr:cNvPr id="2" name="Shape 8">
          <a:extLst>
            <a:ext uri="{FF2B5EF4-FFF2-40B4-BE49-F238E27FC236}">
              <a16:creationId xmlns:a16="http://schemas.microsoft.com/office/drawing/2014/main" id="{7DA27D93-E0D2-4D2C-A632-52A84FAFBE39}"/>
            </a:ext>
          </a:extLst>
        </xdr:cNvPr>
        <xdr:cNvSpPr/>
      </xdr:nvSpPr>
      <xdr:spPr>
        <a:xfrm>
          <a:off x="74676" y="0"/>
          <a:ext cx="6049010" cy="12700"/>
        </a:xfrm>
        <a:custGeom>
          <a:avLst/>
          <a:gdLst/>
          <a:ahLst/>
          <a:cxnLst/>
          <a:rect l="0" t="0" r="0" b="0"/>
          <a:pathLst>
            <a:path w="6049010" h="12700">
              <a:moveTo>
                <a:pt x="6048756" y="0"/>
              </a:moveTo>
              <a:lnTo>
                <a:pt x="0" y="0"/>
              </a:lnTo>
              <a:lnTo>
                <a:pt x="0" y="12192"/>
              </a:lnTo>
              <a:lnTo>
                <a:pt x="6048756" y="12192"/>
              </a:lnTo>
              <a:lnTo>
                <a:pt x="6048756" y="0"/>
              </a:lnTo>
              <a:close/>
            </a:path>
          </a:pathLst>
        </a:custGeom>
        <a:solidFill>
          <a:srgbClr val="000000"/>
        </a:solidFill>
      </xdr:spPr>
    </xdr:sp>
    <xdr:clientData/>
  </xdr:oneCellAnchor>
  <xdr:oneCellAnchor>
    <xdr:from>
      <xdr:col>0</xdr:col>
      <xdr:colOff>2404872</xdr:colOff>
      <xdr:row>1</xdr:row>
      <xdr:rowOff>84795</xdr:rowOff>
    </xdr:from>
    <xdr:ext cx="2689860" cy="6350"/>
    <xdr:sp macro="" textlink="">
      <xdr:nvSpPr>
        <xdr:cNvPr id="3" name="Shape 9">
          <a:extLst>
            <a:ext uri="{FF2B5EF4-FFF2-40B4-BE49-F238E27FC236}">
              <a16:creationId xmlns:a16="http://schemas.microsoft.com/office/drawing/2014/main" id="{3BC57DB1-5371-4FF1-8BA4-D0E11751526D}"/>
            </a:ext>
          </a:extLst>
        </xdr:cNvPr>
        <xdr:cNvSpPr/>
      </xdr:nvSpPr>
      <xdr:spPr>
        <a:xfrm>
          <a:off x="2404872" y="183855"/>
          <a:ext cx="2689860" cy="6350"/>
        </a:xfrm>
        <a:custGeom>
          <a:avLst/>
          <a:gdLst/>
          <a:ahLst/>
          <a:cxnLst/>
          <a:rect l="0" t="0" r="0" b="0"/>
          <a:pathLst>
            <a:path w="2689860" h="6350">
              <a:moveTo>
                <a:pt x="2689860" y="0"/>
              </a:moveTo>
              <a:lnTo>
                <a:pt x="0" y="0"/>
              </a:lnTo>
              <a:lnTo>
                <a:pt x="0" y="6095"/>
              </a:lnTo>
              <a:lnTo>
                <a:pt x="2689860" y="6095"/>
              </a:lnTo>
              <a:lnTo>
                <a:pt x="2689860" y="0"/>
              </a:lnTo>
              <a:close/>
            </a:path>
          </a:pathLst>
        </a:custGeom>
        <a:solidFill>
          <a:srgbClr val="000000"/>
        </a:solidFill>
      </xdr:spPr>
    </xdr:sp>
    <xdr:clientData/>
  </xdr:oneCellAnchor>
</xdr:wsDr>
</file>

<file path=xl/drawings/drawing7.xml><?xml version="1.0" encoding="utf-8"?>
<xdr:wsDr xmlns:xdr="http://schemas.openxmlformats.org/drawingml/2006/spreadsheetDrawing" xmlns:a="http://schemas.openxmlformats.org/drawingml/2006/main">
  <xdr:oneCellAnchor>
    <xdr:from>
      <xdr:col>0</xdr:col>
      <xdr:colOff>79247</xdr:colOff>
      <xdr:row>0</xdr:row>
      <xdr:rowOff>470280</xdr:rowOff>
    </xdr:from>
    <xdr:ext cx="6323330" cy="18415"/>
    <xdr:sp macro="" textlink="">
      <xdr:nvSpPr>
        <xdr:cNvPr id="2" name="Shape 10">
          <a:extLst>
            <a:ext uri="{FF2B5EF4-FFF2-40B4-BE49-F238E27FC236}">
              <a16:creationId xmlns:a16="http://schemas.microsoft.com/office/drawing/2014/main" id="{C63079EE-08CE-4E2F-A648-E82C85987411}"/>
            </a:ext>
          </a:extLst>
        </xdr:cNvPr>
        <xdr:cNvSpPr/>
      </xdr:nvSpPr>
      <xdr:spPr>
        <a:xfrm>
          <a:off x="79247" y="470280"/>
          <a:ext cx="6323330" cy="18415"/>
        </a:xfrm>
        <a:custGeom>
          <a:avLst/>
          <a:gdLst/>
          <a:ahLst/>
          <a:cxnLst/>
          <a:rect l="0" t="0" r="0" b="0"/>
          <a:pathLst>
            <a:path w="6323330" h="18415">
              <a:moveTo>
                <a:pt x="6323076" y="0"/>
              </a:moveTo>
              <a:lnTo>
                <a:pt x="0" y="0"/>
              </a:lnTo>
              <a:lnTo>
                <a:pt x="0" y="18289"/>
              </a:lnTo>
              <a:lnTo>
                <a:pt x="6323076" y="18289"/>
              </a:lnTo>
              <a:lnTo>
                <a:pt x="6323076" y="0"/>
              </a:lnTo>
              <a:close/>
            </a:path>
          </a:pathLst>
        </a:custGeom>
        <a:solidFill>
          <a:srgbClr val="000000"/>
        </a:solidFill>
      </xdr:spPr>
    </xdr:sp>
    <xdr:clientData/>
  </xdr:oneCellAnchor>
</xdr:wsDr>
</file>

<file path=xl/drawings/drawing8.xml><?xml version="1.0" encoding="utf-8"?>
<xdr:wsDr xmlns:xdr="http://schemas.openxmlformats.org/drawingml/2006/spreadsheetDrawing" xmlns:a="http://schemas.openxmlformats.org/drawingml/2006/main">
  <xdr:oneCellAnchor>
    <xdr:from>
      <xdr:col>0</xdr:col>
      <xdr:colOff>687323</xdr:colOff>
      <xdr:row>43</xdr:row>
      <xdr:rowOff>117475</xdr:rowOff>
    </xdr:from>
    <xdr:ext cx="5786755" cy="27940"/>
    <xdr:sp macro="" textlink="">
      <xdr:nvSpPr>
        <xdr:cNvPr id="2" name="Shape 2">
          <a:extLst>
            <a:ext uri="{FF2B5EF4-FFF2-40B4-BE49-F238E27FC236}">
              <a16:creationId xmlns:a16="http://schemas.microsoft.com/office/drawing/2014/main" id="{DB911A8E-92D0-4D3E-9A8A-5843162A1C25}"/>
            </a:ext>
          </a:extLst>
        </xdr:cNvPr>
        <xdr:cNvSpPr/>
      </xdr:nvSpPr>
      <xdr:spPr>
        <a:xfrm>
          <a:off x="687323" y="8095615"/>
          <a:ext cx="5786755" cy="27940"/>
        </a:xfrm>
        <a:custGeom>
          <a:avLst/>
          <a:gdLst/>
          <a:ahLst/>
          <a:cxnLst/>
          <a:rect l="0" t="0" r="0" b="0"/>
          <a:pathLst>
            <a:path w="5786755" h="27940">
              <a:moveTo>
                <a:pt x="5786628" y="0"/>
              </a:moveTo>
              <a:lnTo>
                <a:pt x="0" y="0"/>
              </a:lnTo>
              <a:lnTo>
                <a:pt x="0" y="27431"/>
              </a:lnTo>
              <a:lnTo>
                <a:pt x="5786628" y="27431"/>
              </a:lnTo>
              <a:lnTo>
                <a:pt x="5786628" y="0"/>
              </a:lnTo>
              <a:close/>
            </a:path>
          </a:pathLst>
        </a:custGeom>
        <a:solidFill>
          <a:srgbClr val="000000"/>
        </a:solidFill>
      </xdr:spPr>
    </xdr:sp>
    <xdr:clientData/>
  </xdr:oneCellAnchor>
</xdr:wsDr>
</file>

<file path=xl/drawings/drawing9.xml><?xml version="1.0" encoding="utf-8"?>
<xdr:wsDr xmlns:xdr="http://schemas.openxmlformats.org/drawingml/2006/spreadsheetDrawing" xmlns:a="http://schemas.openxmlformats.org/drawingml/2006/main">
  <xdr:oneCellAnchor>
    <xdr:from>
      <xdr:col>0</xdr:col>
      <xdr:colOff>77723</xdr:colOff>
      <xdr:row>0</xdr:row>
      <xdr:rowOff>0</xdr:rowOff>
    </xdr:from>
    <xdr:ext cx="5954395" cy="21590"/>
    <xdr:sp macro="" textlink="">
      <xdr:nvSpPr>
        <xdr:cNvPr id="2" name="Shape 3">
          <a:extLst>
            <a:ext uri="{FF2B5EF4-FFF2-40B4-BE49-F238E27FC236}">
              <a16:creationId xmlns:a16="http://schemas.microsoft.com/office/drawing/2014/main" id="{B1504295-D55C-4FDA-88C8-63C282E2609F}"/>
            </a:ext>
          </a:extLst>
        </xdr:cNvPr>
        <xdr:cNvSpPr/>
      </xdr:nvSpPr>
      <xdr:spPr>
        <a:xfrm>
          <a:off x="77723" y="0"/>
          <a:ext cx="5954395" cy="21590"/>
        </a:xfrm>
        <a:custGeom>
          <a:avLst/>
          <a:gdLst/>
          <a:ahLst/>
          <a:cxnLst/>
          <a:rect l="0" t="0" r="0" b="0"/>
          <a:pathLst>
            <a:path w="5954395" h="21590">
              <a:moveTo>
                <a:pt x="5954267" y="0"/>
              </a:moveTo>
              <a:lnTo>
                <a:pt x="0" y="0"/>
              </a:lnTo>
              <a:lnTo>
                <a:pt x="0" y="21335"/>
              </a:lnTo>
              <a:lnTo>
                <a:pt x="5954267" y="21335"/>
              </a:lnTo>
              <a:lnTo>
                <a:pt x="5954267" y="0"/>
              </a:lnTo>
              <a:close/>
            </a:path>
          </a:pathLst>
        </a:custGeom>
        <a:solidFill>
          <a:srgbClr val="000000"/>
        </a:solidFill>
      </xdr:spPr>
    </xdr:sp>
    <xdr:clientData/>
  </xdr:oneCellAnchor>
  <xdr:oneCellAnchor>
    <xdr:from>
      <xdr:col>0</xdr:col>
      <xdr:colOff>687323</xdr:colOff>
      <xdr:row>35</xdr:row>
      <xdr:rowOff>127634</xdr:rowOff>
    </xdr:from>
    <xdr:ext cx="5954395" cy="21590"/>
    <xdr:sp macro="" textlink="">
      <xdr:nvSpPr>
        <xdr:cNvPr id="3" name="Shape 4">
          <a:extLst>
            <a:ext uri="{FF2B5EF4-FFF2-40B4-BE49-F238E27FC236}">
              <a16:creationId xmlns:a16="http://schemas.microsoft.com/office/drawing/2014/main" id="{7212B4E1-6726-47A4-94E0-3ABB651EB8B8}"/>
            </a:ext>
          </a:extLst>
        </xdr:cNvPr>
        <xdr:cNvSpPr/>
      </xdr:nvSpPr>
      <xdr:spPr>
        <a:xfrm>
          <a:off x="687323" y="7541894"/>
          <a:ext cx="5954395" cy="21590"/>
        </a:xfrm>
        <a:custGeom>
          <a:avLst/>
          <a:gdLst/>
          <a:ahLst/>
          <a:cxnLst/>
          <a:rect l="0" t="0" r="0" b="0"/>
          <a:pathLst>
            <a:path w="5954395" h="21590">
              <a:moveTo>
                <a:pt x="5954267" y="0"/>
              </a:moveTo>
              <a:lnTo>
                <a:pt x="0" y="0"/>
              </a:lnTo>
              <a:lnTo>
                <a:pt x="0" y="21336"/>
              </a:lnTo>
              <a:lnTo>
                <a:pt x="5954267" y="21336"/>
              </a:lnTo>
              <a:lnTo>
                <a:pt x="5954267" y="0"/>
              </a:lnTo>
              <a:close/>
            </a:path>
          </a:pathLst>
        </a:custGeom>
        <a:solidFill>
          <a:srgbClr val="000000"/>
        </a:solidFill>
      </xdr:spPr>
    </xdr:sp>
    <xdr:clientData/>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csisoftware.com/"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FF00"/>
  </sheetPr>
  <dimension ref="A1:M1000"/>
  <sheetViews>
    <sheetView tabSelected="1" workbookViewId="0">
      <selection activeCell="M26" sqref="M26"/>
    </sheetView>
  </sheetViews>
  <sheetFormatPr defaultColWidth="14.44140625" defaultRowHeight="15" customHeight="1"/>
  <cols>
    <col min="1" max="1" width="9.109375" customWidth="1"/>
    <col min="2" max="2" width="14.6640625" customWidth="1"/>
    <col min="3" max="3" width="6.44140625" customWidth="1"/>
    <col min="4" max="4" width="10.44140625" customWidth="1"/>
    <col min="5" max="5" width="4.88671875" customWidth="1"/>
    <col min="6" max="6" width="12.109375" customWidth="1"/>
    <col min="7" max="7" width="4.88671875" customWidth="1"/>
    <col min="8" max="26" width="8.6640625" customWidth="1"/>
  </cols>
  <sheetData>
    <row r="1" spans="1:9" ht="12.75" customHeight="1">
      <c r="A1" s="1" t="s">
        <v>0</v>
      </c>
    </row>
    <row r="2" spans="1:9" ht="12.75" customHeight="1">
      <c r="A2" s="1"/>
      <c r="B2" s="1"/>
      <c r="C2" s="1"/>
      <c r="D2" s="1"/>
      <c r="E2" s="1"/>
      <c r="F2" s="1"/>
      <c r="G2" s="1"/>
      <c r="H2" s="1"/>
      <c r="I2" s="1"/>
    </row>
    <row r="3" spans="1:9" ht="12.75" customHeight="1">
      <c r="A3" s="2" t="s">
        <v>1</v>
      </c>
      <c r="B3" s="3"/>
      <c r="C3" s="4">
        <v>1</v>
      </c>
      <c r="D3" s="4">
        <v>2</v>
      </c>
      <c r="E3" s="4">
        <v>3</v>
      </c>
      <c r="F3" s="4">
        <v>4</v>
      </c>
      <c r="G3" s="4">
        <v>5</v>
      </c>
      <c r="H3" s="1"/>
      <c r="I3" s="1"/>
    </row>
    <row r="4" spans="1:9" ht="12.75" customHeight="1">
      <c r="A4" s="2" t="s">
        <v>2</v>
      </c>
      <c r="B4" s="3"/>
      <c r="C4" s="5">
        <v>233</v>
      </c>
      <c r="D4" s="5">
        <v>286</v>
      </c>
      <c r="E4" s="5">
        <v>337</v>
      </c>
      <c r="F4" s="5">
        <v>373</v>
      </c>
      <c r="G4" s="5">
        <v>479</v>
      </c>
      <c r="H4" s="1"/>
      <c r="I4" s="1"/>
    </row>
    <row r="5" spans="1:9" ht="12.75" customHeight="1">
      <c r="A5" s="2" t="s">
        <v>3</v>
      </c>
      <c r="B5" s="3"/>
      <c r="C5" s="4">
        <v>0</v>
      </c>
      <c r="D5" s="5">
        <v>53</v>
      </c>
      <c r="E5" s="5">
        <v>51</v>
      </c>
      <c r="F5" s="5">
        <v>36</v>
      </c>
      <c r="G5" s="5">
        <v>106</v>
      </c>
      <c r="H5" s="6"/>
      <c r="I5" s="6"/>
    </row>
    <row r="6" spans="1:9" ht="12.75" customHeight="1">
      <c r="A6" s="1"/>
      <c r="B6" s="1"/>
      <c r="C6" s="1"/>
      <c r="D6" s="1"/>
      <c r="E6" s="1"/>
      <c r="F6" s="6"/>
      <c r="G6" s="6"/>
      <c r="H6" s="6"/>
      <c r="I6" s="6"/>
    </row>
    <row r="7" spans="1:9" ht="12.75" customHeight="1">
      <c r="A7" s="7" t="s">
        <v>4</v>
      </c>
      <c r="B7" s="7"/>
      <c r="C7" s="7"/>
      <c r="D7" s="7"/>
      <c r="E7" s="7"/>
      <c r="F7" s="7"/>
      <c r="G7" s="7"/>
      <c r="H7" s="7"/>
      <c r="I7" s="7"/>
    </row>
    <row r="8" spans="1:9" ht="12.75" customHeight="1">
      <c r="A8" s="7"/>
      <c r="B8" s="7"/>
      <c r="C8" s="7"/>
      <c r="D8" s="7"/>
      <c r="E8" s="7"/>
      <c r="F8" s="7"/>
      <c r="G8" s="7"/>
      <c r="H8" s="7"/>
      <c r="I8" s="7"/>
    </row>
    <row r="9" spans="1:9" ht="12.75" customHeight="1">
      <c r="A9" s="8" t="s">
        <v>5</v>
      </c>
      <c r="B9" s="7"/>
      <c r="C9" s="7"/>
      <c r="D9" s="7"/>
      <c r="E9" s="7"/>
      <c r="F9" s="7"/>
      <c r="G9" s="7"/>
      <c r="H9" s="7"/>
      <c r="I9" s="7"/>
    </row>
    <row r="10" spans="1:9" ht="12.75" customHeight="1">
      <c r="A10" s="7" t="s">
        <v>6</v>
      </c>
      <c r="B10" s="7"/>
      <c r="C10" s="7"/>
      <c r="D10" s="7"/>
      <c r="E10" s="7"/>
      <c r="F10" s="7"/>
      <c r="G10" s="7"/>
      <c r="H10" s="7"/>
      <c r="I10" s="7"/>
    </row>
    <row r="11" spans="1:9" ht="12.75" customHeight="1">
      <c r="A11" s="7"/>
      <c r="B11" s="7"/>
      <c r="C11" s="7"/>
      <c r="D11" s="7"/>
      <c r="E11" s="7"/>
      <c r="F11" s="7"/>
      <c r="G11" s="7"/>
      <c r="H11" s="7"/>
      <c r="I11" s="7"/>
    </row>
    <row r="12" spans="1:9" ht="12.75" customHeight="1">
      <c r="A12" s="8" t="s">
        <v>7</v>
      </c>
      <c r="B12" s="7"/>
      <c r="C12" s="7"/>
      <c r="D12" s="7"/>
      <c r="E12" s="7"/>
      <c r="F12" s="7"/>
      <c r="G12" s="7"/>
      <c r="H12" s="7"/>
      <c r="I12" s="7">
        <f>3500*53</f>
        <v>185500</v>
      </c>
    </row>
    <row r="13" spans="1:9" ht="12.75" customHeight="1">
      <c r="A13" s="7" t="s">
        <v>8</v>
      </c>
      <c r="B13" s="7"/>
      <c r="C13" s="7"/>
      <c r="D13" s="7"/>
      <c r="E13" s="7"/>
      <c r="F13" s="7"/>
      <c r="G13" s="7"/>
      <c r="H13" s="7"/>
      <c r="I13" s="7"/>
    </row>
    <row r="14" spans="1:9" ht="12.75" customHeight="1">
      <c r="A14" s="7" t="s">
        <v>9</v>
      </c>
      <c r="B14" s="7"/>
      <c r="C14" s="7"/>
      <c r="D14" s="7"/>
      <c r="E14" s="7"/>
      <c r="F14" s="7"/>
      <c r="G14" s="7"/>
      <c r="H14" s="7"/>
      <c r="I14" s="7"/>
    </row>
    <row r="15" spans="1:9" ht="12.75" customHeight="1">
      <c r="A15" s="7" t="s">
        <v>10</v>
      </c>
      <c r="B15" s="7"/>
      <c r="C15" s="7"/>
      <c r="D15" s="7"/>
      <c r="E15" s="7"/>
      <c r="F15" s="7"/>
      <c r="G15" s="7"/>
      <c r="H15" s="7"/>
      <c r="I15" s="7"/>
    </row>
    <row r="16" spans="1:9" ht="12.75" customHeight="1">
      <c r="A16" s="7"/>
      <c r="B16" s="7"/>
      <c r="C16" s="7"/>
      <c r="D16" s="7"/>
      <c r="E16" s="7"/>
      <c r="F16" s="7"/>
      <c r="G16" s="7"/>
      <c r="H16" s="7"/>
      <c r="I16" s="7"/>
    </row>
    <row r="17" spans="1:9" ht="12.75" customHeight="1">
      <c r="A17" s="7" t="s">
        <v>11</v>
      </c>
      <c r="B17" s="7"/>
      <c r="C17" s="7"/>
      <c r="D17" s="7"/>
      <c r="E17" s="7"/>
      <c r="F17" s="7"/>
      <c r="G17" s="7"/>
      <c r="H17" s="7"/>
      <c r="I17" s="7"/>
    </row>
    <row r="18" spans="1:9" ht="12.75" customHeight="1">
      <c r="A18" s="7"/>
      <c r="B18" s="7"/>
      <c r="C18" s="7"/>
      <c r="D18" s="7"/>
      <c r="E18" s="7"/>
      <c r="F18" s="7"/>
      <c r="G18" s="7"/>
      <c r="H18" s="7"/>
      <c r="I18" s="7"/>
    </row>
    <row r="19" spans="1:9" ht="12.75" customHeight="1">
      <c r="A19" s="8" t="s">
        <v>12</v>
      </c>
      <c r="B19" s="7"/>
      <c r="C19" s="7"/>
      <c r="D19" s="7"/>
      <c r="E19" s="7"/>
      <c r="F19" s="7"/>
      <c r="G19" s="7"/>
      <c r="H19" s="7"/>
      <c r="I19" s="7"/>
    </row>
    <row r="20" spans="1:9" ht="12.75" customHeight="1">
      <c r="A20" s="7" t="s">
        <v>13</v>
      </c>
      <c r="B20" s="7"/>
      <c r="C20" s="7"/>
      <c r="D20" s="7"/>
      <c r="E20" s="7"/>
      <c r="F20" s="7"/>
      <c r="G20" s="7"/>
      <c r="H20" s="7"/>
      <c r="I20" s="7"/>
    </row>
    <row r="21" spans="1:9" ht="12.75" customHeight="1">
      <c r="A21" s="7" t="s">
        <v>14</v>
      </c>
      <c r="B21" s="7"/>
      <c r="C21" s="7"/>
      <c r="D21" s="7"/>
      <c r="E21" s="7"/>
      <c r="F21" s="7"/>
      <c r="G21" s="7"/>
      <c r="H21" s="7"/>
      <c r="I21" s="7"/>
    </row>
    <row r="22" spans="1:9" ht="12.75" customHeight="1">
      <c r="A22" s="7"/>
      <c r="B22" s="7"/>
      <c r="C22" s="7"/>
      <c r="D22" s="7"/>
      <c r="E22" s="7"/>
      <c r="F22" s="7"/>
      <c r="G22" s="7"/>
      <c r="H22" s="7"/>
      <c r="I22" s="7"/>
    </row>
    <row r="23" spans="1:9" ht="12.75" customHeight="1">
      <c r="A23" s="9" t="s">
        <v>15</v>
      </c>
      <c r="B23" s="9" t="s">
        <v>16</v>
      </c>
      <c r="C23" s="9" t="s">
        <v>17</v>
      </c>
      <c r="D23" s="7"/>
      <c r="E23" s="7"/>
      <c r="F23" s="7"/>
      <c r="G23" s="7"/>
      <c r="H23" s="7"/>
      <c r="I23" s="7"/>
    </row>
    <row r="24" spans="1:9" ht="12.75" customHeight="1">
      <c r="A24" s="10">
        <v>0</v>
      </c>
      <c r="B24" s="10">
        <v>3000</v>
      </c>
      <c r="C24" s="11">
        <v>2250</v>
      </c>
      <c r="D24" s="7"/>
      <c r="E24" s="7"/>
      <c r="F24" s="7"/>
      <c r="G24" s="7"/>
      <c r="H24" s="7"/>
      <c r="I24" s="7"/>
    </row>
    <row r="25" spans="1:9" ht="12.75" customHeight="1">
      <c r="A25" s="10">
        <v>3000</v>
      </c>
      <c r="B25" s="10">
        <v>5000</v>
      </c>
      <c r="C25" s="11">
        <v>2430</v>
      </c>
      <c r="D25" s="7"/>
      <c r="E25" s="7"/>
      <c r="F25" s="7"/>
      <c r="G25" s="7"/>
      <c r="H25" s="7"/>
      <c r="I25" s="7"/>
    </row>
    <row r="26" spans="1:9" ht="12.75" customHeight="1">
      <c r="A26" s="10">
        <v>5000</v>
      </c>
      <c r="B26" s="10">
        <v>15000</v>
      </c>
      <c r="C26" s="11">
        <v>3400</v>
      </c>
      <c r="D26" s="7"/>
      <c r="E26" s="7"/>
      <c r="F26" s="7"/>
      <c r="G26" s="7"/>
      <c r="H26" s="7"/>
      <c r="I26" s="7"/>
    </row>
    <row r="27" spans="1:9" ht="12.75" customHeight="1">
      <c r="A27" s="10">
        <v>15000</v>
      </c>
      <c r="B27" s="10">
        <v>25000</v>
      </c>
      <c r="C27" s="11">
        <v>4365</v>
      </c>
      <c r="D27" s="7"/>
      <c r="E27" s="7"/>
      <c r="F27" s="7"/>
      <c r="G27" s="7"/>
      <c r="H27" s="7"/>
      <c r="I27" s="7"/>
    </row>
    <row r="28" spans="1:9" ht="12.75" customHeight="1">
      <c r="A28" s="10">
        <v>25000</v>
      </c>
      <c r="B28" s="10">
        <v>35000</v>
      </c>
      <c r="C28" s="11">
        <v>5565</v>
      </c>
      <c r="D28" s="7"/>
      <c r="E28" s="7"/>
      <c r="F28" s="7"/>
      <c r="G28" s="7"/>
      <c r="H28" s="7"/>
      <c r="I28" s="7"/>
    </row>
    <row r="29" spans="1:9" ht="12.75" customHeight="1">
      <c r="A29" s="10">
        <v>35000</v>
      </c>
      <c r="B29" s="10">
        <v>50000</v>
      </c>
      <c r="C29" s="11">
        <v>6740</v>
      </c>
      <c r="D29" s="7"/>
      <c r="E29" s="7"/>
      <c r="F29" s="7"/>
      <c r="G29" s="7"/>
      <c r="H29" s="7"/>
      <c r="I29" s="7"/>
    </row>
    <row r="30" spans="1:9" ht="12.75" customHeight="1">
      <c r="A30" s="10">
        <v>50000</v>
      </c>
      <c r="B30" s="10">
        <v>75000</v>
      </c>
      <c r="C30" s="11">
        <v>8790</v>
      </c>
      <c r="D30" s="7"/>
      <c r="E30" s="7"/>
      <c r="F30" s="7"/>
      <c r="G30" s="7"/>
      <c r="H30" s="7"/>
      <c r="I30" s="7"/>
    </row>
    <row r="31" spans="1:9" ht="12.75" customHeight="1">
      <c r="A31" s="12"/>
      <c r="B31" s="7"/>
      <c r="C31" s="7"/>
      <c r="D31" s="7"/>
      <c r="E31" s="7"/>
      <c r="F31" s="7"/>
      <c r="G31" s="7"/>
      <c r="H31" s="7"/>
      <c r="I31" s="7"/>
    </row>
    <row r="32" spans="1:9" ht="12.75" customHeight="1">
      <c r="A32" s="7" t="s">
        <v>18</v>
      </c>
      <c r="B32" s="7"/>
      <c r="C32" s="7"/>
      <c r="D32" s="7"/>
      <c r="E32" s="7"/>
      <c r="F32" s="7"/>
      <c r="G32" s="7"/>
      <c r="H32" s="7"/>
      <c r="I32" s="7"/>
    </row>
    <row r="33" spans="1:9" ht="12.75" customHeight="1">
      <c r="A33" s="7"/>
      <c r="B33" s="7"/>
      <c r="C33" s="7"/>
      <c r="D33" s="7"/>
      <c r="E33" s="7"/>
      <c r="F33" s="7"/>
      <c r="G33" s="7"/>
      <c r="H33" s="7"/>
      <c r="I33" s="7"/>
    </row>
    <row r="34" spans="1:9" ht="12.75" customHeight="1">
      <c r="A34" s="7" t="s">
        <v>19</v>
      </c>
      <c r="B34" s="7"/>
      <c r="C34" s="7"/>
      <c r="D34" s="7"/>
      <c r="E34" s="7"/>
      <c r="F34" s="7"/>
      <c r="G34" s="7"/>
      <c r="H34" s="7"/>
      <c r="I34" s="7"/>
    </row>
    <row r="35" spans="1:9" ht="12.75" customHeight="1">
      <c r="A35" s="7"/>
      <c r="B35" s="7"/>
      <c r="C35" s="7"/>
      <c r="D35" s="7"/>
      <c r="E35" s="7"/>
      <c r="F35" s="7"/>
      <c r="G35" s="7"/>
      <c r="H35" s="7"/>
      <c r="I35" s="7"/>
    </row>
    <row r="36" spans="1:9" ht="12.75" customHeight="1">
      <c r="A36" s="7" t="s">
        <v>20</v>
      </c>
      <c r="B36" s="7"/>
      <c r="C36" s="7"/>
      <c r="D36" s="7"/>
      <c r="E36" s="7"/>
      <c r="F36" s="7"/>
      <c r="G36" s="7"/>
      <c r="H36" s="7"/>
      <c r="I36" s="7"/>
    </row>
    <row r="37" spans="1:9" ht="12.75" customHeight="1">
      <c r="A37" s="7"/>
      <c r="B37" s="7"/>
      <c r="C37" s="7"/>
      <c r="D37" s="7"/>
      <c r="E37" s="7"/>
      <c r="F37" s="7"/>
      <c r="G37" s="7"/>
      <c r="H37" s="7"/>
      <c r="I37" s="7"/>
    </row>
    <row r="38" spans="1:9" ht="12.75" customHeight="1">
      <c r="A38" s="7" t="s">
        <v>21</v>
      </c>
      <c r="B38" s="7"/>
      <c r="C38" s="7"/>
      <c r="D38" s="7"/>
      <c r="E38" s="7"/>
      <c r="F38" s="7"/>
      <c r="G38" s="7"/>
      <c r="H38" s="7"/>
      <c r="I38" s="7"/>
    </row>
    <row r="39" spans="1:9" ht="12.75" customHeight="1">
      <c r="A39" s="7"/>
      <c r="B39" s="7"/>
      <c r="C39" s="7"/>
      <c r="D39" s="7"/>
      <c r="E39" s="7"/>
      <c r="F39" s="7"/>
      <c r="G39" s="7"/>
      <c r="H39" s="7"/>
      <c r="I39" s="7"/>
    </row>
    <row r="40" spans="1:9" ht="12.75" customHeight="1">
      <c r="A40" s="8" t="s">
        <v>22</v>
      </c>
      <c r="B40" s="7"/>
      <c r="C40" s="7"/>
      <c r="D40" s="7"/>
      <c r="E40" s="7"/>
      <c r="F40" s="7"/>
      <c r="G40" s="7"/>
      <c r="H40" s="7"/>
      <c r="I40" s="7"/>
    </row>
    <row r="41" spans="1:9" ht="12.75" customHeight="1">
      <c r="A41" s="9" t="s">
        <v>15</v>
      </c>
      <c r="B41" s="9" t="s">
        <v>16</v>
      </c>
      <c r="C41" s="9" t="s">
        <v>23</v>
      </c>
      <c r="D41" s="9" t="s">
        <v>24</v>
      </c>
      <c r="E41" s="9" t="s">
        <v>25</v>
      </c>
      <c r="F41" s="9" t="s">
        <v>26</v>
      </c>
      <c r="G41" s="9" t="s">
        <v>27</v>
      </c>
      <c r="H41" s="7"/>
      <c r="I41" s="7"/>
    </row>
    <row r="42" spans="1:9" ht="12.75" customHeight="1">
      <c r="A42" s="10">
        <v>0</v>
      </c>
      <c r="B42" s="10">
        <v>3000</v>
      </c>
      <c r="C42" s="13"/>
      <c r="D42" s="13">
        <v>13</v>
      </c>
      <c r="E42" s="13"/>
      <c r="F42" s="13"/>
      <c r="G42" s="13">
        <v>13</v>
      </c>
      <c r="H42" s="7"/>
      <c r="I42" s="7"/>
    </row>
    <row r="43" spans="1:9" ht="12.75" customHeight="1">
      <c r="A43" s="10">
        <v>3000</v>
      </c>
      <c r="B43" s="10">
        <v>5000</v>
      </c>
      <c r="C43" s="13">
        <v>177</v>
      </c>
      <c r="D43" s="13"/>
      <c r="E43" s="13"/>
      <c r="F43" s="13"/>
      <c r="G43" s="13">
        <v>177</v>
      </c>
      <c r="H43" s="7"/>
      <c r="I43" s="7"/>
    </row>
    <row r="44" spans="1:9" ht="12.75" customHeight="1">
      <c r="A44" s="10">
        <v>5000</v>
      </c>
      <c r="B44" s="10">
        <v>15000</v>
      </c>
      <c r="C44" s="13"/>
      <c r="D44" s="13"/>
      <c r="E44" s="13">
        <v>15</v>
      </c>
      <c r="F44" s="13">
        <v>12</v>
      </c>
      <c r="G44" s="13">
        <v>27</v>
      </c>
      <c r="H44" s="7"/>
      <c r="I44" s="7"/>
    </row>
    <row r="45" spans="1:9" ht="12.75" customHeight="1">
      <c r="A45" s="10">
        <v>15000</v>
      </c>
      <c r="B45" s="10">
        <v>25000</v>
      </c>
      <c r="C45" s="13"/>
      <c r="D45" s="13"/>
      <c r="E45" s="13">
        <v>12</v>
      </c>
      <c r="F45" s="13"/>
      <c r="G45" s="13">
        <v>12</v>
      </c>
      <c r="H45" s="7"/>
      <c r="I45" s="7"/>
    </row>
    <row r="46" spans="1:9" ht="12.75" customHeight="1">
      <c r="A46" s="10">
        <v>25000</v>
      </c>
      <c r="B46" s="10">
        <v>35000</v>
      </c>
      <c r="C46" s="13"/>
      <c r="D46" s="13"/>
      <c r="E46" s="13">
        <v>3</v>
      </c>
      <c r="F46" s="13"/>
      <c r="G46" s="13">
        <v>3</v>
      </c>
      <c r="H46" s="7"/>
      <c r="I46" s="7"/>
    </row>
    <row r="47" spans="1:9" ht="12.75" customHeight="1">
      <c r="A47" s="10">
        <v>35000</v>
      </c>
      <c r="B47" s="10">
        <v>50000</v>
      </c>
      <c r="C47" s="13"/>
      <c r="D47" s="13"/>
      <c r="E47" s="13">
        <v>1</v>
      </c>
      <c r="F47" s="13"/>
      <c r="G47" s="13">
        <v>1</v>
      </c>
      <c r="H47" s="7"/>
      <c r="I47" s="7"/>
    </row>
    <row r="48" spans="1:9" ht="12.75" customHeight="1">
      <c r="A48" s="10">
        <v>50000</v>
      </c>
      <c r="B48" s="10">
        <v>75000</v>
      </c>
      <c r="C48" s="13"/>
      <c r="D48" s="13"/>
      <c r="E48" s="13"/>
      <c r="F48" s="13"/>
      <c r="G48" s="13">
        <v>0</v>
      </c>
      <c r="H48" s="7"/>
      <c r="I48" s="7"/>
    </row>
    <row r="49" spans="1:13" ht="12.75" customHeight="1">
      <c r="A49" s="14"/>
      <c r="B49" s="13"/>
      <c r="C49" s="15">
        <v>177</v>
      </c>
      <c r="D49" s="15">
        <v>13</v>
      </c>
      <c r="E49" s="15">
        <v>31</v>
      </c>
      <c r="F49" s="15">
        <v>12</v>
      </c>
      <c r="G49" s="15">
        <v>233</v>
      </c>
      <c r="H49" s="7"/>
      <c r="I49" s="16"/>
      <c r="J49" s="6"/>
      <c r="K49" s="6"/>
      <c r="L49" s="6"/>
      <c r="M49" s="6"/>
    </row>
    <row r="50" spans="1:13" ht="12.75" customHeight="1">
      <c r="A50" s="7"/>
      <c r="B50" s="7"/>
      <c r="C50" s="7"/>
      <c r="D50" s="7"/>
      <c r="E50" s="7"/>
      <c r="F50" s="7"/>
      <c r="G50" s="7"/>
      <c r="H50" s="7"/>
      <c r="I50" s="7"/>
      <c r="J50" s="6"/>
      <c r="K50" s="6"/>
      <c r="L50" s="6"/>
      <c r="M50" s="6"/>
    </row>
    <row r="51" spans="1:13" ht="12.75" customHeight="1">
      <c r="A51" s="8" t="s">
        <v>28</v>
      </c>
      <c r="B51" s="7"/>
      <c r="C51" s="7"/>
      <c r="D51" s="7"/>
      <c r="E51" s="7"/>
      <c r="F51" s="7"/>
      <c r="G51" s="7"/>
      <c r="H51" s="7"/>
      <c r="I51" s="7"/>
    </row>
    <row r="52" spans="1:13" ht="12.75" customHeight="1"/>
    <row r="53" spans="1:13" ht="12.75" customHeight="1">
      <c r="A53" s="9" t="s">
        <v>15</v>
      </c>
      <c r="B53" s="9" t="s">
        <v>16</v>
      </c>
      <c r="C53" s="9" t="s">
        <v>23</v>
      </c>
      <c r="D53" s="9" t="s">
        <v>24</v>
      </c>
      <c r="E53" s="9" t="s">
        <v>25</v>
      </c>
      <c r="F53" s="9" t="s">
        <v>26</v>
      </c>
      <c r="G53" s="9" t="s">
        <v>27</v>
      </c>
    </row>
    <row r="54" spans="1:13" ht="12.75" customHeight="1">
      <c r="A54" s="10">
        <v>0</v>
      </c>
      <c r="B54" s="10">
        <v>3000</v>
      </c>
      <c r="C54" s="13"/>
      <c r="D54" s="13">
        <v>10</v>
      </c>
      <c r="E54" s="13"/>
      <c r="F54" s="13"/>
      <c r="G54" s="13">
        <f t="shared" ref="G54:G61" si="0">SUM(C54:F54)</f>
        <v>10</v>
      </c>
    </row>
    <row r="55" spans="1:13" ht="12.75" customHeight="1">
      <c r="A55" s="10">
        <v>3000</v>
      </c>
      <c r="B55" s="10">
        <v>5000</v>
      </c>
      <c r="C55" s="13">
        <v>8</v>
      </c>
      <c r="D55" s="13"/>
      <c r="E55" s="13"/>
      <c r="F55" s="13"/>
      <c r="G55" s="13">
        <f t="shared" si="0"/>
        <v>8</v>
      </c>
    </row>
    <row r="56" spans="1:13" ht="12.75" customHeight="1">
      <c r="A56" s="10">
        <v>5000</v>
      </c>
      <c r="B56" s="10">
        <v>15000</v>
      </c>
      <c r="C56" s="13"/>
      <c r="D56" s="13"/>
      <c r="E56" s="13">
        <v>4</v>
      </c>
      <c r="F56" s="13">
        <v>15</v>
      </c>
      <c r="G56" s="13">
        <f t="shared" si="0"/>
        <v>19</v>
      </c>
    </row>
    <row r="57" spans="1:13" ht="12.75" customHeight="1">
      <c r="A57" s="10">
        <v>15000</v>
      </c>
      <c r="B57" s="10">
        <v>25000</v>
      </c>
      <c r="C57" s="13"/>
      <c r="D57" s="13"/>
      <c r="E57" s="13">
        <v>6</v>
      </c>
      <c r="F57" s="13"/>
      <c r="G57" s="13">
        <f t="shared" si="0"/>
        <v>6</v>
      </c>
    </row>
    <row r="58" spans="1:13" ht="12.75" customHeight="1">
      <c r="A58" s="10">
        <v>25000</v>
      </c>
      <c r="B58" s="10">
        <v>35000</v>
      </c>
      <c r="C58" s="13"/>
      <c r="D58" s="13"/>
      <c r="E58" s="13">
        <v>9</v>
      </c>
      <c r="F58" s="13"/>
      <c r="G58" s="13">
        <f t="shared" si="0"/>
        <v>9</v>
      </c>
    </row>
    <row r="59" spans="1:13" ht="12.75" customHeight="1">
      <c r="A59" s="10">
        <v>35000</v>
      </c>
      <c r="B59" s="10">
        <v>50000</v>
      </c>
      <c r="C59" s="13"/>
      <c r="D59" s="13"/>
      <c r="E59" s="13">
        <v>1</v>
      </c>
      <c r="F59" s="13"/>
      <c r="G59" s="13">
        <f t="shared" si="0"/>
        <v>1</v>
      </c>
    </row>
    <row r="60" spans="1:13" ht="12.75" customHeight="1">
      <c r="A60" s="10">
        <v>50000</v>
      </c>
      <c r="B60" s="10">
        <v>75000</v>
      </c>
      <c r="C60" s="13"/>
      <c r="D60" s="13"/>
      <c r="E60" s="13"/>
      <c r="F60" s="13"/>
      <c r="G60" s="13">
        <f t="shared" si="0"/>
        <v>0</v>
      </c>
    </row>
    <row r="61" spans="1:13" ht="12.75" customHeight="1">
      <c r="A61" s="14"/>
      <c r="B61" s="13"/>
      <c r="C61" s="15">
        <f>SUM(C54:C60)</f>
        <v>8</v>
      </c>
      <c r="D61" s="15">
        <f>SUM(D54:D60)</f>
        <v>10</v>
      </c>
      <c r="E61" s="15">
        <f>SUM(E54:E60)</f>
        <v>20</v>
      </c>
      <c r="F61" s="15">
        <f>SUM(F54:F60)</f>
        <v>15</v>
      </c>
      <c r="G61" s="15">
        <f t="shared" si="0"/>
        <v>53</v>
      </c>
    </row>
    <row r="62" spans="1:13" ht="12.75" customHeight="1"/>
    <row r="63" spans="1:13" ht="12.75" customHeight="1">
      <c r="A63" s="8" t="s">
        <v>29</v>
      </c>
      <c r="B63" s="7"/>
      <c r="C63" s="7"/>
      <c r="D63" s="7"/>
      <c r="E63" s="7"/>
      <c r="F63" s="7"/>
      <c r="G63" s="7"/>
    </row>
    <row r="64" spans="1:13" ht="12.75" customHeight="1"/>
    <row r="65" spans="1:7" ht="12.75" customHeight="1">
      <c r="A65" s="9" t="s">
        <v>15</v>
      </c>
      <c r="B65" s="9" t="s">
        <v>16</v>
      </c>
      <c r="C65" s="9" t="s">
        <v>23</v>
      </c>
      <c r="D65" s="9" t="s">
        <v>24</v>
      </c>
      <c r="E65" s="9" t="s">
        <v>25</v>
      </c>
      <c r="F65" s="9" t="s">
        <v>26</v>
      </c>
      <c r="G65" s="9" t="s">
        <v>27</v>
      </c>
    </row>
    <row r="66" spans="1:7" ht="12.75" customHeight="1">
      <c r="A66" s="10">
        <v>0</v>
      </c>
      <c r="B66" s="10">
        <v>3000</v>
      </c>
      <c r="C66" s="13"/>
      <c r="D66" s="13">
        <v>13</v>
      </c>
      <c r="E66" s="13"/>
      <c r="F66" s="13"/>
      <c r="G66" s="13">
        <f t="shared" ref="G66:G73" si="1">SUM(C66:F66)</f>
        <v>13</v>
      </c>
    </row>
    <row r="67" spans="1:7" ht="12.75" customHeight="1">
      <c r="A67" s="10">
        <v>3000</v>
      </c>
      <c r="B67" s="10">
        <v>5000</v>
      </c>
      <c r="C67" s="13">
        <v>5</v>
      </c>
      <c r="D67" s="13"/>
      <c r="E67" s="13"/>
      <c r="F67" s="13"/>
      <c r="G67" s="13">
        <f t="shared" si="1"/>
        <v>5</v>
      </c>
    </row>
    <row r="68" spans="1:7" ht="12.75" customHeight="1">
      <c r="A68" s="10">
        <v>5000</v>
      </c>
      <c r="B68" s="10">
        <v>15000</v>
      </c>
      <c r="C68" s="13"/>
      <c r="D68" s="13"/>
      <c r="E68" s="13">
        <v>9</v>
      </c>
      <c r="F68" s="13">
        <v>12</v>
      </c>
      <c r="G68" s="13">
        <f t="shared" si="1"/>
        <v>21</v>
      </c>
    </row>
    <row r="69" spans="1:7" ht="12.75" customHeight="1">
      <c r="A69" s="10">
        <v>15000</v>
      </c>
      <c r="B69" s="10">
        <v>25000</v>
      </c>
      <c r="C69" s="13"/>
      <c r="D69" s="13"/>
      <c r="E69" s="13">
        <v>7</v>
      </c>
      <c r="F69" s="13"/>
      <c r="G69" s="13">
        <f t="shared" si="1"/>
        <v>7</v>
      </c>
    </row>
    <row r="70" spans="1:7" ht="12.75" customHeight="1">
      <c r="A70" s="10">
        <v>25000</v>
      </c>
      <c r="B70" s="10">
        <v>35000</v>
      </c>
      <c r="C70" s="13"/>
      <c r="D70" s="13"/>
      <c r="E70" s="13">
        <v>3</v>
      </c>
      <c r="F70" s="13"/>
      <c r="G70" s="13">
        <f t="shared" si="1"/>
        <v>3</v>
      </c>
    </row>
    <row r="71" spans="1:7" ht="12.75" customHeight="1">
      <c r="A71" s="10">
        <v>35000</v>
      </c>
      <c r="B71" s="10">
        <v>50000</v>
      </c>
      <c r="C71" s="13"/>
      <c r="D71" s="13"/>
      <c r="E71" s="13">
        <v>2</v>
      </c>
      <c r="F71" s="13"/>
      <c r="G71" s="13">
        <f t="shared" si="1"/>
        <v>2</v>
      </c>
    </row>
    <row r="72" spans="1:7" ht="12.75" customHeight="1">
      <c r="A72" s="10">
        <v>50000</v>
      </c>
      <c r="B72" s="10">
        <v>75000</v>
      </c>
      <c r="C72" s="13"/>
      <c r="D72" s="13"/>
      <c r="E72" s="13"/>
      <c r="F72" s="13"/>
      <c r="G72" s="13">
        <f t="shared" si="1"/>
        <v>0</v>
      </c>
    </row>
    <row r="73" spans="1:7" ht="12.75" customHeight="1">
      <c r="A73" s="14"/>
      <c r="B73" s="13"/>
      <c r="C73" s="15">
        <f>SUM(C66:C72)</f>
        <v>5</v>
      </c>
      <c r="D73" s="15">
        <f>SUM(D66:D72)</f>
        <v>13</v>
      </c>
      <c r="E73" s="15">
        <f>SUM(E66:E72)</f>
        <v>21</v>
      </c>
      <c r="F73" s="15">
        <f>SUM(F66:F72)</f>
        <v>12</v>
      </c>
      <c r="G73" s="15">
        <f t="shared" si="1"/>
        <v>51</v>
      </c>
    </row>
    <row r="74" spans="1:7" ht="12.75" customHeight="1"/>
    <row r="75" spans="1:7" ht="12.75" customHeight="1">
      <c r="A75" s="8" t="s">
        <v>30</v>
      </c>
      <c r="B75" s="7"/>
      <c r="C75" s="7"/>
      <c r="D75" s="7"/>
      <c r="E75" s="7"/>
      <c r="F75" s="7"/>
      <c r="G75" s="7"/>
    </row>
    <row r="76" spans="1:7" ht="12.75" customHeight="1"/>
    <row r="77" spans="1:7" ht="12.75" customHeight="1">
      <c r="A77" s="9" t="s">
        <v>15</v>
      </c>
      <c r="B77" s="9" t="s">
        <v>16</v>
      </c>
      <c r="C77" s="9" t="s">
        <v>23</v>
      </c>
      <c r="D77" s="9" t="s">
        <v>24</v>
      </c>
      <c r="E77" s="9" t="s">
        <v>25</v>
      </c>
      <c r="F77" s="9" t="s">
        <v>26</v>
      </c>
      <c r="G77" s="9" t="s">
        <v>27</v>
      </c>
    </row>
    <row r="78" spans="1:7" ht="12.75" customHeight="1">
      <c r="A78" s="10">
        <v>0</v>
      </c>
      <c r="B78" s="10">
        <v>3000</v>
      </c>
      <c r="C78" s="13"/>
      <c r="D78" s="13">
        <v>1</v>
      </c>
      <c r="E78" s="13"/>
      <c r="F78" s="13"/>
      <c r="G78" s="13">
        <f t="shared" ref="G78:G85" si="2">SUM(C78:F78)</f>
        <v>1</v>
      </c>
    </row>
    <row r="79" spans="1:7" ht="12.75" customHeight="1">
      <c r="A79" s="33">
        <v>3000</v>
      </c>
      <c r="B79" s="33">
        <v>5000</v>
      </c>
      <c r="C79" s="45">
        <v>2</v>
      </c>
      <c r="D79" s="13"/>
      <c r="E79" s="13"/>
      <c r="F79" s="13"/>
      <c r="G79" s="13">
        <f t="shared" si="2"/>
        <v>2</v>
      </c>
    </row>
    <row r="80" spans="1:7" ht="12.75" customHeight="1">
      <c r="A80" s="10">
        <v>5000</v>
      </c>
      <c r="B80" s="10">
        <v>15000</v>
      </c>
      <c r="C80" s="13"/>
      <c r="D80" s="13"/>
      <c r="E80" s="13">
        <v>5</v>
      </c>
      <c r="F80" s="13">
        <v>11</v>
      </c>
      <c r="G80" s="13">
        <f t="shared" si="2"/>
        <v>16</v>
      </c>
    </row>
    <row r="81" spans="1:11" ht="12.75" customHeight="1">
      <c r="A81" s="10">
        <v>15000</v>
      </c>
      <c r="B81" s="10">
        <v>25000</v>
      </c>
      <c r="C81" s="13"/>
      <c r="D81" s="13"/>
      <c r="E81" s="13">
        <v>3</v>
      </c>
      <c r="F81" s="13"/>
      <c r="G81" s="13">
        <f t="shared" si="2"/>
        <v>3</v>
      </c>
    </row>
    <row r="82" spans="1:11" ht="12.75" customHeight="1">
      <c r="A82" s="10">
        <v>25000</v>
      </c>
      <c r="B82" s="10">
        <v>35000</v>
      </c>
      <c r="C82" s="13"/>
      <c r="D82" s="13"/>
      <c r="E82" s="13">
        <v>6</v>
      </c>
      <c r="F82" s="13"/>
      <c r="G82" s="13">
        <f t="shared" si="2"/>
        <v>6</v>
      </c>
    </row>
    <row r="83" spans="1:11" ht="12.75" customHeight="1">
      <c r="A83" s="10">
        <v>35000</v>
      </c>
      <c r="B83" s="10">
        <v>50000</v>
      </c>
      <c r="C83" s="13"/>
      <c r="D83" s="13"/>
      <c r="E83" s="13">
        <v>8</v>
      </c>
      <c r="F83" s="13"/>
      <c r="G83" s="13">
        <f t="shared" si="2"/>
        <v>8</v>
      </c>
    </row>
    <row r="84" spans="1:11" ht="12.75" customHeight="1">
      <c r="A84" s="10">
        <v>50000</v>
      </c>
      <c r="B84" s="10">
        <v>75000</v>
      </c>
      <c r="C84" s="13"/>
      <c r="D84" s="13"/>
      <c r="E84" s="13"/>
      <c r="F84" s="13"/>
      <c r="G84" s="13">
        <f t="shared" si="2"/>
        <v>0</v>
      </c>
    </row>
    <row r="85" spans="1:11" ht="12.75" customHeight="1">
      <c r="A85" s="14"/>
      <c r="B85" s="13"/>
      <c r="C85" s="15">
        <f>SUM(C78:C84)</f>
        <v>2</v>
      </c>
      <c r="D85" s="15">
        <f>SUM(D78:D84)</f>
        <v>1</v>
      </c>
      <c r="E85" s="15">
        <f>SUM(E78:E84)</f>
        <v>22</v>
      </c>
      <c r="F85" s="15">
        <f>SUM(F78:F84)</f>
        <v>11</v>
      </c>
      <c r="G85" s="15">
        <f t="shared" si="2"/>
        <v>36</v>
      </c>
    </row>
    <row r="86" spans="1:11" ht="12.75" customHeight="1"/>
    <row r="87" spans="1:11" ht="12.75" customHeight="1">
      <c r="A87" s="8" t="s">
        <v>31</v>
      </c>
      <c r="B87" s="7"/>
      <c r="C87" s="7"/>
      <c r="D87" s="7"/>
      <c r="E87" s="7"/>
      <c r="F87" s="7"/>
      <c r="G87" s="7"/>
    </row>
    <row r="88" spans="1:11" ht="12.75" customHeight="1"/>
    <row r="89" spans="1:11" ht="12.75" customHeight="1">
      <c r="A89" s="9" t="s">
        <v>15</v>
      </c>
      <c r="B89" s="9" t="s">
        <v>16</v>
      </c>
      <c r="C89" s="9" t="s">
        <v>23</v>
      </c>
      <c r="D89" s="9" t="s">
        <v>24</v>
      </c>
      <c r="E89" s="9" t="s">
        <v>25</v>
      </c>
      <c r="F89" s="9" t="s">
        <v>26</v>
      </c>
      <c r="G89" s="9" t="s">
        <v>27</v>
      </c>
      <c r="I89" s="9" t="s">
        <v>15</v>
      </c>
      <c r="J89" s="9" t="s">
        <v>16</v>
      </c>
      <c r="K89" s="9" t="s">
        <v>17</v>
      </c>
    </row>
    <row r="90" spans="1:11" ht="12.75" customHeight="1">
      <c r="A90" s="10">
        <v>0</v>
      </c>
      <c r="B90" s="10">
        <v>3000</v>
      </c>
      <c r="C90" s="13"/>
      <c r="D90" s="13">
        <v>5</v>
      </c>
      <c r="E90" s="13"/>
      <c r="F90" s="13"/>
      <c r="G90" s="13">
        <f t="shared" ref="G90:G97" si="3">SUM(C90:F90)</f>
        <v>5</v>
      </c>
      <c r="I90" s="31">
        <v>0</v>
      </c>
      <c r="J90" s="31">
        <v>3000</v>
      </c>
      <c r="K90" s="32">
        <v>2250</v>
      </c>
    </row>
    <row r="91" spans="1:11" ht="12.75" customHeight="1">
      <c r="A91" s="10">
        <v>3000</v>
      </c>
      <c r="B91" s="10">
        <v>5000</v>
      </c>
      <c r="C91" s="13">
        <v>10</v>
      </c>
      <c r="D91" s="13"/>
      <c r="E91" s="13"/>
      <c r="F91" s="13"/>
      <c r="G91" s="13">
        <f t="shared" si="3"/>
        <v>10</v>
      </c>
      <c r="I91" s="33">
        <v>3000</v>
      </c>
      <c r="J91" s="33">
        <v>5000</v>
      </c>
      <c r="K91" s="34">
        <v>2430</v>
      </c>
    </row>
    <row r="92" spans="1:11" ht="12.75" customHeight="1">
      <c r="A92" s="10">
        <v>5000</v>
      </c>
      <c r="B92" s="10">
        <v>15000</v>
      </c>
      <c r="C92" s="13"/>
      <c r="D92" s="13"/>
      <c r="E92" s="13">
        <v>6</v>
      </c>
      <c r="F92" s="13">
        <v>15</v>
      </c>
      <c r="G92" s="13">
        <f t="shared" si="3"/>
        <v>21</v>
      </c>
      <c r="I92" s="35">
        <v>5000</v>
      </c>
      <c r="J92" s="35">
        <v>15000</v>
      </c>
      <c r="K92" s="36">
        <v>3400</v>
      </c>
    </row>
    <row r="93" spans="1:11" ht="12.75" customHeight="1">
      <c r="A93" s="10">
        <v>15000</v>
      </c>
      <c r="B93" s="10">
        <v>25000</v>
      </c>
      <c r="C93" s="13"/>
      <c r="D93" s="13"/>
      <c r="E93" s="13">
        <v>15</v>
      </c>
      <c r="F93" s="13"/>
      <c r="G93" s="13">
        <f t="shared" si="3"/>
        <v>15</v>
      </c>
      <c r="I93" s="37">
        <v>15000</v>
      </c>
      <c r="J93" s="37">
        <v>25000</v>
      </c>
      <c r="K93" s="38">
        <v>4365</v>
      </c>
    </row>
    <row r="94" spans="1:11" ht="12.75" customHeight="1">
      <c r="A94" s="10">
        <v>25000</v>
      </c>
      <c r="B94" s="10">
        <v>35000</v>
      </c>
      <c r="C94" s="13"/>
      <c r="D94" s="13"/>
      <c r="E94" s="13">
        <v>25</v>
      </c>
      <c r="F94" s="13"/>
      <c r="G94" s="13">
        <f t="shared" si="3"/>
        <v>25</v>
      </c>
      <c r="I94" s="39">
        <v>25000</v>
      </c>
      <c r="J94" s="39">
        <v>35000</v>
      </c>
      <c r="K94" s="40">
        <v>5565</v>
      </c>
    </row>
    <row r="95" spans="1:11" ht="12.75" customHeight="1">
      <c r="A95" s="10">
        <v>35000</v>
      </c>
      <c r="B95" s="10">
        <v>50000</v>
      </c>
      <c r="C95" s="13"/>
      <c r="D95" s="13"/>
      <c r="E95" s="13">
        <v>30</v>
      </c>
      <c r="F95" s="13"/>
      <c r="G95" s="13">
        <f t="shared" si="3"/>
        <v>30</v>
      </c>
      <c r="I95" s="41">
        <v>35000</v>
      </c>
      <c r="J95" s="41">
        <v>50000</v>
      </c>
      <c r="K95" s="42">
        <v>6740</v>
      </c>
    </row>
    <row r="96" spans="1:11" ht="12.75" customHeight="1">
      <c r="A96" s="10">
        <v>50000</v>
      </c>
      <c r="B96" s="10">
        <v>75000</v>
      </c>
      <c r="C96" s="13"/>
      <c r="D96" s="13"/>
      <c r="E96" s="13"/>
      <c r="F96" s="13"/>
      <c r="G96" s="13">
        <f t="shared" si="3"/>
        <v>0</v>
      </c>
      <c r="I96" s="43">
        <v>50000</v>
      </c>
      <c r="J96" s="43">
        <v>75000</v>
      </c>
      <c r="K96" s="44">
        <v>8790</v>
      </c>
    </row>
    <row r="97" spans="1:7" ht="12.75" customHeight="1">
      <c r="A97" s="14"/>
      <c r="B97" s="13"/>
      <c r="C97" s="15">
        <f>SUM(C90:C96)</f>
        <v>10</v>
      </c>
      <c r="D97" s="15">
        <f>SUM(D90:D96)</f>
        <v>5</v>
      </c>
      <c r="E97" s="15">
        <f>SUM(E90:E96)</f>
        <v>76</v>
      </c>
      <c r="F97" s="15">
        <f>SUM(F90:F96)</f>
        <v>15</v>
      </c>
      <c r="G97" s="15">
        <f t="shared" si="3"/>
        <v>106</v>
      </c>
    </row>
    <row r="98" spans="1:7" ht="12.75" customHeight="1"/>
    <row r="99" spans="1:7" ht="12.75" customHeight="1"/>
    <row r="100" spans="1:7" ht="12.75" customHeight="1"/>
    <row r="101" spans="1:7" ht="12.75" customHeight="1"/>
    <row r="102" spans="1:7" ht="12.75" customHeight="1"/>
    <row r="103" spans="1:7" ht="12.75" customHeight="1"/>
    <row r="104" spans="1:7" ht="12.75" customHeight="1"/>
    <row r="105" spans="1:7" ht="12.75" customHeight="1"/>
    <row r="106" spans="1:7" ht="12.75" customHeight="1"/>
    <row r="107" spans="1:7" ht="12.75" customHeight="1"/>
    <row r="108" spans="1:7" ht="12.75" customHeight="1"/>
    <row r="109" spans="1:7" ht="12.75" customHeight="1"/>
    <row r="110" spans="1:7" ht="12.75" customHeight="1"/>
    <row r="111" spans="1:7" ht="12.75" customHeight="1"/>
    <row r="112" spans="1:7"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A03738-4195-4FCF-B6E2-77CBF8EE38D7}">
  <sheetPr>
    <tabColor rgb="FFFF0000"/>
  </sheetPr>
  <dimension ref="B2:P26"/>
  <sheetViews>
    <sheetView showGridLines="0" workbookViewId="0">
      <selection activeCell="F14" sqref="F14"/>
    </sheetView>
  </sheetViews>
  <sheetFormatPr defaultRowHeight="13.8"/>
  <cols>
    <col min="1" max="1" width="3" customWidth="1"/>
    <col min="2" max="2" width="10.88671875" customWidth="1"/>
    <col min="5" max="5" width="11.21875" bestFit="1" customWidth="1"/>
    <col min="6" max="6" width="9.109375" customWidth="1"/>
    <col min="7" max="7" width="8.5546875" customWidth="1"/>
    <col min="9" max="9" width="12" bestFit="1" customWidth="1"/>
    <col min="10" max="10" width="19.109375" bestFit="1" customWidth="1"/>
  </cols>
  <sheetData>
    <row r="2" spans="2:10">
      <c r="B2" s="526" t="s">
        <v>652</v>
      </c>
      <c r="C2" s="526"/>
      <c r="D2" s="526"/>
      <c r="E2" s="526"/>
      <c r="F2" s="526"/>
      <c r="G2" s="526"/>
      <c r="H2" s="526"/>
      <c r="I2" s="526"/>
      <c r="J2" s="526"/>
    </row>
    <row r="3" spans="2:10" s="210" customFormat="1"/>
    <row r="5" spans="2:10">
      <c r="B5" s="213" t="s">
        <v>316</v>
      </c>
      <c r="C5" s="213" t="s">
        <v>1</v>
      </c>
      <c r="D5" s="504" t="s">
        <v>74</v>
      </c>
      <c r="E5" s="490" t="s">
        <v>75</v>
      </c>
      <c r="F5" s="501" t="s">
        <v>82</v>
      </c>
      <c r="G5" s="501"/>
    </row>
    <row r="6" spans="2:10">
      <c r="B6" s="212">
        <v>1</v>
      </c>
      <c r="C6" s="212" t="s">
        <v>618</v>
      </c>
      <c r="D6" s="214">
        <v>3969</v>
      </c>
      <c r="E6" s="211"/>
      <c r="F6" s="502">
        <v>1245</v>
      </c>
      <c r="G6" s="211"/>
    </row>
    <row r="7" spans="2:10">
      <c r="B7" s="212">
        <v>2</v>
      </c>
      <c r="C7" s="212" t="s">
        <v>619</v>
      </c>
      <c r="D7" s="214">
        <v>5107</v>
      </c>
      <c r="E7" s="491">
        <f>(D7/D6)-1</f>
        <v>0.28672209624590583</v>
      </c>
      <c r="F7" s="502">
        <v>1575</v>
      </c>
      <c r="G7" s="211"/>
    </row>
    <row r="8" spans="2:10">
      <c r="B8" s="212">
        <v>3</v>
      </c>
      <c r="C8" s="212" t="s">
        <v>620</v>
      </c>
      <c r="D8" s="214">
        <v>6622</v>
      </c>
      <c r="E8" s="491">
        <f t="shared" ref="E8:E13" si="0">(D8/D7)-1</f>
        <v>0.29665165459173681</v>
      </c>
      <c r="F8" s="502">
        <v>1853</v>
      </c>
      <c r="G8" s="211"/>
    </row>
    <row r="9" spans="2:10">
      <c r="B9" s="212">
        <v>4</v>
      </c>
      <c r="C9" s="212" t="s">
        <v>621</v>
      </c>
      <c r="D9" s="214">
        <v>8407</v>
      </c>
      <c r="E9" s="491">
        <f t="shared" si="0"/>
        <v>0.26955602536997891</v>
      </c>
      <c r="F9" s="502">
        <v>2346</v>
      </c>
      <c r="G9" s="211"/>
      <c r="H9" t="s">
        <v>625</v>
      </c>
    </row>
    <row r="10" spans="2:10" ht="14.4" thickBot="1">
      <c r="B10" s="212">
        <v>5</v>
      </c>
      <c r="C10" s="500" t="s">
        <v>622</v>
      </c>
      <c r="D10" s="505">
        <f>$I$25+B10*$I$26</f>
        <v>9733.5</v>
      </c>
      <c r="E10" s="491">
        <f t="shared" si="0"/>
        <v>0.15778517901748534</v>
      </c>
      <c r="F10" s="503">
        <f>FORECAST(B10,$F$6:$F$9,$B$6:$B$9)</f>
        <v>2650</v>
      </c>
      <c r="G10" s="211"/>
    </row>
    <row r="11" spans="2:10">
      <c r="B11" s="212">
        <v>6</v>
      </c>
      <c r="C11" s="500" t="s">
        <v>623</v>
      </c>
      <c r="D11" s="505">
        <f t="shared" ref="D11:D13" si="1">$I$25+B11*$I$26</f>
        <v>11216.400000000001</v>
      </c>
      <c r="E11" s="491">
        <f t="shared" si="0"/>
        <v>0.15235013099090788</v>
      </c>
      <c r="F11" s="503">
        <f>FORECAST(B11,$F$6:$F$10,$B$6:$B$10)</f>
        <v>3008.1000000000004</v>
      </c>
      <c r="G11" s="211"/>
      <c r="H11" s="493" t="s">
        <v>626</v>
      </c>
      <c r="I11" s="493"/>
    </row>
    <row r="12" spans="2:10">
      <c r="B12" s="212">
        <v>7</v>
      </c>
      <c r="C12" s="500" t="s">
        <v>624</v>
      </c>
      <c r="D12" s="505">
        <f t="shared" si="1"/>
        <v>12699.300000000001</v>
      </c>
      <c r="E12" s="491">
        <f t="shared" si="0"/>
        <v>0.13220819514282645</v>
      </c>
      <c r="F12" s="503">
        <f>FORECAST(B12,$F$6:$F$11,$B$6:$B$11)</f>
        <v>3366.2000000000003</v>
      </c>
      <c r="G12" s="211"/>
      <c r="H12" t="s">
        <v>627</v>
      </c>
      <c r="I12">
        <v>0.99524894211659776</v>
      </c>
    </row>
    <row r="13" spans="2:10">
      <c r="B13" s="211">
        <v>8</v>
      </c>
      <c r="C13" s="500" t="s">
        <v>650</v>
      </c>
      <c r="D13" s="505">
        <f t="shared" si="1"/>
        <v>14182.2</v>
      </c>
      <c r="E13" s="491">
        <f t="shared" si="0"/>
        <v>0.11677021568117918</v>
      </c>
      <c r="F13" s="503">
        <f>FORECAST(B13,$F$6:$F$12,$B$6:$B$12)</f>
        <v>3724.3</v>
      </c>
      <c r="H13" t="s">
        <v>628</v>
      </c>
      <c r="I13">
        <v>0.99052045678420686</v>
      </c>
      <c r="J13" s="153" t="s">
        <v>649</v>
      </c>
    </row>
    <row r="14" spans="2:10">
      <c r="B14" s="211"/>
      <c r="H14" t="s">
        <v>629</v>
      </c>
      <c r="I14">
        <v>0.98578068517631023</v>
      </c>
    </row>
    <row r="15" spans="2:10">
      <c r="B15" s="496" t="s">
        <v>653</v>
      </c>
      <c r="C15" s="497">
        <f>_xlfn.RRI(B9,D6,D9)</f>
        <v>0.20639627381798409</v>
      </c>
      <c r="H15" t="s">
        <v>630</v>
      </c>
      <c r="I15">
        <v>229.37382152285826</v>
      </c>
    </row>
    <row r="16" spans="2:10" ht="14.4" thickBot="1">
      <c r="B16" s="498" t="s">
        <v>617</v>
      </c>
      <c r="C16" s="499">
        <f>_xlfn.STDEV.S(E7:E9)</f>
        <v>1.3707924965651491E-2</v>
      </c>
      <c r="H16" s="179" t="s">
        <v>631</v>
      </c>
      <c r="I16" s="179">
        <v>4</v>
      </c>
    </row>
    <row r="18" spans="6:16" ht="14.4" thickBot="1">
      <c r="H18" t="s">
        <v>632</v>
      </c>
    </row>
    <row r="19" spans="6:16">
      <c r="H19" s="492"/>
      <c r="I19" s="492" t="s">
        <v>636</v>
      </c>
      <c r="J19" s="492" t="s">
        <v>637</v>
      </c>
      <c r="K19" s="492" t="s">
        <v>638</v>
      </c>
      <c r="L19" s="492" t="s">
        <v>639</v>
      </c>
      <c r="M19" s="492" t="s">
        <v>640</v>
      </c>
    </row>
    <row r="20" spans="6:16">
      <c r="H20" t="s">
        <v>633</v>
      </c>
      <c r="I20">
        <v>1</v>
      </c>
      <c r="J20">
        <v>10994962.050000001</v>
      </c>
      <c r="K20">
        <v>10994962.050000001</v>
      </c>
      <c r="L20">
        <v>208.98063002317883</v>
      </c>
      <c r="M20">
        <v>4.7510578834023187E-3</v>
      </c>
    </row>
    <row r="21" spans="6:16">
      <c r="H21" t="s">
        <v>634</v>
      </c>
      <c r="I21">
        <v>2</v>
      </c>
      <c r="J21">
        <v>105224.70000000007</v>
      </c>
      <c r="K21">
        <v>52612.350000000035</v>
      </c>
    </row>
    <row r="22" spans="6:16" ht="14.4" thickBot="1">
      <c r="H22" s="179" t="s">
        <v>27</v>
      </c>
      <c r="I22" s="179">
        <v>3</v>
      </c>
      <c r="J22" s="179">
        <v>11100186.75</v>
      </c>
      <c r="K22" s="179"/>
      <c r="L22" s="179"/>
      <c r="M22" s="179"/>
    </row>
    <row r="23" spans="6:16" ht="14.4" thickBot="1"/>
    <row r="24" spans="6:16">
      <c r="H24" s="492"/>
      <c r="I24" s="495" t="s">
        <v>641</v>
      </c>
      <c r="J24" s="492" t="s">
        <v>630</v>
      </c>
      <c r="K24" s="492" t="s">
        <v>642</v>
      </c>
      <c r="L24" s="492" t="s">
        <v>643</v>
      </c>
      <c r="M24" s="492" t="s">
        <v>644</v>
      </c>
      <c r="N24" s="492" t="s">
        <v>645</v>
      </c>
      <c r="O24" s="492" t="s">
        <v>646</v>
      </c>
      <c r="P24" s="492" t="s">
        <v>647</v>
      </c>
    </row>
    <row r="25" spans="6:16">
      <c r="H25" s="195" t="s">
        <v>635</v>
      </c>
      <c r="I25" s="195">
        <v>2319</v>
      </c>
      <c r="J25">
        <v>280.92441154161031</v>
      </c>
      <c r="K25">
        <v>8.2548895885344287</v>
      </c>
      <c r="L25">
        <v>1.4359648784768817E-2</v>
      </c>
      <c r="M25">
        <v>1110.2798138272287</v>
      </c>
      <c r="N25">
        <v>3527.7201861727713</v>
      </c>
      <c r="O25">
        <v>1110.2798138272287</v>
      </c>
      <c r="P25">
        <v>3527.7201861727713</v>
      </c>
    </row>
    <row r="26" spans="6:16" ht="14.4" thickBot="1">
      <c r="F26" s="527" t="s">
        <v>651</v>
      </c>
      <c r="G26" s="527"/>
      <c r="H26" s="494" t="s">
        <v>648</v>
      </c>
      <c r="I26" s="494">
        <v>1482.9</v>
      </c>
      <c r="J26" s="179">
        <v>102.57909143680308</v>
      </c>
      <c r="K26" s="179">
        <v>14.456162354621604</v>
      </c>
      <c r="L26" s="179">
        <v>4.7510578834023187E-3</v>
      </c>
      <c r="M26" s="179">
        <v>1041.5377922142195</v>
      </c>
      <c r="N26" s="179">
        <v>1924.2622077857807</v>
      </c>
      <c r="O26" s="179">
        <v>1041.5377922142195</v>
      </c>
      <c r="P26" s="179">
        <v>1924.2622077857807</v>
      </c>
    </row>
  </sheetData>
  <mergeCells count="2">
    <mergeCell ref="B2:J2"/>
    <mergeCell ref="F26:G26"/>
  </mergeCell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5ABA6C-C922-4C11-8734-F8A3E45347D4}">
  <dimension ref="A1:F46"/>
  <sheetViews>
    <sheetView workbookViewId="0">
      <selection activeCell="H18" sqref="H18"/>
    </sheetView>
  </sheetViews>
  <sheetFormatPr defaultRowHeight="13.2"/>
  <cols>
    <col min="1" max="1" width="69.5546875" style="237" customWidth="1"/>
    <col min="2" max="2" width="2.88671875" style="237" customWidth="1"/>
    <col min="3" max="3" width="17.5546875" style="237" customWidth="1"/>
    <col min="4" max="4" width="3.5546875" style="237" customWidth="1"/>
    <col min="5" max="5" width="30.21875" style="237" customWidth="1"/>
    <col min="6" max="6" width="3.5546875" style="237" customWidth="1"/>
    <col min="7" max="16384" width="8.88671875" style="237"/>
  </cols>
  <sheetData>
    <row r="1" spans="1:6" ht="22.5" customHeight="1">
      <c r="A1" s="529" t="s">
        <v>317</v>
      </c>
      <c r="B1" s="529"/>
      <c r="C1" s="529"/>
      <c r="D1" s="529"/>
      <c r="E1" s="529"/>
    </row>
    <row r="2" spans="1:6" ht="3" customHeight="1"/>
    <row r="3" spans="1:6" ht="11.25" customHeight="1">
      <c r="A3" s="530"/>
      <c r="B3" s="530"/>
      <c r="C3" s="239" t="s">
        <v>318</v>
      </c>
      <c r="D3" s="240"/>
      <c r="E3" s="531" t="s">
        <v>319</v>
      </c>
      <c r="F3" s="531"/>
    </row>
    <row r="4" spans="1:6" ht="21.3" customHeight="1">
      <c r="A4" s="241" t="s">
        <v>320</v>
      </c>
      <c r="B4" s="242"/>
      <c r="C4" s="242"/>
      <c r="D4" s="242"/>
      <c r="E4" s="532"/>
      <c r="F4" s="532"/>
    </row>
    <row r="5" spans="1:6" ht="22.5" customHeight="1">
      <c r="A5" s="243" t="s">
        <v>321</v>
      </c>
      <c r="B5" s="244" t="s">
        <v>322</v>
      </c>
      <c r="C5" s="245">
        <v>763</v>
      </c>
      <c r="D5" s="246" t="s">
        <v>322</v>
      </c>
      <c r="E5" s="533">
        <v>758</v>
      </c>
      <c r="F5" s="533"/>
    </row>
    <row r="6" spans="1:6" ht="11.25" customHeight="1">
      <c r="A6" s="247" t="s">
        <v>323</v>
      </c>
      <c r="B6" s="238"/>
      <c r="C6" s="248">
        <v>600</v>
      </c>
      <c r="D6" s="238"/>
      <c r="E6" s="528">
        <v>483</v>
      </c>
      <c r="F6" s="528"/>
    </row>
    <row r="7" spans="1:6" ht="11.25" customHeight="1">
      <c r="A7" s="247" t="s">
        <v>324</v>
      </c>
      <c r="B7" s="238"/>
      <c r="C7" s="248">
        <v>140</v>
      </c>
      <c r="D7" s="238"/>
      <c r="E7" s="528">
        <v>98</v>
      </c>
      <c r="F7" s="528"/>
    </row>
    <row r="8" spans="1:6" ht="11.25" customHeight="1">
      <c r="A8" s="247" t="s">
        <v>325</v>
      </c>
      <c r="B8" s="238"/>
      <c r="C8" s="248">
        <v>35</v>
      </c>
      <c r="D8" s="238"/>
      <c r="E8" s="528">
        <v>27</v>
      </c>
      <c r="F8" s="528"/>
    </row>
    <row r="9" spans="1:6" ht="11.25" customHeight="1">
      <c r="A9" s="249" t="s">
        <v>326</v>
      </c>
      <c r="B9" s="240"/>
      <c r="C9" s="250">
        <v>296</v>
      </c>
      <c r="D9" s="240"/>
      <c r="E9" s="534">
        <v>219</v>
      </c>
      <c r="F9" s="534"/>
    </row>
    <row r="10" spans="1:6" ht="13.8" customHeight="1">
      <c r="A10" s="251"/>
      <c r="B10" s="251"/>
      <c r="C10" s="252">
        <v>1835</v>
      </c>
      <c r="D10" s="251"/>
      <c r="E10" s="535">
        <v>1585</v>
      </c>
      <c r="F10" s="535"/>
    </row>
    <row r="11" spans="1:6" ht="22.5" customHeight="1">
      <c r="A11" s="243" t="s">
        <v>327</v>
      </c>
      <c r="B11" s="253"/>
      <c r="C11" s="245">
        <v>93</v>
      </c>
      <c r="D11" s="253"/>
      <c r="E11" s="533">
        <v>86</v>
      </c>
      <c r="F11" s="533"/>
    </row>
    <row r="12" spans="1:6" ht="11.25" customHeight="1">
      <c r="A12" s="247" t="s">
        <v>328</v>
      </c>
      <c r="B12" s="238"/>
      <c r="C12" s="248">
        <v>245</v>
      </c>
      <c r="D12" s="238"/>
      <c r="E12" s="528">
        <v>251</v>
      </c>
      <c r="F12" s="528"/>
    </row>
    <row r="13" spans="1:6" ht="11.25" customHeight="1">
      <c r="A13" s="247" t="s">
        <v>329</v>
      </c>
      <c r="B13" s="238"/>
      <c r="C13" s="248">
        <v>66</v>
      </c>
      <c r="D13" s="238"/>
      <c r="E13" s="528">
        <v>52</v>
      </c>
      <c r="F13" s="528"/>
    </row>
    <row r="14" spans="1:6" ht="11.25" customHeight="1">
      <c r="A14" s="247" t="s">
        <v>326</v>
      </c>
      <c r="B14" s="238"/>
      <c r="C14" s="248">
        <v>99</v>
      </c>
      <c r="D14" s="238"/>
      <c r="E14" s="528">
        <v>75</v>
      </c>
      <c r="F14" s="528"/>
    </row>
    <row r="15" spans="1:6" ht="11.25" customHeight="1">
      <c r="A15" s="249" t="s">
        <v>330</v>
      </c>
      <c r="B15" s="240"/>
      <c r="C15" s="254">
        <v>3428</v>
      </c>
      <c r="D15" s="240"/>
      <c r="E15" s="536">
        <v>2325</v>
      </c>
      <c r="F15" s="536"/>
    </row>
    <row r="16" spans="1:6" ht="15" customHeight="1">
      <c r="A16" s="255"/>
      <c r="B16" s="255"/>
      <c r="C16" s="256">
        <v>3931</v>
      </c>
      <c r="D16" s="255"/>
      <c r="E16" s="537">
        <v>2790</v>
      </c>
      <c r="F16" s="537"/>
    </row>
    <row r="17" spans="1:6" ht="11.25" customHeight="1">
      <c r="A17" s="538" t="s">
        <v>331</v>
      </c>
      <c r="B17" s="538"/>
      <c r="C17" s="254">
        <v>5766</v>
      </c>
      <c r="D17" s="257" t="s">
        <v>322</v>
      </c>
      <c r="E17" s="536">
        <v>4375</v>
      </c>
      <c r="F17" s="536"/>
    </row>
    <row r="18" spans="1:6" ht="25.95" customHeight="1">
      <c r="A18" s="258" t="s">
        <v>332</v>
      </c>
      <c r="B18" s="253"/>
      <c r="C18" s="253"/>
      <c r="D18" s="253"/>
      <c r="E18" s="539"/>
      <c r="F18" s="539"/>
    </row>
    <row r="19" spans="1:6" ht="22.5" customHeight="1">
      <c r="A19" s="243" t="s">
        <v>333</v>
      </c>
      <c r="B19" s="244" t="s">
        <v>322</v>
      </c>
      <c r="C19" s="245">
        <v>143</v>
      </c>
      <c r="D19" s="246" t="s">
        <v>322</v>
      </c>
      <c r="E19" s="533">
        <v>113</v>
      </c>
      <c r="F19" s="533"/>
    </row>
    <row r="20" spans="1:6" ht="11.25" customHeight="1">
      <c r="A20" s="259" t="s">
        <v>334</v>
      </c>
      <c r="B20" s="238"/>
      <c r="C20" s="248">
        <v>60</v>
      </c>
      <c r="D20" s="238"/>
      <c r="E20" s="528">
        <v>28</v>
      </c>
      <c r="F20" s="528"/>
    </row>
    <row r="21" spans="1:6" ht="11.25" customHeight="1">
      <c r="A21" s="247" t="s">
        <v>335</v>
      </c>
      <c r="B21" s="238"/>
      <c r="C21" s="248">
        <v>7</v>
      </c>
      <c r="D21" s="238"/>
      <c r="E21" s="540" t="s">
        <v>336</v>
      </c>
      <c r="F21" s="540"/>
    </row>
    <row r="22" spans="1:6" ht="11.25" customHeight="1">
      <c r="A22" s="247" t="s">
        <v>337</v>
      </c>
      <c r="B22" s="238"/>
      <c r="C22" s="248">
        <v>832</v>
      </c>
      <c r="D22" s="238"/>
      <c r="E22" s="528">
        <v>666</v>
      </c>
      <c r="F22" s="528"/>
    </row>
    <row r="23" spans="1:6" ht="11.25" customHeight="1">
      <c r="A23" s="247" t="s">
        <v>338</v>
      </c>
      <c r="B23" s="238"/>
      <c r="C23" s="248">
        <v>22</v>
      </c>
      <c r="D23" s="238"/>
      <c r="E23" s="528">
        <v>21</v>
      </c>
      <c r="F23" s="528"/>
    </row>
    <row r="24" spans="1:6" ht="11.25" customHeight="1">
      <c r="A24" s="247" t="s">
        <v>339</v>
      </c>
      <c r="B24" s="238"/>
      <c r="C24" s="261">
        <v>1158</v>
      </c>
      <c r="D24" s="238"/>
      <c r="E24" s="528">
        <v>962</v>
      </c>
      <c r="F24" s="528"/>
    </row>
    <row r="25" spans="1:6" ht="11.25" customHeight="1">
      <c r="A25" s="247" t="s">
        <v>340</v>
      </c>
      <c r="B25" s="238"/>
      <c r="C25" s="248">
        <v>11</v>
      </c>
      <c r="D25" s="238"/>
      <c r="E25" s="528">
        <v>12</v>
      </c>
      <c r="F25" s="528"/>
    </row>
    <row r="26" spans="1:6" ht="11.25" customHeight="1">
      <c r="A26" s="247" t="s">
        <v>341</v>
      </c>
      <c r="B26" s="238"/>
      <c r="C26" s="248">
        <v>94</v>
      </c>
      <c r="D26" s="238"/>
      <c r="E26" s="528">
        <v>85</v>
      </c>
      <c r="F26" s="528"/>
    </row>
    <row r="27" spans="1:6" ht="11.25" customHeight="1">
      <c r="A27" s="247" t="s">
        <v>342</v>
      </c>
      <c r="B27" s="238"/>
      <c r="C27" s="248">
        <v>79</v>
      </c>
      <c r="D27" s="238"/>
      <c r="E27" s="528">
        <v>74</v>
      </c>
      <c r="F27" s="528"/>
    </row>
    <row r="28" spans="1:6" ht="11.25" customHeight="1">
      <c r="A28" s="249" t="s">
        <v>343</v>
      </c>
      <c r="B28" s="240"/>
      <c r="C28" s="250">
        <v>56</v>
      </c>
      <c r="D28" s="240"/>
      <c r="E28" s="534">
        <v>78</v>
      </c>
      <c r="F28" s="534"/>
    </row>
    <row r="29" spans="1:6" ht="12.3" customHeight="1">
      <c r="A29" s="251"/>
      <c r="B29" s="251"/>
      <c r="C29" s="252">
        <v>2461</v>
      </c>
      <c r="D29" s="251"/>
      <c r="E29" s="535">
        <v>2040</v>
      </c>
      <c r="F29" s="535"/>
    </row>
    <row r="30" spans="1:6" ht="22.5" customHeight="1">
      <c r="A30" s="243" t="s">
        <v>344</v>
      </c>
      <c r="B30" s="253"/>
      <c r="C30" s="245">
        <v>561</v>
      </c>
      <c r="D30" s="253"/>
      <c r="E30" s="533">
        <v>421</v>
      </c>
      <c r="F30" s="533"/>
    </row>
    <row r="31" spans="1:6" ht="11.25" customHeight="1">
      <c r="A31" s="259" t="s">
        <v>334</v>
      </c>
      <c r="B31" s="238"/>
      <c r="C31" s="248">
        <v>354</v>
      </c>
      <c r="D31" s="238"/>
      <c r="E31" s="528">
        <v>199</v>
      </c>
      <c r="F31" s="528"/>
    </row>
    <row r="32" spans="1:6" ht="11.25" customHeight="1">
      <c r="A32" s="247" t="s">
        <v>329</v>
      </c>
      <c r="B32" s="238"/>
      <c r="C32" s="248">
        <v>436</v>
      </c>
      <c r="D32" s="238"/>
      <c r="E32" s="528">
        <v>285</v>
      </c>
      <c r="F32" s="528"/>
    </row>
    <row r="33" spans="1:6" ht="11.25" customHeight="1">
      <c r="A33" s="247" t="s">
        <v>341</v>
      </c>
      <c r="B33" s="238"/>
      <c r="C33" s="248">
        <v>68</v>
      </c>
      <c r="D33" s="238"/>
      <c r="E33" s="528">
        <v>37</v>
      </c>
      <c r="F33" s="528"/>
    </row>
    <row r="34" spans="1:6" ht="11.25" customHeight="1">
      <c r="A34" s="247" t="s">
        <v>342</v>
      </c>
      <c r="B34" s="238"/>
      <c r="C34" s="248">
        <v>190</v>
      </c>
      <c r="D34" s="238"/>
      <c r="E34" s="528">
        <v>201</v>
      </c>
      <c r="F34" s="528"/>
    </row>
    <row r="35" spans="1:6" ht="11.25" customHeight="1">
      <c r="A35" s="249" t="s">
        <v>345</v>
      </c>
      <c r="B35" s="240"/>
      <c r="C35" s="250">
        <v>175</v>
      </c>
      <c r="D35" s="240"/>
      <c r="E35" s="534">
        <v>146</v>
      </c>
      <c r="F35" s="534"/>
    </row>
    <row r="36" spans="1:6" ht="19.5" customHeight="1">
      <c r="A36" s="262"/>
      <c r="B36" s="262"/>
      <c r="C36" s="256">
        <v>1784</v>
      </c>
      <c r="D36" s="262"/>
      <c r="E36" s="537">
        <v>1288</v>
      </c>
      <c r="F36" s="537"/>
    </row>
    <row r="37" spans="1:6" ht="11.25" customHeight="1">
      <c r="A37" s="263" t="s">
        <v>346</v>
      </c>
      <c r="B37" s="255"/>
      <c r="C37" s="256">
        <v>4245</v>
      </c>
      <c r="D37" s="255"/>
      <c r="E37" s="537">
        <v>3328</v>
      </c>
      <c r="F37" s="537"/>
    </row>
    <row r="38" spans="1:6" ht="34.200000000000003" customHeight="1">
      <c r="A38" s="264" t="s">
        <v>347</v>
      </c>
      <c r="B38" s="265"/>
      <c r="C38" s="266">
        <v>99</v>
      </c>
      <c r="D38" s="265"/>
      <c r="E38" s="541">
        <v>99</v>
      </c>
      <c r="F38" s="541"/>
    </row>
    <row r="39" spans="1:6" ht="11.25" customHeight="1">
      <c r="A39" s="247" t="s">
        <v>348</v>
      </c>
      <c r="B39" s="238"/>
      <c r="C39" s="267">
        <v>-179</v>
      </c>
      <c r="D39" s="238"/>
      <c r="E39" s="540" t="s">
        <v>336</v>
      </c>
      <c r="F39" s="540"/>
    </row>
    <row r="40" spans="1:6" ht="11.25" customHeight="1">
      <c r="A40" s="247" t="s">
        <v>349</v>
      </c>
      <c r="B40" s="238"/>
      <c r="C40" s="267">
        <v>-66</v>
      </c>
      <c r="D40" s="238"/>
      <c r="E40" s="542">
        <v>-31</v>
      </c>
      <c r="F40" s="542"/>
    </row>
    <row r="41" spans="1:6" ht="11.55" customHeight="1">
      <c r="A41" s="247" t="s">
        <v>350</v>
      </c>
      <c r="B41" s="238"/>
      <c r="C41" s="261">
        <v>1206</v>
      </c>
      <c r="D41" s="238"/>
      <c r="E41" s="528">
        <v>980</v>
      </c>
      <c r="F41" s="528"/>
    </row>
    <row r="42" spans="1:6" ht="11.55" customHeight="1">
      <c r="A42" s="249" t="s">
        <v>351</v>
      </c>
      <c r="B42" s="240"/>
      <c r="C42" s="250">
        <v>460</v>
      </c>
      <c r="D42" s="240"/>
      <c r="E42" s="543" t="s">
        <v>336</v>
      </c>
      <c r="F42" s="543"/>
    </row>
    <row r="43" spans="1:6" ht="15" customHeight="1">
      <c r="A43" s="251"/>
      <c r="B43" s="251"/>
      <c r="C43" s="252">
        <v>1521</v>
      </c>
      <c r="D43" s="251"/>
      <c r="E43" s="535">
        <v>1048</v>
      </c>
      <c r="F43" s="535"/>
    </row>
    <row r="44" spans="1:6" ht="20.55" customHeight="1">
      <c r="A44" s="268" t="s">
        <v>352</v>
      </c>
      <c r="B44" s="269"/>
      <c r="C44" s="269"/>
      <c r="D44" s="269"/>
      <c r="E44" s="544"/>
      <c r="F44" s="544"/>
    </row>
    <row r="45" spans="1:6" ht="11.25" customHeight="1">
      <c r="A45" s="263" t="s">
        <v>353</v>
      </c>
      <c r="B45" s="270" t="s">
        <v>322</v>
      </c>
      <c r="C45" s="256">
        <v>5766</v>
      </c>
      <c r="D45" s="271" t="s">
        <v>322</v>
      </c>
      <c r="E45" s="537">
        <v>4375</v>
      </c>
      <c r="F45" s="537"/>
    </row>
    <row r="46" spans="1:6" ht="16.2" customHeight="1">
      <c r="A46" s="272" t="s">
        <v>354</v>
      </c>
      <c r="B46" s="251"/>
      <c r="C46" s="251"/>
      <c r="D46" s="251"/>
      <c r="E46" s="545"/>
      <c r="F46" s="545"/>
    </row>
  </sheetData>
  <mergeCells count="47">
    <mergeCell ref="E42:F42"/>
    <mergeCell ref="E43:F43"/>
    <mergeCell ref="E44:F44"/>
    <mergeCell ref="E45:F45"/>
    <mergeCell ref="E46:F46"/>
    <mergeCell ref="E41:F41"/>
    <mergeCell ref="E30:F30"/>
    <mergeCell ref="E31:F31"/>
    <mergeCell ref="E32:F32"/>
    <mergeCell ref="E33:F33"/>
    <mergeCell ref="E34:F34"/>
    <mergeCell ref="E35:F35"/>
    <mergeCell ref="E36:F36"/>
    <mergeCell ref="E37:F37"/>
    <mergeCell ref="E38:F38"/>
    <mergeCell ref="E39:F39"/>
    <mergeCell ref="E40:F40"/>
    <mergeCell ref="E29:F29"/>
    <mergeCell ref="E18:F18"/>
    <mergeCell ref="E19:F19"/>
    <mergeCell ref="E20:F20"/>
    <mergeCell ref="E21:F21"/>
    <mergeCell ref="E22:F22"/>
    <mergeCell ref="E23:F23"/>
    <mergeCell ref="E24:F24"/>
    <mergeCell ref="E25:F25"/>
    <mergeCell ref="E26:F26"/>
    <mergeCell ref="E27:F27"/>
    <mergeCell ref="E28:F28"/>
    <mergeCell ref="E13:F13"/>
    <mergeCell ref="E14:F14"/>
    <mergeCell ref="E15:F15"/>
    <mergeCell ref="E16:F16"/>
    <mergeCell ref="A17:B17"/>
    <mergeCell ref="E17:F17"/>
    <mergeCell ref="E12:F12"/>
    <mergeCell ref="A1:E1"/>
    <mergeCell ref="A3:B3"/>
    <mergeCell ref="E3:F3"/>
    <mergeCell ref="E4:F4"/>
    <mergeCell ref="E5:F5"/>
    <mergeCell ref="E6:F6"/>
    <mergeCell ref="E7:F7"/>
    <mergeCell ref="E8:F8"/>
    <mergeCell ref="E9:F9"/>
    <mergeCell ref="E10:F10"/>
    <mergeCell ref="E11:F11"/>
  </mergeCell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121F51-57F6-4597-AA8C-742FD8D8EB9B}">
  <dimension ref="A1:D41"/>
  <sheetViews>
    <sheetView workbookViewId="0">
      <selection activeCell="E7" sqref="E7:F7"/>
    </sheetView>
  </sheetViews>
  <sheetFormatPr defaultRowHeight="13.2"/>
  <cols>
    <col min="1" max="1" width="62.88671875" style="237" customWidth="1"/>
    <col min="2" max="2" width="18.6640625" style="237" customWidth="1"/>
    <col min="3" max="3" width="16" style="237" customWidth="1"/>
    <col min="4" max="4" width="26.6640625" style="237" customWidth="1"/>
    <col min="5" max="16384" width="8.88671875" style="237"/>
  </cols>
  <sheetData>
    <row r="1" spans="1:4" ht="11.25" customHeight="1">
      <c r="A1" s="546" t="s">
        <v>355</v>
      </c>
      <c r="B1" s="546"/>
      <c r="C1" s="546"/>
      <c r="D1" s="546"/>
    </row>
    <row r="2" spans="1:4" ht="11.25" customHeight="1">
      <c r="A2" s="546" t="s">
        <v>356</v>
      </c>
      <c r="B2" s="546"/>
      <c r="C2" s="546"/>
      <c r="D2" s="546"/>
    </row>
    <row r="3" spans="1:4" ht="11.25" customHeight="1">
      <c r="A3" s="547" t="s">
        <v>357</v>
      </c>
      <c r="B3" s="547"/>
      <c r="C3" s="547"/>
      <c r="D3" s="547"/>
    </row>
    <row r="4" spans="1:4" ht="11.25" customHeight="1">
      <c r="A4" s="240"/>
      <c r="B4" s="250">
        <v>2021</v>
      </c>
      <c r="C4" s="274">
        <v>2020</v>
      </c>
    </row>
    <row r="5" spans="1:4" ht="33.75" customHeight="1">
      <c r="A5" s="275" t="s">
        <v>358</v>
      </c>
      <c r="B5" s="242"/>
      <c r="C5" s="242"/>
    </row>
    <row r="6" spans="1:4" ht="11.55" customHeight="1">
      <c r="A6" s="273" t="s">
        <v>359</v>
      </c>
      <c r="B6" s="276">
        <v>287</v>
      </c>
      <c r="C6" s="277">
        <v>234</v>
      </c>
    </row>
    <row r="7" spans="1:4" ht="11.55" customHeight="1">
      <c r="A7" s="273" t="s">
        <v>360</v>
      </c>
      <c r="B7" s="261">
        <v>1033</v>
      </c>
      <c r="C7" s="278">
        <v>751</v>
      </c>
    </row>
    <row r="8" spans="1:4" ht="11.55" customHeight="1">
      <c r="A8" s="273" t="s">
        <v>361</v>
      </c>
      <c r="B8" s="248">
        <v>176</v>
      </c>
      <c r="C8" s="278">
        <v>169</v>
      </c>
    </row>
    <row r="9" spans="1:4" ht="11.55" customHeight="1">
      <c r="A9" s="279" t="s">
        <v>362</v>
      </c>
      <c r="B9" s="254">
        <v>3611</v>
      </c>
      <c r="C9" s="280">
        <v>2815</v>
      </c>
    </row>
    <row r="10" spans="1:4" ht="17.55" customHeight="1">
      <c r="A10" s="242"/>
      <c r="B10" s="252">
        <v>5106</v>
      </c>
      <c r="C10" s="281">
        <v>3969</v>
      </c>
    </row>
    <row r="11" spans="1:4" ht="17.55" customHeight="1">
      <c r="A11" s="282" t="s">
        <v>363</v>
      </c>
      <c r="B11" s="253"/>
      <c r="C11" s="253"/>
    </row>
    <row r="12" spans="1:4" ht="11.55" customHeight="1">
      <c r="A12" s="273" t="s">
        <v>364</v>
      </c>
      <c r="B12" s="261">
        <v>2695</v>
      </c>
      <c r="C12" s="283">
        <v>2050</v>
      </c>
    </row>
    <row r="13" spans="1:4" ht="11.55" customHeight="1">
      <c r="A13" s="273" t="s">
        <v>365</v>
      </c>
      <c r="B13" s="248">
        <v>99</v>
      </c>
      <c r="C13" s="278">
        <v>97</v>
      </c>
    </row>
    <row r="14" spans="1:4" ht="11.55" customHeight="1">
      <c r="A14" s="273" t="s">
        <v>366</v>
      </c>
      <c r="B14" s="248">
        <v>433</v>
      </c>
      <c r="C14" s="278">
        <v>330</v>
      </c>
    </row>
    <row r="15" spans="1:4" ht="11.55" customHeight="1">
      <c r="A15" s="273" t="s">
        <v>367</v>
      </c>
      <c r="B15" s="248">
        <v>40</v>
      </c>
      <c r="C15" s="278">
        <v>35</v>
      </c>
    </row>
    <row r="16" spans="1:4" ht="11.55" customHeight="1">
      <c r="A16" s="273" t="s">
        <v>368</v>
      </c>
      <c r="B16" s="248">
        <v>186</v>
      </c>
      <c r="C16" s="278">
        <v>152</v>
      </c>
    </row>
    <row r="17" spans="1:3" ht="11.55" customHeight="1">
      <c r="A17" s="273" t="s">
        <v>369</v>
      </c>
      <c r="B17" s="248">
        <v>79</v>
      </c>
      <c r="C17" s="278">
        <v>60</v>
      </c>
    </row>
    <row r="18" spans="1:3" ht="11.55" customHeight="1">
      <c r="A18" s="273" t="s">
        <v>370</v>
      </c>
      <c r="B18" s="248">
        <v>62</v>
      </c>
      <c r="C18" s="278">
        <v>13</v>
      </c>
    </row>
    <row r="19" spans="1:3" ht="11.55" customHeight="1">
      <c r="A19" s="273" t="s">
        <v>371</v>
      </c>
      <c r="B19" s="248">
        <v>121</v>
      </c>
      <c r="C19" s="278">
        <v>105</v>
      </c>
    </row>
    <row r="20" spans="1:3" ht="11.55" customHeight="1">
      <c r="A20" s="279" t="s">
        <v>372</v>
      </c>
      <c r="B20" s="250">
        <v>518</v>
      </c>
      <c r="C20" s="274">
        <v>403</v>
      </c>
    </row>
    <row r="21" spans="1:3" ht="21.75" customHeight="1">
      <c r="A21" s="242"/>
      <c r="B21" s="252">
        <v>4233</v>
      </c>
      <c r="C21" s="281">
        <v>3246</v>
      </c>
    </row>
    <row r="22" spans="1:3" ht="22.5" customHeight="1">
      <c r="A22" s="284" t="s">
        <v>373</v>
      </c>
      <c r="B22" s="245">
        <v>1</v>
      </c>
      <c r="C22" s="285">
        <v>2</v>
      </c>
    </row>
    <row r="23" spans="1:3" ht="11.55" customHeight="1">
      <c r="A23" s="282" t="s">
        <v>374</v>
      </c>
      <c r="B23" s="248">
        <v>132</v>
      </c>
      <c r="C23" s="278">
        <v>65</v>
      </c>
    </row>
    <row r="24" spans="1:3" ht="11.55" customHeight="1">
      <c r="A24" s="282" t="s">
        <v>375</v>
      </c>
      <c r="B24" s="286">
        <v>-7</v>
      </c>
      <c r="C24" s="267">
        <v>-4</v>
      </c>
    </row>
    <row r="25" spans="1:3" ht="11.55" customHeight="1">
      <c r="A25" s="282" t="s">
        <v>376</v>
      </c>
      <c r="B25" s="286">
        <v>-2</v>
      </c>
      <c r="C25" s="267">
        <v>-2</v>
      </c>
    </row>
    <row r="26" spans="1:3" ht="11.55" customHeight="1">
      <c r="A26" s="282" t="s">
        <v>377</v>
      </c>
      <c r="B26" s="248">
        <v>12</v>
      </c>
      <c r="C26" s="278">
        <v>12</v>
      </c>
    </row>
    <row r="27" spans="1:3" ht="11.55" customHeight="1">
      <c r="A27" s="282" t="s">
        <v>378</v>
      </c>
      <c r="B27" s="248">
        <v>295</v>
      </c>
      <c r="C27" s="287" t="s">
        <v>336</v>
      </c>
    </row>
    <row r="28" spans="1:3" ht="11.55" customHeight="1">
      <c r="A28" s="288" t="s">
        <v>379</v>
      </c>
      <c r="B28" s="250">
        <v>68</v>
      </c>
      <c r="C28" s="274">
        <v>46</v>
      </c>
    </row>
    <row r="29" spans="1:3" ht="17.55" customHeight="1">
      <c r="A29" s="242"/>
      <c r="B29" s="289">
        <v>499</v>
      </c>
      <c r="C29" s="290">
        <v>120</v>
      </c>
    </row>
    <row r="30" spans="1:3" ht="23.25" customHeight="1">
      <c r="A30" s="282" t="s">
        <v>380</v>
      </c>
      <c r="B30" s="248">
        <v>374</v>
      </c>
      <c r="C30" s="278">
        <v>603</v>
      </c>
    </row>
    <row r="31" spans="1:3" ht="17.55" customHeight="1">
      <c r="A31" s="282" t="s">
        <v>381</v>
      </c>
      <c r="B31" s="248">
        <v>257</v>
      </c>
      <c r="C31" s="278">
        <v>221</v>
      </c>
    </row>
    <row r="32" spans="1:3" ht="11.55" customHeight="1">
      <c r="A32" s="288" t="s">
        <v>382</v>
      </c>
      <c r="B32" s="291">
        <v>-51</v>
      </c>
      <c r="C32" s="292">
        <v>-55</v>
      </c>
    </row>
    <row r="33" spans="1:4" ht="23.25" customHeight="1">
      <c r="A33" s="293" t="s">
        <v>383</v>
      </c>
      <c r="B33" s="294">
        <v>206</v>
      </c>
      <c r="C33" s="295">
        <v>167</v>
      </c>
    </row>
    <row r="34" spans="1:4" ht="11.25" customHeight="1">
      <c r="A34" s="293" t="s">
        <v>384</v>
      </c>
      <c r="B34" s="294">
        <v>169</v>
      </c>
      <c r="C34" s="295">
        <v>436</v>
      </c>
    </row>
    <row r="35" spans="1:4" ht="33.75" customHeight="1">
      <c r="A35" s="242" t="s">
        <v>385</v>
      </c>
      <c r="B35" s="296">
        <v>310</v>
      </c>
      <c r="C35" s="297">
        <v>436</v>
      </c>
    </row>
    <row r="36" spans="1:4" ht="11.25" customHeight="1">
      <c r="A36" s="279" t="s">
        <v>386</v>
      </c>
      <c r="B36" s="291">
        <v>-142</v>
      </c>
      <c r="C36" s="298" t="s">
        <v>336</v>
      </c>
    </row>
    <row r="37" spans="1:4" ht="11.25" customHeight="1">
      <c r="A37" s="293" t="s">
        <v>384</v>
      </c>
      <c r="B37" s="294">
        <v>169</v>
      </c>
      <c r="C37" s="295">
        <v>436</v>
      </c>
    </row>
    <row r="38" spans="1:4" ht="33.75" customHeight="1">
      <c r="A38" s="242" t="s">
        <v>387</v>
      </c>
      <c r="B38" s="299">
        <v>14.65</v>
      </c>
      <c r="C38" s="300">
        <v>20.59</v>
      </c>
    </row>
    <row r="39" spans="1:4" ht="11.25" customHeight="1">
      <c r="A39" s="546" t="s">
        <v>354</v>
      </c>
      <c r="B39" s="546"/>
      <c r="C39" s="546"/>
      <c r="D39" s="546"/>
    </row>
    <row r="40" spans="1:4" ht="1.95" customHeight="1"/>
    <row r="41" spans="1:4" ht="24" customHeight="1">
      <c r="A41" s="529" t="s">
        <v>388</v>
      </c>
      <c r="B41" s="529"/>
      <c r="C41" s="529"/>
      <c r="D41" s="529"/>
    </row>
  </sheetData>
  <mergeCells count="5">
    <mergeCell ref="A1:D1"/>
    <mergeCell ref="A2:D2"/>
    <mergeCell ref="A3:D3"/>
    <mergeCell ref="A39:D39"/>
    <mergeCell ref="A41:D41"/>
  </mergeCell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6A0FB7-D8A5-4257-ADF5-A942C9464F15}">
  <dimension ref="A1:D14"/>
  <sheetViews>
    <sheetView workbookViewId="0">
      <selection activeCell="E7" sqref="E7:F7"/>
    </sheetView>
  </sheetViews>
  <sheetFormatPr defaultRowHeight="13.2"/>
  <cols>
    <col min="1" max="1" width="77.77734375" style="237" customWidth="1"/>
    <col min="2" max="2" width="18" style="237" customWidth="1"/>
    <col min="3" max="3" width="18.21875" style="237" customWidth="1"/>
    <col min="4" max="4" width="10" style="237" customWidth="1"/>
    <col min="5" max="16384" width="8.88671875" style="237"/>
  </cols>
  <sheetData>
    <row r="1" spans="1:4" ht="12.3" customHeight="1">
      <c r="A1" s="548" t="s">
        <v>389</v>
      </c>
      <c r="B1" s="548"/>
      <c r="C1" s="548"/>
      <c r="D1" s="548"/>
    </row>
    <row r="2" spans="1:4" ht="12" customHeight="1">
      <c r="A2" s="240"/>
      <c r="B2" s="301">
        <v>2021</v>
      </c>
      <c r="C2" s="301">
        <v>2020</v>
      </c>
    </row>
    <row r="3" spans="1:4" ht="31.05" customHeight="1">
      <c r="A3" s="302" t="s">
        <v>390</v>
      </c>
      <c r="B3" s="303">
        <v>169</v>
      </c>
      <c r="C3" s="304">
        <v>436</v>
      </c>
    </row>
    <row r="4" spans="1:4" ht="25.05" customHeight="1">
      <c r="A4" s="305" t="s">
        <v>391</v>
      </c>
      <c r="B4" s="253"/>
      <c r="C4" s="253"/>
    </row>
    <row r="5" spans="1:4" ht="29.25" customHeight="1">
      <c r="A5" s="306" t="s">
        <v>392</v>
      </c>
      <c r="B5" s="307">
        <v>-41</v>
      </c>
      <c r="C5" s="308">
        <v>9</v>
      </c>
    </row>
    <row r="6" spans="1:4" ht="20.7" customHeight="1">
      <c r="A6" s="309" t="s">
        <v>393</v>
      </c>
      <c r="B6" s="310">
        <v>-41</v>
      </c>
      <c r="C6" s="311">
        <v>9</v>
      </c>
    </row>
    <row r="7" spans="1:4" ht="13.05" customHeight="1">
      <c r="A7" s="309" t="s">
        <v>394</v>
      </c>
      <c r="B7" s="312">
        <v>128</v>
      </c>
      <c r="C7" s="313">
        <v>445</v>
      </c>
    </row>
    <row r="8" spans="1:4" ht="36" customHeight="1">
      <c r="A8" s="265" t="s">
        <v>395</v>
      </c>
      <c r="B8" s="314">
        <v>-16</v>
      </c>
      <c r="C8" s="315">
        <v>9</v>
      </c>
    </row>
    <row r="9" spans="1:4" ht="12" customHeight="1">
      <c r="A9" s="306" t="s">
        <v>396</v>
      </c>
      <c r="B9" s="307">
        <v>-25</v>
      </c>
      <c r="C9" s="316" t="s">
        <v>397</v>
      </c>
    </row>
    <row r="10" spans="1:4" ht="12" customHeight="1">
      <c r="A10" s="309" t="s">
        <v>398</v>
      </c>
      <c r="B10" s="317">
        <v>-41</v>
      </c>
      <c r="C10" s="313">
        <v>9</v>
      </c>
    </row>
    <row r="11" spans="1:4" ht="36" customHeight="1">
      <c r="A11" s="265" t="s">
        <v>399</v>
      </c>
      <c r="B11" s="318">
        <v>294</v>
      </c>
      <c r="C11" s="315">
        <v>445</v>
      </c>
    </row>
    <row r="12" spans="1:4" ht="12" customHeight="1">
      <c r="A12" s="306" t="s">
        <v>396</v>
      </c>
      <c r="B12" s="307">
        <v>-167</v>
      </c>
      <c r="C12" s="316" t="s">
        <v>397</v>
      </c>
    </row>
    <row r="13" spans="1:4" ht="12" customHeight="1">
      <c r="A13" s="309" t="s">
        <v>400</v>
      </c>
      <c r="B13" s="312">
        <v>128</v>
      </c>
      <c r="C13" s="313">
        <v>445</v>
      </c>
    </row>
    <row r="14" spans="1:4" ht="20.25" customHeight="1">
      <c r="A14" s="319" t="s">
        <v>401</v>
      </c>
      <c r="B14" s="242"/>
      <c r="C14" s="242"/>
    </row>
  </sheetData>
  <mergeCells count="1">
    <mergeCell ref="A1:D1"/>
  </mergeCells>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EE6648-55A1-468B-A306-9485FBFBFD78}">
  <dimension ref="A1:J20"/>
  <sheetViews>
    <sheetView workbookViewId="0">
      <selection activeCell="D7" sqref="D7:F7"/>
    </sheetView>
  </sheetViews>
  <sheetFormatPr defaultRowHeight="13.2"/>
  <cols>
    <col min="1" max="1" width="54.88671875" style="237" customWidth="1"/>
    <col min="2" max="2" width="8.44140625" style="237" customWidth="1"/>
    <col min="3" max="3" width="11.77734375" style="237" customWidth="1"/>
    <col min="4" max="4" width="11.109375" style="237" customWidth="1"/>
    <col min="5" max="5" width="3.5546875" style="237" customWidth="1"/>
    <col min="6" max="6" width="4.6640625" style="237" customWidth="1"/>
    <col min="7" max="7" width="9.5546875" style="237" customWidth="1"/>
    <col min="8" max="8" width="13.33203125" style="237" customWidth="1"/>
    <col min="9" max="9" width="6.21875" style="237" customWidth="1"/>
    <col min="10" max="10" width="3.5546875" style="237" customWidth="1"/>
    <col min="11" max="16384" width="8.88671875" style="237"/>
  </cols>
  <sheetData>
    <row r="1" spans="1:10" ht="16.5" customHeight="1">
      <c r="A1" s="529" t="s">
        <v>402</v>
      </c>
      <c r="B1" s="529"/>
      <c r="C1" s="529"/>
      <c r="D1" s="529"/>
      <c r="E1" s="529"/>
      <c r="F1" s="529"/>
      <c r="G1" s="529"/>
      <c r="H1" s="529"/>
      <c r="I1" s="529"/>
    </row>
    <row r="2" spans="1:10" ht="28.5" customHeight="1">
      <c r="A2" s="549" t="s">
        <v>403</v>
      </c>
      <c r="B2" s="549"/>
      <c r="C2" s="549"/>
      <c r="D2" s="320" t="s">
        <v>404</v>
      </c>
      <c r="E2" s="550" t="s">
        <v>405</v>
      </c>
      <c r="F2" s="550"/>
      <c r="G2" s="550"/>
      <c r="H2" s="550"/>
      <c r="I2" s="550"/>
    </row>
    <row r="3" spans="1:10" ht="24.75" customHeight="1">
      <c r="A3" s="551" t="s">
        <v>406</v>
      </c>
      <c r="B3" s="551"/>
      <c r="C3" s="321" t="s">
        <v>407</v>
      </c>
      <c r="D3" s="552" t="s">
        <v>408</v>
      </c>
      <c r="E3" s="552"/>
      <c r="F3" s="322">
        <v>980</v>
      </c>
      <c r="G3" s="323">
        <v>1048</v>
      </c>
      <c r="H3" s="324" t="s">
        <v>409</v>
      </c>
      <c r="I3" s="553">
        <v>1048</v>
      </c>
      <c r="J3" s="553"/>
    </row>
    <row r="4" spans="1:10" ht="13.2" customHeight="1">
      <c r="A4" s="554" t="s">
        <v>410</v>
      </c>
      <c r="B4" s="554"/>
      <c r="C4" s="326" t="s">
        <v>411</v>
      </c>
      <c r="D4" s="555" t="s">
        <v>411</v>
      </c>
      <c r="E4" s="555"/>
      <c r="F4" s="327">
        <v>310</v>
      </c>
      <c r="G4" s="327">
        <v>310</v>
      </c>
      <c r="H4" s="328">
        <v>-142</v>
      </c>
      <c r="I4" s="556">
        <v>169</v>
      </c>
      <c r="J4" s="556"/>
    </row>
    <row r="5" spans="1:10" ht="13.2" customHeight="1">
      <c r="A5" s="557" t="s">
        <v>412</v>
      </c>
      <c r="B5" s="557"/>
      <c r="C5" s="253"/>
      <c r="D5" s="539"/>
      <c r="E5" s="539"/>
      <c r="F5" s="253"/>
      <c r="G5" s="253"/>
      <c r="H5" s="253"/>
      <c r="I5" s="539"/>
      <c r="J5" s="539"/>
    </row>
    <row r="6" spans="1:10" ht="10.050000000000001" customHeight="1">
      <c r="A6" s="554" t="s">
        <v>413</v>
      </c>
      <c r="B6" s="554"/>
      <c r="C6" s="238"/>
      <c r="D6" s="530"/>
      <c r="E6" s="530"/>
      <c r="F6" s="238"/>
      <c r="G6" s="238"/>
      <c r="H6" s="238"/>
      <c r="I6" s="530"/>
      <c r="J6" s="530"/>
    </row>
    <row r="7" spans="1:10" ht="13.2" customHeight="1">
      <c r="A7" s="558" t="s">
        <v>414</v>
      </c>
      <c r="B7" s="558"/>
      <c r="C7" s="332" t="s">
        <v>411</v>
      </c>
      <c r="D7" s="559">
        <v>-16</v>
      </c>
      <c r="E7" s="559"/>
      <c r="F7" s="332" t="s">
        <v>411</v>
      </c>
      <c r="G7" s="334">
        <v>-16</v>
      </c>
      <c r="H7" s="333">
        <v>-25</v>
      </c>
      <c r="I7" s="560">
        <v>-41</v>
      </c>
      <c r="J7" s="560"/>
    </row>
    <row r="8" spans="1:10" ht="19.8" customHeight="1">
      <c r="A8" s="561" t="s">
        <v>415</v>
      </c>
      <c r="B8" s="561"/>
      <c r="C8" s="335" t="s">
        <v>416</v>
      </c>
      <c r="D8" s="562">
        <v>-16</v>
      </c>
      <c r="E8" s="562"/>
      <c r="F8" s="335" t="s">
        <v>416</v>
      </c>
      <c r="G8" s="337">
        <v>-16</v>
      </c>
      <c r="H8" s="336">
        <v>-25</v>
      </c>
      <c r="I8" s="563">
        <v>-41</v>
      </c>
      <c r="J8" s="563"/>
    </row>
    <row r="9" spans="1:10" ht="8.25" customHeight="1">
      <c r="A9" s="564" t="s">
        <v>417</v>
      </c>
      <c r="B9" s="564"/>
      <c r="C9" s="338" t="s">
        <v>416</v>
      </c>
      <c r="D9" s="565">
        <v>-16</v>
      </c>
      <c r="E9" s="565"/>
      <c r="F9" s="340">
        <v>310</v>
      </c>
      <c r="G9" s="340">
        <v>294</v>
      </c>
      <c r="H9" s="339">
        <v>-167</v>
      </c>
      <c r="I9" s="566">
        <v>128</v>
      </c>
      <c r="J9" s="566"/>
    </row>
    <row r="10" spans="1:10" ht="16.95" customHeight="1">
      <c r="A10" s="342" t="s">
        <v>418</v>
      </c>
      <c r="B10" s="253"/>
      <c r="C10" s="253"/>
      <c r="D10" s="539"/>
      <c r="E10" s="539"/>
      <c r="F10" s="253"/>
      <c r="G10" s="253"/>
      <c r="H10" s="253"/>
      <c r="I10" s="539"/>
      <c r="J10" s="539"/>
    </row>
    <row r="11" spans="1:10" ht="14.25" customHeight="1">
      <c r="A11" s="343" t="s">
        <v>419</v>
      </c>
      <c r="B11" s="344" t="s">
        <v>411</v>
      </c>
      <c r="C11" s="345">
        <v>-141</v>
      </c>
      <c r="D11" s="567">
        <v>-16</v>
      </c>
      <c r="E11" s="567"/>
      <c r="F11" s="326" t="s">
        <v>411</v>
      </c>
      <c r="G11" s="346">
        <v>-157</v>
      </c>
      <c r="H11" s="347">
        <v>157</v>
      </c>
      <c r="I11" s="568" t="s">
        <v>411</v>
      </c>
      <c r="J11" s="568"/>
    </row>
    <row r="12" spans="1:10" ht="10.5" customHeight="1">
      <c r="A12" s="331" t="s">
        <v>420</v>
      </c>
      <c r="B12" s="238"/>
      <c r="C12" s="238"/>
      <c r="D12" s="530"/>
      <c r="E12" s="530"/>
      <c r="F12" s="238"/>
      <c r="G12" s="238"/>
      <c r="H12" s="238"/>
      <c r="I12" s="530"/>
      <c r="J12" s="530"/>
    </row>
    <row r="13" spans="1:10" ht="9.75" customHeight="1">
      <c r="A13" s="331" t="s">
        <v>421</v>
      </c>
      <c r="B13" s="344" t="s">
        <v>411</v>
      </c>
      <c r="C13" s="345">
        <v>-21</v>
      </c>
      <c r="D13" s="569">
        <v>-2</v>
      </c>
      <c r="E13" s="569"/>
      <c r="F13" s="326" t="s">
        <v>411</v>
      </c>
      <c r="G13" s="346">
        <v>-23</v>
      </c>
      <c r="H13" s="348">
        <v>23</v>
      </c>
      <c r="I13" s="568" t="s">
        <v>411</v>
      </c>
      <c r="J13" s="568"/>
    </row>
    <row r="14" spans="1:10" ht="9.75" customHeight="1">
      <c r="A14" s="344" t="s">
        <v>422</v>
      </c>
      <c r="B14" s="238"/>
      <c r="C14" s="238"/>
      <c r="D14" s="530"/>
      <c r="E14" s="530"/>
      <c r="F14" s="238"/>
      <c r="G14" s="238"/>
      <c r="H14" s="238"/>
      <c r="I14" s="530"/>
      <c r="J14" s="530"/>
    </row>
    <row r="15" spans="1:10" ht="10.199999999999999" customHeight="1">
      <c r="A15" s="331" t="s">
        <v>423</v>
      </c>
      <c r="B15" s="344" t="s">
        <v>411</v>
      </c>
      <c r="C15" s="345">
        <v>-16</v>
      </c>
      <c r="D15" s="569">
        <v>0</v>
      </c>
      <c r="E15" s="569"/>
      <c r="F15" s="327">
        <v>0</v>
      </c>
      <c r="G15" s="346">
        <v>-16</v>
      </c>
      <c r="H15" s="348">
        <v>17</v>
      </c>
      <c r="I15" s="570">
        <v>1</v>
      </c>
      <c r="J15" s="570"/>
    </row>
    <row r="16" spans="1:10" ht="13.2" customHeight="1">
      <c r="A16" s="331" t="s">
        <v>424</v>
      </c>
      <c r="B16" s="344" t="s">
        <v>411</v>
      </c>
      <c r="C16" s="253"/>
      <c r="D16" s="555" t="s">
        <v>411</v>
      </c>
      <c r="E16" s="555"/>
      <c r="F16" s="346">
        <v>-85</v>
      </c>
      <c r="G16" s="346">
        <v>-85</v>
      </c>
      <c r="H16" s="326" t="s">
        <v>411</v>
      </c>
      <c r="I16" s="573">
        <v>-85</v>
      </c>
      <c r="J16" s="573"/>
    </row>
    <row r="17" spans="1:10" ht="19.95" customHeight="1">
      <c r="A17" s="331" t="s">
        <v>425</v>
      </c>
      <c r="B17" s="349" t="s">
        <v>411</v>
      </c>
      <c r="C17" s="350" t="s">
        <v>411</v>
      </c>
      <c r="D17" s="574" t="s">
        <v>411</v>
      </c>
      <c r="E17" s="574"/>
      <c r="F17" s="350" t="s">
        <v>411</v>
      </c>
      <c r="G17" s="349" t="s">
        <v>411</v>
      </c>
      <c r="H17" s="351">
        <v>434</v>
      </c>
      <c r="I17" s="575">
        <v>434</v>
      </c>
      <c r="J17" s="575"/>
    </row>
    <row r="18" spans="1:10" ht="16.8" customHeight="1">
      <c r="A18" s="352" t="s">
        <v>426</v>
      </c>
      <c r="B18" s="353" t="s">
        <v>411</v>
      </c>
      <c r="C18" s="332" t="s">
        <v>411</v>
      </c>
      <c r="D18" s="576" t="s">
        <v>411</v>
      </c>
      <c r="E18" s="576"/>
      <c r="F18" s="332" t="s">
        <v>411</v>
      </c>
      <c r="G18" s="353" t="s">
        <v>411</v>
      </c>
      <c r="H18" s="354">
        <v>-5</v>
      </c>
      <c r="I18" s="577">
        <v>-5</v>
      </c>
      <c r="J18" s="577"/>
    </row>
    <row r="19" spans="1:10" ht="8.25" customHeight="1">
      <c r="A19" s="355" t="s">
        <v>427</v>
      </c>
      <c r="B19" s="356">
        <v>99</v>
      </c>
      <c r="C19" s="357">
        <v>-179</v>
      </c>
      <c r="D19" s="571" t="s">
        <v>428</v>
      </c>
      <c r="E19" s="571"/>
      <c r="F19" s="358">
        <v>1206</v>
      </c>
      <c r="G19" s="359">
        <v>1061</v>
      </c>
      <c r="H19" s="360" t="s">
        <v>429</v>
      </c>
      <c r="I19" s="572">
        <v>1521</v>
      </c>
      <c r="J19" s="572"/>
    </row>
    <row r="20" spans="1:10" ht="24.75" customHeight="1">
      <c r="A20" s="361" t="s">
        <v>430</v>
      </c>
      <c r="B20" s="242"/>
      <c r="C20" s="242"/>
      <c r="D20" s="532"/>
      <c r="E20" s="532"/>
      <c r="F20" s="242"/>
      <c r="G20" s="242"/>
      <c r="H20" s="242"/>
      <c r="I20" s="532"/>
      <c r="J20" s="532"/>
    </row>
  </sheetData>
  <mergeCells count="46">
    <mergeCell ref="D19:E19"/>
    <mergeCell ref="I19:J19"/>
    <mergeCell ref="D20:E20"/>
    <mergeCell ref="I20:J20"/>
    <mergeCell ref="D16:E16"/>
    <mergeCell ref="I16:J16"/>
    <mergeCell ref="D17:E17"/>
    <mergeCell ref="I17:J17"/>
    <mergeCell ref="D18:E18"/>
    <mergeCell ref="I18:J18"/>
    <mergeCell ref="D13:E13"/>
    <mergeCell ref="I13:J13"/>
    <mergeCell ref="D14:E14"/>
    <mergeCell ref="I14:J14"/>
    <mergeCell ref="D15:E15"/>
    <mergeCell ref="I15:J15"/>
    <mergeCell ref="D10:E10"/>
    <mergeCell ref="I10:J10"/>
    <mergeCell ref="D11:E11"/>
    <mergeCell ref="I11:J11"/>
    <mergeCell ref="D12:E12"/>
    <mergeCell ref="I12:J12"/>
    <mergeCell ref="A8:B8"/>
    <mergeCell ref="D8:E8"/>
    <mergeCell ref="I8:J8"/>
    <mergeCell ref="A9:B9"/>
    <mergeCell ref="D9:E9"/>
    <mergeCell ref="I9:J9"/>
    <mergeCell ref="A6:B6"/>
    <mergeCell ref="D6:E6"/>
    <mergeCell ref="I6:J6"/>
    <mergeCell ref="A7:B7"/>
    <mergeCell ref="D7:E7"/>
    <mergeCell ref="I7:J7"/>
    <mergeCell ref="A4:B4"/>
    <mergeCell ref="D4:E4"/>
    <mergeCell ref="I4:J4"/>
    <mergeCell ref="A5:B5"/>
    <mergeCell ref="D5:E5"/>
    <mergeCell ref="I5:J5"/>
    <mergeCell ref="A1:I1"/>
    <mergeCell ref="A2:C2"/>
    <mergeCell ref="E2:I2"/>
    <mergeCell ref="A3:B3"/>
    <mergeCell ref="D3:E3"/>
    <mergeCell ref="I3:J3"/>
  </mergeCell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CCB5C2-BFB5-48EF-B8ED-CF9F3CA064ED}">
  <dimension ref="A1:K13"/>
  <sheetViews>
    <sheetView workbookViewId="0">
      <selection activeCell="D7" sqref="D7:F7"/>
    </sheetView>
  </sheetViews>
  <sheetFormatPr defaultRowHeight="13.2"/>
  <cols>
    <col min="1" max="1" width="54.88671875" style="237" customWidth="1"/>
    <col min="2" max="2" width="8.44140625" style="237" customWidth="1"/>
    <col min="3" max="3" width="11.77734375" style="237" customWidth="1"/>
    <col min="4" max="4" width="11.109375" style="237" customWidth="1"/>
    <col min="5" max="6" width="3.5546875" style="237" customWidth="1"/>
    <col min="7" max="7" width="3.33203125" style="237" customWidth="1"/>
    <col min="8" max="8" width="6.88671875" style="237" customWidth="1"/>
    <col min="9" max="9" width="8.21875" style="237" customWidth="1"/>
    <col min="10" max="10" width="11.33203125" style="237" customWidth="1"/>
    <col min="11" max="11" width="3.5546875" style="237" customWidth="1"/>
    <col min="12" max="16384" width="8.88671875" style="237"/>
  </cols>
  <sheetData>
    <row r="1" spans="1:11" ht="8.25" customHeight="1">
      <c r="A1" s="568" t="s">
        <v>431</v>
      </c>
      <c r="B1" s="568"/>
      <c r="C1" s="568"/>
      <c r="D1" s="568"/>
      <c r="E1" s="568"/>
      <c r="F1" s="568"/>
      <c r="G1" s="568"/>
      <c r="H1" s="568"/>
      <c r="I1" s="568"/>
      <c r="J1" s="568"/>
    </row>
    <row r="2" spans="1:11" ht="8.25" customHeight="1">
      <c r="A2" s="578" t="s">
        <v>432</v>
      </c>
      <c r="B2" s="578"/>
      <c r="C2" s="578"/>
      <c r="D2" s="578"/>
      <c r="E2" s="578"/>
      <c r="F2" s="578"/>
      <c r="G2" s="578"/>
      <c r="H2" s="578"/>
      <c r="I2" s="578"/>
      <c r="J2" s="578"/>
    </row>
    <row r="3" spans="1:11" ht="28.5" customHeight="1">
      <c r="A3" s="549" t="s">
        <v>403</v>
      </c>
      <c r="B3" s="549"/>
      <c r="C3" s="549"/>
      <c r="D3" s="320" t="s">
        <v>404</v>
      </c>
      <c r="E3" s="550" t="s">
        <v>405</v>
      </c>
      <c r="F3" s="550"/>
      <c r="G3" s="550"/>
      <c r="H3" s="550"/>
      <c r="I3" s="550"/>
      <c r="J3" s="550"/>
    </row>
    <row r="4" spans="1:11" ht="24.75" customHeight="1">
      <c r="A4" s="243" t="s">
        <v>433</v>
      </c>
      <c r="B4" s="362">
        <v>99</v>
      </c>
      <c r="C4" s="321" t="s">
        <v>407</v>
      </c>
      <c r="D4" s="552" t="s">
        <v>434</v>
      </c>
      <c r="E4" s="552"/>
      <c r="F4" s="363">
        <v>628</v>
      </c>
      <c r="G4" s="579">
        <v>687</v>
      </c>
      <c r="H4" s="579"/>
      <c r="I4" s="580" t="s">
        <v>435</v>
      </c>
      <c r="J4" s="580"/>
      <c r="K4" s="580"/>
    </row>
    <row r="5" spans="1:11" ht="13.2" customHeight="1">
      <c r="A5" s="325" t="s">
        <v>436</v>
      </c>
      <c r="B5" s="344" t="s">
        <v>411</v>
      </c>
      <c r="C5" s="326" t="s">
        <v>411</v>
      </c>
      <c r="D5" s="555" t="s">
        <v>411</v>
      </c>
      <c r="E5" s="555"/>
      <c r="F5" s="329">
        <v>436</v>
      </c>
      <c r="G5" s="581">
        <v>436</v>
      </c>
      <c r="H5" s="581"/>
      <c r="I5" s="582">
        <v>-436</v>
      </c>
      <c r="J5" s="582"/>
      <c r="K5" s="582"/>
    </row>
    <row r="6" spans="1:11" ht="13.95" customHeight="1">
      <c r="A6" s="330" t="s">
        <v>412</v>
      </c>
      <c r="B6" s="253"/>
      <c r="C6" s="253"/>
      <c r="D6" s="539"/>
      <c r="E6" s="539"/>
      <c r="F6" s="253"/>
      <c r="G6" s="539"/>
      <c r="H6" s="539"/>
      <c r="I6" s="539"/>
      <c r="J6" s="539"/>
      <c r="K6" s="539"/>
    </row>
    <row r="7" spans="1:11" ht="10.5" customHeight="1">
      <c r="A7" s="325" t="s">
        <v>413</v>
      </c>
      <c r="B7" s="238"/>
      <c r="C7" s="238"/>
      <c r="D7" s="530"/>
      <c r="E7" s="530"/>
      <c r="F7" s="238"/>
      <c r="G7" s="530"/>
      <c r="H7" s="530"/>
      <c r="I7" s="530"/>
      <c r="J7" s="530"/>
      <c r="K7" s="530"/>
    </row>
    <row r="8" spans="1:11" ht="15" customHeight="1">
      <c r="A8" s="558" t="s">
        <v>437</v>
      </c>
      <c r="B8" s="558"/>
      <c r="C8" s="558"/>
      <c r="D8" s="583">
        <v>9</v>
      </c>
      <c r="E8" s="583"/>
      <c r="F8" s="364" t="s">
        <v>438</v>
      </c>
      <c r="G8" s="584">
        <v>9</v>
      </c>
      <c r="H8" s="584"/>
      <c r="I8" s="352" t="s">
        <v>411</v>
      </c>
      <c r="J8" s="585">
        <v>9</v>
      </c>
      <c r="K8" s="585"/>
    </row>
    <row r="9" spans="1:11" ht="13.2" customHeight="1">
      <c r="A9" s="564" t="s">
        <v>439</v>
      </c>
      <c r="B9" s="564"/>
      <c r="C9" s="564"/>
      <c r="D9" s="586">
        <v>9</v>
      </c>
      <c r="E9" s="586"/>
      <c r="F9" s="365" t="s">
        <v>416</v>
      </c>
      <c r="G9" s="587">
        <v>9</v>
      </c>
      <c r="H9" s="587"/>
      <c r="I9" s="360" t="s">
        <v>416</v>
      </c>
      <c r="J9" s="588">
        <v>9</v>
      </c>
      <c r="K9" s="588"/>
    </row>
    <row r="10" spans="1:11" ht="8.25" customHeight="1">
      <c r="A10" s="564" t="s">
        <v>440</v>
      </c>
      <c r="B10" s="564"/>
      <c r="C10" s="564"/>
      <c r="D10" s="586">
        <v>9</v>
      </c>
      <c r="E10" s="586"/>
      <c r="F10" s="341">
        <v>436</v>
      </c>
      <c r="G10" s="587">
        <v>445</v>
      </c>
      <c r="H10" s="587"/>
      <c r="I10" s="360" t="s">
        <v>416</v>
      </c>
      <c r="J10" s="588">
        <v>445</v>
      </c>
      <c r="K10" s="588"/>
    </row>
    <row r="11" spans="1:11" ht="28.2" customHeight="1">
      <c r="A11" s="366" t="s">
        <v>441</v>
      </c>
      <c r="B11" s="367" t="s">
        <v>411</v>
      </c>
      <c r="C11" s="368"/>
      <c r="D11" s="589" t="s">
        <v>411</v>
      </c>
      <c r="E11" s="589"/>
      <c r="F11" s="590">
        <v>-85</v>
      </c>
      <c r="G11" s="590"/>
      <c r="H11" s="591" t="s">
        <v>442</v>
      </c>
      <c r="I11" s="591"/>
      <c r="J11" s="592">
        <v>-85</v>
      </c>
      <c r="K11" s="592"/>
    </row>
    <row r="12" spans="1:11" ht="8.25" customHeight="1">
      <c r="A12" s="355" t="s">
        <v>443</v>
      </c>
      <c r="B12" s="369">
        <v>99</v>
      </c>
      <c r="C12" s="370" t="s">
        <v>407</v>
      </c>
      <c r="D12" s="571" t="s">
        <v>408</v>
      </c>
      <c r="E12" s="571"/>
      <c r="F12" s="593">
        <v>980</v>
      </c>
      <c r="G12" s="593"/>
      <c r="H12" s="594" t="s">
        <v>444</v>
      </c>
      <c r="I12" s="594"/>
      <c r="J12" s="595">
        <v>1048</v>
      </c>
      <c r="K12" s="595"/>
    </row>
    <row r="13" spans="1:11" ht="16.5" customHeight="1">
      <c r="A13" s="371" t="s">
        <v>430</v>
      </c>
      <c r="B13" s="242"/>
      <c r="C13" s="242"/>
      <c r="D13" s="532"/>
      <c r="E13" s="532"/>
      <c r="F13" s="532"/>
      <c r="G13" s="532"/>
      <c r="H13" s="532"/>
      <c r="I13" s="532"/>
      <c r="J13" s="532"/>
      <c r="K13" s="532"/>
    </row>
  </sheetData>
  <mergeCells count="40">
    <mergeCell ref="D13:E13"/>
    <mergeCell ref="F13:G13"/>
    <mergeCell ref="H13:I13"/>
    <mergeCell ref="J13:K13"/>
    <mergeCell ref="D11:E11"/>
    <mergeCell ref="F11:G11"/>
    <mergeCell ref="H11:I11"/>
    <mergeCell ref="J11:K11"/>
    <mergeCell ref="D12:E12"/>
    <mergeCell ref="F12:G12"/>
    <mergeCell ref="H12:I12"/>
    <mergeCell ref="J12:K12"/>
    <mergeCell ref="A9:C9"/>
    <mergeCell ref="D9:E9"/>
    <mergeCell ref="G9:H9"/>
    <mergeCell ref="J9:K9"/>
    <mergeCell ref="A10:C10"/>
    <mergeCell ref="D10:E10"/>
    <mergeCell ref="G10:H10"/>
    <mergeCell ref="J10:K10"/>
    <mergeCell ref="D7:E7"/>
    <mergeCell ref="G7:H7"/>
    <mergeCell ref="I7:K7"/>
    <mergeCell ref="A8:C8"/>
    <mergeCell ref="D8:E8"/>
    <mergeCell ref="G8:H8"/>
    <mergeCell ref="J8:K8"/>
    <mergeCell ref="D5:E5"/>
    <mergeCell ref="G5:H5"/>
    <mergeCell ref="I5:K5"/>
    <mergeCell ref="D6:E6"/>
    <mergeCell ref="G6:H6"/>
    <mergeCell ref="I6:K6"/>
    <mergeCell ref="A1:J1"/>
    <mergeCell ref="A2:J2"/>
    <mergeCell ref="A3:C3"/>
    <mergeCell ref="E3:J3"/>
    <mergeCell ref="D4:E4"/>
    <mergeCell ref="G4:H4"/>
    <mergeCell ref="I4:K4"/>
  </mergeCells>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CB322B-C462-43E8-BEAA-152C1FC5B19B}">
  <dimension ref="A1:G51"/>
  <sheetViews>
    <sheetView workbookViewId="0">
      <selection activeCell="D7" sqref="D7:F7"/>
    </sheetView>
  </sheetViews>
  <sheetFormatPr defaultRowHeight="13.2"/>
  <cols>
    <col min="1" max="1" width="77.77734375" style="237" customWidth="1"/>
    <col min="2" max="2" width="12.44140625" style="237" customWidth="1"/>
    <col min="3" max="3" width="11.5546875" style="237" customWidth="1"/>
    <col min="4" max="4" width="12.21875" style="237" customWidth="1"/>
    <col min="5" max="5" width="1.109375" style="237" customWidth="1"/>
    <col min="6" max="6" width="8.6640625" style="237" customWidth="1"/>
    <col min="7" max="7" width="3.5546875" style="237" customWidth="1"/>
    <col min="8" max="16384" width="8.88671875" style="237"/>
  </cols>
  <sheetData>
    <row r="1" spans="1:6" ht="42.75" customHeight="1">
      <c r="A1" s="529" t="s">
        <v>445</v>
      </c>
      <c r="B1" s="529"/>
      <c r="C1" s="529"/>
      <c r="D1" s="529"/>
      <c r="E1" s="529"/>
      <c r="F1" s="529"/>
    </row>
    <row r="2" spans="1:6" ht="11.25" customHeight="1">
      <c r="A2" s="596" t="s">
        <v>357</v>
      </c>
      <c r="B2" s="596"/>
      <c r="C2" s="596"/>
      <c r="D2" s="596"/>
      <c r="E2" s="596"/>
      <c r="F2" s="596"/>
    </row>
    <row r="3" spans="1:6" ht="11.25" customHeight="1">
      <c r="A3" s="240"/>
      <c r="B3" s="597">
        <v>2021</v>
      </c>
      <c r="C3" s="597"/>
      <c r="D3" s="598">
        <v>2020</v>
      </c>
      <c r="E3" s="598"/>
    </row>
    <row r="4" spans="1:6" ht="15" customHeight="1">
      <c r="A4" s="372" t="s">
        <v>446</v>
      </c>
      <c r="B4" s="545"/>
      <c r="C4" s="545"/>
      <c r="D4" s="545"/>
      <c r="E4" s="545"/>
    </row>
    <row r="5" spans="1:6" ht="11.25" customHeight="1">
      <c r="A5" s="373" t="s">
        <v>384</v>
      </c>
      <c r="B5" s="603">
        <v>169</v>
      </c>
      <c r="C5" s="603"/>
      <c r="D5" s="604">
        <v>436</v>
      </c>
      <c r="E5" s="604"/>
    </row>
    <row r="6" spans="1:6" ht="11.25" customHeight="1">
      <c r="A6" s="373" t="s">
        <v>447</v>
      </c>
      <c r="B6" s="530"/>
      <c r="C6" s="530"/>
      <c r="D6" s="530"/>
      <c r="E6" s="530"/>
    </row>
    <row r="7" spans="1:6" ht="11.25" customHeight="1">
      <c r="A7" s="374" t="s">
        <v>448</v>
      </c>
      <c r="B7" s="599">
        <v>121</v>
      </c>
      <c r="C7" s="599"/>
      <c r="D7" s="600">
        <v>105</v>
      </c>
      <c r="E7" s="600"/>
    </row>
    <row r="8" spans="1:6" ht="11.25" customHeight="1">
      <c r="A8" s="374" t="s">
        <v>449</v>
      </c>
      <c r="B8" s="599">
        <v>518</v>
      </c>
      <c r="C8" s="599"/>
      <c r="D8" s="600">
        <v>403</v>
      </c>
      <c r="E8" s="600"/>
    </row>
    <row r="9" spans="1:6" ht="11.25" customHeight="1">
      <c r="A9" s="374" t="s">
        <v>450</v>
      </c>
      <c r="B9" s="599">
        <v>132</v>
      </c>
      <c r="C9" s="599"/>
      <c r="D9" s="600">
        <v>65</v>
      </c>
      <c r="E9" s="600"/>
    </row>
    <row r="10" spans="1:6" ht="11.25" customHeight="1">
      <c r="A10" s="374" t="s">
        <v>451</v>
      </c>
      <c r="B10" s="601">
        <v>-7</v>
      </c>
      <c r="C10" s="601"/>
      <c r="D10" s="602">
        <v>-4</v>
      </c>
      <c r="E10" s="602"/>
    </row>
    <row r="11" spans="1:6" ht="11.25" customHeight="1">
      <c r="A11" s="374" t="s">
        <v>452</v>
      </c>
      <c r="B11" s="601">
        <v>-2</v>
      </c>
      <c r="C11" s="601"/>
      <c r="D11" s="602">
        <v>-2</v>
      </c>
      <c r="E11" s="602"/>
    </row>
    <row r="12" spans="1:6" ht="11.25" customHeight="1">
      <c r="A12" s="374" t="s">
        <v>453</v>
      </c>
      <c r="B12" s="599">
        <v>12</v>
      </c>
      <c r="C12" s="599"/>
      <c r="D12" s="600">
        <v>12</v>
      </c>
      <c r="E12" s="600"/>
    </row>
    <row r="13" spans="1:6" ht="11.25" customHeight="1">
      <c r="A13" s="374" t="s">
        <v>378</v>
      </c>
      <c r="B13" s="599">
        <v>295</v>
      </c>
      <c r="C13" s="599"/>
      <c r="D13" s="605" t="s">
        <v>336</v>
      </c>
      <c r="E13" s="605"/>
    </row>
    <row r="14" spans="1:6" ht="11.25" customHeight="1">
      <c r="A14" s="374" t="s">
        <v>454</v>
      </c>
      <c r="B14" s="599">
        <v>68</v>
      </c>
      <c r="C14" s="599"/>
      <c r="D14" s="600">
        <v>46</v>
      </c>
      <c r="E14" s="600"/>
    </row>
    <row r="15" spans="1:6" ht="11.25" customHeight="1">
      <c r="A15" s="374" t="s">
        <v>383</v>
      </c>
      <c r="B15" s="599">
        <v>206</v>
      </c>
      <c r="C15" s="599"/>
      <c r="D15" s="600">
        <v>167</v>
      </c>
      <c r="E15" s="600"/>
    </row>
    <row r="16" spans="1:6" ht="11.25" customHeight="1">
      <c r="A16" s="374" t="s">
        <v>373</v>
      </c>
      <c r="B16" s="599">
        <v>1</v>
      </c>
      <c r="C16" s="599"/>
      <c r="D16" s="600">
        <v>2</v>
      </c>
      <c r="E16" s="600"/>
    </row>
    <row r="17" spans="1:7" ht="11.25" customHeight="1">
      <c r="A17" s="373" t="s">
        <v>455</v>
      </c>
      <c r="B17" s="530"/>
      <c r="C17" s="530"/>
      <c r="D17" s="530"/>
      <c r="E17" s="530"/>
    </row>
    <row r="18" spans="1:7" ht="11.25" customHeight="1">
      <c r="A18" s="612" t="s">
        <v>456</v>
      </c>
      <c r="B18" s="612"/>
      <c r="C18" s="599">
        <v>45</v>
      </c>
      <c r="D18" s="599"/>
      <c r="E18" s="600">
        <v>117</v>
      </c>
      <c r="F18" s="600"/>
      <c r="G18" s="600"/>
    </row>
    <row r="19" spans="1:7" ht="11.25" customHeight="1">
      <c r="A19" s="612" t="s">
        <v>457</v>
      </c>
      <c r="B19" s="612"/>
      <c r="C19" s="613">
        <v>-257</v>
      </c>
      <c r="D19" s="613"/>
      <c r="E19" s="614">
        <v>-162</v>
      </c>
      <c r="F19" s="614"/>
      <c r="G19" s="614"/>
    </row>
    <row r="20" spans="1:7" ht="11.25" customHeight="1">
      <c r="A20" s="606" t="s">
        <v>458</v>
      </c>
      <c r="B20" s="606"/>
      <c r="C20" s="607">
        <v>1300</v>
      </c>
      <c r="D20" s="607"/>
      <c r="E20" s="608">
        <v>1186</v>
      </c>
      <c r="F20" s="608"/>
      <c r="G20" s="608"/>
    </row>
    <row r="21" spans="1:7" ht="33.75" customHeight="1">
      <c r="A21" s="609" t="s">
        <v>459</v>
      </c>
      <c r="B21" s="609"/>
      <c r="C21" s="610">
        <v>-9</v>
      </c>
      <c r="D21" s="610"/>
      <c r="E21" s="611">
        <v>-8</v>
      </c>
      <c r="F21" s="611"/>
      <c r="G21" s="611"/>
    </row>
    <row r="22" spans="1:7" ht="11.25" customHeight="1">
      <c r="A22" s="612" t="s">
        <v>460</v>
      </c>
      <c r="B22" s="612"/>
      <c r="C22" s="601">
        <v>-40</v>
      </c>
      <c r="D22" s="601"/>
      <c r="E22" s="602">
        <v>-32</v>
      </c>
      <c r="F22" s="602"/>
      <c r="G22" s="602"/>
    </row>
    <row r="23" spans="1:7" ht="11.25" customHeight="1">
      <c r="A23" s="612" t="s">
        <v>461</v>
      </c>
      <c r="B23" s="612"/>
      <c r="C23" s="615" t="s">
        <v>336</v>
      </c>
      <c r="D23" s="615"/>
      <c r="E23" s="602">
        <v>-65</v>
      </c>
      <c r="F23" s="602"/>
      <c r="G23" s="602"/>
    </row>
    <row r="24" spans="1:7" ht="11.25" customHeight="1">
      <c r="A24" s="612" t="s">
        <v>462</v>
      </c>
      <c r="B24" s="612"/>
      <c r="C24" s="599">
        <v>30</v>
      </c>
      <c r="D24" s="599"/>
      <c r="E24" s="602">
        <v>-31</v>
      </c>
      <c r="F24" s="602"/>
      <c r="G24" s="602"/>
    </row>
    <row r="25" spans="1:7" ht="11.25" customHeight="1">
      <c r="A25" s="540" t="s">
        <v>463</v>
      </c>
      <c r="B25" s="540"/>
      <c r="C25" s="599">
        <v>176</v>
      </c>
      <c r="D25" s="599"/>
      <c r="E25" s="600">
        <v>48</v>
      </c>
      <c r="F25" s="600"/>
      <c r="G25" s="600"/>
    </row>
    <row r="26" spans="1:7" ht="11.55" customHeight="1">
      <c r="A26" s="612" t="s">
        <v>464</v>
      </c>
      <c r="B26" s="612"/>
      <c r="C26" s="601">
        <v>-6</v>
      </c>
      <c r="D26" s="601"/>
      <c r="E26" s="602">
        <v>-6</v>
      </c>
      <c r="F26" s="602"/>
      <c r="G26" s="602"/>
    </row>
    <row r="27" spans="1:7" ht="11.25" customHeight="1">
      <c r="A27" s="612" t="s">
        <v>465</v>
      </c>
      <c r="B27" s="612"/>
      <c r="C27" s="599">
        <v>3</v>
      </c>
      <c r="D27" s="599"/>
      <c r="E27" s="605" t="s">
        <v>336</v>
      </c>
      <c r="F27" s="605"/>
      <c r="G27" s="605"/>
    </row>
    <row r="28" spans="1:7" ht="11.25" customHeight="1">
      <c r="A28" s="612" t="s">
        <v>466</v>
      </c>
      <c r="B28" s="612"/>
      <c r="C28" s="601">
        <v>-6</v>
      </c>
      <c r="D28" s="601"/>
      <c r="E28" s="602">
        <v>-2</v>
      </c>
      <c r="F28" s="602"/>
      <c r="G28" s="602"/>
    </row>
    <row r="29" spans="1:7" ht="11.25" customHeight="1">
      <c r="A29" s="612" t="s">
        <v>467</v>
      </c>
      <c r="B29" s="612"/>
      <c r="C29" s="601">
        <v>-83</v>
      </c>
      <c r="D29" s="601"/>
      <c r="E29" s="602">
        <v>-66</v>
      </c>
      <c r="F29" s="602"/>
      <c r="G29" s="602"/>
    </row>
    <row r="30" spans="1:7" ht="11.25" customHeight="1">
      <c r="A30" s="612" t="s">
        <v>468</v>
      </c>
      <c r="B30" s="612"/>
      <c r="C30" s="601">
        <v>-22</v>
      </c>
      <c r="D30" s="601"/>
      <c r="E30" s="605" t="s">
        <v>336</v>
      </c>
      <c r="F30" s="605"/>
      <c r="G30" s="605"/>
    </row>
    <row r="31" spans="1:7" ht="11.25" customHeight="1">
      <c r="A31" s="612" t="s">
        <v>469</v>
      </c>
      <c r="B31" s="612"/>
      <c r="C31" s="613">
        <v>-85</v>
      </c>
      <c r="D31" s="613"/>
      <c r="E31" s="614">
        <v>-85</v>
      </c>
      <c r="F31" s="614"/>
      <c r="G31" s="614"/>
    </row>
    <row r="32" spans="1:7" ht="12.45" customHeight="1">
      <c r="A32" s="606" t="s">
        <v>470</v>
      </c>
      <c r="B32" s="606"/>
      <c r="C32" s="616">
        <v>-41</v>
      </c>
      <c r="D32" s="616"/>
      <c r="E32" s="617">
        <v>-247</v>
      </c>
      <c r="F32" s="617"/>
      <c r="G32" s="617"/>
    </row>
    <row r="33" spans="1:7" ht="12.45" customHeight="1">
      <c r="A33" s="538" t="s">
        <v>471</v>
      </c>
      <c r="B33" s="538"/>
      <c r="C33" s="530"/>
      <c r="D33" s="530"/>
      <c r="E33" s="530"/>
      <c r="F33" s="530"/>
      <c r="G33" s="530"/>
    </row>
    <row r="34" spans="1:7" ht="11.25" customHeight="1">
      <c r="A34" s="612" t="s">
        <v>472</v>
      </c>
      <c r="B34" s="612"/>
      <c r="C34" s="618">
        <v>-1224</v>
      </c>
      <c r="D34" s="618"/>
      <c r="E34" s="602">
        <v>-477</v>
      </c>
      <c r="F34" s="602"/>
      <c r="G34" s="602"/>
    </row>
    <row r="35" spans="1:7" ht="11.25" customHeight="1">
      <c r="A35" s="612" t="s">
        <v>473</v>
      </c>
      <c r="B35" s="612"/>
      <c r="C35" s="599">
        <v>153</v>
      </c>
      <c r="D35" s="599"/>
      <c r="E35" s="600">
        <v>97</v>
      </c>
      <c r="F35" s="600"/>
      <c r="G35" s="600"/>
    </row>
    <row r="36" spans="1:7" ht="11.25" customHeight="1">
      <c r="A36" s="612" t="s">
        <v>474</v>
      </c>
      <c r="B36" s="612"/>
      <c r="C36" s="601">
        <v>-145</v>
      </c>
      <c r="D36" s="601"/>
      <c r="E36" s="602">
        <v>-105</v>
      </c>
      <c r="F36" s="602"/>
      <c r="G36" s="602"/>
    </row>
    <row r="37" spans="1:7" ht="11.25" customHeight="1">
      <c r="A37" s="612" t="s">
        <v>475</v>
      </c>
      <c r="B37" s="612"/>
      <c r="C37" s="599">
        <v>33</v>
      </c>
      <c r="D37" s="599"/>
      <c r="E37" s="605" t="s">
        <v>336</v>
      </c>
      <c r="F37" s="605"/>
      <c r="G37" s="605"/>
    </row>
    <row r="38" spans="1:7" ht="11.25" customHeight="1">
      <c r="A38" s="612" t="s">
        <v>476</v>
      </c>
      <c r="B38" s="612"/>
      <c r="C38" s="601">
        <v>-44</v>
      </c>
      <c r="D38" s="601"/>
      <c r="E38" s="602">
        <v>-4</v>
      </c>
      <c r="F38" s="602"/>
      <c r="G38" s="602"/>
    </row>
    <row r="39" spans="1:7" ht="11.25" customHeight="1">
      <c r="A39" s="612" t="s">
        <v>477</v>
      </c>
      <c r="B39" s="612"/>
      <c r="C39" s="599">
        <v>13</v>
      </c>
      <c r="D39" s="599"/>
      <c r="E39" s="605" t="s">
        <v>336</v>
      </c>
      <c r="F39" s="605"/>
      <c r="G39" s="605"/>
    </row>
    <row r="40" spans="1:7" ht="11.25" customHeight="1">
      <c r="A40" s="612" t="s">
        <v>478</v>
      </c>
      <c r="B40" s="612"/>
      <c r="C40" s="599">
        <v>5</v>
      </c>
      <c r="D40" s="599"/>
      <c r="E40" s="600">
        <v>2</v>
      </c>
      <c r="F40" s="600"/>
      <c r="G40" s="600"/>
    </row>
    <row r="41" spans="1:7" ht="11.25" customHeight="1">
      <c r="A41" s="612" t="s">
        <v>479</v>
      </c>
      <c r="B41" s="612"/>
      <c r="C41" s="613">
        <v>-29</v>
      </c>
      <c r="D41" s="613"/>
      <c r="E41" s="614">
        <v>-25</v>
      </c>
      <c r="F41" s="614"/>
      <c r="G41" s="614"/>
    </row>
    <row r="42" spans="1:7" ht="11.25" customHeight="1">
      <c r="A42" s="606" t="s">
        <v>480</v>
      </c>
      <c r="B42" s="606"/>
      <c r="C42" s="624">
        <v>-1238</v>
      </c>
      <c r="D42" s="624"/>
      <c r="E42" s="617">
        <v>-512</v>
      </c>
      <c r="F42" s="617"/>
      <c r="G42" s="617"/>
    </row>
    <row r="43" spans="1:7" ht="15.3" customHeight="1">
      <c r="A43" s="538" t="s">
        <v>481</v>
      </c>
      <c r="B43" s="538"/>
      <c r="C43" s="538"/>
      <c r="D43" s="538"/>
      <c r="E43" s="538"/>
      <c r="F43" s="538"/>
      <c r="G43" s="538"/>
    </row>
    <row r="44" spans="1:7" ht="11.25" customHeight="1">
      <c r="A44" s="612" t="s">
        <v>482</v>
      </c>
      <c r="B44" s="612"/>
      <c r="C44" s="613">
        <v>-16</v>
      </c>
      <c r="D44" s="613"/>
      <c r="E44" s="598">
        <v>15</v>
      </c>
      <c r="F44" s="598"/>
      <c r="G44" s="598"/>
    </row>
    <row r="45" spans="1:7" ht="18" customHeight="1">
      <c r="A45" s="619" t="s">
        <v>483</v>
      </c>
      <c r="B45" s="619"/>
      <c r="C45" s="620">
        <v>5</v>
      </c>
      <c r="D45" s="620"/>
      <c r="E45" s="621">
        <v>442</v>
      </c>
      <c r="F45" s="621"/>
      <c r="G45" s="621"/>
    </row>
    <row r="46" spans="1:7" ht="22.05" customHeight="1">
      <c r="A46" s="538" t="s">
        <v>484</v>
      </c>
      <c r="B46" s="538"/>
      <c r="C46" s="622">
        <v>758</v>
      </c>
      <c r="D46" s="622"/>
      <c r="E46" s="623">
        <v>316</v>
      </c>
      <c r="F46" s="623"/>
      <c r="G46" s="623"/>
    </row>
    <row r="47" spans="1:7" ht="12" customHeight="1">
      <c r="A47" s="619" t="s">
        <v>485</v>
      </c>
      <c r="B47" s="619"/>
      <c r="C47" s="626">
        <v>763</v>
      </c>
      <c r="D47" s="626"/>
      <c r="E47" s="627">
        <v>758</v>
      </c>
      <c r="F47" s="627"/>
      <c r="G47" s="627"/>
    </row>
    <row r="48" spans="1:7" ht="23.7" customHeight="1">
      <c r="A48" s="628" t="s">
        <v>354</v>
      </c>
      <c r="B48" s="628"/>
      <c r="C48" s="532"/>
      <c r="D48" s="532"/>
      <c r="E48" s="532"/>
      <c r="F48" s="532"/>
      <c r="G48" s="532"/>
    </row>
    <row r="49" spans="1:6" ht="68.25" customHeight="1">
      <c r="A49" s="529" t="s">
        <v>486</v>
      </c>
      <c r="B49" s="529"/>
      <c r="C49" s="529"/>
      <c r="D49" s="529"/>
      <c r="E49" s="529"/>
      <c r="F49" s="529"/>
    </row>
    <row r="50" spans="1:6" ht="14.25" customHeight="1">
      <c r="A50" s="625" t="s">
        <v>487</v>
      </c>
      <c r="B50" s="625"/>
      <c r="C50" s="625"/>
      <c r="D50" s="625"/>
      <c r="E50" s="625"/>
      <c r="F50" s="625"/>
    </row>
    <row r="51" spans="1:6" ht="308.55" customHeight="1">
      <c r="A51" s="529" t="s">
        <v>488</v>
      </c>
      <c r="B51" s="529"/>
      <c r="C51" s="529"/>
      <c r="D51" s="529"/>
      <c r="E51" s="529"/>
      <c r="F51" s="529"/>
    </row>
  </sheetData>
  <mergeCells count="126">
    <mergeCell ref="A49:F49"/>
    <mergeCell ref="A50:F50"/>
    <mergeCell ref="A51:F51"/>
    <mergeCell ref="A47:B47"/>
    <mergeCell ref="C47:D47"/>
    <mergeCell ref="E47:G47"/>
    <mergeCell ref="A48:B48"/>
    <mergeCell ref="C48:D48"/>
    <mergeCell ref="E48:G48"/>
    <mergeCell ref="A45:B45"/>
    <mergeCell ref="C45:D45"/>
    <mergeCell ref="E45:G45"/>
    <mergeCell ref="A46:B46"/>
    <mergeCell ref="C46:D46"/>
    <mergeCell ref="E46:G46"/>
    <mergeCell ref="A42:B42"/>
    <mergeCell ref="C42:D42"/>
    <mergeCell ref="E42:G42"/>
    <mergeCell ref="A43:G43"/>
    <mergeCell ref="A44:B44"/>
    <mergeCell ref="C44:D44"/>
    <mergeCell ref="E44:G44"/>
    <mergeCell ref="A40:B40"/>
    <mergeCell ref="C40:D40"/>
    <mergeCell ref="E40:G40"/>
    <mergeCell ref="A41:B41"/>
    <mergeCell ref="C41:D41"/>
    <mergeCell ref="E41:G41"/>
    <mergeCell ref="A38:B38"/>
    <mergeCell ref="C38:D38"/>
    <mergeCell ref="E38:G38"/>
    <mergeCell ref="A39:B39"/>
    <mergeCell ref="C39:D39"/>
    <mergeCell ref="E39:G39"/>
    <mergeCell ref="A36:B36"/>
    <mergeCell ref="C36:D36"/>
    <mergeCell ref="E36:G36"/>
    <mergeCell ref="A37:B37"/>
    <mergeCell ref="C37:D37"/>
    <mergeCell ref="E37:G37"/>
    <mergeCell ref="A34:B34"/>
    <mergeCell ref="C34:D34"/>
    <mergeCell ref="E34:G34"/>
    <mergeCell ref="A35:B35"/>
    <mergeCell ref="C35:D35"/>
    <mergeCell ref="E35:G35"/>
    <mergeCell ref="A32:B32"/>
    <mergeCell ref="C32:D32"/>
    <mergeCell ref="E32:G32"/>
    <mergeCell ref="A33:B33"/>
    <mergeCell ref="C33:D33"/>
    <mergeCell ref="E33:G33"/>
    <mergeCell ref="A30:B30"/>
    <mergeCell ref="C30:D30"/>
    <mergeCell ref="E30:G30"/>
    <mergeCell ref="A31:B31"/>
    <mergeCell ref="C31:D31"/>
    <mergeCell ref="E31:G31"/>
    <mergeCell ref="A28:B28"/>
    <mergeCell ref="C28:D28"/>
    <mergeCell ref="E28:G28"/>
    <mergeCell ref="A29:B29"/>
    <mergeCell ref="C29:D29"/>
    <mergeCell ref="E29:G29"/>
    <mergeCell ref="A26:B26"/>
    <mergeCell ref="C26:D26"/>
    <mergeCell ref="E26:G26"/>
    <mergeCell ref="A27:B27"/>
    <mergeCell ref="C27:D27"/>
    <mergeCell ref="E27:G27"/>
    <mergeCell ref="A24:B24"/>
    <mergeCell ref="C24:D24"/>
    <mergeCell ref="E24:G24"/>
    <mergeCell ref="A25:B25"/>
    <mergeCell ref="C25:D25"/>
    <mergeCell ref="E25:G25"/>
    <mergeCell ref="A22:B22"/>
    <mergeCell ref="C22:D22"/>
    <mergeCell ref="E22:G22"/>
    <mergeCell ref="A23:B23"/>
    <mergeCell ref="C23:D23"/>
    <mergeCell ref="E23:G23"/>
    <mergeCell ref="A20:B20"/>
    <mergeCell ref="C20:D20"/>
    <mergeCell ref="E20:G20"/>
    <mergeCell ref="A21:B21"/>
    <mergeCell ref="C21:D21"/>
    <mergeCell ref="E21:G21"/>
    <mergeCell ref="B17:C17"/>
    <mergeCell ref="D17:E17"/>
    <mergeCell ref="A18:B18"/>
    <mergeCell ref="C18:D18"/>
    <mergeCell ref="E18:G18"/>
    <mergeCell ref="A19:B19"/>
    <mergeCell ref="C19:D19"/>
    <mergeCell ref="E19:G19"/>
    <mergeCell ref="B15:C15"/>
    <mergeCell ref="D15:E15"/>
    <mergeCell ref="B16:C16"/>
    <mergeCell ref="D16:E16"/>
    <mergeCell ref="B11:C11"/>
    <mergeCell ref="D11:E11"/>
    <mergeCell ref="B12:C12"/>
    <mergeCell ref="D12:E12"/>
    <mergeCell ref="B13:C13"/>
    <mergeCell ref="D13:E13"/>
    <mergeCell ref="B10:C10"/>
    <mergeCell ref="D10:E10"/>
    <mergeCell ref="B5:C5"/>
    <mergeCell ref="D5:E5"/>
    <mergeCell ref="B6:C6"/>
    <mergeCell ref="D6:E6"/>
    <mergeCell ref="B7:C7"/>
    <mergeCell ref="D7:E7"/>
    <mergeCell ref="B14:C14"/>
    <mergeCell ref="D14:E14"/>
    <mergeCell ref="A1:F1"/>
    <mergeCell ref="A2:F2"/>
    <mergeCell ref="B3:C3"/>
    <mergeCell ref="D3:E3"/>
    <mergeCell ref="B4:C4"/>
    <mergeCell ref="D4:E4"/>
    <mergeCell ref="B8:C8"/>
    <mergeCell ref="D8:E8"/>
    <mergeCell ref="B9:C9"/>
    <mergeCell ref="D9:E9"/>
  </mergeCells>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64131F-5F07-4BFC-9D69-C221B2C86FEF}">
  <dimension ref="A1:F46"/>
  <sheetViews>
    <sheetView workbookViewId="0">
      <selection activeCell="J41" sqref="J41"/>
    </sheetView>
  </sheetViews>
  <sheetFormatPr defaultRowHeight="13.2"/>
  <cols>
    <col min="1" max="1" width="56.88671875" style="237" customWidth="1"/>
    <col min="2" max="2" width="11.5546875" style="237" customWidth="1"/>
    <col min="3" max="3" width="18.88671875" style="237" customWidth="1"/>
    <col min="4" max="4" width="1.33203125" style="237" customWidth="1"/>
    <col min="5" max="5" width="27.109375" style="237" customWidth="1"/>
    <col min="6" max="6" width="2.88671875" style="237" customWidth="1"/>
    <col min="7" max="16384" width="8.88671875" style="237"/>
  </cols>
  <sheetData>
    <row r="1" spans="1:6" ht="43.5" customHeight="1">
      <c r="A1" s="529" t="s">
        <v>489</v>
      </c>
      <c r="B1" s="529"/>
      <c r="C1" s="529"/>
      <c r="D1" s="529"/>
      <c r="E1" s="529"/>
      <c r="F1" s="529"/>
    </row>
    <row r="2" spans="1:6" ht="11.25" customHeight="1">
      <c r="A2" s="629"/>
      <c r="B2" s="629"/>
      <c r="C2" s="239" t="s">
        <v>490</v>
      </c>
      <c r="D2" s="240"/>
      <c r="E2" s="378" t="s">
        <v>491</v>
      </c>
    </row>
    <row r="3" spans="1:6" ht="21.75" customHeight="1">
      <c r="A3" s="379" t="s">
        <v>492</v>
      </c>
      <c r="B3" s="242"/>
      <c r="C3" s="242"/>
      <c r="D3" s="242"/>
      <c r="E3" s="242"/>
    </row>
    <row r="4" spans="1:6" ht="22.5" customHeight="1">
      <c r="A4" s="380" t="s">
        <v>321</v>
      </c>
      <c r="B4" s="244" t="s">
        <v>322</v>
      </c>
      <c r="C4" s="381">
        <v>1284</v>
      </c>
      <c r="D4" s="246" t="s">
        <v>322</v>
      </c>
      <c r="E4" s="382">
        <v>811</v>
      </c>
    </row>
    <row r="5" spans="1:6" ht="11.25" customHeight="1">
      <c r="A5" s="373" t="s">
        <v>493</v>
      </c>
      <c r="B5" s="238"/>
      <c r="C5" s="261">
        <v>1146</v>
      </c>
      <c r="D5" s="238"/>
      <c r="E5" s="383">
        <v>892</v>
      </c>
    </row>
    <row r="6" spans="1:6" ht="11.25" customHeight="1">
      <c r="A6" s="373" t="s">
        <v>494</v>
      </c>
      <c r="B6" s="238"/>
      <c r="C6" s="248">
        <v>326</v>
      </c>
      <c r="D6" s="238"/>
      <c r="E6" s="383">
        <v>219</v>
      </c>
    </row>
    <row r="7" spans="1:6" ht="11.25" customHeight="1">
      <c r="A7" s="373" t="s">
        <v>325</v>
      </c>
      <c r="B7" s="238"/>
      <c r="C7" s="248">
        <v>51</v>
      </c>
      <c r="D7" s="238"/>
      <c r="E7" s="383">
        <v>48</v>
      </c>
    </row>
    <row r="8" spans="1:6" ht="11.25" customHeight="1">
      <c r="A8" s="384" t="s">
        <v>326</v>
      </c>
      <c r="B8" s="240"/>
      <c r="C8" s="250">
        <v>538</v>
      </c>
      <c r="D8" s="240"/>
      <c r="E8" s="385">
        <v>497</v>
      </c>
    </row>
    <row r="9" spans="1:6" ht="13.95" customHeight="1">
      <c r="A9" s="251"/>
      <c r="B9" s="251"/>
      <c r="C9" s="252">
        <v>3345</v>
      </c>
      <c r="D9" s="251"/>
      <c r="E9" s="386">
        <v>2466</v>
      </c>
    </row>
    <row r="10" spans="1:6" ht="22.95" customHeight="1">
      <c r="A10" s="380" t="s">
        <v>327</v>
      </c>
      <c r="B10" s="253"/>
      <c r="C10" s="245">
        <v>142</v>
      </c>
      <c r="D10" s="253"/>
      <c r="E10" s="382">
        <v>128</v>
      </c>
    </row>
    <row r="11" spans="1:6" ht="11.25" customHeight="1">
      <c r="A11" s="373" t="s">
        <v>328</v>
      </c>
      <c r="B11" s="238"/>
      <c r="C11" s="248">
        <v>312</v>
      </c>
      <c r="D11" s="238"/>
      <c r="E11" s="383">
        <v>283</v>
      </c>
    </row>
    <row r="12" spans="1:6" ht="11.25" customHeight="1">
      <c r="A12" s="373" t="s">
        <v>329</v>
      </c>
      <c r="B12" s="238"/>
      <c r="C12" s="248">
        <v>107</v>
      </c>
      <c r="D12" s="238"/>
      <c r="E12" s="383">
        <v>159</v>
      </c>
    </row>
    <row r="13" spans="1:6" ht="11.25" customHeight="1">
      <c r="A13" s="373" t="s">
        <v>326</v>
      </c>
      <c r="B13" s="238"/>
      <c r="C13" s="248">
        <v>286</v>
      </c>
      <c r="D13" s="238"/>
      <c r="E13" s="383">
        <v>174</v>
      </c>
    </row>
    <row r="14" spans="1:6" ht="11.25" customHeight="1">
      <c r="A14" s="384" t="s">
        <v>330</v>
      </c>
      <c r="B14" s="240"/>
      <c r="C14" s="254">
        <v>6707</v>
      </c>
      <c r="D14" s="240"/>
      <c r="E14" s="387">
        <v>4662</v>
      </c>
    </row>
    <row r="15" spans="1:6" ht="15.45" customHeight="1">
      <c r="A15" s="255"/>
      <c r="B15" s="255"/>
      <c r="C15" s="256">
        <v>7554</v>
      </c>
      <c r="D15" s="255"/>
      <c r="E15" s="388">
        <v>5406</v>
      </c>
    </row>
    <row r="16" spans="1:6" ht="11.25" customHeight="1">
      <c r="A16" s="630" t="s">
        <v>495</v>
      </c>
      <c r="B16" s="630"/>
      <c r="C16" s="254">
        <v>10899</v>
      </c>
      <c r="D16" s="257" t="s">
        <v>322</v>
      </c>
      <c r="E16" s="387">
        <v>7872</v>
      </c>
    </row>
    <row r="17" spans="1:5" ht="26.55" customHeight="1">
      <c r="A17" s="389" t="s">
        <v>496</v>
      </c>
      <c r="B17" s="253"/>
      <c r="C17" s="253"/>
      <c r="D17" s="253"/>
      <c r="E17" s="253"/>
    </row>
    <row r="18" spans="1:5" ht="22.5" customHeight="1">
      <c r="A18" s="380" t="s">
        <v>333</v>
      </c>
      <c r="B18" s="244" t="s">
        <v>322</v>
      </c>
      <c r="C18" s="245">
        <v>861</v>
      </c>
      <c r="D18" s="246" t="s">
        <v>322</v>
      </c>
      <c r="E18" s="382">
        <v>505</v>
      </c>
    </row>
    <row r="19" spans="1:5" ht="11.25" customHeight="1">
      <c r="A19" s="390" t="s">
        <v>497</v>
      </c>
      <c r="B19" s="238"/>
      <c r="C19" s="248">
        <v>225</v>
      </c>
      <c r="D19" s="238"/>
      <c r="E19" s="383">
        <v>316</v>
      </c>
    </row>
    <row r="20" spans="1:5" ht="11.25" customHeight="1">
      <c r="A20" s="373" t="s">
        <v>335</v>
      </c>
      <c r="B20" s="238"/>
      <c r="C20" s="248">
        <v>814</v>
      </c>
      <c r="D20" s="238"/>
      <c r="E20" s="260" t="s">
        <v>336</v>
      </c>
    </row>
    <row r="21" spans="1:5" ht="11.55" customHeight="1">
      <c r="A21" s="373" t="s">
        <v>337</v>
      </c>
      <c r="B21" s="238"/>
      <c r="C21" s="261">
        <v>1432</v>
      </c>
      <c r="D21" s="238"/>
      <c r="E21" s="391">
        <v>1083</v>
      </c>
    </row>
    <row r="22" spans="1:5" ht="11.25" customHeight="1">
      <c r="A22" s="373" t="s">
        <v>338</v>
      </c>
      <c r="B22" s="238"/>
      <c r="C22" s="248">
        <v>21</v>
      </c>
      <c r="D22" s="238"/>
      <c r="E22" s="383">
        <v>21</v>
      </c>
    </row>
    <row r="23" spans="1:5" ht="11.25" customHeight="1">
      <c r="A23" s="373" t="s">
        <v>498</v>
      </c>
      <c r="B23" s="238"/>
      <c r="C23" s="261">
        <v>1757</v>
      </c>
      <c r="D23" s="238"/>
      <c r="E23" s="391">
        <v>1482</v>
      </c>
    </row>
    <row r="24" spans="1:5" ht="11.25" customHeight="1">
      <c r="A24" s="373" t="s">
        <v>340</v>
      </c>
      <c r="B24" s="238"/>
      <c r="C24" s="248">
        <v>9</v>
      </c>
      <c r="D24" s="238"/>
      <c r="E24" s="383">
        <v>11</v>
      </c>
    </row>
    <row r="25" spans="1:5" ht="11.25" customHeight="1">
      <c r="A25" s="373" t="s">
        <v>341</v>
      </c>
      <c r="B25" s="238"/>
      <c r="C25" s="248">
        <v>174</v>
      </c>
      <c r="D25" s="238"/>
      <c r="E25" s="383">
        <v>159</v>
      </c>
    </row>
    <row r="26" spans="1:5" ht="11.25" customHeight="1">
      <c r="A26" s="373" t="s">
        <v>342</v>
      </c>
      <c r="B26" s="238"/>
      <c r="C26" s="248">
        <v>112</v>
      </c>
      <c r="D26" s="238"/>
      <c r="E26" s="383">
        <v>96</v>
      </c>
    </row>
    <row r="27" spans="1:5" ht="11.25" customHeight="1">
      <c r="A27" s="384" t="s">
        <v>343</v>
      </c>
      <c r="B27" s="240"/>
      <c r="C27" s="250">
        <v>90</v>
      </c>
      <c r="D27" s="240"/>
      <c r="E27" s="385">
        <v>99</v>
      </c>
    </row>
    <row r="28" spans="1:5" ht="12.45" customHeight="1">
      <c r="A28" s="251"/>
      <c r="B28" s="251"/>
      <c r="C28" s="252">
        <v>5495</v>
      </c>
      <c r="D28" s="251"/>
      <c r="E28" s="386">
        <v>3772</v>
      </c>
    </row>
    <row r="29" spans="1:5" ht="22.8" customHeight="1">
      <c r="A29" s="380" t="s">
        <v>344</v>
      </c>
      <c r="B29" s="253"/>
      <c r="C29" s="245">
        <v>863</v>
      </c>
      <c r="D29" s="253"/>
      <c r="E29" s="382">
        <v>567</v>
      </c>
    </row>
    <row r="30" spans="1:5" ht="11.25" customHeight="1">
      <c r="A30" s="390" t="s">
        <v>497</v>
      </c>
      <c r="B30" s="238"/>
      <c r="C30" s="261">
        <v>1385</v>
      </c>
      <c r="D30" s="238"/>
      <c r="E30" s="383">
        <v>586</v>
      </c>
    </row>
    <row r="31" spans="1:5" ht="11.25" customHeight="1">
      <c r="A31" s="373" t="s">
        <v>329</v>
      </c>
      <c r="B31" s="238"/>
      <c r="C31" s="248">
        <v>625</v>
      </c>
      <c r="D31" s="238"/>
      <c r="E31" s="383">
        <v>465</v>
      </c>
    </row>
    <row r="32" spans="1:5" ht="11.25" customHeight="1">
      <c r="A32" s="373" t="s">
        <v>341</v>
      </c>
      <c r="B32" s="238"/>
      <c r="C32" s="248">
        <v>87</v>
      </c>
      <c r="D32" s="238"/>
      <c r="E32" s="383">
        <v>73</v>
      </c>
    </row>
    <row r="33" spans="1:6" ht="11.25" customHeight="1">
      <c r="A33" s="373" t="s">
        <v>342</v>
      </c>
      <c r="B33" s="238"/>
      <c r="C33" s="248">
        <v>236</v>
      </c>
      <c r="D33" s="238"/>
      <c r="E33" s="383">
        <v>218</v>
      </c>
    </row>
    <row r="34" spans="1:6" ht="11.25" customHeight="1">
      <c r="A34" s="384" t="s">
        <v>345</v>
      </c>
      <c r="B34" s="240"/>
      <c r="C34" s="250">
        <v>246</v>
      </c>
      <c r="D34" s="240"/>
      <c r="E34" s="385">
        <v>258</v>
      </c>
    </row>
    <row r="35" spans="1:6" ht="19.95" customHeight="1">
      <c r="A35" s="262"/>
      <c r="B35" s="262"/>
      <c r="C35" s="256">
        <v>3442</v>
      </c>
      <c r="D35" s="262"/>
      <c r="E35" s="388">
        <v>2167</v>
      </c>
    </row>
    <row r="36" spans="1:6" ht="11.25" customHeight="1">
      <c r="A36" s="293" t="s">
        <v>346</v>
      </c>
      <c r="B36" s="255"/>
      <c r="C36" s="256">
        <v>8938</v>
      </c>
      <c r="D36" s="255"/>
      <c r="E36" s="388">
        <v>5938</v>
      </c>
    </row>
    <row r="37" spans="1:6" ht="35.700000000000003" customHeight="1">
      <c r="A37" s="372" t="s">
        <v>347</v>
      </c>
      <c r="B37" s="265"/>
      <c r="C37" s="266">
        <v>99</v>
      </c>
      <c r="D37" s="265"/>
      <c r="E37" s="392">
        <v>99</v>
      </c>
    </row>
    <row r="38" spans="1:6" ht="11.55" customHeight="1">
      <c r="A38" s="373" t="s">
        <v>349</v>
      </c>
      <c r="B38" s="238"/>
      <c r="C38" s="267">
        <v>-99</v>
      </c>
      <c r="D38" s="238"/>
      <c r="E38" s="393">
        <v>-150</v>
      </c>
    </row>
    <row r="39" spans="1:6" ht="11.7" customHeight="1">
      <c r="A39" s="373" t="s">
        <v>350</v>
      </c>
      <c r="B39" s="238"/>
      <c r="C39" s="261">
        <v>1876</v>
      </c>
      <c r="D39" s="238"/>
      <c r="E39" s="391">
        <v>1763</v>
      </c>
    </row>
    <row r="40" spans="1:6" ht="11.55" customHeight="1">
      <c r="A40" s="384" t="s">
        <v>351</v>
      </c>
      <c r="B40" s="240"/>
      <c r="C40" s="250">
        <v>85</v>
      </c>
      <c r="D40" s="240"/>
      <c r="E40" s="385">
        <v>221</v>
      </c>
    </row>
    <row r="41" spans="1:6" ht="15.3" customHeight="1">
      <c r="A41" s="251"/>
      <c r="B41" s="251"/>
      <c r="C41" s="252">
        <v>1961</v>
      </c>
      <c r="D41" s="251"/>
      <c r="E41" s="394">
        <v>1933</v>
      </c>
    </row>
    <row r="42" spans="1:6" ht="20.7" customHeight="1">
      <c r="A42" s="288" t="s">
        <v>352</v>
      </c>
      <c r="B42" s="269"/>
      <c r="C42" s="269"/>
      <c r="D42" s="269"/>
      <c r="E42" s="269"/>
    </row>
    <row r="43" spans="1:6" ht="11.25" customHeight="1">
      <c r="A43" s="630" t="s">
        <v>499</v>
      </c>
      <c r="B43" s="630"/>
      <c r="C43" s="254">
        <v>10899</v>
      </c>
      <c r="D43" s="257" t="s">
        <v>322</v>
      </c>
      <c r="E43" s="387">
        <v>7872</v>
      </c>
    </row>
    <row r="44" spans="1:6" ht="11.25" customHeight="1">
      <c r="A44" s="546" t="s">
        <v>354</v>
      </c>
      <c r="B44" s="546"/>
      <c r="C44" s="546"/>
      <c r="D44" s="546"/>
      <c r="E44" s="546"/>
      <c r="F44" s="546"/>
    </row>
    <row r="45" spans="1:6" ht="3" customHeight="1"/>
    <row r="46" spans="1:6" ht="48" customHeight="1">
      <c r="A46" s="529" t="s">
        <v>500</v>
      </c>
      <c r="B46" s="529"/>
      <c r="C46" s="529"/>
      <c r="D46" s="529"/>
      <c r="E46" s="529"/>
      <c r="F46" s="529"/>
    </row>
  </sheetData>
  <mergeCells count="6">
    <mergeCell ref="A46:F46"/>
    <mergeCell ref="A1:F1"/>
    <mergeCell ref="A2:B2"/>
    <mergeCell ref="A16:B16"/>
    <mergeCell ref="A43:B43"/>
    <mergeCell ref="A44:F44"/>
  </mergeCells>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BDE42C-E7BB-4BA9-B579-FAB3EFA7DA71}">
  <dimension ref="A1:D38"/>
  <sheetViews>
    <sheetView workbookViewId="0">
      <selection activeCell="D9" sqref="D9:D14"/>
    </sheetView>
  </sheetViews>
  <sheetFormatPr defaultRowHeight="13.2"/>
  <cols>
    <col min="1" max="1" width="68.44140625" style="237" customWidth="1"/>
    <col min="2" max="2" width="22.44140625" style="237" customWidth="1"/>
    <col min="3" max="3" width="18" style="237" customWidth="1"/>
    <col min="4" max="4" width="9.77734375" style="237" customWidth="1"/>
    <col min="5" max="16384" width="8.88671875" style="237"/>
  </cols>
  <sheetData>
    <row r="1" spans="1:4" ht="12.75" customHeight="1">
      <c r="A1" s="631" t="s">
        <v>501</v>
      </c>
      <c r="B1" s="631"/>
      <c r="C1" s="631"/>
      <c r="D1" s="631"/>
    </row>
    <row r="2" spans="1:4" ht="12.75" customHeight="1">
      <c r="A2" s="240"/>
      <c r="B2" s="395">
        <v>2023</v>
      </c>
      <c r="C2" s="395">
        <v>2022</v>
      </c>
    </row>
    <row r="3" spans="1:4" ht="38.25" customHeight="1">
      <c r="A3" s="396" t="s">
        <v>502</v>
      </c>
      <c r="B3" s="242"/>
      <c r="C3" s="242"/>
    </row>
    <row r="4" spans="1:4" ht="13.05" customHeight="1">
      <c r="A4" s="397" t="s">
        <v>503</v>
      </c>
      <c r="B4" s="398">
        <v>386</v>
      </c>
      <c r="C4" s="399">
        <v>320</v>
      </c>
    </row>
    <row r="5" spans="1:4" ht="13.05" customHeight="1">
      <c r="A5" s="397" t="s">
        <v>504</v>
      </c>
      <c r="B5" s="400">
        <v>1766</v>
      </c>
      <c r="C5" s="401">
        <v>1381</v>
      </c>
    </row>
    <row r="6" spans="1:4" ht="13.05" customHeight="1">
      <c r="A6" s="397" t="s">
        <v>505</v>
      </c>
      <c r="B6" s="402">
        <v>268</v>
      </c>
      <c r="C6" s="403">
        <v>233</v>
      </c>
    </row>
    <row r="7" spans="1:4" ht="12.75" customHeight="1">
      <c r="A7" s="404" t="s">
        <v>506</v>
      </c>
      <c r="B7" s="405">
        <v>5985</v>
      </c>
      <c r="C7" s="406">
        <v>4688</v>
      </c>
    </row>
    <row r="8" spans="1:4" ht="18" customHeight="1">
      <c r="A8" s="407"/>
      <c r="B8" s="408">
        <v>8407</v>
      </c>
      <c r="C8" s="409">
        <v>6622</v>
      </c>
      <c r="D8" s="410"/>
    </row>
    <row r="9" spans="1:4" ht="27.75" customHeight="1">
      <c r="A9" s="411" t="s">
        <v>507</v>
      </c>
      <c r="B9" s="412">
        <v>4493</v>
      </c>
      <c r="C9" s="413">
        <v>3539</v>
      </c>
      <c r="D9" s="237" t="s">
        <v>508</v>
      </c>
    </row>
    <row r="10" spans="1:4" ht="12.75" customHeight="1">
      <c r="A10" s="397" t="s">
        <v>509</v>
      </c>
      <c r="B10" s="402">
        <v>158</v>
      </c>
      <c r="C10" s="403">
        <v>134</v>
      </c>
      <c r="D10" s="237" t="s">
        <v>76</v>
      </c>
    </row>
    <row r="11" spans="1:4" ht="12.75" customHeight="1">
      <c r="A11" s="397" t="s">
        <v>510</v>
      </c>
      <c r="B11" s="402">
        <v>810</v>
      </c>
      <c r="C11" s="403">
        <v>626</v>
      </c>
      <c r="D11" s="237" t="s">
        <v>76</v>
      </c>
    </row>
    <row r="12" spans="1:4" ht="12.75" customHeight="1">
      <c r="A12" s="397" t="s">
        <v>511</v>
      </c>
      <c r="B12" s="402">
        <v>51</v>
      </c>
      <c r="C12" s="403">
        <v>49</v>
      </c>
      <c r="D12" s="237" t="s">
        <v>508</v>
      </c>
    </row>
    <row r="13" spans="1:4" ht="12.75" customHeight="1">
      <c r="A13" s="397" t="s">
        <v>512</v>
      </c>
      <c r="B13" s="402">
        <v>398</v>
      </c>
      <c r="C13" s="403">
        <v>307</v>
      </c>
      <c r="D13" s="237" t="s">
        <v>508</v>
      </c>
    </row>
    <row r="14" spans="1:4" ht="12.75" customHeight="1">
      <c r="A14" s="397" t="s">
        <v>513</v>
      </c>
      <c r="B14" s="402">
        <v>151</v>
      </c>
      <c r="C14" s="403">
        <v>114</v>
      </c>
      <c r="D14" s="237" t="s">
        <v>508</v>
      </c>
    </row>
    <row r="15" spans="1:4" ht="12.75" customHeight="1">
      <c r="A15" s="397" t="s">
        <v>514</v>
      </c>
      <c r="B15" s="402">
        <v>138</v>
      </c>
      <c r="C15" s="403">
        <v>154</v>
      </c>
    </row>
    <row r="16" spans="1:4" ht="12.75" customHeight="1">
      <c r="A16" s="414" t="s">
        <v>515</v>
      </c>
      <c r="B16" s="415">
        <v>162</v>
      </c>
      <c r="C16" s="416">
        <v>143</v>
      </c>
    </row>
    <row r="17" spans="1:4" ht="12.75" customHeight="1">
      <c r="A17" s="417" t="s">
        <v>516</v>
      </c>
      <c r="B17" s="418">
        <v>859</v>
      </c>
      <c r="C17" s="419">
        <v>676</v>
      </c>
    </row>
    <row r="18" spans="1:4" ht="22.05" customHeight="1">
      <c r="A18" s="242"/>
      <c r="B18" s="420">
        <v>7219</v>
      </c>
      <c r="C18" s="421">
        <v>5740</v>
      </c>
    </row>
    <row r="19" spans="1:4" ht="25.5" customHeight="1">
      <c r="A19" s="422" t="s">
        <v>517</v>
      </c>
      <c r="B19" s="423">
        <v>43</v>
      </c>
      <c r="C19" s="424">
        <v>-56</v>
      </c>
    </row>
    <row r="20" spans="1:4" ht="12.75" customHeight="1">
      <c r="A20" s="411" t="s">
        <v>518</v>
      </c>
      <c r="B20" s="402">
        <v>152</v>
      </c>
      <c r="C20" s="403">
        <v>112</v>
      </c>
    </row>
    <row r="21" spans="1:4" ht="12.75" customHeight="1">
      <c r="A21" s="411" t="s">
        <v>519</v>
      </c>
      <c r="B21" s="425">
        <v>-34</v>
      </c>
      <c r="C21" s="403">
        <v>0</v>
      </c>
    </row>
    <row r="22" spans="1:4" ht="12.75" customHeight="1">
      <c r="A22" s="411" t="s">
        <v>520</v>
      </c>
      <c r="B22" s="425">
        <v>-54</v>
      </c>
      <c r="C22" s="425">
        <v>-16</v>
      </c>
    </row>
    <row r="23" spans="1:4" ht="12.75" customHeight="1">
      <c r="A23" s="411" t="s">
        <v>521</v>
      </c>
      <c r="B23" s="402">
        <v>26</v>
      </c>
      <c r="C23" s="403">
        <v>7</v>
      </c>
    </row>
    <row r="24" spans="1:4" ht="12.75" customHeight="1">
      <c r="A24" s="411" t="s">
        <v>522</v>
      </c>
      <c r="B24" s="402">
        <v>597</v>
      </c>
      <c r="C24" s="426" t="s">
        <v>523</v>
      </c>
    </row>
    <row r="25" spans="1:4" ht="12.75" customHeight="1">
      <c r="A25" s="427" t="s">
        <v>524</v>
      </c>
      <c r="B25" s="428">
        <v>192</v>
      </c>
      <c r="C25" s="395">
        <v>110</v>
      </c>
    </row>
    <row r="26" spans="1:4" ht="16.2" customHeight="1">
      <c r="A26" s="407"/>
      <c r="B26" s="429">
        <v>922</v>
      </c>
      <c r="C26" s="430">
        <v>156</v>
      </c>
    </row>
    <row r="27" spans="1:4" ht="21.75" customHeight="1">
      <c r="A27" s="411" t="s">
        <v>525</v>
      </c>
      <c r="B27" s="402">
        <v>265</v>
      </c>
      <c r="C27" s="403">
        <v>725</v>
      </c>
    </row>
    <row r="28" spans="1:4" ht="16.2" customHeight="1">
      <c r="A28" s="411" t="s">
        <v>526</v>
      </c>
      <c r="B28" s="402">
        <v>370</v>
      </c>
      <c r="C28" s="403">
        <v>403</v>
      </c>
    </row>
    <row r="29" spans="1:4" ht="12.75" customHeight="1">
      <c r="A29" s="427" t="s">
        <v>527</v>
      </c>
      <c r="B29" s="431">
        <v>-166</v>
      </c>
      <c r="C29" s="431">
        <v>-228</v>
      </c>
    </row>
    <row r="30" spans="1:4" ht="21.75" customHeight="1">
      <c r="A30" s="432" t="s">
        <v>528</v>
      </c>
      <c r="B30" s="433">
        <v>204</v>
      </c>
      <c r="C30" s="434">
        <v>175</v>
      </c>
    </row>
    <row r="31" spans="1:4" ht="12.75" customHeight="1">
      <c r="A31" s="435" t="s">
        <v>529</v>
      </c>
      <c r="B31" s="436">
        <v>62</v>
      </c>
      <c r="C31" s="437">
        <v>551</v>
      </c>
    </row>
    <row r="32" spans="1:4" ht="38.25" customHeight="1">
      <c r="A32" s="242" t="s">
        <v>530</v>
      </c>
      <c r="B32" s="438">
        <v>565</v>
      </c>
      <c r="C32" s="439">
        <v>512</v>
      </c>
      <c r="D32" s="440">
        <f>C31-C33</f>
        <v>513</v>
      </c>
    </row>
    <row r="33" spans="1:4" ht="12.75" customHeight="1">
      <c r="A33" s="404" t="s">
        <v>531</v>
      </c>
      <c r="B33" s="431">
        <v>-503</v>
      </c>
      <c r="C33" s="395">
        <v>38</v>
      </c>
    </row>
    <row r="34" spans="1:4" ht="12.75" customHeight="1">
      <c r="A34" s="432" t="s">
        <v>529</v>
      </c>
      <c r="B34" s="433">
        <v>62</v>
      </c>
      <c r="C34" s="434">
        <v>551</v>
      </c>
    </row>
    <row r="35" spans="1:4" ht="38.25" customHeight="1">
      <c r="A35" s="242" t="s">
        <v>532</v>
      </c>
      <c r="B35" s="441">
        <v>26.67</v>
      </c>
      <c r="C35" s="442">
        <v>24.18</v>
      </c>
    </row>
    <row r="36" spans="1:4" ht="12.75" customHeight="1">
      <c r="A36" s="632" t="s">
        <v>533</v>
      </c>
      <c r="B36" s="632"/>
      <c r="C36" s="632"/>
      <c r="D36" s="632"/>
    </row>
    <row r="37" spans="1:4" ht="1.95" customHeight="1"/>
    <row r="38" spans="1:4" ht="42" customHeight="1">
      <c r="A38" s="529" t="s">
        <v>534</v>
      </c>
      <c r="B38" s="529"/>
      <c r="C38" s="529"/>
      <c r="D38" s="529"/>
    </row>
  </sheetData>
  <mergeCells count="3">
    <mergeCell ref="A1:D1"/>
    <mergeCell ref="A36:D36"/>
    <mergeCell ref="A38:D38"/>
  </mergeCells>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381A6C-26C6-4BAB-B6D4-617EEF0CE4DD}">
  <dimension ref="A1:G13"/>
  <sheetViews>
    <sheetView workbookViewId="0">
      <selection activeCell="G25" sqref="G25:G32"/>
    </sheetView>
  </sheetViews>
  <sheetFormatPr defaultRowHeight="13.2"/>
  <cols>
    <col min="1" max="1" width="49.33203125" style="237" customWidth="1"/>
    <col min="2" max="2" width="19.109375" style="237" customWidth="1"/>
    <col min="3" max="3" width="29.109375" style="237" customWidth="1"/>
    <col min="4" max="4" width="3.109375" style="237" customWidth="1"/>
    <col min="5" max="5" width="6.88671875" style="237" customWidth="1"/>
    <col min="6" max="6" width="8.44140625" style="237" customWidth="1"/>
    <col min="7" max="7" width="2.21875" style="237" customWidth="1"/>
    <col min="8" max="16384" width="8.88671875" style="237"/>
  </cols>
  <sheetData>
    <row r="1" spans="1:7" ht="22.95" customHeight="1">
      <c r="A1" s="635" t="s">
        <v>535</v>
      </c>
      <c r="B1" s="635"/>
      <c r="C1" s="635"/>
      <c r="D1" s="635"/>
      <c r="E1" s="635"/>
      <c r="F1" s="635"/>
      <c r="G1" s="635"/>
    </row>
    <row r="2" spans="1:7" ht="11.25" customHeight="1">
      <c r="A2" s="273" t="s">
        <v>384</v>
      </c>
      <c r="B2" s="636" t="s">
        <v>536</v>
      </c>
      <c r="C2" s="636"/>
      <c r="D2" s="636"/>
      <c r="E2" s="636"/>
      <c r="F2" s="637">
        <v>551</v>
      </c>
      <c r="G2" s="637"/>
    </row>
    <row r="3" spans="1:7" ht="11.25" customHeight="1">
      <c r="A3" s="546" t="s">
        <v>537</v>
      </c>
      <c r="B3" s="546"/>
      <c r="C3" s="546"/>
      <c r="D3" s="546"/>
      <c r="E3" s="546"/>
      <c r="F3" s="546"/>
      <c r="G3" s="546"/>
    </row>
    <row r="4" spans="1:7" ht="11.25" customHeight="1">
      <c r="A4" s="546" t="s">
        <v>538</v>
      </c>
      <c r="B4" s="546"/>
      <c r="C4" s="546"/>
      <c r="D4" s="546"/>
      <c r="E4" s="546"/>
      <c r="F4" s="546"/>
      <c r="G4" s="546"/>
    </row>
    <row r="5" spans="1:7" ht="19.2" customHeight="1">
      <c r="A5" s="633" t="s">
        <v>539</v>
      </c>
      <c r="B5" s="633"/>
      <c r="C5" s="294">
        <v>51</v>
      </c>
      <c r="D5" s="262"/>
      <c r="E5" s="634">
        <v>-90</v>
      </c>
      <c r="F5" s="634"/>
    </row>
    <row r="6" spans="1:7" ht="11.7" customHeight="1">
      <c r="A6" s="633" t="s">
        <v>540</v>
      </c>
      <c r="B6" s="633"/>
      <c r="C6" s="375">
        <v>113</v>
      </c>
      <c r="D6" s="270" t="s">
        <v>322</v>
      </c>
      <c r="E6" s="638">
        <v>460</v>
      </c>
      <c r="F6" s="638"/>
    </row>
    <row r="7" spans="1:7" ht="28.8" customHeight="1">
      <c r="A7" s="639" t="s">
        <v>541</v>
      </c>
      <c r="B7" s="639"/>
      <c r="C7" s="266">
        <v>38</v>
      </c>
      <c r="D7" s="242"/>
      <c r="E7" s="640">
        <v>-79</v>
      </c>
      <c r="F7" s="640"/>
    </row>
    <row r="8" spans="1:7" ht="11.25" customHeight="1">
      <c r="A8" s="641" t="s">
        <v>351</v>
      </c>
      <c r="B8" s="641"/>
      <c r="C8" s="250">
        <v>13</v>
      </c>
      <c r="D8" s="240"/>
      <c r="E8" s="614">
        <v>-12</v>
      </c>
      <c r="F8" s="614"/>
    </row>
    <row r="9" spans="1:7" ht="11.25" customHeight="1">
      <c r="A9" s="633" t="s">
        <v>542</v>
      </c>
      <c r="B9" s="633"/>
      <c r="C9" s="375">
        <v>51</v>
      </c>
      <c r="D9" s="270" t="s">
        <v>322</v>
      </c>
      <c r="E9" s="634">
        <v>-90</v>
      </c>
      <c r="F9" s="634"/>
    </row>
    <row r="10" spans="1:7" ht="28.8" customHeight="1">
      <c r="A10" s="639" t="s">
        <v>543</v>
      </c>
      <c r="B10" s="639"/>
      <c r="C10" s="266">
        <v>603</v>
      </c>
      <c r="D10" s="242"/>
      <c r="E10" s="643">
        <v>433</v>
      </c>
      <c r="F10" s="643"/>
    </row>
    <row r="11" spans="1:7" ht="11.25" customHeight="1">
      <c r="A11" s="641" t="s">
        <v>351</v>
      </c>
      <c r="B11" s="641"/>
      <c r="C11" s="291">
        <v>-490</v>
      </c>
      <c r="D11" s="240"/>
      <c r="E11" s="598">
        <v>27</v>
      </c>
      <c r="F11" s="598"/>
    </row>
    <row r="12" spans="1:7" ht="11.25" customHeight="1">
      <c r="A12" s="633" t="s">
        <v>540</v>
      </c>
      <c r="B12" s="633"/>
      <c r="C12" s="375">
        <v>113</v>
      </c>
      <c r="D12" s="270" t="s">
        <v>322</v>
      </c>
      <c r="E12" s="638">
        <v>460</v>
      </c>
      <c r="F12" s="638"/>
    </row>
    <row r="13" spans="1:7" ht="18.75" customHeight="1">
      <c r="A13" s="642" t="s">
        <v>354</v>
      </c>
      <c r="B13" s="642"/>
      <c r="C13" s="242"/>
      <c r="D13" s="242"/>
      <c r="E13" s="532"/>
      <c r="F13" s="532"/>
    </row>
  </sheetData>
  <mergeCells count="23">
    <mergeCell ref="A12:B12"/>
    <mergeCell ref="E12:F12"/>
    <mergeCell ref="A13:B13"/>
    <mergeCell ref="E13:F13"/>
    <mergeCell ref="A9:B9"/>
    <mergeCell ref="E9:F9"/>
    <mergeCell ref="A10:B10"/>
    <mergeCell ref="E10:F10"/>
    <mergeCell ref="A11:B11"/>
    <mergeCell ref="E11:F11"/>
    <mergeCell ref="A6:B6"/>
    <mergeCell ref="E6:F6"/>
    <mergeCell ref="A7:B7"/>
    <mergeCell ref="E7:F7"/>
    <mergeCell ref="A8:B8"/>
    <mergeCell ref="E8:F8"/>
    <mergeCell ref="A5:B5"/>
    <mergeCell ref="E5:F5"/>
    <mergeCell ref="A1:G1"/>
    <mergeCell ref="B2:E2"/>
    <mergeCell ref="F2:G2"/>
    <mergeCell ref="A3:G3"/>
    <mergeCell ref="A4:G4"/>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EE5E67-9CE1-47F1-ABBC-C693E11A52B2}">
  <sheetPr>
    <tabColor theme="9" tint="0.39997558519241921"/>
  </sheetPr>
  <dimension ref="A2:T67"/>
  <sheetViews>
    <sheetView workbookViewId="0">
      <selection activeCell="D71" sqref="D71"/>
    </sheetView>
  </sheetViews>
  <sheetFormatPr defaultRowHeight="13.8" outlineLevelRow="1"/>
  <cols>
    <col min="1" max="1" width="2.88671875" customWidth="1"/>
    <col min="2" max="2" width="13.6640625" customWidth="1"/>
    <col min="3" max="3" width="11.6640625" customWidth="1"/>
    <col min="4" max="4" width="12.88671875" bestFit="1" customWidth="1"/>
    <col min="5" max="5" width="11.44140625" customWidth="1"/>
    <col min="6" max="6" width="4.5546875" customWidth="1"/>
    <col min="7" max="7" width="13.6640625" customWidth="1"/>
    <col min="8" max="8" width="10.88671875" customWidth="1"/>
    <col min="10" max="10" width="10.88671875" customWidth="1"/>
    <col min="11" max="11" width="3.44140625" customWidth="1"/>
    <col min="12" max="12" width="14" customWidth="1"/>
    <col min="13" max="13" width="11" customWidth="1"/>
    <col min="15" max="15" width="10" bestFit="1" customWidth="1"/>
    <col min="16" max="16" width="3.88671875" customWidth="1"/>
    <col min="17" max="17" width="13.21875" bestFit="1" customWidth="1"/>
    <col min="20" max="20" width="10.44140625" customWidth="1"/>
  </cols>
  <sheetData>
    <row r="2" spans="1:20" ht="18">
      <c r="A2" s="18" t="s">
        <v>71</v>
      </c>
      <c r="B2" s="508" t="s">
        <v>70</v>
      </c>
      <c r="C2" s="508"/>
      <c r="D2" s="508"/>
      <c r="E2" s="79"/>
      <c r="F2" s="79"/>
      <c r="G2" s="79"/>
      <c r="H2" s="79"/>
      <c r="I2" s="79"/>
      <c r="J2" s="79"/>
      <c r="K2" s="79"/>
      <c r="L2" s="79"/>
      <c r="M2" s="79"/>
      <c r="N2" s="79"/>
      <c r="O2" s="79"/>
      <c r="P2" s="79"/>
      <c r="Q2" s="79"/>
      <c r="R2" s="79"/>
      <c r="S2" s="79"/>
      <c r="T2" s="79"/>
    </row>
    <row r="4" spans="1:20" ht="13.8" customHeight="1">
      <c r="B4" s="20" t="s">
        <v>1</v>
      </c>
      <c r="C4" s="20" t="s">
        <v>33</v>
      </c>
      <c r="D4" s="20" t="s">
        <v>34</v>
      </c>
      <c r="E4" s="514" t="s">
        <v>39</v>
      </c>
    </row>
    <row r="5" spans="1:20">
      <c r="B5" s="21">
        <v>1</v>
      </c>
      <c r="C5" s="21">
        <v>233</v>
      </c>
      <c r="D5" s="21">
        <v>0</v>
      </c>
      <c r="E5" s="515"/>
    </row>
    <row r="6" spans="1:20">
      <c r="B6" s="21">
        <v>2</v>
      </c>
      <c r="C6" s="80">
        <v>286</v>
      </c>
      <c r="D6" s="80">
        <v>53</v>
      </c>
      <c r="E6" s="80">
        <f>C6-250</f>
        <v>36</v>
      </c>
    </row>
    <row r="7" spans="1:20">
      <c r="B7" s="21">
        <v>3</v>
      </c>
      <c r="C7" s="21">
        <v>337</v>
      </c>
      <c r="D7" s="21">
        <v>51</v>
      </c>
      <c r="E7" s="21">
        <f>C7-C6</f>
        <v>51</v>
      </c>
    </row>
    <row r="8" spans="1:20">
      <c r="B8" s="21">
        <v>4</v>
      </c>
      <c r="C8" s="21">
        <v>373</v>
      </c>
      <c r="D8" s="21">
        <v>36</v>
      </c>
      <c r="E8" s="21">
        <f>C8-C7</f>
        <v>36</v>
      </c>
    </row>
    <row r="9" spans="1:20">
      <c r="B9" s="21">
        <v>5</v>
      </c>
      <c r="C9" s="21">
        <v>479</v>
      </c>
      <c r="D9" s="21">
        <v>106</v>
      </c>
      <c r="E9" s="21">
        <f>C9-C8</f>
        <v>106</v>
      </c>
    </row>
    <row r="10" spans="1:20" ht="8.4" customHeight="1">
      <c r="B10" s="22"/>
      <c r="C10" s="22"/>
      <c r="D10" s="22"/>
    </row>
    <row r="11" spans="1:20">
      <c r="B11" s="23" t="s">
        <v>36</v>
      </c>
      <c r="C11" s="22"/>
      <c r="D11" s="22"/>
    </row>
    <row r="12" spans="1:20">
      <c r="B12" s="23"/>
      <c r="C12" s="22"/>
      <c r="D12" s="22"/>
    </row>
    <row r="14" spans="1:20">
      <c r="B14" s="512" t="s">
        <v>55</v>
      </c>
      <c r="C14" s="512"/>
      <c r="D14" s="512"/>
      <c r="E14" s="512"/>
    </row>
    <row r="15" spans="1:20">
      <c r="B15" s="60" t="s">
        <v>1</v>
      </c>
      <c r="C15" s="29" t="s">
        <v>35</v>
      </c>
      <c r="D15" s="60" t="s">
        <v>37</v>
      </c>
      <c r="E15" s="60" t="s">
        <v>27</v>
      </c>
    </row>
    <row r="16" spans="1:20">
      <c r="B16" s="21">
        <v>1</v>
      </c>
      <c r="C16" s="24">
        <v>1050000</v>
      </c>
      <c r="D16" s="24">
        <v>40000</v>
      </c>
      <c r="E16" s="59">
        <f>C16+D16</f>
        <v>1090000</v>
      </c>
      <c r="F16" s="25" t="s">
        <v>47</v>
      </c>
    </row>
    <row r="17" spans="2:6">
      <c r="B17" s="21">
        <v>2</v>
      </c>
      <c r="C17" s="24">
        <f>E58</f>
        <v>204855</v>
      </c>
      <c r="D17" s="20" t="s">
        <v>50</v>
      </c>
      <c r="E17" s="27">
        <f>C17</f>
        <v>204855</v>
      </c>
      <c r="F17" s="23" t="s">
        <v>38</v>
      </c>
    </row>
    <row r="18" spans="2:6">
      <c r="B18" s="21">
        <v>3</v>
      </c>
      <c r="C18" s="46">
        <f>J58</f>
        <v>185770</v>
      </c>
      <c r="D18" s="20" t="s">
        <v>50</v>
      </c>
      <c r="E18" s="27">
        <f>C18</f>
        <v>185770</v>
      </c>
      <c r="F18" s="61" t="s">
        <v>52</v>
      </c>
    </row>
    <row r="19" spans="2:6">
      <c r="B19" s="21">
        <v>4</v>
      </c>
      <c r="C19" s="46">
        <f>O58</f>
        <v>173135</v>
      </c>
      <c r="D19" s="20" t="s">
        <v>50</v>
      </c>
      <c r="E19" s="27">
        <f>C19</f>
        <v>173135</v>
      </c>
    </row>
    <row r="20" spans="2:6">
      <c r="B20" s="21">
        <v>5</v>
      </c>
      <c r="C20" s="46">
        <f>T58</f>
        <v>529050</v>
      </c>
      <c r="D20" s="20" t="s">
        <v>50</v>
      </c>
      <c r="E20" s="27">
        <f>C20</f>
        <v>529050</v>
      </c>
    </row>
    <row r="23" spans="2:6" outlineLevel="1">
      <c r="B23" s="512" t="s">
        <v>56</v>
      </c>
      <c r="C23" s="512"/>
      <c r="D23" s="512"/>
      <c r="E23" s="512"/>
    </row>
    <row r="24" spans="2:6" outlineLevel="1">
      <c r="B24" s="60" t="s">
        <v>1</v>
      </c>
      <c r="C24" s="29" t="s">
        <v>35</v>
      </c>
      <c r="D24" s="60" t="s">
        <v>37</v>
      </c>
      <c r="E24" s="60" t="s">
        <v>27</v>
      </c>
    </row>
    <row r="25" spans="2:6" outlineLevel="1">
      <c r="B25" s="21">
        <v>1</v>
      </c>
      <c r="C25" s="24">
        <v>1050000</v>
      </c>
      <c r="D25" s="24">
        <v>40000</v>
      </c>
      <c r="E25" s="59">
        <f>C25+D25</f>
        <v>1090000</v>
      </c>
      <c r="F25" s="25" t="s">
        <v>47</v>
      </c>
    </row>
    <row r="26" spans="2:6" outlineLevel="1">
      <c r="B26" s="21">
        <v>2</v>
      </c>
      <c r="C26" s="24">
        <f>F48</f>
        <v>139146.79245283018</v>
      </c>
      <c r="D26" s="20" t="s">
        <v>50</v>
      </c>
      <c r="E26" s="27">
        <f>C26</f>
        <v>139146.79245283018</v>
      </c>
      <c r="F26" s="23" t="s">
        <v>38</v>
      </c>
    </row>
    <row r="27" spans="2:6" ht="14.4" outlineLevel="1">
      <c r="B27" s="21">
        <v>3</v>
      </c>
      <c r="C27" s="46">
        <f>J58</f>
        <v>185770</v>
      </c>
      <c r="D27" s="20" t="s">
        <v>50</v>
      </c>
      <c r="E27" s="27">
        <f>C27</f>
        <v>185770</v>
      </c>
      <c r="F27" s="78" t="s">
        <v>53</v>
      </c>
    </row>
    <row r="28" spans="2:6" outlineLevel="1">
      <c r="B28" s="21">
        <v>4</v>
      </c>
      <c r="C28" s="46">
        <f>O58</f>
        <v>173135</v>
      </c>
      <c r="D28" s="20" t="s">
        <v>50</v>
      </c>
      <c r="E28" s="27">
        <f>C28</f>
        <v>173135</v>
      </c>
    </row>
    <row r="29" spans="2:6" outlineLevel="1">
      <c r="B29" s="21">
        <v>5</v>
      </c>
      <c r="C29" s="46">
        <f>T58</f>
        <v>529050</v>
      </c>
      <c r="D29" s="20" t="s">
        <v>50</v>
      </c>
      <c r="E29" s="27">
        <f>C29</f>
        <v>529050</v>
      </c>
    </row>
    <row r="30" spans="2:6" outlineLevel="1"/>
    <row r="31" spans="2:6" outlineLevel="1">
      <c r="B31" s="18" t="s">
        <v>62</v>
      </c>
    </row>
    <row r="32" spans="2:6" outlineLevel="1">
      <c r="B32" s="18" t="s">
        <v>54</v>
      </c>
    </row>
    <row r="33" spans="2:8" outlineLevel="1">
      <c r="B33" s="63" t="s">
        <v>60</v>
      </c>
    </row>
    <row r="34" spans="2:8" ht="6.6" customHeight="1" outlineLevel="1">
      <c r="B34" s="62"/>
    </row>
    <row r="35" spans="2:8" outlineLevel="1">
      <c r="B35" s="18" t="s">
        <v>57</v>
      </c>
    </row>
    <row r="36" spans="2:8" outlineLevel="1">
      <c r="B36" s="18" t="s">
        <v>61</v>
      </c>
    </row>
    <row r="37" spans="2:8" ht="6" customHeight="1" outlineLevel="1"/>
    <row r="38" spans="2:8" outlineLevel="1">
      <c r="B38" s="18" t="s">
        <v>58</v>
      </c>
    </row>
    <row r="39" spans="2:8" outlineLevel="1">
      <c r="B39" s="18" t="s">
        <v>64</v>
      </c>
    </row>
    <row r="40" spans="2:8" ht="3.6" customHeight="1" outlineLevel="1"/>
    <row r="41" spans="2:8" outlineLevel="1">
      <c r="B41" t="s">
        <v>59</v>
      </c>
    </row>
    <row r="42" spans="2:8" outlineLevel="1">
      <c r="B42" s="18" t="s">
        <v>63</v>
      </c>
    </row>
    <row r="43" spans="2:8" ht="7.2" customHeight="1" outlineLevel="1"/>
    <row r="44" spans="2:8" outlineLevel="1">
      <c r="B44" s="18" t="s">
        <v>65</v>
      </c>
    </row>
    <row r="45" spans="2:8" outlineLevel="1">
      <c r="B45" s="18" t="s">
        <v>68</v>
      </c>
    </row>
    <row r="46" spans="2:8" ht="14.4" outlineLevel="1" thickBot="1">
      <c r="B46" s="18"/>
    </row>
    <row r="47" spans="2:8" outlineLevel="1">
      <c r="B47" s="20" t="s">
        <v>66</v>
      </c>
      <c r="C47" s="20" t="s">
        <v>42</v>
      </c>
      <c r="E47" s="66" t="s">
        <v>69</v>
      </c>
      <c r="F47" s="67"/>
      <c r="G47" s="67"/>
      <c r="H47" s="68"/>
    </row>
    <row r="48" spans="2:8" ht="14.4" outlineLevel="1" thickBot="1">
      <c r="B48" s="20">
        <v>53</v>
      </c>
      <c r="C48" s="27">
        <f>E58</f>
        <v>204855</v>
      </c>
      <c r="E48" s="69"/>
      <c r="F48" s="513">
        <f>B49*C48/B48</f>
        <v>139146.79245283018</v>
      </c>
      <c r="G48" s="513"/>
      <c r="H48" s="70"/>
    </row>
    <row r="49" spans="2:20" ht="14.4" outlineLevel="1">
      <c r="B49" s="20">
        <v>36</v>
      </c>
      <c r="C49" s="64" t="s">
        <v>67</v>
      </c>
    </row>
    <row r="50" spans="2:20" s="376" customFormat="1"/>
    <row r="51" spans="2:20" ht="14.4" thickBot="1"/>
    <row r="52" spans="2:20">
      <c r="B52" s="509" t="s">
        <v>40</v>
      </c>
      <c r="C52" s="510"/>
      <c r="D52" s="510"/>
      <c r="E52" s="511"/>
      <c r="G52" s="509" t="s">
        <v>45</v>
      </c>
      <c r="H52" s="510"/>
      <c r="I52" s="510"/>
      <c r="J52" s="511"/>
      <c r="L52" s="509" t="s">
        <v>48</v>
      </c>
      <c r="M52" s="510"/>
      <c r="N52" s="510"/>
      <c r="O52" s="511"/>
      <c r="Q52" s="509" t="s">
        <v>49</v>
      </c>
      <c r="R52" s="510"/>
      <c r="S52" s="510"/>
      <c r="T52" s="511"/>
    </row>
    <row r="53" spans="2:20">
      <c r="B53" s="71" t="s">
        <v>41</v>
      </c>
      <c r="C53" s="72" t="s">
        <v>42</v>
      </c>
      <c r="D53" s="72" t="s">
        <v>44</v>
      </c>
      <c r="E53" s="73" t="s">
        <v>46</v>
      </c>
      <c r="G53" s="71" t="s">
        <v>41</v>
      </c>
      <c r="H53" s="72" t="s">
        <v>42</v>
      </c>
      <c r="I53" s="72" t="s">
        <v>44</v>
      </c>
      <c r="J53" s="73" t="s">
        <v>46</v>
      </c>
      <c r="L53" s="71" t="s">
        <v>41</v>
      </c>
      <c r="M53" s="72" t="s">
        <v>42</v>
      </c>
      <c r="N53" s="72" t="s">
        <v>44</v>
      </c>
      <c r="O53" s="73" t="s">
        <v>46</v>
      </c>
      <c r="Q53" s="71" t="s">
        <v>41</v>
      </c>
      <c r="R53" s="72" t="s">
        <v>42</v>
      </c>
      <c r="S53" s="72" t="s">
        <v>44</v>
      </c>
      <c r="T53" s="73" t="s">
        <v>46</v>
      </c>
    </row>
    <row r="54" spans="2:20">
      <c r="B54" s="47" t="s">
        <v>23</v>
      </c>
      <c r="C54" s="19">
        <v>8</v>
      </c>
      <c r="D54" s="19">
        <v>2430</v>
      </c>
      <c r="E54" s="48">
        <f>C54*D54</f>
        <v>19440</v>
      </c>
      <c r="G54" s="47" t="s">
        <v>23</v>
      </c>
      <c r="H54" s="19">
        <v>5</v>
      </c>
      <c r="I54" s="19">
        <v>2430</v>
      </c>
      <c r="J54" s="48">
        <f>H54*I54</f>
        <v>12150</v>
      </c>
      <c r="L54" s="47" t="s">
        <v>23</v>
      </c>
      <c r="M54" s="19">
        <v>2</v>
      </c>
      <c r="N54" s="19">
        <v>2430</v>
      </c>
      <c r="O54" s="48">
        <f>M54*N54</f>
        <v>4860</v>
      </c>
      <c r="Q54" s="47" t="s">
        <v>23</v>
      </c>
      <c r="R54" s="19">
        <v>10</v>
      </c>
      <c r="S54" s="19">
        <v>2430</v>
      </c>
      <c r="T54" s="48">
        <f>R54*S54</f>
        <v>24300</v>
      </c>
    </row>
    <row r="55" spans="2:20">
      <c r="B55" s="47" t="s">
        <v>24</v>
      </c>
      <c r="C55" s="19">
        <v>10</v>
      </c>
      <c r="D55" s="19">
        <v>2250</v>
      </c>
      <c r="E55" s="48">
        <f>C55*D55</f>
        <v>22500</v>
      </c>
      <c r="G55" s="47" t="s">
        <v>24</v>
      </c>
      <c r="H55" s="19">
        <v>13</v>
      </c>
      <c r="I55" s="19">
        <v>2250</v>
      </c>
      <c r="J55" s="48">
        <f>H55*I55</f>
        <v>29250</v>
      </c>
      <c r="L55" s="47" t="s">
        <v>24</v>
      </c>
      <c r="M55" s="19">
        <v>1</v>
      </c>
      <c r="N55" s="19">
        <v>2250</v>
      </c>
      <c r="O55" s="48">
        <f>M55*N55</f>
        <v>2250</v>
      </c>
      <c r="Q55" s="47" t="s">
        <v>24</v>
      </c>
      <c r="R55" s="19">
        <v>5</v>
      </c>
      <c r="S55" s="19">
        <v>2250</v>
      </c>
      <c r="T55" s="48">
        <f>R55*S55</f>
        <v>11250</v>
      </c>
    </row>
    <row r="56" spans="2:20">
      <c r="B56" s="47" t="s">
        <v>25</v>
      </c>
      <c r="C56" s="19">
        <v>20</v>
      </c>
      <c r="D56" s="19"/>
      <c r="E56" s="48">
        <f>D65</f>
        <v>96615</v>
      </c>
      <c r="G56" s="47" t="s">
        <v>25</v>
      </c>
      <c r="H56" s="19">
        <v>21</v>
      </c>
      <c r="I56" s="19"/>
      <c r="J56" s="48">
        <f>I65</f>
        <v>91330</v>
      </c>
      <c r="L56" s="47" t="s">
        <v>25</v>
      </c>
      <c r="M56" s="19">
        <v>22</v>
      </c>
      <c r="N56" s="19"/>
      <c r="O56" s="48">
        <f>N65</f>
        <v>117405</v>
      </c>
      <c r="Q56" s="47" t="s">
        <v>25</v>
      </c>
      <c r="R56" s="19">
        <v>76</v>
      </c>
      <c r="S56" s="19"/>
      <c r="T56" s="48">
        <f>S65</f>
        <v>427200</v>
      </c>
    </row>
    <row r="57" spans="2:20">
      <c r="B57" s="47" t="s">
        <v>26</v>
      </c>
      <c r="C57" s="19">
        <v>15</v>
      </c>
      <c r="D57" s="19">
        <v>3400</v>
      </c>
      <c r="E57" s="48">
        <f>C57*D57*1.3</f>
        <v>66300</v>
      </c>
      <c r="G57" s="47" t="s">
        <v>26</v>
      </c>
      <c r="H57" s="19">
        <v>12</v>
      </c>
      <c r="I57" s="19">
        <v>3400</v>
      </c>
      <c r="J57" s="48">
        <f>H57*I57*1.3</f>
        <v>53040</v>
      </c>
      <c r="L57" s="47" t="s">
        <v>26</v>
      </c>
      <c r="M57" s="19">
        <v>11</v>
      </c>
      <c r="N57" s="19">
        <v>3400</v>
      </c>
      <c r="O57" s="48">
        <f>M57*N57*1.3</f>
        <v>48620</v>
      </c>
      <c r="Q57" s="47" t="s">
        <v>26</v>
      </c>
      <c r="R57" s="19">
        <v>15</v>
      </c>
      <c r="S57" s="19">
        <v>3400</v>
      </c>
      <c r="T57" s="48">
        <f>R57*S57*1.3</f>
        <v>66300</v>
      </c>
    </row>
    <row r="58" spans="2:20">
      <c r="B58" s="74" t="s">
        <v>27</v>
      </c>
      <c r="C58" s="75">
        <f>SUM(C54:C57)</f>
        <v>53</v>
      </c>
      <c r="D58" s="75"/>
      <c r="E58" s="76">
        <f>SUM(E54:E57)</f>
        <v>204855</v>
      </c>
      <c r="G58" s="74" t="s">
        <v>27</v>
      </c>
      <c r="H58" s="75">
        <f>SUM(H54:H57)</f>
        <v>51</v>
      </c>
      <c r="I58" s="75"/>
      <c r="J58" s="76">
        <f>SUM(J54:J57)</f>
        <v>185770</v>
      </c>
      <c r="L58" s="74" t="s">
        <v>27</v>
      </c>
      <c r="M58" s="75">
        <f>SUM(M54:M57)</f>
        <v>36</v>
      </c>
      <c r="N58" s="75"/>
      <c r="O58" s="76">
        <f>SUM(O54:O57)</f>
        <v>173135</v>
      </c>
      <c r="Q58" s="74" t="s">
        <v>27</v>
      </c>
      <c r="R58" s="75">
        <f>SUM(R54:R57)</f>
        <v>106</v>
      </c>
      <c r="S58" s="75"/>
      <c r="T58" s="76">
        <f>SUM(T54:T57)</f>
        <v>529050</v>
      </c>
    </row>
    <row r="59" spans="2:20" ht="13.8" customHeight="1">
      <c r="B59" s="49"/>
      <c r="C59" s="26"/>
      <c r="D59" s="26"/>
      <c r="E59" s="50"/>
      <c r="F59" s="26"/>
      <c r="G59" s="49"/>
      <c r="H59" s="26"/>
      <c r="I59" s="26"/>
      <c r="J59" s="54"/>
      <c r="L59" s="49"/>
      <c r="M59" s="26"/>
      <c r="N59" s="26"/>
      <c r="O59" s="54"/>
      <c r="Q59" s="49"/>
      <c r="R59" s="26"/>
      <c r="S59" s="26"/>
      <c r="T59" s="54"/>
    </row>
    <row r="60" spans="2:20" ht="14.4" customHeight="1">
      <c r="B60" s="51" t="s">
        <v>43</v>
      </c>
      <c r="C60" s="30" t="s">
        <v>44</v>
      </c>
      <c r="D60" s="30" t="s">
        <v>27</v>
      </c>
      <c r="E60" s="50"/>
      <c r="F60" s="26"/>
      <c r="G60" s="51" t="s">
        <v>43</v>
      </c>
      <c r="H60" s="30" t="s">
        <v>44</v>
      </c>
      <c r="I60" s="30" t="s">
        <v>27</v>
      </c>
      <c r="J60" s="54"/>
      <c r="L60" s="51" t="s">
        <v>43</v>
      </c>
      <c r="M60" s="30" t="s">
        <v>44</v>
      </c>
      <c r="N60" s="30" t="s">
        <v>27</v>
      </c>
      <c r="O60" s="54"/>
      <c r="Q60" s="51" t="s">
        <v>43</v>
      </c>
      <c r="R60" s="30" t="s">
        <v>44</v>
      </c>
      <c r="S60" s="30" t="s">
        <v>27</v>
      </c>
      <c r="T60" s="54"/>
    </row>
    <row r="61" spans="2:20">
      <c r="B61" s="52">
        <v>4</v>
      </c>
      <c r="C61" s="28">
        <v>3400</v>
      </c>
      <c r="D61" s="28">
        <f>B61*C61</f>
        <v>13600</v>
      </c>
      <c r="E61" s="50"/>
      <c r="F61" s="26"/>
      <c r="G61" s="52">
        <v>9</v>
      </c>
      <c r="H61" s="28">
        <v>3400</v>
      </c>
      <c r="I61" s="28">
        <f>G61*H61</f>
        <v>30600</v>
      </c>
      <c r="J61" s="54"/>
      <c r="L61" s="52">
        <v>5</v>
      </c>
      <c r="M61" s="28">
        <v>3400</v>
      </c>
      <c r="N61" s="28">
        <f>L61*M61</f>
        <v>17000</v>
      </c>
      <c r="O61" s="54"/>
      <c r="Q61" s="52">
        <v>6</v>
      </c>
      <c r="R61" s="28">
        <v>3400</v>
      </c>
      <c r="S61" s="28">
        <f>Q61*R61</f>
        <v>20400</v>
      </c>
      <c r="T61" s="54"/>
    </row>
    <row r="62" spans="2:20">
      <c r="B62" s="53">
        <v>6</v>
      </c>
      <c r="C62" s="21">
        <v>4365</v>
      </c>
      <c r="D62" s="28">
        <f>B62*C62</f>
        <v>26190</v>
      </c>
      <c r="E62" s="54"/>
      <c r="G62" s="53">
        <v>7</v>
      </c>
      <c r="H62" s="21">
        <v>4365</v>
      </c>
      <c r="I62" s="28">
        <f>G62*H62</f>
        <v>30555</v>
      </c>
      <c r="J62" s="54"/>
      <c r="L62" s="53">
        <v>3</v>
      </c>
      <c r="M62" s="21">
        <v>4365</v>
      </c>
      <c r="N62" s="28">
        <f>L62*M62</f>
        <v>13095</v>
      </c>
      <c r="O62" s="54"/>
      <c r="Q62" s="53">
        <v>15</v>
      </c>
      <c r="R62" s="21">
        <v>4365</v>
      </c>
      <c r="S62" s="28">
        <f>Q62*R62</f>
        <v>65475</v>
      </c>
      <c r="T62" s="54"/>
    </row>
    <row r="63" spans="2:20">
      <c r="B63" s="55">
        <v>9</v>
      </c>
      <c r="C63" s="21">
        <v>5565</v>
      </c>
      <c r="D63" s="28">
        <f>B63*C63</f>
        <v>50085</v>
      </c>
      <c r="E63" s="54"/>
      <c r="G63" s="55">
        <v>3</v>
      </c>
      <c r="H63" s="21">
        <v>5565</v>
      </c>
      <c r="I63" s="28">
        <f>G63*H63</f>
        <v>16695</v>
      </c>
      <c r="J63" s="54"/>
      <c r="L63" s="55">
        <v>6</v>
      </c>
      <c r="M63" s="21">
        <v>5565</v>
      </c>
      <c r="N63" s="28">
        <f>L63*M63</f>
        <v>33390</v>
      </c>
      <c r="O63" s="54"/>
      <c r="Q63" s="55">
        <v>25</v>
      </c>
      <c r="R63" s="21">
        <v>5565</v>
      </c>
      <c r="S63" s="28">
        <f>Q63*R63</f>
        <v>139125</v>
      </c>
      <c r="T63" s="54"/>
    </row>
    <row r="64" spans="2:20">
      <c r="B64" s="52">
        <v>1</v>
      </c>
      <c r="C64" s="21">
        <v>6740</v>
      </c>
      <c r="D64" s="28">
        <f>B64*C64</f>
        <v>6740</v>
      </c>
      <c r="E64" s="54"/>
      <c r="G64" s="52">
        <v>2</v>
      </c>
      <c r="H64" s="21">
        <v>6740</v>
      </c>
      <c r="I64" s="28">
        <f>G64*H64</f>
        <v>13480</v>
      </c>
      <c r="J64" s="54"/>
      <c r="L64" s="52">
        <v>8</v>
      </c>
      <c r="M64" s="21">
        <v>6740</v>
      </c>
      <c r="N64" s="28">
        <f>L64*M64</f>
        <v>53920</v>
      </c>
      <c r="O64" s="54"/>
      <c r="Q64" s="52">
        <v>30</v>
      </c>
      <c r="R64" s="21">
        <v>6740</v>
      </c>
      <c r="S64" s="28">
        <f>Q64*R64</f>
        <v>202200</v>
      </c>
      <c r="T64" s="54"/>
    </row>
    <row r="65" spans="2:20" ht="14.4" thickBot="1">
      <c r="B65" s="56"/>
      <c r="C65" s="77" t="s">
        <v>27</v>
      </c>
      <c r="D65" s="77">
        <f>SUM(D61:D64)</f>
        <v>96615</v>
      </c>
      <c r="E65" s="57"/>
      <c r="G65" s="56"/>
      <c r="H65" s="77" t="s">
        <v>27</v>
      </c>
      <c r="I65" s="77">
        <f>SUM(I61:I64)</f>
        <v>91330</v>
      </c>
      <c r="J65" s="57"/>
      <c r="L65" s="56"/>
      <c r="M65" s="77" t="s">
        <v>27</v>
      </c>
      <c r="N65" s="77">
        <f>SUM(N61:N64)</f>
        <v>117405</v>
      </c>
      <c r="O65" s="57"/>
      <c r="Q65" s="56"/>
      <c r="R65" s="77" t="s">
        <v>27</v>
      </c>
      <c r="S65" s="77">
        <f>SUM(S61:S64)</f>
        <v>427200</v>
      </c>
      <c r="T65" s="57"/>
    </row>
    <row r="67" spans="2:20">
      <c r="D67" s="58" t="s">
        <v>51</v>
      </c>
      <c r="E67" s="7"/>
      <c r="F67" s="7"/>
      <c r="G67" s="7"/>
      <c r="H67" s="7"/>
      <c r="I67" s="7"/>
      <c r="J67" s="7"/>
      <c r="K67" s="7"/>
      <c r="L67" s="7"/>
    </row>
  </sheetData>
  <mergeCells count="9">
    <mergeCell ref="B2:D2"/>
    <mergeCell ref="B52:E52"/>
    <mergeCell ref="G52:J52"/>
    <mergeCell ref="L52:O52"/>
    <mergeCell ref="Q52:T52"/>
    <mergeCell ref="B14:E14"/>
    <mergeCell ref="B23:E23"/>
    <mergeCell ref="F48:G48"/>
    <mergeCell ref="E4:E5"/>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BA5859-B21A-4C6A-9149-473472EE4905}">
  <dimension ref="A1:O21"/>
  <sheetViews>
    <sheetView workbookViewId="0">
      <selection activeCell="G25" sqref="G25:G32"/>
    </sheetView>
  </sheetViews>
  <sheetFormatPr defaultRowHeight="13.2"/>
  <cols>
    <col min="1" max="1" width="48" style="237" customWidth="1"/>
    <col min="2" max="2" width="5.77734375" style="237" customWidth="1"/>
    <col min="3" max="3" width="2.88671875" style="237" customWidth="1"/>
    <col min="4" max="4" width="0.88671875" style="237" customWidth="1"/>
    <col min="5" max="5" width="18" style="237" customWidth="1"/>
    <col min="6" max="6" width="4.6640625" style="237" customWidth="1"/>
    <col min="7" max="7" width="0.88671875" style="237" customWidth="1"/>
    <col min="8" max="8" width="5.77734375" style="237" customWidth="1"/>
    <col min="9" max="9" width="3.5546875" style="237" customWidth="1"/>
    <col min="10" max="10" width="5.109375" style="237" customWidth="1"/>
    <col min="11" max="11" width="9.33203125" style="237" customWidth="1"/>
    <col min="12" max="12" width="2.21875" style="237" customWidth="1"/>
    <col min="13" max="13" width="2.6640625" style="237" customWidth="1"/>
    <col min="14" max="14" width="5.33203125" style="237" customWidth="1"/>
    <col min="15" max="15" width="2.88671875" style="237" customWidth="1"/>
    <col min="16" max="16384" width="8.88671875" style="237"/>
  </cols>
  <sheetData>
    <row r="1" spans="1:15" ht="31.5" customHeight="1">
      <c r="A1" s="529" t="s">
        <v>544</v>
      </c>
      <c r="B1" s="529"/>
      <c r="C1" s="529"/>
      <c r="D1" s="529"/>
      <c r="E1" s="529"/>
      <c r="F1" s="529"/>
      <c r="G1" s="529"/>
      <c r="H1" s="529"/>
      <c r="I1" s="529"/>
      <c r="J1" s="529"/>
      <c r="K1" s="529"/>
      <c r="L1" s="529"/>
      <c r="M1" s="529"/>
      <c r="N1" s="529"/>
      <c r="O1" s="529"/>
    </row>
    <row r="2" spans="1:15" ht="16.5" customHeight="1">
      <c r="A2" s="529" t="s">
        <v>545</v>
      </c>
      <c r="B2" s="529"/>
      <c r="C2" s="529"/>
      <c r="D2" s="529"/>
      <c r="E2" s="529"/>
      <c r="F2" s="529"/>
      <c r="G2" s="529"/>
      <c r="H2" s="529"/>
      <c r="I2" s="529"/>
      <c r="J2" s="529"/>
      <c r="K2" s="529"/>
      <c r="L2" s="529"/>
      <c r="M2" s="529"/>
      <c r="N2" s="529"/>
      <c r="O2" s="529"/>
    </row>
    <row r="3" spans="1:15" ht="31.2" customHeight="1">
      <c r="A3" s="644" t="s">
        <v>546</v>
      </c>
      <c r="B3" s="644"/>
      <c r="C3" s="644"/>
      <c r="D3" s="644"/>
      <c r="E3" s="549" t="s">
        <v>547</v>
      </c>
      <c r="F3" s="549"/>
      <c r="G3" s="645" t="s">
        <v>548</v>
      </c>
      <c r="H3" s="645"/>
      <c r="I3" s="645"/>
      <c r="J3" s="645" t="s">
        <v>549</v>
      </c>
      <c r="K3" s="645"/>
      <c r="L3" s="645"/>
      <c r="M3" s="645"/>
      <c r="N3" s="645"/>
      <c r="O3" s="645"/>
    </row>
    <row r="4" spans="1:15" ht="10.8" customHeight="1">
      <c r="A4" s="443" t="s">
        <v>550</v>
      </c>
      <c r="B4" s="444" t="s">
        <v>551</v>
      </c>
      <c r="C4" s="445">
        <v>99</v>
      </c>
      <c r="D4" s="646" t="s">
        <v>552</v>
      </c>
      <c r="E4" s="646"/>
      <c r="F4" s="646"/>
      <c r="G4" s="646"/>
      <c r="H4" s="446">
        <v>1763</v>
      </c>
      <c r="I4" s="647">
        <v>1713</v>
      </c>
      <c r="J4" s="647"/>
      <c r="K4" s="648">
        <v>221</v>
      </c>
      <c r="L4" s="648"/>
      <c r="M4" s="648"/>
      <c r="N4" s="446">
        <v>1933</v>
      </c>
    </row>
    <row r="5" spans="1:15" ht="14.55" customHeight="1">
      <c r="A5" s="447" t="s">
        <v>553</v>
      </c>
      <c r="B5" s="253"/>
      <c r="C5" s="253"/>
      <c r="D5" s="539"/>
      <c r="E5" s="539"/>
      <c r="F5" s="539"/>
      <c r="G5" s="539"/>
      <c r="H5" s="253"/>
      <c r="I5" s="539"/>
      <c r="J5" s="539"/>
      <c r="K5" s="539"/>
      <c r="L5" s="539"/>
      <c r="M5" s="539"/>
      <c r="N5" s="253"/>
    </row>
    <row r="6" spans="1:15" ht="14.55" customHeight="1">
      <c r="A6" s="448" t="s">
        <v>554</v>
      </c>
      <c r="B6" s="449" t="s">
        <v>438</v>
      </c>
      <c r="C6" s="253"/>
      <c r="D6" s="649" t="s">
        <v>555</v>
      </c>
      <c r="E6" s="649"/>
      <c r="F6" s="649"/>
      <c r="G6" s="649"/>
      <c r="H6" s="450">
        <v>565</v>
      </c>
      <c r="I6" s="650">
        <v>565</v>
      </c>
      <c r="J6" s="650"/>
      <c r="K6" s="651">
        <v>-503</v>
      </c>
      <c r="L6" s="651"/>
      <c r="M6" s="651"/>
      <c r="N6" s="450">
        <v>62</v>
      </c>
    </row>
    <row r="7" spans="1:15" ht="14.55" customHeight="1">
      <c r="A7" s="447" t="s">
        <v>556</v>
      </c>
      <c r="B7" s="253"/>
      <c r="C7" s="253"/>
      <c r="D7" s="539"/>
      <c r="E7" s="539"/>
      <c r="F7" s="539"/>
      <c r="G7" s="539"/>
      <c r="H7" s="253"/>
      <c r="I7" s="539"/>
      <c r="J7" s="539"/>
      <c r="K7" s="539"/>
      <c r="L7" s="539"/>
      <c r="M7" s="539"/>
      <c r="N7" s="253"/>
    </row>
    <row r="8" spans="1:15" ht="10.8" customHeight="1">
      <c r="A8" s="448" t="s">
        <v>557</v>
      </c>
      <c r="B8" s="238"/>
      <c r="C8" s="238"/>
      <c r="D8" s="530"/>
      <c r="E8" s="530"/>
      <c r="F8" s="530"/>
      <c r="G8" s="530"/>
      <c r="H8" s="238"/>
      <c r="I8" s="530"/>
      <c r="J8" s="530"/>
      <c r="K8" s="530"/>
      <c r="L8" s="530"/>
      <c r="M8" s="530"/>
      <c r="N8" s="238"/>
    </row>
    <row r="9" spans="1:15" ht="15" customHeight="1">
      <c r="A9" s="364" t="s">
        <v>558</v>
      </c>
      <c r="B9" s="652" t="s">
        <v>559</v>
      </c>
      <c r="C9" s="652"/>
      <c r="D9" s="652"/>
      <c r="E9" s="652"/>
      <c r="F9" s="653">
        <v>38</v>
      </c>
      <c r="G9" s="653"/>
      <c r="H9" s="451" t="s">
        <v>438</v>
      </c>
      <c r="I9" s="654">
        <v>38</v>
      </c>
      <c r="J9" s="654"/>
      <c r="K9" s="655">
        <v>13</v>
      </c>
      <c r="L9" s="655"/>
      <c r="M9" s="655"/>
      <c r="N9" s="452">
        <v>51</v>
      </c>
    </row>
    <row r="10" spans="1:15" ht="23.25" customHeight="1">
      <c r="A10" s="453" t="s">
        <v>560</v>
      </c>
      <c r="B10" s="656" t="s">
        <v>561</v>
      </c>
      <c r="C10" s="656"/>
      <c r="D10" s="656"/>
      <c r="E10" s="656"/>
      <c r="F10" s="657">
        <v>38</v>
      </c>
      <c r="G10" s="657"/>
      <c r="H10" s="454" t="s">
        <v>562</v>
      </c>
      <c r="I10" s="658">
        <v>38</v>
      </c>
      <c r="J10" s="658"/>
      <c r="K10" s="659">
        <v>13</v>
      </c>
      <c r="L10" s="659"/>
      <c r="M10" s="659"/>
      <c r="N10" s="455">
        <v>51</v>
      </c>
    </row>
    <row r="11" spans="1:15" ht="9" customHeight="1">
      <c r="A11" s="456" t="s">
        <v>563</v>
      </c>
      <c r="B11" s="660" t="s">
        <v>561</v>
      </c>
      <c r="C11" s="660"/>
      <c r="D11" s="660"/>
      <c r="E11" s="660"/>
      <c r="F11" s="661">
        <v>38</v>
      </c>
      <c r="G11" s="661"/>
      <c r="H11" s="457">
        <v>565</v>
      </c>
      <c r="I11" s="662">
        <v>603</v>
      </c>
      <c r="J11" s="662"/>
      <c r="K11" s="663">
        <v>-490</v>
      </c>
      <c r="L11" s="663"/>
      <c r="M11" s="663"/>
      <c r="N11" s="457">
        <v>113</v>
      </c>
    </row>
    <row r="12" spans="1:15" ht="18.75" customHeight="1">
      <c r="A12" s="458" t="s">
        <v>564</v>
      </c>
      <c r="B12" s="532"/>
      <c r="C12" s="532"/>
      <c r="D12" s="532"/>
      <c r="E12" s="532"/>
      <c r="F12" s="532"/>
      <c r="G12" s="532"/>
      <c r="H12" s="242"/>
      <c r="I12" s="532"/>
      <c r="J12" s="532"/>
      <c r="K12" s="532"/>
      <c r="L12" s="532"/>
      <c r="M12" s="532"/>
      <c r="N12" s="242"/>
    </row>
    <row r="13" spans="1:15" ht="15.75" customHeight="1">
      <c r="A13" s="459" t="s">
        <v>565</v>
      </c>
      <c r="B13" s="664" t="s">
        <v>559</v>
      </c>
      <c r="C13" s="664"/>
      <c r="D13" s="664"/>
      <c r="E13" s="664"/>
      <c r="F13" s="665">
        <v>12</v>
      </c>
      <c r="G13" s="665"/>
      <c r="H13" s="460">
        <v>-378</v>
      </c>
      <c r="I13" s="666">
        <v>-366</v>
      </c>
      <c r="J13" s="666"/>
      <c r="K13" s="667">
        <v>366</v>
      </c>
      <c r="L13" s="667"/>
      <c r="M13" s="667"/>
      <c r="N13" s="461" t="s">
        <v>438</v>
      </c>
    </row>
    <row r="14" spans="1:15" ht="16.05" customHeight="1">
      <c r="A14" s="459" t="s">
        <v>566</v>
      </c>
      <c r="B14" s="664" t="s">
        <v>567</v>
      </c>
      <c r="C14" s="664"/>
      <c r="D14" s="664"/>
      <c r="E14" s="664"/>
      <c r="F14" s="539"/>
      <c r="G14" s="539"/>
      <c r="H14" s="461" t="s">
        <v>438</v>
      </c>
      <c r="I14" s="664" t="s">
        <v>438</v>
      </c>
      <c r="J14" s="664"/>
      <c r="K14" s="665">
        <v>2</v>
      </c>
      <c r="L14" s="665"/>
      <c r="M14" s="665"/>
      <c r="N14" s="450">
        <v>2</v>
      </c>
    </row>
    <row r="15" spans="1:15" ht="16.05" customHeight="1">
      <c r="A15" s="459" t="s">
        <v>568</v>
      </c>
      <c r="B15" s="664" t="s">
        <v>567</v>
      </c>
      <c r="C15" s="664"/>
      <c r="D15" s="664"/>
      <c r="E15" s="664"/>
      <c r="F15" s="539"/>
      <c r="G15" s="539"/>
      <c r="H15" s="461" t="s">
        <v>438</v>
      </c>
      <c r="I15" s="664" t="s">
        <v>438</v>
      </c>
      <c r="J15" s="664"/>
      <c r="K15" s="668">
        <v>-2</v>
      </c>
      <c r="L15" s="668"/>
      <c r="M15" s="668"/>
      <c r="N15" s="460">
        <v>-2</v>
      </c>
    </row>
    <row r="16" spans="1:15" ht="24.45" customHeight="1">
      <c r="A16" s="459" t="s">
        <v>569</v>
      </c>
      <c r="B16" s="669" t="s">
        <v>567</v>
      </c>
      <c r="C16" s="669"/>
      <c r="D16" s="669"/>
      <c r="E16" s="669"/>
      <c r="F16" s="539"/>
      <c r="G16" s="539"/>
      <c r="H16" s="462" t="s">
        <v>438</v>
      </c>
      <c r="I16" s="669" t="s">
        <v>438</v>
      </c>
      <c r="J16" s="669"/>
      <c r="K16" s="670">
        <v>5</v>
      </c>
      <c r="L16" s="670"/>
      <c r="M16" s="670"/>
      <c r="N16" s="463">
        <v>5</v>
      </c>
    </row>
    <row r="17" spans="1:15" ht="16.8" customHeight="1">
      <c r="A17" s="459" t="s">
        <v>570</v>
      </c>
      <c r="B17" s="664" t="s">
        <v>559</v>
      </c>
      <c r="C17" s="664"/>
      <c r="D17" s="664"/>
      <c r="E17" s="664"/>
      <c r="F17" s="665">
        <v>0</v>
      </c>
      <c r="G17" s="665"/>
      <c r="H17" s="450">
        <v>15</v>
      </c>
      <c r="I17" s="671">
        <v>15</v>
      </c>
      <c r="J17" s="671"/>
      <c r="K17" s="668">
        <v>-17</v>
      </c>
      <c r="L17" s="668"/>
      <c r="M17" s="668"/>
      <c r="N17" s="460">
        <v>-2</v>
      </c>
    </row>
    <row r="18" spans="1:15" ht="11.25" customHeight="1">
      <c r="A18" s="459" t="s">
        <v>571</v>
      </c>
      <c r="B18" s="664" t="s">
        <v>559</v>
      </c>
      <c r="C18" s="664"/>
      <c r="D18" s="664"/>
      <c r="E18" s="664"/>
      <c r="F18" s="665">
        <v>2</v>
      </c>
      <c r="G18" s="665"/>
      <c r="H18" s="460">
        <v>-4</v>
      </c>
      <c r="I18" s="672">
        <v>-3</v>
      </c>
      <c r="J18" s="672"/>
      <c r="K18" s="673" t="s">
        <v>438</v>
      </c>
      <c r="L18" s="673"/>
      <c r="M18" s="673"/>
      <c r="N18" s="460">
        <v>-3</v>
      </c>
    </row>
    <row r="19" spans="1:15" ht="24.3" customHeight="1">
      <c r="A19" s="674" t="s">
        <v>572</v>
      </c>
      <c r="B19" s="674"/>
      <c r="C19" s="674"/>
      <c r="D19" s="675" t="s">
        <v>555</v>
      </c>
      <c r="E19" s="675"/>
      <c r="F19" s="675"/>
      <c r="G19" s="675"/>
      <c r="H19" s="676">
        <v>-85</v>
      </c>
      <c r="I19" s="676"/>
      <c r="J19" s="464">
        <v>-85</v>
      </c>
      <c r="K19" s="465" t="s">
        <v>438</v>
      </c>
      <c r="L19" s="269"/>
      <c r="M19" s="677">
        <v>-85</v>
      </c>
      <c r="N19" s="677"/>
    </row>
    <row r="20" spans="1:15" ht="9" customHeight="1">
      <c r="A20" s="678" t="s">
        <v>573</v>
      </c>
      <c r="B20" s="678"/>
      <c r="C20" s="678"/>
      <c r="D20" s="678" t="s">
        <v>574</v>
      </c>
      <c r="E20" s="678"/>
      <c r="F20" s="678"/>
      <c r="G20" s="678"/>
      <c r="H20" s="679">
        <v>1876</v>
      </c>
      <c r="I20" s="679"/>
      <c r="J20" s="466">
        <v>1877</v>
      </c>
      <c r="K20" s="456" t="s">
        <v>551</v>
      </c>
      <c r="L20" s="467">
        <v>85</v>
      </c>
      <c r="M20" s="680">
        <v>1961</v>
      </c>
      <c r="N20" s="680"/>
    </row>
    <row r="21" spans="1:15" ht="8.25" customHeight="1">
      <c r="A21" s="681" t="s">
        <v>575</v>
      </c>
      <c r="B21" s="681"/>
      <c r="C21" s="681"/>
      <c r="D21" s="681"/>
      <c r="E21" s="681"/>
      <c r="F21" s="681"/>
      <c r="G21" s="681"/>
      <c r="H21" s="681"/>
      <c r="I21" s="681"/>
      <c r="J21" s="681"/>
      <c r="K21" s="681"/>
      <c r="L21" s="681"/>
      <c r="M21" s="681"/>
      <c r="N21" s="681"/>
      <c r="O21" s="681"/>
    </row>
  </sheetData>
  <mergeCells count="70">
    <mergeCell ref="A20:C20"/>
    <mergeCell ref="D20:G20"/>
    <mergeCell ref="H20:I20"/>
    <mergeCell ref="M20:N20"/>
    <mergeCell ref="A21:O21"/>
    <mergeCell ref="B18:E18"/>
    <mergeCell ref="F18:G18"/>
    <mergeCell ref="I18:J18"/>
    <mergeCell ref="K18:M18"/>
    <mergeCell ref="A19:C19"/>
    <mergeCell ref="D19:G19"/>
    <mergeCell ref="H19:I19"/>
    <mergeCell ref="M19:N19"/>
    <mergeCell ref="B16:E16"/>
    <mergeCell ref="F16:G16"/>
    <mergeCell ref="I16:J16"/>
    <mergeCell ref="K16:M16"/>
    <mergeCell ref="B17:E17"/>
    <mergeCell ref="F17:G17"/>
    <mergeCell ref="I17:J17"/>
    <mergeCell ref="K17:M17"/>
    <mergeCell ref="B14:E14"/>
    <mergeCell ref="F14:G14"/>
    <mergeCell ref="I14:J14"/>
    <mergeCell ref="K14:M14"/>
    <mergeCell ref="B15:E15"/>
    <mergeCell ref="F15:G15"/>
    <mergeCell ref="I15:J15"/>
    <mergeCell ref="K15:M15"/>
    <mergeCell ref="B12:E12"/>
    <mergeCell ref="F12:G12"/>
    <mergeCell ref="I12:J12"/>
    <mergeCell ref="K12:M12"/>
    <mergeCell ref="B13:E13"/>
    <mergeCell ref="F13:G13"/>
    <mergeCell ref="I13:J13"/>
    <mergeCell ref="K13:M13"/>
    <mergeCell ref="B10:E10"/>
    <mergeCell ref="F10:G10"/>
    <mergeCell ref="I10:J10"/>
    <mergeCell ref="K10:M10"/>
    <mergeCell ref="B11:E11"/>
    <mergeCell ref="F11:G11"/>
    <mergeCell ref="I11:J11"/>
    <mergeCell ref="K11:M11"/>
    <mergeCell ref="D8:G8"/>
    <mergeCell ref="I8:J8"/>
    <mergeCell ref="K8:M8"/>
    <mergeCell ref="B9:E9"/>
    <mergeCell ref="F9:G9"/>
    <mergeCell ref="I9:J9"/>
    <mergeCell ref="K9:M9"/>
    <mergeCell ref="D6:G6"/>
    <mergeCell ref="I6:J6"/>
    <mergeCell ref="K6:M6"/>
    <mergeCell ref="D7:G7"/>
    <mergeCell ref="I7:J7"/>
    <mergeCell ref="K7:M7"/>
    <mergeCell ref="D4:G4"/>
    <mergeCell ref="I4:J4"/>
    <mergeCell ref="K4:M4"/>
    <mergeCell ref="D5:G5"/>
    <mergeCell ref="I5:J5"/>
    <mergeCell ref="K5:M5"/>
    <mergeCell ref="A1:O1"/>
    <mergeCell ref="A2:O2"/>
    <mergeCell ref="A3:D3"/>
    <mergeCell ref="E3:F3"/>
    <mergeCell ref="G3:I3"/>
    <mergeCell ref="J3:O3"/>
  </mergeCells>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9E57B3-37EC-49D3-AB8D-4269240BB9B6}">
  <dimension ref="A1:N19"/>
  <sheetViews>
    <sheetView workbookViewId="0">
      <selection activeCell="G25" sqref="G25:G32"/>
    </sheetView>
  </sheetViews>
  <sheetFormatPr defaultRowHeight="13.2"/>
  <cols>
    <col min="1" max="1" width="48" style="237" customWidth="1"/>
    <col min="2" max="2" width="5.77734375" style="237" customWidth="1"/>
    <col min="3" max="3" width="2.88671875" style="237" customWidth="1"/>
    <col min="4" max="4" width="0.88671875" style="237" customWidth="1"/>
    <col min="5" max="5" width="10.6640625" style="237" customWidth="1"/>
    <col min="6" max="6" width="12" style="237" customWidth="1"/>
    <col min="7" max="7" width="0.88671875" style="237" customWidth="1"/>
    <col min="8" max="8" width="5.77734375" style="237" customWidth="1"/>
    <col min="9" max="9" width="3.5546875" style="237" customWidth="1"/>
    <col min="10" max="10" width="9.77734375" style="237" customWidth="1"/>
    <col min="11" max="11" width="7.109375" style="237" customWidth="1"/>
    <col min="12" max="12" width="2.44140625" style="237" customWidth="1"/>
    <col min="13" max="13" width="5.5546875" style="237" customWidth="1"/>
    <col min="14" max="14" width="2.6640625" style="237" customWidth="1"/>
    <col min="15" max="16384" width="8.88671875" style="237"/>
  </cols>
  <sheetData>
    <row r="1" spans="1:14" ht="31.5" customHeight="1">
      <c r="A1" s="529" t="s">
        <v>544</v>
      </c>
      <c r="B1" s="529"/>
      <c r="C1" s="529"/>
      <c r="D1" s="529"/>
      <c r="E1" s="529"/>
      <c r="F1" s="529"/>
      <c r="G1" s="529"/>
      <c r="H1" s="529"/>
      <c r="I1" s="529"/>
      <c r="J1" s="529"/>
      <c r="K1" s="529"/>
      <c r="L1" s="529"/>
      <c r="M1" s="529"/>
      <c r="N1" s="529"/>
    </row>
    <row r="2" spans="1:14" ht="8.25" customHeight="1">
      <c r="A2" s="681" t="s">
        <v>576</v>
      </c>
      <c r="B2" s="681"/>
      <c r="C2" s="681"/>
      <c r="D2" s="681"/>
      <c r="E2" s="681"/>
      <c r="F2" s="681"/>
      <c r="G2" s="681"/>
      <c r="H2" s="681"/>
      <c r="I2" s="681"/>
      <c r="J2" s="681"/>
      <c r="K2" s="681"/>
      <c r="L2" s="681"/>
      <c r="M2" s="681"/>
      <c r="N2" s="681"/>
    </row>
    <row r="3" spans="1:14" ht="8.25" customHeight="1">
      <c r="A3" s="682" t="s">
        <v>577</v>
      </c>
      <c r="B3" s="682"/>
      <c r="C3" s="682"/>
      <c r="D3" s="682"/>
      <c r="E3" s="682"/>
      <c r="F3" s="682"/>
      <c r="G3" s="682"/>
      <c r="H3" s="682"/>
      <c r="I3" s="682"/>
      <c r="J3" s="682"/>
      <c r="K3" s="682"/>
      <c r="L3" s="682"/>
      <c r="M3" s="682"/>
      <c r="N3" s="682"/>
    </row>
    <row r="4" spans="1:14" ht="31.2" customHeight="1">
      <c r="A4" s="644" t="s">
        <v>546</v>
      </c>
      <c r="B4" s="644"/>
      <c r="C4" s="644"/>
      <c r="D4" s="644"/>
      <c r="E4" s="549" t="s">
        <v>547</v>
      </c>
      <c r="F4" s="549"/>
      <c r="G4" s="645" t="s">
        <v>548</v>
      </c>
      <c r="H4" s="645"/>
      <c r="I4" s="645"/>
      <c r="J4" s="645" t="s">
        <v>549</v>
      </c>
      <c r="K4" s="645"/>
      <c r="L4" s="645"/>
      <c r="M4" s="645"/>
      <c r="N4" s="645"/>
    </row>
    <row r="5" spans="1:14" ht="10.8" customHeight="1">
      <c r="A5" s="646" t="s">
        <v>578</v>
      </c>
      <c r="B5" s="646"/>
      <c r="C5" s="445">
        <v>99</v>
      </c>
      <c r="D5" s="646" t="s">
        <v>579</v>
      </c>
      <c r="E5" s="646"/>
      <c r="F5" s="684" t="s">
        <v>580</v>
      </c>
      <c r="G5" s="684"/>
      <c r="H5" s="446">
        <v>1206</v>
      </c>
      <c r="I5" s="646" t="s">
        <v>581</v>
      </c>
      <c r="J5" s="646"/>
      <c r="K5" s="685">
        <v>460</v>
      </c>
      <c r="L5" s="685"/>
      <c r="M5" s="468">
        <v>1521</v>
      </c>
    </row>
    <row r="6" spans="1:14" ht="14.55" customHeight="1">
      <c r="A6" s="683" t="s">
        <v>553</v>
      </c>
      <c r="B6" s="683"/>
      <c r="C6" s="253"/>
      <c r="D6" s="539"/>
      <c r="E6" s="539"/>
      <c r="F6" s="539"/>
      <c r="G6" s="539"/>
      <c r="H6" s="253"/>
      <c r="I6" s="539"/>
      <c r="J6" s="539"/>
      <c r="K6" s="539"/>
      <c r="L6" s="539"/>
      <c r="M6" s="253"/>
    </row>
    <row r="7" spans="1:14" ht="14.55" customHeight="1">
      <c r="A7" s="686" t="s">
        <v>582</v>
      </c>
      <c r="B7" s="686"/>
      <c r="C7" s="253"/>
      <c r="D7" s="673" t="s">
        <v>438</v>
      </c>
      <c r="E7" s="673"/>
      <c r="F7" s="649" t="s">
        <v>438</v>
      </c>
      <c r="G7" s="649"/>
      <c r="H7" s="450">
        <v>512</v>
      </c>
      <c r="I7" s="687">
        <v>512</v>
      </c>
      <c r="J7" s="687"/>
      <c r="K7" s="687">
        <v>38</v>
      </c>
      <c r="L7" s="687"/>
      <c r="M7" s="469">
        <v>551</v>
      </c>
    </row>
    <row r="8" spans="1:14" ht="15.45" customHeight="1">
      <c r="A8" s="683" t="s">
        <v>556</v>
      </c>
      <c r="B8" s="683"/>
      <c r="C8" s="253"/>
      <c r="D8" s="539"/>
      <c r="E8" s="539"/>
      <c r="F8" s="539"/>
      <c r="G8" s="539"/>
      <c r="H8" s="253"/>
      <c r="I8" s="539"/>
      <c r="J8" s="539"/>
      <c r="K8" s="539"/>
      <c r="L8" s="539"/>
      <c r="M8" s="253"/>
    </row>
    <row r="9" spans="1:14" ht="28.2" customHeight="1">
      <c r="A9" s="691" t="s">
        <v>583</v>
      </c>
      <c r="B9" s="691"/>
      <c r="C9" s="368"/>
      <c r="D9" s="692" t="s">
        <v>438</v>
      </c>
      <c r="E9" s="692"/>
      <c r="F9" s="693">
        <v>-79</v>
      </c>
      <c r="G9" s="693"/>
      <c r="H9" s="470" t="s">
        <v>584</v>
      </c>
      <c r="I9" s="694">
        <v>-79</v>
      </c>
      <c r="J9" s="694"/>
      <c r="K9" s="695">
        <v>-12</v>
      </c>
      <c r="L9" s="695"/>
      <c r="M9" s="471">
        <v>-90</v>
      </c>
    </row>
    <row r="10" spans="1:14" ht="14.55" customHeight="1">
      <c r="A10" s="678" t="s">
        <v>585</v>
      </c>
      <c r="B10" s="678"/>
      <c r="C10" s="262"/>
      <c r="D10" s="688" t="s">
        <v>562</v>
      </c>
      <c r="E10" s="688"/>
      <c r="F10" s="663">
        <v>-79</v>
      </c>
      <c r="G10" s="663"/>
      <c r="H10" s="472" t="s">
        <v>562</v>
      </c>
      <c r="I10" s="689">
        <v>-79</v>
      </c>
      <c r="J10" s="689"/>
      <c r="K10" s="690">
        <v>-12</v>
      </c>
      <c r="L10" s="690"/>
      <c r="M10" s="473">
        <v>-90</v>
      </c>
    </row>
    <row r="11" spans="1:14" ht="9" customHeight="1">
      <c r="A11" s="678" t="s">
        <v>586</v>
      </c>
      <c r="B11" s="678"/>
      <c r="C11" s="255"/>
      <c r="D11" s="688" t="s">
        <v>562</v>
      </c>
      <c r="E11" s="688"/>
      <c r="F11" s="663">
        <v>-79</v>
      </c>
      <c r="G11" s="663"/>
      <c r="H11" s="457">
        <v>512</v>
      </c>
      <c r="I11" s="696">
        <v>433</v>
      </c>
      <c r="J11" s="696"/>
      <c r="K11" s="696">
        <v>27</v>
      </c>
      <c r="L11" s="696"/>
      <c r="M11" s="474">
        <v>460</v>
      </c>
    </row>
    <row r="12" spans="1:14" ht="21.3" customHeight="1">
      <c r="A12" s="475" t="s">
        <v>564</v>
      </c>
      <c r="B12" s="539"/>
      <c r="C12" s="539"/>
      <c r="D12" s="539"/>
      <c r="E12" s="539"/>
      <c r="F12" s="539"/>
      <c r="G12" s="539"/>
      <c r="H12" s="539"/>
      <c r="I12" s="539"/>
      <c r="J12" s="253"/>
      <c r="K12" s="253"/>
      <c r="L12" s="539"/>
      <c r="M12" s="539"/>
    </row>
    <row r="13" spans="1:14" ht="36" customHeight="1">
      <c r="A13" s="459" t="s">
        <v>587</v>
      </c>
      <c r="B13" s="669" t="s">
        <v>588</v>
      </c>
      <c r="C13" s="669"/>
      <c r="D13" s="669"/>
      <c r="E13" s="669"/>
      <c r="F13" s="669"/>
      <c r="G13" s="669"/>
      <c r="H13" s="697" t="s">
        <v>438</v>
      </c>
      <c r="I13" s="697"/>
      <c r="J13" s="476">
        <v>301</v>
      </c>
      <c r="K13" s="477">
        <v>-301</v>
      </c>
      <c r="L13" s="698" t="s">
        <v>438</v>
      </c>
      <c r="M13" s="698"/>
    </row>
    <row r="14" spans="1:14" ht="22.95" customHeight="1">
      <c r="A14" s="478" t="s">
        <v>566</v>
      </c>
      <c r="B14" s="669" t="s">
        <v>567</v>
      </c>
      <c r="C14" s="669"/>
      <c r="D14" s="669"/>
      <c r="E14" s="669"/>
      <c r="F14" s="669"/>
      <c r="G14" s="669"/>
      <c r="H14" s="697" t="s">
        <v>438</v>
      </c>
      <c r="I14" s="697"/>
      <c r="J14" s="478" t="s">
        <v>438</v>
      </c>
      <c r="K14" s="463">
        <v>41</v>
      </c>
      <c r="L14" s="699">
        <v>41</v>
      </c>
      <c r="M14" s="699"/>
    </row>
    <row r="15" spans="1:14" ht="19.05" customHeight="1">
      <c r="A15" s="478" t="s">
        <v>570</v>
      </c>
      <c r="B15" s="669" t="s">
        <v>567</v>
      </c>
      <c r="C15" s="669"/>
      <c r="D15" s="669"/>
      <c r="E15" s="669"/>
      <c r="F15" s="669"/>
      <c r="G15" s="669"/>
      <c r="H15" s="700">
        <v>2</v>
      </c>
      <c r="I15" s="700"/>
      <c r="J15" s="479">
        <v>2</v>
      </c>
      <c r="K15" s="477">
        <v>-6</v>
      </c>
      <c r="L15" s="701">
        <v>-4</v>
      </c>
      <c r="M15" s="701"/>
    </row>
    <row r="16" spans="1:14" ht="15.3" customHeight="1">
      <c r="A16" s="448" t="s">
        <v>589</v>
      </c>
      <c r="B16" s="664" t="s">
        <v>567</v>
      </c>
      <c r="C16" s="664"/>
      <c r="D16" s="664"/>
      <c r="E16" s="664"/>
      <c r="F16" s="664"/>
      <c r="G16" s="664"/>
      <c r="H16" s="702">
        <v>-85</v>
      </c>
      <c r="I16" s="702"/>
      <c r="J16" s="480">
        <v>-85</v>
      </c>
      <c r="K16" s="461" t="s">
        <v>438</v>
      </c>
      <c r="L16" s="672">
        <v>-85</v>
      </c>
      <c r="M16" s="672"/>
    </row>
    <row r="17" spans="1:13" ht="18.45" customHeight="1">
      <c r="A17" s="364" t="s">
        <v>590</v>
      </c>
      <c r="B17" s="652" t="s">
        <v>591</v>
      </c>
      <c r="C17" s="652"/>
      <c r="D17" s="652"/>
      <c r="E17" s="652"/>
      <c r="F17" s="652"/>
      <c r="G17" s="652"/>
      <c r="H17" s="703">
        <v>127</v>
      </c>
      <c r="I17" s="703"/>
      <c r="J17" s="364" t="s">
        <v>438</v>
      </c>
      <c r="K17" s="451" t="s">
        <v>438</v>
      </c>
      <c r="L17" s="704" t="s">
        <v>438</v>
      </c>
      <c r="M17" s="704"/>
    </row>
    <row r="18" spans="1:13" ht="9" customHeight="1">
      <c r="A18" s="456" t="s">
        <v>592</v>
      </c>
      <c r="B18" s="705" t="s">
        <v>593</v>
      </c>
      <c r="C18" s="705"/>
      <c r="D18" s="705"/>
      <c r="E18" s="705"/>
      <c r="F18" s="705"/>
      <c r="G18" s="705"/>
      <c r="H18" s="679">
        <v>1763</v>
      </c>
      <c r="I18" s="679"/>
      <c r="J18" s="481">
        <v>1713</v>
      </c>
      <c r="K18" s="457">
        <v>221</v>
      </c>
      <c r="L18" s="680">
        <v>1933</v>
      </c>
      <c r="M18" s="680"/>
    </row>
    <row r="19" spans="1:13" ht="16.8" customHeight="1">
      <c r="A19" s="482" t="s">
        <v>575</v>
      </c>
      <c r="B19" s="532"/>
      <c r="C19" s="532"/>
      <c r="D19" s="532"/>
      <c r="E19" s="532"/>
      <c r="F19" s="532"/>
      <c r="G19" s="532"/>
      <c r="H19" s="532"/>
      <c r="I19" s="532"/>
      <c r="J19" s="242"/>
      <c r="K19" s="242"/>
      <c r="L19" s="532"/>
      <c r="M19" s="532"/>
    </row>
  </sheetData>
  <mergeCells count="66">
    <mergeCell ref="B16:G16"/>
    <mergeCell ref="H16:I16"/>
    <mergeCell ref="L16:M16"/>
    <mergeCell ref="B19:G19"/>
    <mergeCell ref="H19:I19"/>
    <mergeCell ref="L19:M19"/>
    <mergeCell ref="B17:G17"/>
    <mergeCell ref="H17:I17"/>
    <mergeCell ref="L17:M17"/>
    <mergeCell ref="B18:G18"/>
    <mergeCell ref="H18:I18"/>
    <mergeCell ref="L18:M18"/>
    <mergeCell ref="B14:G14"/>
    <mergeCell ref="H14:I14"/>
    <mergeCell ref="L14:M14"/>
    <mergeCell ref="B15:G15"/>
    <mergeCell ref="H15:I15"/>
    <mergeCell ref="L15:M15"/>
    <mergeCell ref="I11:J11"/>
    <mergeCell ref="K11:L11"/>
    <mergeCell ref="B13:G13"/>
    <mergeCell ref="H13:I13"/>
    <mergeCell ref="L13:M13"/>
    <mergeCell ref="B12:G12"/>
    <mergeCell ref="H12:I12"/>
    <mergeCell ref="L12:M12"/>
    <mergeCell ref="A11:B11"/>
    <mergeCell ref="D11:E11"/>
    <mergeCell ref="F11:G11"/>
    <mergeCell ref="A9:B9"/>
    <mergeCell ref="D9:E9"/>
    <mergeCell ref="F9:G9"/>
    <mergeCell ref="I9:J9"/>
    <mergeCell ref="K9:L9"/>
    <mergeCell ref="A10:B10"/>
    <mergeCell ref="D10:E10"/>
    <mergeCell ref="F10:G10"/>
    <mergeCell ref="I10:J10"/>
    <mergeCell ref="K10:L10"/>
    <mergeCell ref="A7:B7"/>
    <mergeCell ref="D7:E7"/>
    <mergeCell ref="F7:G7"/>
    <mergeCell ref="I7:J7"/>
    <mergeCell ref="K7:L7"/>
    <mergeCell ref="A8:B8"/>
    <mergeCell ref="D8:E8"/>
    <mergeCell ref="F8:G8"/>
    <mergeCell ref="I8:J8"/>
    <mergeCell ref="K8:L8"/>
    <mergeCell ref="A5:B5"/>
    <mergeCell ref="D5:E5"/>
    <mergeCell ref="F5:G5"/>
    <mergeCell ref="I5:J5"/>
    <mergeCell ref="K5:L5"/>
    <mergeCell ref="A6:B6"/>
    <mergeCell ref="D6:E6"/>
    <mergeCell ref="F6:G6"/>
    <mergeCell ref="I6:J6"/>
    <mergeCell ref="K6:L6"/>
    <mergeCell ref="A1:N1"/>
    <mergeCell ref="A2:N2"/>
    <mergeCell ref="A3:N3"/>
    <mergeCell ref="A4:D4"/>
    <mergeCell ref="E4:F4"/>
    <mergeCell ref="G4:I4"/>
    <mergeCell ref="J4:N4"/>
  </mergeCells>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2AE3C8-DA86-47D3-BD68-156829B7834A}">
  <dimension ref="A1:I38"/>
  <sheetViews>
    <sheetView workbookViewId="0">
      <selection activeCell="L39" sqref="L39"/>
    </sheetView>
  </sheetViews>
  <sheetFormatPr defaultRowHeight="13.2"/>
  <cols>
    <col min="1" max="1" width="46" style="237" customWidth="1"/>
    <col min="2" max="2" width="11.33203125" style="237" customWidth="1"/>
    <col min="3" max="3" width="10" style="237" customWidth="1"/>
    <col min="4" max="4" width="7.109375" style="237" customWidth="1"/>
    <col min="5" max="5" width="9.5546875" style="237" customWidth="1"/>
    <col min="6" max="6" width="16.6640625" style="237" customWidth="1"/>
    <col min="7" max="7" width="1.77734375" style="237" customWidth="1"/>
    <col min="8" max="8" width="26.6640625" style="237" customWidth="1"/>
    <col min="9" max="9" width="2.88671875" style="237" customWidth="1"/>
    <col min="10" max="16384" width="8.88671875" style="237"/>
  </cols>
  <sheetData>
    <row r="1" spans="1:9" ht="42.75" customHeight="1">
      <c r="A1" s="529" t="s">
        <v>445</v>
      </c>
      <c r="B1" s="529"/>
      <c r="C1" s="529"/>
      <c r="D1" s="529"/>
      <c r="E1" s="529"/>
      <c r="F1" s="529"/>
      <c r="G1" s="529"/>
      <c r="H1" s="529"/>
      <c r="I1" s="529"/>
    </row>
    <row r="2" spans="1:9" ht="35.549999999999997" customHeight="1">
      <c r="A2" s="708" t="s">
        <v>446</v>
      </c>
      <c r="B2" s="708"/>
      <c r="C2" s="709" t="s">
        <v>594</v>
      </c>
      <c r="D2" s="709"/>
      <c r="E2" s="709"/>
      <c r="F2" s="709"/>
      <c r="G2" s="709"/>
      <c r="H2" s="709"/>
      <c r="I2" s="709"/>
    </row>
    <row r="3" spans="1:9" ht="22.5" customHeight="1">
      <c r="A3" s="483" t="s">
        <v>595</v>
      </c>
      <c r="B3" s="710">
        <v>62</v>
      </c>
      <c r="C3" s="710"/>
      <c r="D3" s="710"/>
      <c r="E3" s="710"/>
      <c r="F3" s="710"/>
      <c r="G3" s="710"/>
      <c r="H3" s="604">
        <v>551</v>
      </c>
      <c r="I3" s="604"/>
    </row>
    <row r="4" spans="1:9" ht="11.25" customHeight="1">
      <c r="A4" s="484" t="s">
        <v>596</v>
      </c>
      <c r="B4" s="484"/>
      <c r="C4" s="484"/>
      <c r="D4" s="484"/>
      <c r="E4" s="484"/>
      <c r="F4" s="484"/>
      <c r="G4" s="484"/>
      <c r="H4" s="484"/>
      <c r="I4" s="484"/>
    </row>
    <row r="5" spans="1:9" ht="45" customHeight="1">
      <c r="A5" s="485" t="s">
        <v>597</v>
      </c>
      <c r="B5" s="485"/>
      <c r="C5" s="485"/>
      <c r="D5" s="485"/>
      <c r="E5" s="485"/>
      <c r="F5" s="485" t="s">
        <v>598</v>
      </c>
      <c r="G5" s="485"/>
      <c r="H5" s="485"/>
      <c r="I5" s="485"/>
    </row>
    <row r="6" spans="1:9" ht="33.75" customHeight="1">
      <c r="A6" s="485" t="s">
        <v>599</v>
      </c>
      <c r="B6" s="485"/>
      <c r="C6" s="485"/>
      <c r="D6" s="485"/>
      <c r="E6" s="485"/>
      <c r="F6" s="485"/>
      <c r="G6" s="485"/>
      <c r="H6" s="485"/>
      <c r="I6" s="485"/>
    </row>
    <row r="7" spans="1:9" ht="79.2" customHeight="1">
      <c r="A7" s="485" t="s">
        <v>600</v>
      </c>
      <c r="B7" s="485"/>
      <c r="C7" s="485"/>
      <c r="D7" s="485" t="s">
        <v>601</v>
      </c>
      <c r="E7" s="485"/>
      <c r="F7" s="485"/>
      <c r="G7" s="485"/>
      <c r="H7" s="485"/>
      <c r="I7" s="485"/>
    </row>
    <row r="8" spans="1:9" ht="11.25" customHeight="1">
      <c r="A8" s="706" t="s">
        <v>602</v>
      </c>
      <c r="B8" s="706"/>
      <c r="C8" s="706"/>
      <c r="D8" s="706"/>
      <c r="E8" s="601">
        <v>-11</v>
      </c>
      <c r="F8" s="601"/>
      <c r="G8" s="707">
        <v>-11</v>
      </c>
      <c r="H8" s="707"/>
    </row>
    <row r="9" spans="1:9" ht="11.25" customHeight="1">
      <c r="A9" s="706" t="s">
        <v>460</v>
      </c>
      <c r="B9" s="706"/>
      <c r="C9" s="706"/>
      <c r="D9" s="706"/>
      <c r="E9" s="601">
        <v>-133</v>
      </c>
      <c r="F9" s="601"/>
      <c r="G9" s="707">
        <v>-74</v>
      </c>
      <c r="H9" s="707"/>
    </row>
    <row r="10" spans="1:9" ht="11.25" customHeight="1">
      <c r="A10" s="706" t="s">
        <v>603</v>
      </c>
      <c r="B10" s="706"/>
      <c r="C10" s="706"/>
      <c r="D10" s="706"/>
      <c r="E10" s="599">
        <v>5</v>
      </c>
      <c r="F10" s="599"/>
      <c r="G10" s="711" t="s">
        <v>336</v>
      </c>
      <c r="H10" s="711"/>
    </row>
    <row r="11" spans="1:9" ht="11.25" customHeight="1">
      <c r="A11" s="706" t="s">
        <v>461</v>
      </c>
      <c r="B11" s="706"/>
      <c r="C11" s="706"/>
      <c r="D11" s="706"/>
      <c r="E11" s="599">
        <v>256</v>
      </c>
      <c r="F11" s="599"/>
      <c r="G11" s="712">
        <v>322</v>
      </c>
      <c r="H11" s="712"/>
    </row>
    <row r="12" spans="1:9" ht="11.25" customHeight="1">
      <c r="A12" s="713" t="s">
        <v>604</v>
      </c>
      <c r="B12" s="713"/>
      <c r="C12" s="713"/>
      <c r="D12" s="713"/>
      <c r="E12" s="530"/>
      <c r="F12" s="530"/>
      <c r="G12" s="530"/>
      <c r="H12" s="530"/>
    </row>
    <row r="13" spans="1:9" ht="11.25" customHeight="1">
      <c r="A13" s="706" t="s">
        <v>605</v>
      </c>
      <c r="B13" s="706"/>
      <c r="C13" s="706"/>
      <c r="D13" s="706"/>
      <c r="E13" s="599">
        <v>27</v>
      </c>
      <c r="F13" s="599"/>
      <c r="G13" s="712">
        <v>91</v>
      </c>
      <c r="H13" s="712"/>
    </row>
    <row r="14" spans="1:9" ht="11.25" customHeight="1">
      <c r="A14" s="706" t="s">
        <v>606</v>
      </c>
      <c r="B14" s="706"/>
      <c r="C14" s="706"/>
      <c r="D14" s="706"/>
      <c r="E14" s="599">
        <v>209</v>
      </c>
      <c r="F14" s="599"/>
      <c r="G14" s="711" t="s">
        <v>336</v>
      </c>
      <c r="H14" s="711"/>
    </row>
    <row r="15" spans="1:9" ht="11.25" customHeight="1">
      <c r="A15" s="706" t="s">
        <v>607</v>
      </c>
      <c r="B15" s="706"/>
      <c r="C15" s="706"/>
      <c r="D15" s="706"/>
      <c r="E15" s="599">
        <v>447</v>
      </c>
      <c r="F15" s="599"/>
      <c r="G15" s="712">
        <v>476</v>
      </c>
      <c r="H15" s="712"/>
    </row>
    <row r="16" spans="1:9" ht="11.25" customHeight="1">
      <c r="A16" s="706" t="s">
        <v>608</v>
      </c>
      <c r="B16" s="706"/>
      <c r="C16" s="706"/>
      <c r="D16" s="706"/>
      <c r="E16" s="601">
        <v>-282</v>
      </c>
      <c r="F16" s="601"/>
      <c r="G16" s="707">
        <v>-102</v>
      </c>
      <c r="H16" s="707"/>
    </row>
    <row r="17" spans="1:8" ht="11.25" customHeight="1">
      <c r="A17" s="706" t="s">
        <v>465</v>
      </c>
      <c r="B17" s="706"/>
      <c r="C17" s="706"/>
      <c r="D17" s="706"/>
      <c r="E17" s="601">
        <v>-1</v>
      </c>
      <c r="F17" s="601"/>
      <c r="G17" s="707">
        <v>-3</v>
      </c>
      <c r="H17" s="707"/>
    </row>
    <row r="18" spans="1:8" ht="11.25" customHeight="1">
      <c r="A18" s="706" t="s">
        <v>466</v>
      </c>
      <c r="B18" s="706"/>
      <c r="C18" s="706"/>
      <c r="D18" s="706"/>
      <c r="E18" s="601">
        <v>-5</v>
      </c>
      <c r="F18" s="601"/>
      <c r="G18" s="707">
        <v>-7</v>
      </c>
      <c r="H18" s="707"/>
    </row>
    <row r="19" spans="1:8" ht="11.25" customHeight="1">
      <c r="A19" s="706" t="s">
        <v>467</v>
      </c>
      <c r="B19" s="706"/>
      <c r="C19" s="706"/>
      <c r="D19" s="706"/>
      <c r="E19" s="601">
        <v>-109</v>
      </c>
      <c r="F19" s="601"/>
      <c r="G19" s="707">
        <v>-94</v>
      </c>
      <c r="H19" s="707"/>
    </row>
    <row r="20" spans="1:8" ht="11.25" customHeight="1">
      <c r="A20" s="706" t="s">
        <v>468</v>
      </c>
      <c r="B20" s="706"/>
      <c r="C20" s="706"/>
      <c r="D20" s="706"/>
      <c r="E20" s="714" t="s">
        <v>336</v>
      </c>
      <c r="F20" s="714"/>
      <c r="G20" s="707">
        <v>-23</v>
      </c>
      <c r="H20" s="707"/>
    </row>
    <row r="21" spans="1:8" ht="11.25" customHeight="1">
      <c r="A21" s="706" t="s">
        <v>609</v>
      </c>
      <c r="B21" s="706"/>
      <c r="C21" s="706"/>
      <c r="D21" s="706"/>
      <c r="E21" s="714" t="s">
        <v>336</v>
      </c>
      <c r="F21" s="714"/>
      <c r="G21" s="707">
        <v>-7</v>
      </c>
      <c r="H21" s="707"/>
    </row>
    <row r="22" spans="1:8" ht="11.25" customHeight="1">
      <c r="A22" s="715" t="s">
        <v>610</v>
      </c>
      <c r="B22" s="715"/>
      <c r="C22" s="715"/>
      <c r="D22" s="715"/>
      <c r="E22" s="613">
        <v>-85</v>
      </c>
      <c r="F22" s="613"/>
      <c r="G22" s="716">
        <v>-85</v>
      </c>
      <c r="H22" s="716"/>
    </row>
    <row r="23" spans="1:8" ht="12.45" customHeight="1">
      <c r="A23" s="717" t="s">
        <v>470</v>
      </c>
      <c r="B23" s="717"/>
      <c r="C23" s="717"/>
      <c r="D23" s="717"/>
      <c r="E23" s="620">
        <v>316</v>
      </c>
      <c r="F23" s="620"/>
      <c r="G23" s="718">
        <v>483</v>
      </c>
      <c r="H23" s="718"/>
    </row>
    <row r="24" spans="1:8" ht="12.45" customHeight="1">
      <c r="A24" s="719" t="s">
        <v>471</v>
      </c>
      <c r="B24" s="719"/>
      <c r="C24" s="719"/>
      <c r="D24" s="719"/>
      <c r="E24" s="530"/>
      <c r="F24" s="530"/>
      <c r="G24" s="530"/>
      <c r="H24" s="530"/>
    </row>
    <row r="25" spans="1:8" ht="11.25" customHeight="1">
      <c r="A25" s="706" t="s">
        <v>472</v>
      </c>
      <c r="B25" s="706"/>
      <c r="C25" s="706"/>
      <c r="D25" s="706"/>
      <c r="E25" s="618">
        <v>-1609</v>
      </c>
      <c r="F25" s="618"/>
      <c r="G25" s="486">
        <v>-1633</v>
      </c>
      <c r="H25" s="486"/>
    </row>
    <row r="26" spans="1:8" ht="11.25" customHeight="1">
      <c r="A26" s="706" t="s">
        <v>473</v>
      </c>
      <c r="B26" s="706"/>
      <c r="C26" s="706"/>
      <c r="D26" s="706"/>
      <c r="E26" s="599">
        <v>152</v>
      </c>
      <c r="F26" s="599"/>
      <c r="G26" s="487">
        <v>216</v>
      </c>
      <c r="H26" s="487"/>
    </row>
    <row r="27" spans="1:8" ht="11.25" customHeight="1">
      <c r="A27" s="706" t="s">
        <v>474</v>
      </c>
      <c r="B27" s="706"/>
      <c r="C27" s="706"/>
      <c r="D27" s="706"/>
      <c r="E27" s="601">
        <v>-238</v>
      </c>
      <c r="F27" s="601"/>
      <c r="G27" s="488">
        <v>-149</v>
      </c>
      <c r="H27" s="488"/>
    </row>
    <row r="28" spans="1:8" ht="11.25" customHeight="1">
      <c r="A28" s="706" t="s">
        <v>611</v>
      </c>
      <c r="B28" s="706"/>
      <c r="C28" s="706"/>
      <c r="D28" s="706"/>
      <c r="E28" s="601">
        <v>-23</v>
      </c>
      <c r="F28" s="601"/>
      <c r="G28" s="488">
        <v>-97</v>
      </c>
      <c r="H28" s="488"/>
    </row>
    <row r="29" spans="1:8" ht="11.25" customHeight="1">
      <c r="A29" s="706" t="s">
        <v>612</v>
      </c>
      <c r="B29" s="706"/>
      <c r="C29" s="706"/>
      <c r="D29" s="706"/>
      <c r="E29" s="599">
        <v>119</v>
      </c>
      <c r="F29" s="599"/>
      <c r="G29" s="487">
        <v>6</v>
      </c>
      <c r="H29" s="487"/>
    </row>
    <row r="30" spans="1:8" ht="11.25" customHeight="1">
      <c r="A30" s="706" t="s">
        <v>613</v>
      </c>
      <c r="B30" s="706"/>
      <c r="C30" s="706"/>
      <c r="D30" s="706"/>
      <c r="E30" s="601">
        <v>-2</v>
      </c>
      <c r="F30" s="601"/>
      <c r="G30" s="484" t="s">
        <v>336</v>
      </c>
      <c r="H30" s="484"/>
    </row>
    <row r="31" spans="1:8" ht="11.25" customHeight="1">
      <c r="A31" s="706" t="s">
        <v>478</v>
      </c>
      <c r="B31" s="706"/>
      <c r="C31" s="706"/>
      <c r="D31" s="706"/>
      <c r="E31" s="599">
        <v>4</v>
      </c>
      <c r="F31" s="599"/>
      <c r="G31" s="487">
        <v>5</v>
      </c>
      <c r="H31" s="487"/>
    </row>
    <row r="32" spans="1:8" ht="11.25" customHeight="1">
      <c r="A32" s="720" t="s">
        <v>479</v>
      </c>
      <c r="B32" s="720"/>
      <c r="C32" s="720"/>
      <c r="D32" s="720"/>
      <c r="E32" s="613">
        <v>-42</v>
      </c>
      <c r="F32" s="613"/>
      <c r="G32" s="489">
        <v>-41</v>
      </c>
      <c r="H32" s="489"/>
    </row>
    <row r="33" spans="1:8" ht="11.25" customHeight="1">
      <c r="A33" s="717" t="s">
        <v>480</v>
      </c>
      <c r="B33" s="717"/>
      <c r="C33" s="717"/>
      <c r="D33" s="717"/>
      <c r="E33" s="624">
        <v>-1639</v>
      </c>
      <c r="F33" s="624"/>
      <c r="G33" s="721">
        <v>-1694</v>
      </c>
      <c r="H33" s="721"/>
    </row>
    <row r="34" spans="1:8" ht="25.8" customHeight="1">
      <c r="A34" s="630" t="s">
        <v>614</v>
      </c>
      <c r="B34" s="630"/>
      <c r="C34" s="630"/>
      <c r="D34" s="630"/>
      <c r="E34" s="722">
        <v>17</v>
      </c>
      <c r="F34" s="722"/>
      <c r="G34" s="723">
        <v>-39</v>
      </c>
      <c r="H34" s="723"/>
    </row>
    <row r="35" spans="1:8" ht="18" customHeight="1">
      <c r="A35" s="642" t="s">
        <v>483</v>
      </c>
      <c r="B35" s="642"/>
      <c r="C35" s="642"/>
      <c r="D35" s="642"/>
      <c r="E35" s="620">
        <v>473</v>
      </c>
      <c r="F35" s="620"/>
      <c r="G35" s="718">
        <v>48</v>
      </c>
      <c r="H35" s="718"/>
    </row>
    <row r="36" spans="1:8" ht="22.05" customHeight="1">
      <c r="A36" s="630" t="s">
        <v>615</v>
      </c>
      <c r="B36" s="630"/>
      <c r="C36" s="630"/>
      <c r="D36" s="630"/>
      <c r="E36" s="623">
        <v>811</v>
      </c>
      <c r="F36" s="623"/>
      <c r="G36" s="725">
        <v>763</v>
      </c>
      <c r="H36" s="725"/>
    </row>
    <row r="37" spans="1:8" ht="12" customHeight="1">
      <c r="A37" s="633" t="s">
        <v>616</v>
      </c>
      <c r="B37" s="633"/>
      <c r="C37" s="633"/>
      <c r="D37" s="633"/>
      <c r="E37" s="726">
        <v>1284</v>
      </c>
      <c r="F37" s="726"/>
      <c r="G37" s="727">
        <v>811</v>
      </c>
      <c r="H37" s="727"/>
    </row>
    <row r="38" spans="1:8" ht="23.7" customHeight="1">
      <c r="A38" s="724" t="s">
        <v>354</v>
      </c>
      <c r="B38" s="724"/>
      <c r="C38" s="724"/>
      <c r="D38" s="724"/>
      <c r="E38" s="532"/>
      <c r="F38" s="532"/>
      <c r="G38" s="532"/>
      <c r="H38" s="532"/>
    </row>
  </sheetData>
  <mergeCells count="90">
    <mergeCell ref="A38:D38"/>
    <mergeCell ref="E38:F38"/>
    <mergeCell ref="G38:H38"/>
    <mergeCell ref="A36:D36"/>
    <mergeCell ref="E36:F36"/>
    <mergeCell ref="G36:H36"/>
    <mergeCell ref="A37:D37"/>
    <mergeCell ref="E37:F37"/>
    <mergeCell ref="G37:H37"/>
    <mergeCell ref="G33:H33"/>
    <mergeCell ref="A34:D34"/>
    <mergeCell ref="E34:F34"/>
    <mergeCell ref="G34:H34"/>
    <mergeCell ref="A35:D35"/>
    <mergeCell ref="E35:F35"/>
    <mergeCell ref="G35:H35"/>
    <mergeCell ref="A31:D31"/>
    <mergeCell ref="E31:F31"/>
    <mergeCell ref="A32:D32"/>
    <mergeCell ref="E32:F32"/>
    <mergeCell ref="A33:D33"/>
    <mergeCell ref="E33:F33"/>
    <mergeCell ref="A28:D28"/>
    <mergeCell ref="E28:F28"/>
    <mergeCell ref="A29:D29"/>
    <mergeCell ref="E29:F29"/>
    <mergeCell ref="A30:D30"/>
    <mergeCell ref="E30:F30"/>
    <mergeCell ref="A25:D25"/>
    <mergeCell ref="E25:F25"/>
    <mergeCell ref="A26:D26"/>
    <mergeCell ref="E26:F26"/>
    <mergeCell ref="A27:D27"/>
    <mergeCell ref="E27:F27"/>
    <mergeCell ref="A23:D23"/>
    <mergeCell ref="E23:F23"/>
    <mergeCell ref="G23:H23"/>
    <mergeCell ref="A24:D24"/>
    <mergeCell ref="E24:F24"/>
    <mergeCell ref="G24:H24"/>
    <mergeCell ref="A21:D21"/>
    <mergeCell ref="E21:F21"/>
    <mergeCell ref="G21:H21"/>
    <mergeCell ref="A22:D22"/>
    <mergeCell ref="E22:F22"/>
    <mergeCell ref="G22:H22"/>
    <mergeCell ref="A19:D19"/>
    <mergeCell ref="E19:F19"/>
    <mergeCell ref="G19:H19"/>
    <mergeCell ref="A20:D20"/>
    <mergeCell ref="E20:F20"/>
    <mergeCell ref="G20:H20"/>
    <mergeCell ref="A17:D17"/>
    <mergeCell ref="E17:F17"/>
    <mergeCell ref="G17:H17"/>
    <mergeCell ref="A18:D18"/>
    <mergeCell ref="E18:F18"/>
    <mergeCell ref="G18:H18"/>
    <mergeCell ref="A15:D15"/>
    <mergeCell ref="E15:F15"/>
    <mergeCell ref="G15:H15"/>
    <mergeCell ref="A16:D16"/>
    <mergeCell ref="E16:F16"/>
    <mergeCell ref="G16:H16"/>
    <mergeCell ref="A13:D13"/>
    <mergeCell ref="E13:F13"/>
    <mergeCell ref="G13:H13"/>
    <mergeCell ref="A14:D14"/>
    <mergeCell ref="E14:F14"/>
    <mergeCell ref="G14:H14"/>
    <mergeCell ref="A11:D11"/>
    <mergeCell ref="E11:F11"/>
    <mergeCell ref="G11:H11"/>
    <mergeCell ref="A12:D12"/>
    <mergeCell ref="E12:F12"/>
    <mergeCell ref="G12:H12"/>
    <mergeCell ref="A9:D9"/>
    <mergeCell ref="E9:F9"/>
    <mergeCell ref="G9:H9"/>
    <mergeCell ref="A10:D10"/>
    <mergeCell ref="E10:F10"/>
    <mergeCell ref="G10:H10"/>
    <mergeCell ref="A8:D8"/>
    <mergeCell ref="E8:F8"/>
    <mergeCell ref="G8:H8"/>
    <mergeCell ref="A1:I1"/>
    <mergeCell ref="A2:B2"/>
    <mergeCell ref="C2:I2"/>
    <mergeCell ref="B3:G3"/>
    <mergeCell ref="H3:I3"/>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B1000"/>
  <sheetViews>
    <sheetView workbookViewId="0"/>
  </sheetViews>
  <sheetFormatPr defaultColWidth="14.44140625" defaultRowHeight="15" customHeight="1"/>
  <cols>
    <col min="1" max="26" width="8.6640625" customWidth="1"/>
  </cols>
  <sheetData>
    <row r="1" spans="2:2" ht="13.5" customHeight="1"/>
    <row r="2" spans="2:2" ht="13.5" customHeight="1">
      <c r="B2" s="17" t="s">
        <v>32</v>
      </c>
    </row>
    <row r="3" spans="2:2" ht="13.5" customHeight="1"/>
    <row r="4" spans="2:2" ht="13.5" customHeight="1"/>
    <row r="5" spans="2:2" ht="13.5" customHeight="1"/>
    <row r="6" spans="2:2" ht="13.5" customHeight="1"/>
    <row r="7" spans="2:2" ht="13.5" customHeight="1"/>
    <row r="8" spans="2:2" ht="13.5" customHeight="1"/>
    <row r="9" spans="2:2" ht="13.5" customHeight="1"/>
    <row r="10" spans="2:2" ht="13.5" customHeight="1"/>
    <row r="11" spans="2:2" ht="13.5" customHeight="1"/>
    <row r="12" spans="2:2" ht="13.5" customHeight="1"/>
    <row r="13" spans="2:2" ht="13.5" customHeight="1"/>
    <row r="14" spans="2:2" ht="13.5" customHeight="1"/>
    <row r="15" spans="2:2" ht="13.5" customHeight="1"/>
    <row r="16" spans="2:2" ht="13.5" customHeight="1"/>
    <row r="17" ht="13.5" customHeight="1"/>
    <row r="18" ht="13.5" customHeight="1"/>
    <row r="19" ht="13.5" customHeight="1"/>
    <row r="20" ht="13.5" customHeight="1"/>
    <row r="21" ht="13.5" customHeight="1"/>
    <row r="22" ht="13.5" customHeight="1"/>
    <row r="23" ht="13.5" customHeight="1"/>
    <row r="24" ht="13.5" customHeight="1"/>
    <row r="25" ht="13.5" customHeight="1"/>
    <row r="26" ht="13.5" customHeight="1"/>
    <row r="27" ht="13.5" customHeight="1"/>
    <row r="28" ht="13.5" customHeight="1"/>
    <row r="29" ht="13.5" customHeight="1"/>
    <row r="30" ht="13.5" customHeight="1"/>
    <row r="31" ht="13.5" customHeight="1"/>
    <row r="32" ht="13.5" customHeight="1"/>
    <row r="33" ht="13.5" customHeight="1"/>
    <row r="34" ht="13.5" customHeight="1"/>
    <row r="35" ht="13.5" customHeight="1"/>
    <row r="36" ht="13.5" customHeight="1"/>
    <row r="37" ht="13.5" customHeight="1"/>
    <row r="38" ht="13.5" customHeight="1"/>
    <row r="39" ht="13.5" customHeight="1"/>
    <row r="40" ht="13.5" customHeight="1"/>
    <row r="41" ht="13.5" customHeight="1"/>
    <row r="42" ht="13.5" customHeight="1"/>
    <row r="43" ht="13.5" customHeight="1"/>
    <row r="44" ht="13.5" customHeight="1"/>
    <row r="45" ht="13.5" customHeight="1"/>
    <row r="46" ht="13.5" customHeight="1"/>
    <row r="47" ht="13.5" customHeight="1"/>
    <row r="48"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row r="997" ht="13.5" customHeight="1"/>
    <row r="998" ht="13.5" customHeight="1"/>
    <row r="999" ht="13.5" customHeight="1"/>
    <row r="1000" ht="13.5" customHeight="1"/>
  </sheetData>
  <hyperlinks>
    <hyperlink ref="B2" r:id="rId1" xr:uid="{00000000-0004-0000-0100-000000000000}"/>
  </hyperlink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BED75C-F181-46F2-B0F2-BA7FDB3AE0AD}">
  <sheetPr>
    <tabColor theme="5" tint="0.39997558519241921"/>
  </sheetPr>
  <dimension ref="A1:N162"/>
  <sheetViews>
    <sheetView showGridLines="0" workbookViewId="0">
      <selection activeCell="C170" sqref="C170"/>
    </sheetView>
  </sheetViews>
  <sheetFormatPr defaultRowHeight="13.8" outlineLevelRow="1"/>
  <cols>
    <col min="1" max="1" width="2.77734375" customWidth="1"/>
    <col min="2" max="2" width="60.6640625" bestFit="1" customWidth="1"/>
    <col min="3" max="3" width="12.5546875" customWidth="1"/>
    <col min="4" max="4" width="13.5546875" customWidth="1"/>
    <col min="5" max="5" width="14.77734375" customWidth="1"/>
    <col min="6" max="6" width="13.44140625" customWidth="1"/>
    <col min="7" max="7" width="12.44140625" customWidth="1"/>
    <col min="8" max="9" width="11.44140625" customWidth="1"/>
    <col min="12" max="12" width="39.88671875" bestFit="1" customWidth="1"/>
  </cols>
  <sheetData>
    <row r="1" spans="1:14" ht="7.8" customHeight="1"/>
    <row r="2" spans="1:14" ht="15.6">
      <c r="B2" s="106" t="s">
        <v>110</v>
      </c>
      <c r="C2" s="106"/>
      <c r="D2" s="106"/>
      <c r="E2" s="106"/>
      <c r="F2" s="106"/>
      <c r="G2" s="106"/>
      <c r="H2" s="106"/>
      <c r="I2" s="106"/>
    </row>
    <row r="3" spans="1:14" ht="15.6">
      <c r="B3" s="98" t="s">
        <v>72</v>
      </c>
      <c r="C3" s="99">
        <v>44166</v>
      </c>
      <c r="D3" s="99">
        <f t="shared" ref="D3:I3" si="0">C3+365</f>
        <v>44531</v>
      </c>
      <c r="E3" s="99">
        <f t="shared" si="0"/>
        <v>44896</v>
      </c>
      <c r="F3" s="99">
        <f t="shared" si="0"/>
        <v>45261</v>
      </c>
      <c r="G3" s="99">
        <v>45627</v>
      </c>
      <c r="H3" s="99">
        <f t="shared" si="0"/>
        <v>45992</v>
      </c>
      <c r="I3" s="99">
        <f t="shared" si="0"/>
        <v>46357</v>
      </c>
    </row>
    <row r="4" spans="1:14" ht="14.4">
      <c r="B4" s="81"/>
      <c r="C4" s="516" t="s">
        <v>142</v>
      </c>
      <c r="D4" s="516"/>
      <c r="E4" s="516"/>
      <c r="F4" s="516"/>
      <c r="G4" s="517" t="s">
        <v>143</v>
      </c>
      <c r="H4" s="517"/>
      <c r="I4" s="140"/>
    </row>
    <row r="5" spans="1:14" ht="10.8" customHeight="1">
      <c r="B5" s="131" t="s">
        <v>182</v>
      </c>
      <c r="C5" s="107"/>
      <c r="D5" s="107"/>
      <c r="E5" s="107"/>
      <c r="F5" s="107"/>
      <c r="G5" s="107"/>
      <c r="H5" s="107"/>
      <c r="I5" s="107"/>
    </row>
    <row r="6" spans="1:14" ht="18">
      <c r="A6" s="130" t="s">
        <v>71</v>
      </c>
      <c r="B6" s="100" t="s">
        <v>73</v>
      </c>
      <c r="C6" s="101"/>
      <c r="D6" s="101"/>
      <c r="E6" s="101"/>
      <c r="F6" s="101"/>
      <c r="G6" s="101"/>
      <c r="H6" s="101"/>
      <c r="I6" s="101"/>
      <c r="L6" s="132" t="s">
        <v>191</v>
      </c>
    </row>
    <row r="7" spans="1:14" outlineLevel="1">
      <c r="B7" t="s">
        <v>74</v>
      </c>
      <c r="C7" s="215">
        <v>3969</v>
      </c>
      <c r="D7" s="215">
        <v>5107</v>
      </c>
      <c r="E7" s="215">
        <v>6622</v>
      </c>
      <c r="F7" s="215">
        <v>8407</v>
      </c>
      <c r="G7" s="88">
        <f>F7*(1+$M$8)</f>
        <v>10797.193542859159</v>
      </c>
      <c r="H7" s="88">
        <f>G7*(1+$M$8)</f>
        <v>13866.942833586238</v>
      </c>
      <c r="I7" s="88">
        <f>H7*(1+$M$8)</f>
        <v>17809.452316164436</v>
      </c>
      <c r="M7" s="133" t="s">
        <v>195</v>
      </c>
      <c r="N7" s="133"/>
    </row>
    <row r="8" spans="1:14" ht="14.4" outlineLevel="1">
      <c r="B8" s="83" t="s">
        <v>75</v>
      </c>
      <c r="C8" s="84">
        <v>0</v>
      </c>
      <c r="D8" s="84">
        <f>(D7/C7)-1</f>
        <v>0.28672209624590583</v>
      </c>
      <c r="E8" s="84">
        <f t="shared" ref="E8" si="1">(E7/D7)-1</f>
        <v>0.29665165459173681</v>
      </c>
      <c r="F8" s="84">
        <f t="shared" ref="F8" si="2">(F7/E7)-1</f>
        <v>0.26955602536997891</v>
      </c>
      <c r="G8" s="84">
        <f t="shared" ref="G8" si="3">(G7/F7)-1</f>
        <v>0.28430992540254052</v>
      </c>
      <c r="H8" s="84">
        <f t="shared" ref="H8" si="4">(H7/G7)-1</f>
        <v>0.28430992540254052</v>
      </c>
      <c r="I8" s="84">
        <f t="shared" ref="I8" si="5">(I7/H7)-1</f>
        <v>0.28430992540254052</v>
      </c>
      <c r="L8" s="135" t="s">
        <v>192</v>
      </c>
      <c r="M8" s="136">
        <f>AVERAGE(D8:F8)</f>
        <v>0.28430992540254052</v>
      </c>
      <c r="N8" s="134"/>
    </row>
    <row r="9" spans="1:14" ht="14.4" outlineLevel="1">
      <c r="B9" s="83"/>
      <c r="C9" s="84"/>
      <c r="D9" s="84"/>
      <c r="E9" s="84"/>
      <c r="F9" s="84"/>
      <c r="G9" s="84"/>
      <c r="L9" s="135" t="s">
        <v>194</v>
      </c>
      <c r="M9" s="136">
        <f>AVERAGE(C11:F11)</f>
        <v>0.11041640392885867</v>
      </c>
      <c r="N9" s="134"/>
    </row>
    <row r="10" spans="1:14" outlineLevel="1">
      <c r="B10" t="s">
        <v>76</v>
      </c>
      <c r="C10" s="215">
        <v>427</v>
      </c>
      <c r="D10" s="215">
        <v>532</v>
      </c>
      <c r="E10" s="215">
        <v>760</v>
      </c>
      <c r="F10" s="215">
        <v>968</v>
      </c>
      <c r="G10" s="88">
        <f>G7*$M$9</f>
        <v>1192.1872835264014</v>
      </c>
      <c r="H10" s="88">
        <f>H7*$M$9</f>
        <v>1531.13796117165</v>
      </c>
      <c r="I10" s="88">
        <f>I7*$M$9</f>
        <v>1966.4556806933599</v>
      </c>
      <c r="L10" s="135" t="s">
        <v>193</v>
      </c>
      <c r="M10" s="136">
        <f>AVERAGE(C17:F17)</f>
        <v>0.5943437812580904</v>
      </c>
      <c r="N10" s="134"/>
    </row>
    <row r="11" spans="1:14" ht="14.4" outlineLevel="1">
      <c r="B11" s="83" t="s">
        <v>77</v>
      </c>
      <c r="C11" s="85">
        <f>C10/C7</f>
        <v>0.10758377425044091</v>
      </c>
      <c r="D11" s="85">
        <f t="shared" ref="D11:H11" si="6">D10/D7</f>
        <v>0.10417074603485413</v>
      </c>
      <c r="E11" s="85">
        <f t="shared" si="6"/>
        <v>0.1147689519782543</v>
      </c>
      <c r="F11" s="85">
        <f t="shared" si="6"/>
        <v>0.11514214345188534</v>
      </c>
      <c r="G11" s="85">
        <f t="shared" si="6"/>
        <v>0.11041640392885867</v>
      </c>
      <c r="H11" s="85">
        <f t="shared" si="6"/>
        <v>0.11041640392885867</v>
      </c>
      <c r="I11" s="85">
        <f t="shared" ref="I11" si="7">I10/I7</f>
        <v>0.11041640392885867</v>
      </c>
      <c r="L11" s="135" t="s">
        <v>196</v>
      </c>
      <c r="M11" s="136">
        <f>AVERAGE(C35:F35)</f>
        <v>0.45833168154079285</v>
      </c>
    </row>
    <row r="12" spans="1:14" outlineLevel="1">
      <c r="C12" s="82"/>
      <c r="D12" s="82"/>
      <c r="E12" s="82"/>
      <c r="F12" s="82"/>
      <c r="G12" s="82"/>
      <c r="L12" s="518" t="s">
        <v>223</v>
      </c>
      <c r="M12" s="135"/>
    </row>
    <row r="13" spans="1:14" outlineLevel="1">
      <c r="B13" t="s">
        <v>78</v>
      </c>
      <c r="C13" s="216">
        <f>C7-C10</f>
        <v>3542</v>
      </c>
      <c r="D13" s="216">
        <f t="shared" ref="D13:H13" si="8">D7-D10</f>
        <v>4575</v>
      </c>
      <c r="E13" s="216">
        <f t="shared" si="8"/>
        <v>5862</v>
      </c>
      <c r="F13" s="216">
        <f t="shared" si="8"/>
        <v>7439</v>
      </c>
      <c r="G13" s="88">
        <f t="shared" si="8"/>
        <v>9605.0062593327566</v>
      </c>
      <c r="H13" s="88">
        <f t="shared" si="8"/>
        <v>12335.804872414588</v>
      </c>
      <c r="I13" s="88">
        <f t="shared" ref="I13" si="9">I7-I10</f>
        <v>15842.996635471076</v>
      </c>
      <c r="L13" s="518"/>
      <c r="M13" s="135"/>
    </row>
    <row r="14" spans="1:14" ht="14.4" outlineLevel="1">
      <c r="B14" s="83" t="s">
        <v>79</v>
      </c>
      <c r="C14" s="85">
        <f>C13/C7</f>
        <v>0.89241622574955903</v>
      </c>
      <c r="D14" s="85">
        <f t="shared" ref="D14:H14" si="10">D13/D7</f>
        <v>0.8958292539651459</v>
      </c>
      <c r="E14" s="85">
        <f t="shared" si="10"/>
        <v>0.88523104802174568</v>
      </c>
      <c r="F14" s="85">
        <f t="shared" si="10"/>
        <v>0.88485785654811466</v>
      </c>
      <c r="G14" s="85">
        <f t="shared" si="10"/>
        <v>0.88958359607114124</v>
      </c>
      <c r="H14" s="85">
        <f t="shared" si="10"/>
        <v>0.88958359607114135</v>
      </c>
      <c r="I14" s="85">
        <f t="shared" ref="I14" si="11">I13/I7</f>
        <v>0.88958359607114135</v>
      </c>
      <c r="L14" s="135"/>
      <c r="M14" s="135"/>
    </row>
    <row r="15" spans="1:14" outlineLevel="1">
      <c r="C15" s="82"/>
      <c r="D15" s="82"/>
      <c r="E15" s="82"/>
      <c r="F15" s="82"/>
      <c r="G15" s="82"/>
      <c r="L15" s="135"/>
      <c r="M15" s="135"/>
    </row>
    <row r="16" spans="1:14" outlineLevel="1">
      <c r="B16" t="s">
        <v>80</v>
      </c>
      <c r="C16" s="215">
        <v>2297</v>
      </c>
      <c r="D16" s="215">
        <v>3000</v>
      </c>
      <c r="E16" s="215">
        <v>4009</v>
      </c>
      <c r="F16" s="215">
        <v>5093</v>
      </c>
      <c r="G16" s="88">
        <f>G7*$M$10</f>
        <v>6417.2448372383496</v>
      </c>
      <c r="H16" s="88">
        <f>H7*$M$10</f>
        <v>8241.7312382034233</v>
      </c>
      <c r="I16" s="88">
        <f>I7*$M$10</f>
        <v>10584.937231724827</v>
      </c>
      <c r="L16" s="135"/>
      <c r="M16" s="135"/>
    </row>
    <row r="17" spans="2:12" ht="14.4" outlineLevel="1">
      <c r="B17" s="83" t="s">
        <v>81</v>
      </c>
      <c r="C17" s="85">
        <f t="shared" ref="C17:I17" si="12">C16/C7</f>
        <v>0.57873519778281679</v>
      </c>
      <c r="D17" s="85">
        <f t="shared" si="12"/>
        <v>0.58742901899353828</v>
      </c>
      <c r="E17" s="85">
        <f t="shared" si="12"/>
        <v>0.60540622168529146</v>
      </c>
      <c r="F17" s="85">
        <f t="shared" si="12"/>
        <v>0.60580468657071485</v>
      </c>
      <c r="G17" s="85">
        <f t="shared" si="12"/>
        <v>0.5943437812580904</v>
      </c>
      <c r="H17" s="85">
        <f t="shared" si="12"/>
        <v>0.5943437812580904</v>
      </c>
      <c r="I17" s="85">
        <f t="shared" si="12"/>
        <v>0.5943437812580904</v>
      </c>
    </row>
    <row r="18" spans="2:12" ht="14.4" outlineLevel="1">
      <c r="B18" s="83"/>
      <c r="C18" s="85"/>
      <c r="D18" s="85"/>
      <c r="E18" s="85"/>
      <c r="F18" s="85"/>
      <c r="G18" s="85"/>
    </row>
    <row r="19" spans="2:12" outlineLevel="1">
      <c r="B19" t="s">
        <v>82</v>
      </c>
      <c r="C19" s="216">
        <f>C13-C16</f>
        <v>1245</v>
      </c>
      <c r="D19" s="216">
        <f t="shared" ref="D19:H19" si="13">D13-D16</f>
        <v>1575</v>
      </c>
      <c r="E19" s="216">
        <f t="shared" si="13"/>
        <v>1853</v>
      </c>
      <c r="F19" s="216">
        <f t="shared" si="13"/>
        <v>2346</v>
      </c>
      <c r="G19" s="88">
        <f t="shared" si="13"/>
        <v>3187.761422094407</v>
      </c>
      <c r="H19" s="88">
        <f t="shared" si="13"/>
        <v>4094.073634211165</v>
      </c>
      <c r="I19" s="88">
        <f t="shared" ref="I19" si="14">I13-I16</f>
        <v>5258.0594037462488</v>
      </c>
    </row>
    <row r="20" spans="2:12" ht="14.4" outlineLevel="1">
      <c r="B20" s="83" t="s">
        <v>83</v>
      </c>
      <c r="C20" s="85">
        <f t="shared" ref="C20:I20" si="15">C19/C7</f>
        <v>0.31368102796674224</v>
      </c>
      <c r="D20" s="85">
        <f t="shared" si="15"/>
        <v>0.30840023497160762</v>
      </c>
      <c r="E20" s="85">
        <f t="shared" si="15"/>
        <v>0.27982482633645422</v>
      </c>
      <c r="F20" s="85">
        <f t="shared" si="15"/>
        <v>0.27905316997739976</v>
      </c>
      <c r="G20" s="85">
        <f t="shared" si="15"/>
        <v>0.29523981481305089</v>
      </c>
      <c r="H20" s="85">
        <f t="shared" si="15"/>
        <v>0.29523981481305095</v>
      </c>
      <c r="I20" s="85">
        <f t="shared" si="15"/>
        <v>0.29523981481305095</v>
      </c>
    </row>
    <row r="21" spans="2:12" ht="14.4" outlineLevel="1">
      <c r="B21" s="83"/>
      <c r="C21" s="85"/>
      <c r="D21" s="85"/>
      <c r="E21" s="85"/>
      <c r="F21" s="85"/>
      <c r="G21" s="85"/>
    </row>
    <row r="22" spans="2:12" outlineLevel="1">
      <c r="B22" s="18" t="s">
        <v>183</v>
      </c>
      <c r="C22" s="215">
        <f>-43+-90</f>
        <v>-133</v>
      </c>
      <c r="D22" s="215">
        <f>-497+-63</f>
        <v>-560</v>
      </c>
      <c r="E22" s="215">
        <f>-217+-94</f>
        <v>-311</v>
      </c>
      <c r="F22" s="215">
        <f>-895+-164</f>
        <v>-1059</v>
      </c>
      <c r="G22" s="88">
        <f>F22</f>
        <v>-1059</v>
      </c>
      <c r="H22" s="88">
        <f t="shared" ref="H22:I22" si="16">G22</f>
        <v>-1059</v>
      </c>
      <c r="I22" s="88">
        <f t="shared" si="16"/>
        <v>-1059</v>
      </c>
    </row>
    <row r="23" spans="2:12" ht="14.4" outlineLevel="1">
      <c r="B23" s="83" t="s">
        <v>184</v>
      </c>
      <c r="C23" s="85">
        <f>C22/C7</f>
        <v>-3.3509700176366841E-2</v>
      </c>
      <c r="D23" s="85">
        <f t="shared" ref="D23:H23" si="17">D22/D7</f>
        <v>-0.10965341687879382</v>
      </c>
      <c r="E23" s="85">
        <f t="shared" si="17"/>
        <v>-4.696466324373301E-2</v>
      </c>
      <c r="F23" s="85">
        <f t="shared" si="17"/>
        <v>-0.12596645652432498</v>
      </c>
      <c r="G23" s="85">
        <f t="shared" si="17"/>
        <v>-9.8081042615039638E-2</v>
      </c>
      <c r="H23" s="85">
        <f t="shared" si="17"/>
        <v>-7.6368671358121101E-2</v>
      </c>
      <c r="I23" s="85">
        <f t="shared" ref="I23" si="18">I22/I7</f>
        <v>-5.9462805548423141E-2</v>
      </c>
    </row>
    <row r="24" spans="2:12" outlineLevel="1">
      <c r="C24" s="88"/>
      <c r="D24" s="88"/>
      <c r="E24" s="88"/>
      <c r="F24" s="88"/>
      <c r="G24" s="88"/>
      <c r="H24" s="88"/>
      <c r="I24" s="88"/>
    </row>
    <row r="25" spans="2:12" outlineLevel="1">
      <c r="B25" t="s">
        <v>84</v>
      </c>
      <c r="C25" s="215">
        <v>508</v>
      </c>
      <c r="D25" s="215">
        <v>639</v>
      </c>
      <c r="E25" s="215">
        <v>819</v>
      </c>
      <c r="F25" s="215">
        <v>1021</v>
      </c>
      <c r="G25" s="88">
        <f>SUM('Dep &amp; Amort'!F19:G19)</f>
        <v>1736.0575088753101</v>
      </c>
      <c r="H25" s="88">
        <f>SUM('Dep &amp; Amort'!G19:H19)</f>
        <v>2763.1036088339115</v>
      </c>
      <c r="I25" s="88">
        <f>SUM('Dep &amp; Amort'!H19:I19)</f>
        <v>1553.0460999586014</v>
      </c>
      <c r="L25" s="88"/>
    </row>
    <row r="26" spans="2:12" ht="14.4" outlineLevel="1">
      <c r="B26" s="86" t="s">
        <v>85</v>
      </c>
      <c r="C26" s="85">
        <f t="shared" ref="C26:I26" si="19">C25/C7</f>
        <v>0.12799193751574703</v>
      </c>
      <c r="D26" s="85">
        <f t="shared" si="19"/>
        <v>0.12512238104562365</v>
      </c>
      <c r="E26" s="85">
        <f t="shared" si="19"/>
        <v>0.12367864693446089</v>
      </c>
      <c r="F26" s="85">
        <f t="shared" si="19"/>
        <v>0.12144641370286666</v>
      </c>
      <c r="G26" s="85">
        <f t="shared" si="19"/>
        <v>0.16078784750723216</v>
      </c>
      <c r="H26" s="85">
        <f t="shared" si="19"/>
        <v>0.19925831107788045</v>
      </c>
      <c r="I26" s="85">
        <f t="shared" si="19"/>
        <v>8.7203473323489378E-2</v>
      </c>
    </row>
    <row r="27" spans="2:12" outlineLevel="1">
      <c r="B27" s="65"/>
      <c r="C27" s="82"/>
      <c r="D27" s="82"/>
      <c r="E27" s="82"/>
      <c r="F27" s="82"/>
      <c r="G27" s="82"/>
      <c r="L27" s="88"/>
    </row>
    <row r="28" spans="2:12" outlineLevel="1">
      <c r="B28" s="65" t="s">
        <v>86</v>
      </c>
      <c r="C28" s="215">
        <v>0</v>
      </c>
      <c r="D28" s="215">
        <v>0</v>
      </c>
      <c r="E28" s="215">
        <v>0</v>
      </c>
      <c r="F28" s="215">
        <v>0</v>
      </c>
      <c r="G28" s="88">
        <v>0</v>
      </c>
      <c r="H28" s="88">
        <v>0</v>
      </c>
      <c r="I28" s="88">
        <v>0</v>
      </c>
      <c r="L28" s="88"/>
    </row>
    <row r="29" spans="2:12" ht="14.4" outlineLevel="1">
      <c r="B29" s="87" t="s">
        <v>87</v>
      </c>
      <c r="C29" s="85">
        <f t="shared" ref="C29:I29" si="20">C28/C7</f>
        <v>0</v>
      </c>
      <c r="D29" s="85">
        <f t="shared" si="20"/>
        <v>0</v>
      </c>
      <c r="E29" s="85">
        <f t="shared" si="20"/>
        <v>0</v>
      </c>
      <c r="F29" s="85">
        <f t="shared" si="20"/>
        <v>0</v>
      </c>
      <c r="G29" s="85">
        <f t="shared" si="20"/>
        <v>0</v>
      </c>
      <c r="H29" s="85">
        <f t="shared" si="20"/>
        <v>0</v>
      </c>
      <c r="I29" s="85">
        <f t="shared" si="20"/>
        <v>0</v>
      </c>
    </row>
    <row r="30" spans="2:12" outlineLevel="1">
      <c r="B30" s="65"/>
    </row>
    <row r="31" spans="2:12" outlineLevel="1">
      <c r="B31" s="65" t="s">
        <v>88</v>
      </c>
      <c r="C31" s="216">
        <f>C19--C22-C25-C28</f>
        <v>604</v>
      </c>
      <c r="D31" s="216">
        <f t="shared" ref="D31:H31" si="21">D19--D22-D25-D28</f>
        <v>376</v>
      </c>
      <c r="E31" s="216">
        <f t="shared" si="21"/>
        <v>723</v>
      </c>
      <c r="F31" s="216">
        <f t="shared" si="21"/>
        <v>266</v>
      </c>
      <c r="G31" s="88">
        <f t="shared" si="21"/>
        <v>392.70391321909688</v>
      </c>
      <c r="H31" s="88">
        <f t="shared" si="21"/>
        <v>271.97002537725348</v>
      </c>
      <c r="I31" s="88">
        <f t="shared" ref="I31" si="22">I19--I22-I25-I28</f>
        <v>2646.0133037876476</v>
      </c>
    </row>
    <row r="32" spans="2:12" ht="14.4" outlineLevel="1">
      <c r="B32" s="87" t="s">
        <v>89</v>
      </c>
      <c r="C32" s="85">
        <f t="shared" ref="C32:I32" si="23">C31/C7</f>
        <v>0.15217939027462837</v>
      </c>
      <c r="D32" s="85">
        <f t="shared" si="23"/>
        <v>7.3624437047190128E-2</v>
      </c>
      <c r="E32" s="85">
        <f t="shared" si="23"/>
        <v>0.10918151615826034</v>
      </c>
      <c r="F32" s="85">
        <f t="shared" si="23"/>
        <v>3.1640299750208163E-2</v>
      </c>
      <c r="G32" s="85">
        <f t="shared" si="23"/>
        <v>3.6370924690779106E-2</v>
      </c>
      <c r="H32" s="85">
        <f t="shared" si="23"/>
        <v>1.9612832377049413E-2</v>
      </c>
      <c r="I32" s="85">
        <f t="shared" si="23"/>
        <v>0.14857353594113842</v>
      </c>
    </row>
    <row r="33" spans="2:13" outlineLevel="1">
      <c r="B33" s="65"/>
    </row>
    <row r="34" spans="2:13" outlineLevel="1">
      <c r="B34" s="65" t="s">
        <v>90</v>
      </c>
      <c r="C34" s="215">
        <v>167</v>
      </c>
      <c r="D34" s="215">
        <v>206</v>
      </c>
      <c r="E34" s="215">
        <v>175</v>
      </c>
      <c r="F34" s="215">
        <v>204</v>
      </c>
      <c r="G34" s="88">
        <f>G31*$M$11</f>
        <v>179.98864489335827</v>
      </c>
      <c r="H34" s="88">
        <f>H31*$M$11</f>
        <v>124.65247905984869</v>
      </c>
      <c r="I34" s="88">
        <f>I31*$M$11</f>
        <v>1212.7517269043012</v>
      </c>
    </row>
    <row r="35" spans="2:13" ht="14.4" outlineLevel="1">
      <c r="B35" s="87" t="s">
        <v>91</v>
      </c>
      <c r="C35" s="85">
        <f t="shared" ref="C35:I35" si="24">C34/C31</f>
        <v>0.27649006622516559</v>
      </c>
      <c r="D35" s="85">
        <f t="shared" si="24"/>
        <v>0.5478723404255319</v>
      </c>
      <c r="E35" s="85">
        <f t="shared" si="24"/>
        <v>0.24204702627939143</v>
      </c>
      <c r="F35" s="85">
        <f t="shared" si="24"/>
        <v>0.76691729323308266</v>
      </c>
      <c r="G35" s="85">
        <f t="shared" si="24"/>
        <v>0.45833168154079285</v>
      </c>
      <c r="H35" s="85">
        <f t="shared" si="24"/>
        <v>0.45833168154079285</v>
      </c>
      <c r="I35" s="85">
        <f t="shared" si="24"/>
        <v>0.45833168154079285</v>
      </c>
    </row>
    <row r="36" spans="2:13" outlineLevel="1"/>
    <row r="37" spans="2:13" outlineLevel="1">
      <c r="B37" s="126" t="s">
        <v>92</v>
      </c>
      <c r="C37" s="91">
        <f>C31-C34</f>
        <v>437</v>
      </c>
      <c r="D37" s="91">
        <f t="shared" ref="D37:H37" si="25">D31-D34</f>
        <v>170</v>
      </c>
      <c r="E37" s="91">
        <f t="shared" si="25"/>
        <v>548</v>
      </c>
      <c r="F37" s="91">
        <f t="shared" si="25"/>
        <v>62</v>
      </c>
      <c r="G37" s="91">
        <f t="shared" si="25"/>
        <v>212.71526832573861</v>
      </c>
      <c r="H37" s="91">
        <f t="shared" si="25"/>
        <v>147.31754631740478</v>
      </c>
      <c r="I37" s="91">
        <f t="shared" ref="I37" si="26">I31-I34</f>
        <v>1433.2615768833464</v>
      </c>
      <c r="M37" s="18"/>
    </row>
    <row r="38" spans="2:13" ht="14.4" outlineLevel="1">
      <c r="B38" s="87" t="s">
        <v>93</v>
      </c>
      <c r="C38" s="85">
        <f t="shared" ref="C38:I38" si="27">C37/C7</f>
        <v>0.11010330057949105</v>
      </c>
      <c r="D38" s="85">
        <f t="shared" si="27"/>
        <v>3.3287644409633839E-2</v>
      </c>
      <c r="E38" s="85">
        <f t="shared" si="27"/>
        <v>8.2754454847478107E-2</v>
      </c>
      <c r="F38" s="85">
        <f t="shared" si="27"/>
        <v>7.3748067086951349E-3</v>
      </c>
      <c r="G38" s="85">
        <f t="shared" si="27"/>
        <v>1.9700977618060774E-2</v>
      </c>
      <c r="H38" s="85">
        <f t="shared" si="27"/>
        <v>1.0623649933898648E-2</v>
      </c>
      <c r="I38" s="85">
        <f t="shared" si="27"/>
        <v>8.0477577380775031E-2</v>
      </c>
    </row>
    <row r="39" spans="2:13" ht="14.4" outlineLevel="1">
      <c r="B39" s="87"/>
      <c r="C39" s="85"/>
      <c r="D39" s="85"/>
      <c r="E39" s="85"/>
      <c r="F39" s="85"/>
      <c r="G39" s="85"/>
    </row>
    <row r="40" spans="2:13" ht="14.4" outlineLevel="1">
      <c r="B40" s="124" t="s">
        <v>185</v>
      </c>
      <c r="C40" s="215">
        <v>0</v>
      </c>
      <c r="D40" s="215">
        <v>-142</v>
      </c>
      <c r="E40" s="215">
        <v>38</v>
      </c>
      <c r="F40" s="215">
        <v>-503</v>
      </c>
      <c r="G40" s="88">
        <v>0</v>
      </c>
      <c r="H40" s="88">
        <v>0</v>
      </c>
      <c r="I40" s="88">
        <v>0</v>
      </c>
    </row>
    <row r="41" spans="2:13" ht="9.6" customHeight="1" outlineLevel="1">
      <c r="B41" s="125"/>
      <c r="C41" s="85"/>
      <c r="D41" s="85"/>
      <c r="E41" s="85"/>
      <c r="F41" s="85"/>
      <c r="G41" s="85"/>
    </row>
    <row r="42" spans="2:13" ht="14.4" outlineLevel="1">
      <c r="B42" s="127" t="s">
        <v>186</v>
      </c>
      <c r="C42" s="128">
        <f>C37+C40</f>
        <v>437</v>
      </c>
      <c r="D42" s="128">
        <f>D37-D40</f>
        <v>312</v>
      </c>
      <c r="E42" s="128">
        <f>E37-E40</f>
        <v>510</v>
      </c>
      <c r="F42" s="128">
        <f>F37-F40</f>
        <v>565</v>
      </c>
      <c r="G42" s="128">
        <f t="shared" ref="G42:H42" si="28">G37+G40</f>
        <v>212.71526832573861</v>
      </c>
      <c r="H42" s="128">
        <f t="shared" si="28"/>
        <v>147.31754631740478</v>
      </c>
      <c r="I42" s="128">
        <f t="shared" ref="I42" si="29">I37+I40</f>
        <v>1433.2615768833464</v>
      </c>
    </row>
    <row r="43" spans="2:13" ht="7.8" customHeight="1" outlineLevel="1"/>
    <row r="44" spans="2:13" outlineLevel="1">
      <c r="B44" t="s">
        <v>94</v>
      </c>
      <c r="C44" s="217">
        <v>21191.53</v>
      </c>
      <c r="D44" s="217">
        <v>21191.53</v>
      </c>
      <c r="E44" s="217">
        <v>21191.53</v>
      </c>
      <c r="F44" s="217">
        <v>21191.53</v>
      </c>
      <c r="G44" s="123">
        <f>F44</f>
        <v>21191.53</v>
      </c>
      <c r="H44" s="123">
        <f t="shared" ref="H44:I44" si="30">G44</f>
        <v>21191.53</v>
      </c>
      <c r="I44" s="123">
        <f t="shared" si="30"/>
        <v>21191.53</v>
      </c>
    </row>
    <row r="45" spans="2:13" ht="7.2" customHeight="1" outlineLevel="1"/>
    <row r="46" spans="2:13" outlineLevel="1">
      <c r="B46" s="65" t="s">
        <v>95</v>
      </c>
      <c r="C46" s="121">
        <f>C42/C44*1000</f>
        <v>20.621446398631907</v>
      </c>
      <c r="D46" s="121">
        <f t="shared" ref="D46:H46" si="31">D42/D44*1000</f>
        <v>14.722863332661682</v>
      </c>
      <c r="E46" s="121">
        <f t="shared" si="31"/>
        <v>24.066218909158518</v>
      </c>
      <c r="F46" s="121">
        <f t="shared" si="31"/>
        <v>26.661595458185417</v>
      </c>
      <c r="G46" s="121">
        <f t="shared" si="31"/>
        <v>10.037749436956116</v>
      </c>
      <c r="H46" s="121">
        <f t="shared" si="31"/>
        <v>6.9517182722250244</v>
      </c>
      <c r="I46" s="121">
        <f t="shared" ref="I46" si="32">I42/I44*1000</f>
        <v>67.633699732079108</v>
      </c>
    </row>
    <row r="47" spans="2:13" ht="14.4" outlineLevel="1">
      <c r="B47" s="87" t="s">
        <v>96</v>
      </c>
      <c r="C47" s="85">
        <f>IFERROR(C46/#REF!-1,0)</f>
        <v>0</v>
      </c>
      <c r="D47" s="85">
        <f>IFERROR(D46/#REF!-1,0)</f>
        <v>0</v>
      </c>
      <c r="E47" s="85">
        <f>IFERROR(E46/#REF!-1,0)</f>
        <v>0</v>
      </c>
      <c r="F47" s="85">
        <f>IFERROR(F46/#REF!-1,0)</f>
        <v>0</v>
      </c>
      <c r="G47" s="85">
        <f>IFERROR(G46/#REF!-1,0)</f>
        <v>0</v>
      </c>
      <c r="H47" s="85">
        <f>IFERROR(H46/#REF!-1,0)</f>
        <v>0</v>
      </c>
      <c r="I47" s="85">
        <f>IFERROR(I46/#REF!-1,0)</f>
        <v>0</v>
      </c>
    </row>
    <row r="48" spans="2:13" outlineLevel="1"/>
    <row r="49" spans="1:12" outlineLevel="1">
      <c r="B49" t="s">
        <v>97</v>
      </c>
      <c r="C49">
        <v>0</v>
      </c>
      <c r="D49">
        <v>0</v>
      </c>
      <c r="E49">
        <v>0</v>
      </c>
      <c r="F49">
        <v>0</v>
      </c>
      <c r="G49">
        <v>0</v>
      </c>
      <c r="H49">
        <v>0</v>
      </c>
      <c r="I49">
        <v>0</v>
      </c>
    </row>
    <row r="50" spans="1:12" outlineLevel="1">
      <c r="B50" t="s">
        <v>98</v>
      </c>
      <c r="C50" s="88">
        <f>IFERROR(C49/C44,0)</f>
        <v>0</v>
      </c>
      <c r="D50" s="88">
        <f t="shared" ref="D50:H50" si="33">IFERROR(D49/D44,0)</f>
        <v>0</v>
      </c>
      <c r="E50" s="88">
        <f t="shared" si="33"/>
        <v>0</v>
      </c>
      <c r="F50" s="88">
        <f t="shared" si="33"/>
        <v>0</v>
      </c>
      <c r="G50" s="88">
        <f t="shared" si="33"/>
        <v>0</v>
      </c>
      <c r="H50" s="88">
        <f t="shared" si="33"/>
        <v>0</v>
      </c>
      <c r="I50" s="88">
        <f t="shared" ref="I50" si="34">IFERROR(I49/I44,0)</f>
        <v>0</v>
      </c>
    </row>
    <row r="51" spans="1:12" ht="14.4" outlineLevel="1">
      <c r="B51" s="87" t="s">
        <v>99</v>
      </c>
      <c r="C51" s="85">
        <f>IFERROR(C50/C46,0)</f>
        <v>0</v>
      </c>
      <c r="D51" s="85">
        <f t="shared" ref="D51:H51" si="35">IFERROR(D50/D46,0)</f>
        <v>0</v>
      </c>
      <c r="E51" s="85">
        <f t="shared" si="35"/>
        <v>0</v>
      </c>
      <c r="F51" s="85">
        <f t="shared" si="35"/>
        <v>0</v>
      </c>
      <c r="G51" s="85">
        <f t="shared" si="35"/>
        <v>0</v>
      </c>
      <c r="H51" s="85">
        <f t="shared" si="35"/>
        <v>0</v>
      </c>
      <c r="I51" s="85">
        <f t="shared" ref="I51" si="36">IFERROR(I50/I46,0)</f>
        <v>0</v>
      </c>
    </row>
    <row r="52" spans="1:12" outlineLevel="1"/>
    <row r="53" spans="1:12" ht="14.4" outlineLevel="1">
      <c r="B53" s="87" t="s">
        <v>100</v>
      </c>
      <c r="C53" s="85">
        <f>IFERROR(IF(C46&gt;C50,1-C51,0),0)</f>
        <v>1</v>
      </c>
      <c r="D53" s="85">
        <f t="shared" ref="D53:H53" si="37">IFERROR(IF(D46&gt;D50,1-D51,0),0)</f>
        <v>1</v>
      </c>
      <c r="E53" s="85">
        <f t="shared" si="37"/>
        <v>1</v>
      </c>
      <c r="F53" s="85">
        <f t="shared" si="37"/>
        <v>1</v>
      </c>
      <c r="G53" s="85">
        <f t="shared" si="37"/>
        <v>1</v>
      </c>
      <c r="H53" s="85">
        <f t="shared" si="37"/>
        <v>1</v>
      </c>
      <c r="I53" s="85">
        <f t="shared" ref="I53" si="38">IFERROR(IF(I46&gt;I50,1-I51,0),0)</f>
        <v>1</v>
      </c>
    </row>
    <row r="55" spans="1:12">
      <c r="B55" s="131" t="s">
        <v>182</v>
      </c>
    </row>
    <row r="56" spans="1:12" ht="18">
      <c r="A56" s="130" t="s">
        <v>71</v>
      </c>
      <c r="B56" s="100" t="s">
        <v>101</v>
      </c>
      <c r="C56" s="101"/>
      <c r="D56" s="101"/>
      <c r="E56" s="101"/>
      <c r="F56" s="101"/>
      <c r="G56" s="101"/>
      <c r="H56" s="101"/>
      <c r="I56" s="101"/>
      <c r="L56" s="135"/>
    </row>
    <row r="57" spans="1:12" outlineLevel="1">
      <c r="B57" s="18" t="s">
        <v>113</v>
      </c>
      <c r="C57" s="215">
        <v>758</v>
      </c>
      <c r="D57" s="215">
        <v>763</v>
      </c>
      <c r="E57" s="215">
        <v>811</v>
      </c>
      <c r="F57" s="215">
        <v>1284</v>
      </c>
      <c r="G57" s="88">
        <v>1284</v>
      </c>
      <c r="H57" s="88">
        <v>1284</v>
      </c>
      <c r="I57" s="88">
        <v>1284</v>
      </c>
      <c r="L57" s="133" t="s">
        <v>191</v>
      </c>
    </row>
    <row r="58" spans="1:12" outlineLevel="1">
      <c r="B58" t="s">
        <v>111</v>
      </c>
      <c r="C58" s="215">
        <v>483</v>
      </c>
      <c r="D58" s="215">
        <v>600</v>
      </c>
      <c r="E58" s="215">
        <v>892</v>
      </c>
      <c r="F58" s="215">
        <v>1146</v>
      </c>
      <c r="G58" s="88">
        <f>Assumption!G8</f>
        <v>1377.1723402498305</v>
      </c>
      <c r="H58" s="88">
        <f>Assumption!H8</f>
        <v>1768.716105572702</v>
      </c>
      <c r="I58" s="88">
        <f>Assumption!I8</f>
        <v>2271.579649606349</v>
      </c>
      <c r="L58" s="135" t="s">
        <v>246</v>
      </c>
    </row>
    <row r="59" spans="1:12" outlineLevel="1">
      <c r="B59" t="s">
        <v>112</v>
      </c>
      <c r="C59" s="215">
        <v>98</v>
      </c>
      <c r="D59" s="215">
        <v>140</v>
      </c>
      <c r="E59" s="215">
        <v>219</v>
      </c>
      <c r="F59" s="215">
        <v>326</v>
      </c>
      <c r="G59" s="88">
        <f>Assumption!G10</f>
        <v>334.58748595171232</v>
      </c>
      <c r="H59" s="88">
        <f>Assumption!H10</f>
        <v>429.71402912326721</v>
      </c>
      <c r="I59" s="88">
        <f>Assumption!I10</f>
        <v>551.88599268772839</v>
      </c>
      <c r="L59" s="135" t="s">
        <v>209</v>
      </c>
    </row>
    <row r="60" spans="1:12" outlineLevel="1">
      <c r="B60" s="18" t="s">
        <v>114</v>
      </c>
      <c r="C60" s="215">
        <v>27</v>
      </c>
      <c r="D60" s="215">
        <v>35</v>
      </c>
      <c r="E60" s="215">
        <v>48</v>
      </c>
      <c r="F60" s="215">
        <v>51</v>
      </c>
      <c r="G60" s="88">
        <f>Assumption!G12</f>
        <v>72.981285150592313</v>
      </c>
      <c r="H60" s="88">
        <f>Assumption!H12</f>
        <v>93.730588887538744</v>
      </c>
      <c r="I60" s="88">
        <f>Assumption!I12</f>
        <v>120.3791256220911</v>
      </c>
      <c r="L60" s="135" t="s">
        <v>210</v>
      </c>
    </row>
    <row r="61" spans="1:12" outlineLevel="1">
      <c r="B61" s="18" t="s">
        <v>115</v>
      </c>
      <c r="C61" s="215">
        <v>219</v>
      </c>
      <c r="D61" s="215">
        <v>296</v>
      </c>
      <c r="E61" s="215">
        <v>497</v>
      </c>
      <c r="F61" s="215">
        <v>538</v>
      </c>
      <c r="G61" s="88">
        <v>538</v>
      </c>
      <c r="H61" s="88">
        <v>538</v>
      </c>
      <c r="I61" s="88">
        <v>538</v>
      </c>
      <c r="L61" s="135" t="s">
        <v>211</v>
      </c>
    </row>
    <row r="62" spans="1:12" ht="14.4" outlineLevel="1">
      <c r="B62" s="92" t="s">
        <v>104</v>
      </c>
      <c r="C62" s="93">
        <f t="shared" ref="C62:H62" si="39">IFERROR(SUM(C57:C61),0)</f>
        <v>1585</v>
      </c>
      <c r="D62" s="93">
        <f t="shared" si="39"/>
        <v>1834</v>
      </c>
      <c r="E62" s="93">
        <f t="shared" si="39"/>
        <v>2467</v>
      </c>
      <c r="F62" s="93">
        <f t="shared" si="39"/>
        <v>3345</v>
      </c>
      <c r="G62" s="93">
        <f t="shared" si="39"/>
        <v>3606.7411113521348</v>
      </c>
      <c r="H62" s="93">
        <f t="shared" si="39"/>
        <v>4114.1607235835081</v>
      </c>
      <c r="I62" s="93">
        <f t="shared" ref="I62" si="40">IFERROR(SUM(I57:I61),0)</f>
        <v>4765.8447679161682</v>
      </c>
      <c r="L62" s="135" t="s">
        <v>212</v>
      </c>
    </row>
    <row r="63" spans="1:12" ht="14.4" outlineLevel="1">
      <c r="B63" s="92"/>
      <c r="C63" s="93"/>
      <c r="D63" s="93"/>
      <c r="E63" s="93"/>
      <c r="F63" s="93"/>
      <c r="G63" s="93"/>
      <c r="H63" s="93"/>
      <c r="I63" s="93"/>
      <c r="L63" s="135" t="s">
        <v>213</v>
      </c>
    </row>
    <row r="64" spans="1:12" outlineLevel="1">
      <c r="B64" s="18" t="s">
        <v>116</v>
      </c>
      <c r="C64" s="215">
        <v>86</v>
      </c>
      <c r="D64" s="215">
        <v>93</v>
      </c>
      <c r="E64" s="215">
        <v>128</v>
      </c>
      <c r="F64" s="215">
        <v>142</v>
      </c>
      <c r="G64" s="88">
        <f>Assumption!F65</f>
        <v>181</v>
      </c>
      <c r="H64" s="88">
        <f>Assumption!G65</f>
        <v>223</v>
      </c>
      <c r="I64" s="88">
        <f>Assumption!H65</f>
        <v>285.52821078476836</v>
      </c>
      <c r="L64" s="135" t="s">
        <v>214</v>
      </c>
    </row>
    <row r="65" spans="2:12" outlineLevel="1">
      <c r="B65" s="18" t="s">
        <v>117</v>
      </c>
      <c r="C65" s="215">
        <v>251</v>
      </c>
      <c r="D65" s="215">
        <v>245</v>
      </c>
      <c r="E65" s="215">
        <v>283</v>
      </c>
      <c r="F65" s="215">
        <v>312</v>
      </c>
      <c r="G65" s="88">
        <v>312</v>
      </c>
      <c r="H65" s="88">
        <v>312</v>
      </c>
      <c r="I65" s="88">
        <v>312</v>
      </c>
      <c r="L65" s="135" t="s">
        <v>215</v>
      </c>
    </row>
    <row r="66" spans="2:12" outlineLevel="1">
      <c r="B66" s="18" t="s">
        <v>118</v>
      </c>
      <c r="C66" s="215">
        <v>52</v>
      </c>
      <c r="D66" s="215">
        <v>66</v>
      </c>
      <c r="E66" s="215">
        <v>159</v>
      </c>
      <c r="F66" s="215">
        <v>107</v>
      </c>
      <c r="G66" s="88">
        <v>107</v>
      </c>
      <c r="H66" s="88">
        <v>107</v>
      </c>
      <c r="I66" s="88">
        <v>107</v>
      </c>
      <c r="L66" s="135" t="s">
        <v>216</v>
      </c>
    </row>
    <row r="67" spans="2:12" outlineLevel="1">
      <c r="B67" s="18" t="s">
        <v>119</v>
      </c>
      <c r="C67" s="215">
        <v>75</v>
      </c>
      <c r="D67" s="215">
        <v>99</v>
      </c>
      <c r="E67" s="215">
        <v>174</v>
      </c>
      <c r="F67" s="215">
        <v>286</v>
      </c>
      <c r="G67" s="88">
        <v>286</v>
      </c>
      <c r="H67" s="88">
        <v>286</v>
      </c>
      <c r="I67" s="88">
        <v>286</v>
      </c>
      <c r="L67" s="135" t="s">
        <v>217</v>
      </c>
    </row>
    <row r="68" spans="2:12" outlineLevel="1">
      <c r="B68" s="18" t="s">
        <v>120</v>
      </c>
      <c r="C68" s="215">
        <v>2325</v>
      </c>
      <c r="D68" s="215">
        <v>3428</v>
      </c>
      <c r="E68" s="215">
        <v>4662</v>
      </c>
      <c r="F68" s="215">
        <v>6707</v>
      </c>
      <c r="G68" s="88">
        <v>6707</v>
      </c>
      <c r="H68" s="88">
        <v>6707</v>
      </c>
      <c r="I68" s="88">
        <v>6707</v>
      </c>
      <c r="L68" s="135" t="s">
        <v>220</v>
      </c>
    </row>
    <row r="69" spans="2:12" ht="14.4" outlineLevel="1">
      <c r="B69" s="92" t="s">
        <v>103</v>
      </c>
      <c r="C69" s="93">
        <f>SUM(C64:C68)</f>
        <v>2789</v>
      </c>
      <c r="D69" s="93">
        <f t="shared" ref="D69:H69" si="41">IFERROR(SUM(D64:D68),0)</f>
        <v>3931</v>
      </c>
      <c r="E69" s="93">
        <f t="shared" si="41"/>
        <v>5406</v>
      </c>
      <c r="F69" s="93">
        <f t="shared" si="41"/>
        <v>7554</v>
      </c>
      <c r="G69" s="93">
        <f t="shared" si="41"/>
        <v>7593</v>
      </c>
      <c r="H69" s="93">
        <f t="shared" si="41"/>
        <v>7635</v>
      </c>
      <c r="I69" s="93">
        <f t="shared" ref="I69" si="42">IFERROR(SUM(I64:I68),0)</f>
        <v>7697.5282107847688</v>
      </c>
      <c r="L69" s="135" t="s">
        <v>221</v>
      </c>
    </row>
    <row r="70" spans="2:12" ht="7.2" customHeight="1" outlineLevel="1">
      <c r="C70" s="88"/>
      <c r="D70" s="88"/>
      <c r="E70" s="88"/>
      <c r="F70" s="88"/>
      <c r="G70" s="88"/>
      <c r="H70" s="88"/>
      <c r="I70" s="88"/>
    </row>
    <row r="71" spans="2:12" ht="14.4" outlineLevel="1">
      <c r="B71" s="102" t="s">
        <v>105</v>
      </c>
      <c r="C71" s="103">
        <f t="shared" ref="C71:H71" si="43">C62+C69</f>
        <v>4374</v>
      </c>
      <c r="D71" s="103">
        <f t="shared" si="43"/>
        <v>5765</v>
      </c>
      <c r="E71" s="103">
        <f t="shared" si="43"/>
        <v>7873</v>
      </c>
      <c r="F71" s="103">
        <f t="shared" si="43"/>
        <v>10899</v>
      </c>
      <c r="G71" s="103">
        <f t="shared" si="43"/>
        <v>11199.741111352134</v>
      </c>
      <c r="H71" s="103">
        <f t="shared" si="43"/>
        <v>11749.160723583507</v>
      </c>
      <c r="I71" s="103">
        <f t="shared" ref="I71" si="44">I62+I69</f>
        <v>12463.372978700936</v>
      </c>
    </row>
    <row r="72" spans="2:12" ht="18" customHeight="1" outlineLevel="1">
      <c r="B72" s="90"/>
      <c r="C72" s="91"/>
      <c r="D72" s="91"/>
      <c r="E72" s="91"/>
      <c r="F72" s="91"/>
      <c r="G72" s="91"/>
      <c r="H72" s="91"/>
      <c r="I72" s="91"/>
    </row>
    <row r="73" spans="2:12" ht="14.4" outlineLevel="1">
      <c r="B73" s="94" t="s">
        <v>125</v>
      </c>
      <c r="C73" s="218">
        <v>113</v>
      </c>
      <c r="D73" s="215">
        <v>143</v>
      </c>
      <c r="E73" s="215">
        <v>505</v>
      </c>
      <c r="F73" s="215">
        <v>861</v>
      </c>
      <c r="G73" s="89">
        <v>861</v>
      </c>
      <c r="H73" s="89">
        <v>861</v>
      </c>
      <c r="I73" s="89">
        <v>861</v>
      </c>
    </row>
    <row r="74" spans="2:12" ht="14.4" outlineLevel="1">
      <c r="B74" s="94" t="s">
        <v>126</v>
      </c>
      <c r="C74" s="218">
        <v>28</v>
      </c>
      <c r="D74" s="215">
        <v>60</v>
      </c>
      <c r="E74" s="215">
        <v>316</v>
      </c>
      <c r="F74" s="215">
        <v>225</v>
      </c>
      <c r="G74" s="89">
        <v>225</v>
      </c>
      <c r="H74" s="89">
        <v>225</v>
      </c>
      <c r="I74" s="89">
        <v>225</v>
      </c>
    </row>
    <row r="75" spans="2:12" ht="14.4" outlineLevel="1">
      <c r="B75" s="94" t="s">
        <v>127</v>
      </c>
      <c r="C75" s="218">
        <v>0</v>
      </c>
      <c r="D75" s="215">
        <v>7</v>
      </c>
      <c r="E75" s="215">
        <v>0</v>
      </c>
      <c r="F75" s="215">
        <v>814</v>
      </c>
      <c r="G75" s="89">
        <v>814</v>
      </c>
      <c r="H75" s="89">
        <v>814</v>
      </c>
      <c r="I75" s="89">
        <v>814</v>
      </c>
    </row>
    <row r="76" spans="2:12" ht="14.4" outlineLevel="1">
      <c r="B76" s="94" t="s">
        <v>122</v>
      </c>
      <c r="C76" s="218">
        <v>666</v>
      </c>
      <c r="D76" s="215">
        <v>832</v>
      </c>
      <c r="E76" s="215">
        <v>1083</v>
      </c>
      <c r="F76" s="215">
        <v>1432</v>
      </c>
      <c r="G76" s="89">
        <f>Assumption!G29</f>
        <v>1796.6165756726471</v>
      </c>
      <c r="H76" s="89">
        <f>Assumption!H29</f>
        <v>2287.2293945875704</v>
      </c>
      <c r="I76" s="89">
        <f>Assumption!I29</f>
        <v>2903.0494514186457</v>
      </c>
    </row>
    <row r="77" spans="2:12" ht="14.4" outlineLevel="1">
      <c r="B77" s="94" t="s">
        <v>128</v>
      </c>
      <c r="C77" s="218">
        <v>21</v>
      </c>
      <c r="D77" s="215">
        <v>22</v>
      </c>
      <c r="E77" s="215">
        <v>21</v>
      </c>
      <c r="F77" s="215">
        <v>21</v>
      </c>
      <c r="G77" s="89">
        <v>21</v>
      </c>
      <c r="H77" s="89">
        <v>21</v>
      </c>
      <c r="I77" s="89">
        <v>21</v>
      </c>
    </row>
    <row r="78" spans="2:12" ht="14.4" outlineLevel="1">
      <c r="B78" s="94" t="s">
        <v>123</v>
      </c>
      <c r="C78" s="218">
        <v>962</v>
      </c>
      <c r="D78" s="215">
        <v>1158</v>
      </c>
      <c r="E78" s="215">
        <v>1482</v>
      </c>
      <c r="F78" s="215">
        <v>1757</v>
      </c>
      <c r="G78" s="89">
        <f>AVERAGE(C78:F78)</f>
        <v>1339.75</v>
      </c>
      <c r="H78" s="89">
        <f>AVERAGE(C78:G78)</f>
        <v>1339.75</v>
      </c>
      <c r="I78" s="89">
        <f>AVERAGE(C78:H78)</f>
        <v>1339.75</v>
      </c>
    </row>
    <row r="79" spans="2:12" ht="14.4" outlineLevel="1">
      <c r="B79" s="94" t="s">
        <v>129</v>
      </c>
      <c r="C79" s="218">
        <v>12</v>
      </c>
      <c r="D79" s="215">
        <v>11</v>
      </c>
      <c r="E79" s="215">
        <v>11</v>
      </c>
      <c r="F79" s="215">
        <v>9</v>
      </c>
      <c r="G79" s="89">
        <v>9</v>
      </c>
      <c r="H79" s="89">
        <v>9</v>
      </c>
      <c r="I79" s="89">
        <v>9</v>
      </c>
    </row>
    <row r="80" spans="2:12" outlineLevel="1">
      <c r="B80" s="18" t="s">
        <v>124</v>
      </c>
      <c r="C80" s="215">
        <v>85</v>
      </c>
      <c r="D80" s="215">
        <v>94</v>
      </c>
      <c r="E80" s="215">
        <v>159</v>
      </c>
      <c r="F80" s="215">
        <v>174</v>
      </c>
      <c r="G80" s="89">
        <v>174</v>
      </c>
      <c r="H80" s="89">
        <v>174</v>
      </c>
      <c r="I80" s="89">
        <v>174</v>
      </c>
    </row>
    <row r="81" spans="2:9" outlineLevel="1">
      <c r="B81" s="18" t="s">
        <v>130</v>
      </c>
      <c r="C81" s="215">
        <v>74</v>
      </c>
      <c r="D81" s="215">
        <v>79</v>
      </c>
      <c r="E81" s="215">
        <v>96</v>
      </c>
      <c r="F81" s="215">
        <v>112</v>
      </c>
      <c r="G81" s="88">
        <f>AVERAGE($C$81:$F$81)</f>
        <v>90.25</v>
      </c>
      <c r="H81" s="88">
        <f>AVERAGE($C$81:$G$81)</f>
        <v>90.25</v>
      </c>
      <c r="I81" s="88">
        <f>AVERAGE($C$81:$H$81)</f>
        <v>90.25</v>
      </c>
    </row>
    <row r="82" spans="2:9" outlineLevel="1">
      <c r="B82" s="18" t="s">
        <v>131</v>
      </c>
      <c r="C82" s="215">
        <v>78</v>
      </c>
      <c r="D82" s="215">
        <v>56</v>
      </c>
      <c r="E82" s="215">
        <v>99</v>
      </c>
      <c r="F82" s="215">
        <v>90</v>
      </c>
      <c r="G82" s="88">
        <f>AVERAGE($C$82:$F$82)</f>
        <v>80.75</v>
      </c>
      <c r="H82" s="88">
        <f>AVERAGE($C$82:$G$82)</f>
        <v>80.75</v>
      </c>
      <c r="I82" s="88">
        <f>AVERAGE($C$82:$H$82)</f>
        <v>80.75</v>
      </c>
    </row>
    <row r="83" spans="2:9" ht="14.4" outlineLevel="1">
      <c r="B83" s="90" t="s">
        <v>133</v>
      </c>
      <c r="C83" s="91">
        <f t="shared" ref="C83:H83" si="45">SUM(C73:C82)</f>
        <v>2039</v>
      </c>
      <c r="D83" s="91">
        <f t="shared" si="45"/>
        <v>2462</v>
      </c>
      <c r="E83" s="91">
        <f t="shared" si="45"/>
        <v>3772</v>
      </c>
      <c r="F83" s="91">
        <f t="shared" si="45"/>
        <v>5495</v>
      </c>
      <c r="G83" s="91">
        <f t="shared" si="45"/>
        <v>5411.3665756726468</v>
      </c>
      <c r="H83" s="91">
        <f t="shared" si="45"/>
        <v>5901.9793945875699</v>
      </c>
      <c r="I83" s="91">
        <f t="shared" ref="I83" si="46">SUM(I73:I82)</f>
        <v>6517.7994514186457</v>
      </c>
    </row>
    <row r="84" spans="2:9" ht="14.4" outlineLevel="1">
      <c r="B84" s="90"/>
      <c r="C84" s="91"/>
      <c r="D84" s="91"/>
      <c r="E84" s="91"/>
      <c r="F84" s="91"/>
      <c r="G84" s="91"/>
      <c r="H84" s="91"/>
      <c r="I84" s="91"/>
    </row>
    <row r="85" spans="2:9" outlineLevel="1">
      <c r="B85" s="18" t="s">
        <v>125</v>
      </c>
      <c r="C85" s="215">
        <v>421</v>
      </c>
      <c r="D85" s="215">
        <v>561</v>
      </c>
      <c r="E85" s="215">
        <v>567</v>
      </c>
      <c r="F85" s="215">
        <v>863</v>
      </c>
      <c r="G85" s="88">
        <v>863</v>
      </c>
      <c r="H85" s="88">
        <v>863</v>
      </c>
      <c r="I85" s="88">
        <v>863</v>
      </c>
    </row>
    <row r="86" spans="2:9" outlineLevel="1">
      <c r="B86" s="18" t="s">
        <v>126</v>
      </c>
      <c r="C86" s="215">
        <v>199</v>
      </c>
      <c r="D86" s="215">
        <v>354</v>
      </c>
      <c r="E86" s="215">
        <v>586</v>
      </c>
      <c r="F86" s="215">
        <v>1385</v>
      </c>
      <c r="G86" s="88">
        <v>1385</v>
      </c>
      <c r="H86" s="88">
        <v>1385</v>
      </c>
      <c r="I86" s="88">
        <v>1385</v>
      </c>
    </row>
    <row r="87" spans="2:9" outlineLevel="1">
      <c r="B87" s="18" t="s">
        <v>118</v>
      </c>
      <c r="C87" s="215">
        <v>285</v>
      </c>
      <c r="D87" s="215">
        <v>436</v>
      </c>
      <c r="E87" s="215">
        <v>465</v>
      </c>
      <c r="F87" s="215">
        <v>625</v>
      </c>
      <c r="G87" s="88">
        <v>625</v>
      </c>
      <c r="H87" s="88">
        <v>625</v>
      </c>
      <c r="I87" s="88">
        <v>625</v>
      </c>
    </row>
    <row r="88" spans="2:9" outlineLevel="1">
      <c r="B88" t="s">
        <v>124</v>
      </c>
      <c r="C88" s="215">
        <v>37</v>
      </c>
      <c r="D88" s="215">
        <v>68</v>
      </c>
      <c r="E88" s="215">
        <v>73</v>
      </c>
      <c r="F88" s="215">
        <v>87</v>
      </c>
      <c r="G88" s="88">
        <v>87</v>
      </c>
      <c r="H88" s="88">
        <v>87</v>
      </c>
      <c r="I88" s="88">
        <v>87</v>
      </c>
    </row>
    <row r="89" spans="2:9" outlineLevel="1">
      <c r="B89" s="18" t="s">
        <v>130</v>
      </c>
      <c r="C89" s="215">
        <v>201</v>
      </c>
      <c r="D89" s="215">
        <v>190</v>
      </c>
      <c r="E89" s="215">
        <v>218</v>
      </c>
      <c r="F89" s="215">
        <v>236</v>
      </c>
      <c r="G89" s="88">
        <v>236</v>
      </c>
      <c r="H89" s="88">
        <v>236</v>
      </c>
      <c r="I89" s="88">
        <v>236</v>
      </c>
    </row>
    <row r="90" spans="2:9" outlineLevel="1">
      <c r="B90" s="18" t="s">
        <v>134</v>
      </c>
      <c r="C90" s="215">
        <v>146</v>
      </c>
      <c r="D90" s="215">
        <v>175</v>
      </c>
      <c r="E90" s="215">
        <v>258</v>
      </c>
      <c r="F90" s="215">
        <v>246</v>
      </c>
      <c r="G90" s="88">
        <v>246</v>
      </c>
      <c r="H90" s="88">
        <v>246</v>
      </c>
      <c r="I90" s="88">
        <v>246</v>
      </c>
    </row>
    <row r="91" spans="2:9" ht="14.4" outlineLevel="1">
      <c r="B91" s="90" t="s">
        <v>132</v>
      </c>
      <c r="C91" s="91">
        <f t="shared" ref="C91:H91" si="47">SUM(C85:C90)</f>
        <v>1289</v>
      </c>
      <c r="D91" s="91">
        <f t="shared" si="47"/>
        <v>1784</v>
      </c>
      <c r="E91" s="91">
        <f t="shared" si="47"/>
        <v>2167</v>
      </c>
      <c r="F91" s="91">
        <f t="shared" si="47"/>
        <v>3442</v>
      </c>
      <c r="G91" s="91">
        <f t="shared" si="47"/>
        <v>3442</v>
      </c>
      <c r="H91" s="91">
        <f t="shared" si="47"/>
        <v>3442</v>
      </c>
      <c r="I91" s="91">
        <f t="shared" ref="I91" si="48">SUM(I85:I90)</f>
        <v>3442</v>
      </c>
    </row>
    <row r="92" spans="2:9" ht="6.6" customHeight="1" outlineLevel="1">
      <c r="B92" s="90"/>
      <c r="C92" s="91"/>
      <c r="D92" s="91"/>
      <c r="E92" s="91"/>
      <c r="F92" s="91"/>
      <c r="G92" s="91"/>
      <c r="H92" s="91"/>
      <c r="I92" s="91"/>
    </row>
    <row r="93" spans="2:9" ht="14.4" outlineLevel="1">
      <c r="B93" s="102" t="s">
        <v>102</v>
      </c>
      <c r="C93" s="103">
        <f t="shared" ref="C93:H93" si="49">C83+C91</f>
        <v>3328</v>
      </c>
      <c r="D93" s="103">
        <f t="shared" si="49"/>
        <v>4246</v>
      </c>
      <c r="E93" s="103">
        <f t="shared" si="49"/>
        <v>5939</v>
      </c>
      <c r="F93" s="103">
        <f t="shared" si="49"/>
        <v>8937</v>
      </c>
      <c r="G93" s="103">
        <f t="shared" si="49"/>
        <v>8853.3665756726477</v>
      </c>
      <c r="H93" s="103">
        <f t="shared" si="49"/>
        <v>9343.9793945875699</v>
      </c>
      <c r="I93" s="103">
        <f t="shared" ref="I93" si="50">I83+I91</f>
        <v>9959.7994514186466</v>
      </c>
    </row>
    <row r="94" spans="2:9" ht="14.4" outlineLevel="1">
      <c r="B94" s="90"/>
      <c r="C94" s="91"/>
      <c r="D94" s="91"/>
      <c r="E94" s="91"/>
      <c r="F94" s="91"/>
      <c r="G94" s="91"/>
      <c r="H94" s="91"/>
      <c r="I94" s="91"/>
    </row>
    <row r="95" spans="2:9" ht="14.4" outlineLevel="1">
      <c r="B95" s="94" t="s">
        <v>138</v>
      </c>
      <c r="C95" s="214">
        <v>99</v>
      </c>
      <c r="D95" s="215">
        <v>99</v>
      </c>
      <c r="E95" s="215">
        <v>99</v>
      </c>
      <c r="F95" s="215">
        <v>99</v>
      </c>
      <c r="G95" s="89">
        <v>99</v>
      </c>
      <c r="H95" s="89">
        <v>99</v>
      </c>
      <c r="I95" s="89">
        <v>99</v>
      </c>
    </row>
    <row r="96" spans="2:9" ht="14.4" outlineLevel="1">
      <c r="B96" s="94" t="s">
        <v>135</v>
      </c>
      <c r="C96" s="214">
        <v>0</v>
      </c>
      <c r="D96" s="215">
        <v>-179</v>
      </c>
      <c r="E96" s="215">
        <v>0</v>
      </c>
      <c r="F96" s="215">
        <v>0</v>
      </c>
      <c r="G96" s="89">
        <v>0</v>
      </c>
      <c r="H96" s="89">
        <v>0</v>
      </c>
      <c r="I96" s="89">
        <v>0</v>
      </c>
    </row>
    <row r="97" spans="1:11" ht="14.4" outlineLevel="1">
      <c r="B97" s="94" t="s">
        <v>136</v>
      </c>
      <c r="C97" s="214">
        <v>-31</v>
      </c>
      <c r="D97" s="215">
        <v>-66</v>
      </c>
      <c r="E97" s="215">
        <v>-150</v>
      </c>
      <c r="F97" s="215">
        <v>-99</v>
      </c>
      <c r="G97" s="88">
        <f>F97</f>
        <v>-99</v>
      </c>
      <c r="H97" s="88">
        <f t="shared" ref="H97:I97" si="51">G97</f>
        <v>-99</v>
      </c>
      <c r="I97" s="88">
        <f t="shared" si="51"/>
        <v>-99</v>
      </c>
    </row>
    <row r="98" spans="1:11" ht="14.4" outlineLevel="1">
      <c r="B98" s="94" t="s">
        <v>137</v>
      </c>
      <c r="C98" s="214">
        <v>980</v>
      </c>
      <c r="D98" s="215">
        <v>1206</v>
      </c>
      <c r="E98" s="215">
        <v>1763</v>
      </c>
      <c r="F98" s="215">
        <v>1876</v>
      </c>
      <c r="G98" s="89">
        <f>G37-G77</f>
        <v>191.71526832573861</v>
      </c>
      <c r="H98" s="89">
        <f>H37-H77</f>
        <v>126.31754631740478</v>
      </c>
      <c r="I98" s="89">
        <f>I37-I77</f>
        <v>1412.2615768833464</v>
      </c>
    </row>
    <row r="99" spans="1:11" ht="14.4" outlineLevel="1">
      <c r="B99" s="94" t="s">
        <v>139</v>
      </c>
      <c r="C99" s="214">
        <v>0</v>
      </c>
      <c r="D99" s="215">
        <v>460</v>
      </c>
      <c r="E99" s="215">
        <v>221</v>
      </c>
      <c r="F99" s="215">
        <v>85</v>
      </c>
      <c r="G99" s="89">
        <v>85</v>
      </c>
      <c r="H99" s="89">
        <v>85</v>
      </c>
      <c r="I99" s="89">
        <v>85</v>
      </c>
    </row>
    <row r="100" spans="1:11" ht="14.4" outlineLevel="1">
      <c r="B100" s="104" t="s">
        <v>140</v>
      </c>
      <c r="C100" s="105">
        <f t="shared" ref="C100:H100" si="52">SUM(C95:C99)</f>
        <v>1048</v>
      </c>
      <c r="D100" s="105">
        <f t="shared" si="52"/>
        <v>1520</v>
      </c>
      <c r="E100" s="105">
        <f t="shared" si="52"/>
        <v>1933</v>
      </c>
      <c r="F100" s="105">
        <f t="shared" si="52"/>
        <v>1961</v>
      </c>
      <c r="G100" s="105">
        <f t="shared" si="52"/>
        <v>276.71526832573863</v>
      </c>
      <c r="H100" s="105">
        <f t="shared" si="52"/>
        <v>211.31754631740478</v>
      </c>
      <c r="I100" s="105">
        <f t="shared" ref="I100" si="53">SUM(I95:I99)</f>
        <v>1497.2615768833464</v>
      </c>
    </row>
    <row r="101" spans="1:11" ht="14.4" outlineLevel="1">
      <c r="B101" s="90"/>
      <c r="C101" s="91"/>
      <c r="D101" s="91"/>
      <c r="E101" s="91"/>
      <c r="F101" s="91"/>
      <c r="G101" s="91"/>
      <c r="H101" s="91"/>
      <c r="I101" s="91"/>
    </row>
    <row r="102" spans="1:11" ht="14.4" outlineLevel="1">
      <c r="B102" s="104" t="s">
        <v>141</v>
      </c>
      <c r="C102" s="105">
        <f t="shared" ref="C102:H102" si="54">C100+C93</f>
        <v>4376</v>
      </c>
      <c r="D102" s="105">
        <f t="shared" si="54"/>
        <v>5766</v>
      </c>
      <c r="E102" s="105">
        <f t="shared" si="54"/>
        <v>7872</v>
      </c>
      <c r="F102" s="105">
        <f t="shared" si="54"/>
        <v>10898</v>
      </c>
      <c r="G102" s="105">
        <f t="shared" si="54"/>
        <v>9130.0818439983868</v>
      </c>
      <c r="H102" s="105">
        <f t="shared" si="54"/>
        <v>9555.2969409049747</v>
      </c>
      <c r="I102" s="105">
        <f t="shared" ref="I102" si="55">I100+I93</f>
        <v>11457.061028301992</v>
      </c>
    </row>
    <row r="103" spans="1:11" ht="14.4">
      <c r="B103" s="90"/>
      <c r="C103" s="91"/>
      <c r="D103" s="91"/>
      <c r="E103" s="91"/>
      <c r="F103" s="91"/>
      <c r="G103" s="91"/>
    </row>
    <row r="104" spans="1:11">
      <c r="B104" s="131" t="s">
        <v>182</v>
      </c>
      <c r="C104" s="91"/>
      <c r="D104" s="91"/>
      <c r="E104" s="91"/>
      <c r="F104" s="91"/>
      <c r="G104" s="91"/>
    </row>
    <row r="105" spans="1:11" ht="15" customHeight="1">
      <c r="A105" s="130" t="s">
        <v>71</v>
      </c>
      <c r="B105" s="108" t="s">
        <v>144</v>
      </c>
      <c r="C105" s="101"/>
      <c r="D105" s="101"/>
      <c r="E105" s="101"/>
      <c r="F105" s="101"/>
      <c r="G105" s="101"/>
      <c r="H105" s="101"/>
      <c r="I105" s="101"/>
    </row>
    <row r="106" spans="1:11" ht="15.6" outlineLevel="1">
      <c r="B106" s="112" t="s">
        <v>106</v>
      </c>
      <c r="C106" s="96"/>
    </row>
    <row r="107" spans="1:11" ht="14.4" outlineLevel="1">
      <c r="B107" s="109" t="s">
        <v>145</v>
      </c>
      <c r="C107" s="214">
        <v>436</v>
      </c>
      <c r="D107" s="214">
        <v>169</v>
      </c>
      <c r="E107" s="214">
        <v>551</v>
      </c>
      <c r="F107" s="214">
        <v>62</v>
      </c>
      <c r="G107" s="96">
        <f>G37</f>
        <v>212.71526832573861</v>
      </c>
      <c r="H107" s="96">
        <f t="shared" ref="H107:I107" si="56">H37</f>
        <v>147.31754631740478</v>
      </c>
      <c r="I107" s="96">
        <f t="shared" si="56"/>
        <v>1433.2615768833464</v>
      </c>
    </row>
    <row r="108" spans="1:11" ht="14.4" outlineLevel="1">
      <c r="B108" s="110" t="s">
        <v>146</v>
      </c>
      <c r="C108" s="96"/>
      <c r="D108" s="96"/>
      <c r="E108" s="96"/>
      <c r="F108" s="96"/>
      <c r="G108" s="96"/>
      <c r="H108" s="96"/>
      <c r="I108" s="96"/>
    </row>
    <row r="109" spans="1:11" ht="14.4" outlineLevel="1">
      <c r="B109" s="113" t="s">
        <v>222</v>
      </c>
      <c r="C109" s="214">
        <v>508</v>
      </c>
      <c r="D109" s="214">
        <v>524</v>
      </c>
      <c r="E109" s="214">
        <v>546</v>
      </c>
      <c r="F109" s="214">
        <v>565</v>
      </c>
      <c r="G109" s="96">
        <f>G25</f>
        <v>1736.0575088753101</v>
      </c>
      <c r="H109" s="96">
        <f t="shared" ref="H109:I109" si="57">H25</f>
        <v>2763.1036088339115</v>
      </c>
      <c r="I109" s="96">
        <f t="shared" si="57"/>
        <v>1553.0460999586014</v>
      </c>
    </row>
    <row r="110" spans="1:11" ht="14.4" outlineLevel="1">
      <c r="B110" s="113" t="s">
        <v>147</v>
      </c>
      <c r="C110" s="214">
        <v>65</v>
      </c>
      <c r="D110" s="214">
        <v>132</v>
      </c>
      <c r="E110" s="214">
        <v>112</v>
      </c>
      <c r="F110" s="214">
        <v>152</v>
      </c>
      <c r="G110" s="96">
        <f>Assumption!G83</f>
        <v>208.43250219536745</v>
      </c>
      <c r="H110" s="96">
        <f>Assumption!H83</f>
        <v>267.6919313459972</v>
      </c>
      <c r="I110" s="96">
        <f>Assumption!I83</f>
        <v>343.79940437783972</v>
      </c>
      <c r="K110" s="153" t="s">
        <v>235</v>
      </c>
    </row>
    <row r="111" spans="1:11" ht="14.4" outlineLevel="1">
      <c r="B111" s="113" t="s">
        <v>148</v>
      </c>
      <c r="C111" s="214">
        <v>-4</v>
      </c>
      <c r="D111" s="214">
        <v>-7</v>
      </c>
      <c r="E111" s="214">
        <v>0</v>
      </c>
      <c r="F111" s="214">
        <v>-34</v>
      </c>
      <c r="G111" s="96">
        <f>Assumption!G85</f>
        <v>-17.336856846642963</v>
      </c>
      <c r="H111" s="96">
        <f>Assumption!H85</f>
        <v>-22.265897323426547</v>
      </c>
      <c r="I111" s="96">
        <f>Assumption!I85</f>
        <v>-28.596312930470575</v>
      </c>
      <c r="K111" s="153" t="s">
        <v>236</v>
      </c>
    </row>
    <row r="112" spans="1:11" outlineLevel="1">
      <c r="B112" s="114" t="s">
        <v>149</v>
      </c>
      <c r="C112" s="214">
        <v>-2</v>
      </c>
      <c r="D112" s="214">
        <v>-2</v>
      </c>
      <c r="E112" s="214">
        <v>-16</v>
      </c>
      <c r="F112" s="214">
        <v>-54</v>
      </c>
      <c r="G112" s="96">
        <f>Assumption!G87</f>
        <v>-26.277485748898396</v>
      </c>
      <c r="H112" s="96">
        <f>Assumption!H87</f>
        <v>-33.748435761934019</v>
      </c>
      <c r="I112" s="96">
        <f>Assumption!I87</f>
        <v>-43.343451015861909</v>
      </c>
      <c r="K112" s="153" t="s">
        <v>237</v>
      </c>
    </row>
    <row r="113" spans="2:12" outlineLevel="1">
      <c r="B113" s="114" t="s">
        <v>150</v>
      </c>
      <c r="C113" s="214">
        <v>12</v>
      </c>
      <c r="D113" s="214">
        <v>12</v>
      </c>
      <c r="E113" s="214">
        <v>7</v>
      </c>
      <c r="F113" s="214">
        <v>26</v>
      </c>
      <c r="G113" s="96">
        <f>Assumption!G89</f>
        <v>25.705124306621986</v>
      </c>
      <c r="H113" s="96">
        <f>Assumption!H89</f>
        <v>33.013346280700716</v>
      </c>
      <c r="I113" s="96">
        <f>Assumption!I89</f>
        <v>42.399368299054977</v>
      </c>
      <c r="K113" s="153" t="s">
        <v>238</v>
      </c>
    </row>
    <row r="114" spans="2:12" outlineLevel="1">
      <c r="B114" s="114" t="s">
        <v>156</v>
      </c>
      <c r="C114" s="214">
        <v>0</v>
      </c>
      <c r="D114" s="214">
        <v>295</v>
      </c>
      <c r="E114" s="214">
        <v>0</v>
      </c>
      <c r="F114" s="214">
        <v>597</v>
      </c>
      <c r="G114" s="96">
        <f>Assumption!G91</f>
        <v>347.60513296430508</v>
      </c>
      <c r="H114" s="96">
        <f>Assumption!H91</f>
        <v>446.4327223869268</v>
      </c>
      <c r="I114" s="96">
        <f>Assumption!I91</f>
        <v>573.35797638600707</v>
      </c>
      <c r="K114" s="153" t="s">
        <v>239</v>
      </c>
    </row>
    <row r="115" spans="2:12" outlineLevel="1">
      <c r="B115" s="114" t="s">
        <v>151</v>
      </c>
      <c r="C115" s="214">
        <v>46</v>
      </c>
      <c r="D115" s="214">
        <v>68</v>
      </c>
      <c r="E115" s="214">
        <v>110</v>
      </c>
      <c r="F115" s="214">
        <v>192</v>
      </c>
      <c r="G115" s="96">
        <f>Assumption!G93</f>
        <v>173.71141938626209</v>
      </c>
      <c r="H115" s="96">
        <f>Assumption!H93</f>
        <v>223.09930007353969</v>
      </c>
      <c r="I115" s="96">
        <f>Assumption!I93</f>
        <v>286.52864543480678</v>
      </c>
      <c r="K115" s="153" t="s">
        <v>240</v>
      </c>
    </row>
    <row r="116" spans="2:12" outlineLevel="1">
      <c r="B116" s="114" t="s">
        <v>152</v>
      </c>
      <c r="C116" s="214">
        <v>167</v>
      </c>
      <c r="D116" s="214">
        <v>206</v>
      </c>
      <c r="E116" s="214">
        <v>175</v>
      </c>
      <c r="F116" s="214">
        <v>204</v>
      </c>
      <c r="G116" s="96">
        <f>G34</f>
        <v>179.98864489335827</v>
      </c>
      <c r="H116" s="96">
        <f t="shared" ref="H116:I116" si="58">H34</f>
        <v>124.65247905984869</v>
      </c>
      <c r="I116" s="96">
        <f t="shared" si="58"/>
        <v>1212.7517269043012</v>
      </c>
      <c r="K116" s="153" t="s">
        <v>241</v>
      </c>
    </row>
    <row r="117" spans="2:12" outlineLevel="1">
      <c r="B117" s="114" t="s">
        <v>153</v>
      </c>
      <c r="C117" s="214">
        <v>2</v>
      </c>
      <c r="D117" s="214">
        <v>1</v>
      </c>
      <c r="E117" s="214">
        <v>-56</v>
      </c>
      <c r="F117" s="214">
        <v>43</v>
      </c>
      <c r="G117" s="96">
        <f>Assumption!G97</f>
        <v>-7.1319765564597599</v>
      </c>
      <c r="H117" s="96">
        <f>Assumption!H97</f>
        <v>-9.1596682791995025</v>
      </c>
      <c r="I117" s="96">
        <f>Assumption!I97</f>
        <v>-11.763852884370728</v>
      </c>
      <c r="K117" s="153" t="s">
        <v>242</v>
      </c>
    </row>
    <row r="118" spans="2:12" outlineLevel="1">
      <c r="B118" s="114" t="s">
        <v>154</v>
      </c>
      <c r="C118" s="214">
        <v>0</v>
      </c>
      <c r="D118" s="214">
        <v>0</v>
      </c>
      <c r="E118" s="214">
        <v>0</v>
      </c>
      <c r="F118" s="214">
        <v>0</v>
      </c>
      <c r="G118" s="96">
        <f>F118</f>
        <v>0</v>
      </c>
      <c r="H118" s="96">
        <f t="shared" ref="H118:I118" si="59">G118</f>
        <v>0</v>
      </c>
      <c r="I118" s="96">
        <f t="shared" si="59"/>
        <v>0</v>
      </c>
      <c r="K118" s="153" t="s">
        <v>243</v>
      </c>
    </row>
    <row r="119" spans="2:12" outlineLevel="1">
      <c r="B119" s="115" t="s">
        <v>157</v>
      </c>
      <c r="C119" s="214">
        <v>117</v>
      </c>
      <c r="D119" s="214">
        <v>45</v>
      </c>
      <c r="E119" s="214">
        <v>-60</v>
      </c>
      <c r="F119" s="214">
        <v>-36</v>
      </c>
      <c r="G119" s="96">
        <f>Assumption!G101</f>
        <v>67.339506875607498</v>
      </c>
      <c r="H119" s="96">
        <f>Assumption!H101</f>
        <v>86.484797052055328</v>
      </c>
      <c r="I119" s="96">
        <f>Assumption!I101</f>
        <v>111.07328325037903</v>
      </c>
      <c r="K119" s="153" t="s">
        <v>244</v>
      </c>
    </row>
    <row r="120" spans="2:12" outlineLevel="1">
      <c r="B120" s="115" t="s">
        <v>155</v>
      </c>
      <c r="C120" s="214">
        <v>-162</v>
      </c>
      <c r="D120" s="214">
        <v>-257</v>
      </c>
      <c r="E120" s="214">
        <v>-343</v>
      </c>
      <c r="F120" s="214">
        <v>-394</v>
      </c>
      <c r="G120" s="96">
        <f>Assumption!G103</f>
        <v>-285.43072667621328</v>
      </c>
      <c r="H120" s="96">
        <f>Assumption!H103</f>
        <v>-197.67717958610507</v>
      </c>
      <c r="I120" s="96">
        <f>Assumption!I103</f>
        <v>-1923.2135832414435</v>
      </c>
      <c r="K120" s="153" t="s">
        <v>245</v>
      </c>
    </row>
    <row r="121" spans="2:12" ht="14.4" outlineLevel="1">
      <c r="B121" s="97" t="s">
        <v>107</v>
      </c>
      <c r="C121" s="111">
        <f t="shared" ref="C121:I121" si="60">IFERROR(SUM(C107:C120),0)</f>
        <v>1185</v>
      </c>
      <c r="D121" s="111">
        <f t="shared" si="60"/>
        <v>1186</v>
      </c>
      <c r="E121" s="111">
        <f t="shared" si="60"/>
        <v>1026</v>
      </c>
      <c r="F121" s="111">
        <f t="shared" si="60"/>
        <v>1323</v>
      </c>
      <c r="G121" s="111">
        <f t="shared" si="60"/>
        <v>2615.3780619943568</v>
      </c>
      <c r="H121" s="111">
        <f t="shared" si="60"/>
        <v>3828.9445503997194</v>
      </c>
      <c r="I121" s="111">
        <f t="shared" si="60"/>
        <v>3549.3008814221903</v>
      </c>
    </row>
    <row r="122" spans="2:12" outlineLevel="1"/>
    <row r="123" spans="2:12" ht="15.6" outlineLevel="1">
      <c r="B123" s="112" t="s">
        <v>108</v>
      </c>
      <c r="L123" t="s">
        <v>121</v>
      </c>
    </row>
    <row r="124" spans="2:12" outlineLevel="1">
      <c r="B124" s="18" t="s">
        <v>163</v>
      </c>
      <c r="C124" s="214">
        <v>-477</v>
      </c>
      <c r="D124" s="214">
        <v>-1224</v>
      </c>
      <c r="E124" s="214">
        <v>-1633</v>
      </c>
      <c r="F124" s="214">
        <v>-1609</v>
      </c>
      <c r="G124" s="96">
        <f>Assumption!G110</f>
        <v>-2153.6158078982512</v>
      </c>
      <c r="H124" s="96">
        <f>Assumption!H110</f>
        <v>-2765.9101575875352</v>
      </c>
      <c r="I124" s="96">
        <f>Assumption!I110</f>
        <v>-3552.2858681613766</v>
      </c>
    </row>
    <row r="125" spans="2:12" outlineLevel="1">
      <c r="B125" s="18" t="s">
        <v>164</v>
      </c>
      <c r="C125" s="214">
        <v>97</v>
      </c>
      <c r="D125" s="214">
        <v>153</v>
      </c>
      <c r="E125" s="214">
        <v>216</v>
      </c>
      <c r="F125" s="214">
        <v>152</v>
      </c>
      <c r="G125" s="96">
        <f>Assumption!G112</f>
        <v>283.68816485324226</v>
      </c>
      <c r="H125" s="96">
        <f>Assumption!H112</f>
        <v>364.34352584025117</v>
      </c>
      <c r="I125" s="96">
        <f>Assumption!I112</f>
        <v>467.93000649279162</v>
      </c>
    </row>
    <row r="126" spans="2:12" outlineLevel="1">
      <c r="B126" t="s">
        <v>158</v>
      </c>
      <c r="C126" s="214">
        <v>-105</v>
      </c>
      <c r="D126" s="214">
        <v>-145</v>
      </c>
      <c r="E126" s="214">
        <v>-149</v>
      </c>
      <c r="F126" s="214">
        <v>-238</v>
      </c>
      <c r="G126" s="96">
        <f>Assumption!G114</f>
        <v>-285.20226903679611</v>
      </c>
      <c r="H126" s="96">
        <f>Assumption!H114</f>
        <v>-366.28810487128288</v>
      </c>
      <c r="I126" s="96">
        <f>Assumption!I114</f>
        <v>-470.42744864307525</v>
      </c>
    </row>
    <row r="127" spans="2:12" outlineLevel="1">
      <c r="B127" s="18" t="s">
        <v>165</v>
      </c>
      <c r="C127" s="214">
        <v>0</v>
      </c>
      <c r="D127" s="214">
        <v>33</v>
      </c>
      <c r="E127" s="214">
        <v>0</v>
      </c>
      <c r="F127" s="214">
        <v>0</v>
      </c>
      <c r="G127" s="96">
        <v>0</v>
      </c>
      <c r="H127" s="96">
        <v>0</v>
      </c>
      <c r="I127" s="96">
        <v>0</v>
      </c>
    </row>
    <row r="128" spans="2:12" outlineLevel="1">
      <c r="B128" t="s">
        <v>159</v>
      </c>
      <c r="C128" s="214">
        <v>-4</v>
      </c>
      <c r="D128" s="214">
        <v>-44</v>
      </c>
      <c r="E128" s="214">
        <v>-97</v>
      </c>
      <c r="F128" s="214">
        <v>-23</v>
      </c>
      <c r="G128" s="96">
        <f>Assumption!G117</f>
        <v>-72.901015271065404</v>
      </c>
      <c r="H128" s="96">
        <f>Assumption!H117</f>
        <v>-93.627497484551469</v>
      </c>
      <c r="I128" s="96">
        <f>Assumption!I117</f>
        <v>-120.24672431001085</v>
      </c>
    </row>
    <row r="129" spans="2:9" outlineLevel="1">
      <c r="B129" t="s">
        <v>160</v>
      </c>
      <c r="C129" s="214">
        <v>0</v>
      </c>
      <c r="D129" s="214">
        <v>13</v>
      </c>
      <c r="E129" s="214">
        <v>6</v>
      </c>
      <c r="F129" s="214">
        <v>119</v>
      </c>
      <c r="G129" s="96">
        <f>Assumption!G119</f>
        <v>47.525108932077032</v>
      </c>
      <c r="H129" s="96">
        <f>Assumption!H119</f>
        <v>61.036969107303456</v>
      </c>
      <c r="I129" s="96">
        <f>Assumption!I119</f>
        <v>78.390385240998086</v>
      </c>
    </row>
    <row r="130" spans="2:9" outlineLevel="1">
      <c r="B130" t="s">
        <v>161</v>
      </c>
      <c r="C130" s="214">
        <v>2</v>
      </c>
      <c r="D130" s="214">
        <v>5</v>
      </c>
      <c r="E130" s="214">
        <v>5</v>
      </c>
      <c r="F130" s="214">
        <v>4</v>
      </c>
      <c r="G130" s="96">
        <v>4</v>
      </c>
      <c r="H130" s="96">
        <v>4</v>
      </c>
      <c r="I130" s="96">
        <v>4</v>
      </c>
    </row>
    <row r="131" spans="2:9" outlineLevel="1">
      <c r="B131" t="s">
        <v>162</v>
      </c>
      <c r="C131" s="214">
        <v>-25</v>
      </c>
      <c r="D131" s="214">
        <v>-29</v>
      </c>
      <c r="E131" s="214">
        <v>-41</v>
      </c>
      <c r="F131" s="214">
        <v>-42</v>
      </c>
      <c r="G131" s="96">
        <f>-Assumption!G66</f>
        <v>-62.528210784768369</v>
      </c>
      <c r="H131" s="96">
        <f>-Assumption!H66</f>
        <v>-80.305601728540196</v>
      </c>
      <c r="I131" s="96">
        <f>-Assumption!I66</f>
        <v>-103.13728136538759</v>
      </c>
    </row>
    <row r="132" spans="2:9" ht="14.4" outlineLevel="1">
      <c r="B132" s="97" t="s">
        <v>177</v>
      </c>
      <c r="C132" s="111">
        <f t="shared" ref="C132:I132" si="61">IFERROR(SUM(C124:C131),0)</f>
        <v>-512</v>
      </c>
      <c r="D132" s="111">
        <f t="shared" si="61"/>
        <v>-1238</v>
      </c>
      <c r="E132" s="111">
        <f t="shared" si="61"/>
        <v>-1693</v>
      </c>
      <c r="F132" s="111">
        <f t="shared" si="61"/>
        <v>-1637</v>
      </c>
      <c r="G132" s="111">
        <f t="shared" si="61"/>
        <v>-2239.0340292055621</v>
      </c>
      <c r="H132" s="111">
        <f t="shared" si="61"/>
        <v>-2876.7508667243555</v>
      </c>
      <c r="I132" s="111">
        <f t="shared" si="61"/>
        <v>-3695.7769307460608</v>
      </c>
    </row>
    <row r="133" spans="2:9" outlineLevel="1"/>
    <row r="134" spans="2:9" ht="15.6" outlineLevel="1">
      <c r="B134" s="112" t="s">
        <v>109</v>
      </c>
    </row>
    <row r="135" spans="2:9" outlineLevel="1">
      <c r="B135" s="18" t="s">
        <v>173</v>
      </c>
      <c r="C135" s="214">
        <v>-8</v>
      </c>
      <c r="D135" s="214">
        <v>-9</v>
      </c>
      <c r="E135" s="214">
        <v>-11</v>
      </c>
      <c r="F135" s="214">
        <v>-11</v>
      </c>
      <c r="G135" s="96">
        <f>AVERAGE(C135:F135)</f>
        <v>-9.75</v>
      </c>
      <c r="H135" s="96">
        <f>AVERAGE(C135:G135)</f>
        <v>-9.75</v>
      </c>
      <c r="I135" s="96">
        <f>AVERAGE(C135:H135)</f>
        <v>-9.75</v>
      </c>
    </row>
    <row r="136" spans="2:9" outlineLevel="1">
      <c r="B136" t="s">
        <v>166</v>
      </c>
      <c r="C136" s="214">
        <v>-32</v>
      </c>
      <c r="D136" s="214">
        <v>-40</v>
      </c>
      <c r="E136" s="214">
        <v>-74</v>
      </c>
      <c r="F136" s="214">
        <v>-133</v>
      </c>
      <c r="G136" s="96">
        <f>Assumption!G128</f>
        <v>-115.77261809610798</v>
      </c>
      <c r="H136" s="96">
        <f>Assumption!H128</f>
        <v>-148.68792251066924</v>
      </c>
      <c r="I136" s="96">
        <f>Assumption!I128</f>
        <v>-190.96137466793633</v>
      </c>
    </row>
    <row r="137" spans="2:9" outlineLevel="1">
      <c r="B137" t="s">
        <v>187</v>
      </c>
      <c r="C137" s="214">
        <v>0</v>
      </c>
      <c r="D137" s="214">
        <v>0</v>
      </c>
      <c r="E137" s="214">
        <v>0</v>
      </c>
      <c r="F137" s="214">
        <v>5</v>
      </c>
      <c r="G137" s="96">
        <f>F137</f>
        <v>5</v>
      </c>
      <c r="H137" s="96">
        <f t="shared" ref="H137:I137" si="62">G137</f>
        <v>5</v>
      </c>
      <c r="I137" s="96">
        <f t="shared" si="62"/>
        <v>5</v>
      </c>
    </row>
    <row r="138" spans="2:9" outlineLevel="1">
      <c r="B138" s="18" t="s">
        <v>174</v>
      </c>
      <c r="C138" s="214">
        <v>-65</v>
      </c>
      <c r="D138" s="214">
        <v>0</v>
      </c>
      <c r="E138" s="214">
        <v>322</v>
      </c>
      <c r="F138" s="214">
        <v>256</v>
      </c>
      <c r="G138" s="96">
        <f>Assumption!G131</f>
        <v>169.24516247385114</v>
      </c>
      <c r="H138" s="96">
        <f>Assumption!H131</f>
        <v>217.36324199153259</v>
      </c>
      <c r="I138" s="96">
        <f>Assumption!I131</f>
        <v>279.16176910739961</v>
      </c>
    </row>
    <row r="139" spans="2:9" outlineLevel="1">
      <c r="B139" t="s">
        <v>167</v>
      </c>
      <c r="C139" s="214">
        <v>-31</v>
      </c>
      <c r="D139" s="214">
        <v>30</v>
      </c>
      <c r="E139" s="214">
        <v>91</v>
      </c>
      <c r="F139" s="214">
        <v>27</v>
      </c>
      <c r="G139" s="96">
        <f>Assumption!G133</f>
        <v>40.536551076187756</v>
      </c>
      <c r="H139" s="96">
        <f>Assumption!H133</f>
        <v>52.061494888734963</v>
      </c>
      <c r="I139" s="96">
        <f>Assumption!I133</f>
        <v>66.863094616895964</v>
      </c>
    </row>
    <row r="140" spans="2:9" outlineLevel="1">
      <c r="B140" t="s">
        <v>188</v>
      </c>
      <c r="C140" s="214">
        <v>0</v>
      </c>
      <c r="D140" s="214">
        <v>0</v>
      </c>
      <c r="E140" s="214">
        <v>0</v>
      </c>
      <c r="F140" s="214">
        <v>209</v>
      </c>
      <c r="G140" s="96">
        <v>0</v>
      </c>
      <c r="H140" s="96">
        <v>0</v>
      </c>
      <c r="I140" s="96">
        <v>0</v>
      </c>
    </row>
    <row r="141" spans="2:9" outlineLevel="1">
      <c r="B141" t="s">
        <v>168</v>
      </c>
      <c r="C141" s="214">
        <v>48</v>
      </c>
      <c r="D141" s="214">
        <v>176</v>
      </c>
      <c r="E141" s="214">
        <v>476</v>
      </c>
      <c r="F141" s="214">
        <v>447</v>
      </c>
      <c r="G141" s="96">
        <f>Assumption!G136</f>
        <v>463.22069258582388</v>
      </c>
      <c r="H141" s="96">
        <f>Assumption!H136</f>
        <v>594.91893313981257</v>
      </c>
      <c r="I141" s="96">
        <f>Assumption!I136</f>
        <v>764.06029064135191</v>
      </c>
    </row>
    <row r="142" spans="2:9" outlineLevel="1">
      <c r="B142" t="s">
        <v>169</v>
      </c>
      <c r="C142" s="214">
        <v>-6</v>
      </c>
      <c r="D142" s="214">
        <v>-6</v>
      </c>
      <c r="E142" s="214">
        <v>-102</v>
      </c>
      <c r="F142" s="214">
        <v>-282</v>
      </c>
      <c r="G142" s="96">
        <f>Assumption!G138</f>
        <v>-139.37355096597449</v>
      </c>
      <c r="H142" s="96">
        <f>Assumption!H138</f>
        <v>-178.99883484419786</v>
      </c>
      <c r="I142" s="96">
        <f>Assumption!I138</f>
        <v>-229.88998022589345</v>
      </c>
    </row>
    <row r="143" spans="2:9" outlineLevel="1">
      <c r="B143" t="s">
        <v>170</v>
      </c>
      <c r="C143" s="214">
        <v>0</v>
      </c>
      <c r="D143" s="214">
        <v>3</v>
      </c>
      <c r="E143" s="214">
        <v>-3</v>
      </c>
      <c r="F143" s="214">
        <v>-1</v>
      </c>
      <c r="G143" s="96">
        <v>-1</v>
      </c>
      <c r="H143" s="96">
        <v>-1</v>
      </c>
      <c r="I143" s="96">
        <v>-1</v>
      </c>
    </row>
    <row r="144" spans="2:9" outlineLevel="1">
      <c r="B144" t="s">
        <v>171</v>
      </c>
      <c r="C144" s="214">
        <v>-2</v>
      </c>
      <c r="D144" s="214">
        <v>-6</v>
      </c>
      <c r="E144" s="214">
        <v>-7</v>
      </c>
      <c r="F144" s="214">
        <v>-5</v>
      </c>
      <c r="G144" s="96">
        <v>-5</v>
      </c>
      <c r="H144" s="96">
        <v>-5</v>
      </c>
      <c r="I144" s="96">
        <v>-5</v>
      </c>
    </row>
    <row r="145" spans="2:9" outlineLevel="1">
      <c r="B145" t="s">
        <v>172</v>
      </c>
      <c r="C145" s="214">
        <v>-66</v>
      </c>
      <c r="D145" s="214">
        <v>-83</v>
      </c>
      <c r="E145" s="214">
        <v>-94</v>
      </c>
      <c r="F145" s="214">
        <v>-109</v>
      </c>
      <c r="G145" s="96">
        <f>Assumption!G142</f>
        <v>-162.0701125362086</v>
      </c>
      <c r="H145" s="96">
        <f>Assumption!H142</f>
        <v>-208.14825414135942</v>
      </c>
      <c r="I145" s="96">
        <f>Assumption!I142</f>
        <v>-267.32686874895842</v>
      </c>
    </row>
    <row r="146" spans="2:9" outlineLevel="1">
      <c r="B146" s="18" t="s">
        <v>175</v>
      </c>
      <c r="C146" s="214">
        <v>0</v>
      </c>
      <c r="D146" s="214">
        <v>-22</v>
      </c>
      <c r="E146" s="214">
        <v>-23</v>
      </c>
      <c r="F146" s="214">
        <v>0</v>
      </c>
      <c r="G146" s="96">
        <v>0</v>
      </c>
      <c r="H146" s="96">
        <v>0</v>
      </c>
      <c r="I146" s="96">
        <v>0</v>
      </c>
    </row>
    <row r="147" spans="2:9" outlineLevel="1">
      <c r="B147" s="18" t="s">
        <v>189</v>
      </c>
      <c r="C147" s="214">
        <v>0</v>
      </c>
      <c r="D147" s="214">
        <v>0</v>
      </c>
      <c r="E147" s="214">
        <v>-7</v>
      </c>
      <c r="F147" s="214">
        <v>0</v>
      </c>
      <c r="G147" s="96">
        <f>AVERAGE(C147:F147)</f>
        <v>-1.75</v>
      </c>
      <c r="H147" s="96">
        <f>AVERAGE(C147:G147)</f>
        <v>-1.75</v>
      </c>
      <c r="I147" s="96">
        <f>AVERAGE(C147:H147)</f>
        <v>-1.75</v>
      </c>
    </row>
    <row r="148" spans="2:9" outlineLevel="1">
      <c r="B148" t="s">
        <v>190</v>
      </c>
      <c r="C148" s="214">
        <v>-85</v>
      </c>
      <c r="D148" s="214">
        <v>-85</v>
      </c>
      <c r="E148" s="214">
        <v>-85</v>
      </c>
      <c r="F148" s="214">
        <v>-85</v>
      </c>
      <c r="G148" s="96">
        <f>AVERAGE(C148:F148)</f>
        <v>-85</v>
      </c>
      <c r="H148" s="96">
        <f>AVERAGE(C148:G148)</f>
        <v>-85</v>
      </c>
      <c r="I148" s="96">
        <f>AVERAGE(C148:H148)</f>
        <v>-85</v>
      </c>
    </row>
    <row r="149" spans="2:9" ht="14.4" outlineLevel="1">
      <c r="B149" s="97" t="s">
        <v>178</v>
      </c>
      <c r="C149" s="111">
        <f t="shared" ref="C149:H149" si="63">IFERROR(SUM(C135:C148),0)</f>
        <v>-247</v>
      </c>
      <c r="D149" s="111">
        <f t="shared" si="63"/>
        <v>-42</v>
      </c>
      <c r="E149" s="111">
        <f t="shared" si="63"/>
        <v>483</v>
      </c>
      <c r="F149" s="111">
        <f t="shared" si="63"/>
        <v>318</v>
      </c>
      <c r="G149" s="111">
        <f t="shared" si="63"/>
        <v>158.28612453757174</v>
      </c>
      <c r="H149" s="111">
        <f t="shared" si="63"/>
        <v>231.00865852385357</v>
      </c>
      <c r="I149" s="111">
        <f t="shared" ref="I149" si="64">IFERROR(SUM(I135:I148),0)</f>
        <v>324.40693072285933</v>
      </c>
    </row>
    <row r="150" spans="2:9" ht="14.4" outlineLevel="1">
      <c r="B150" s="120"/>
      <c r="C150" s="91"/>
      <c r="D150" s="91"/>
      <c r="E150" s="91"/>
      <c r="F150" s="91"/>
      <c r="G150" s="91"/>
      <c r="H150" s="91"/>
      <c r="I150" s="91"/>
    </row>
    <row r="151" spans="2:9" ht="12.6" customHeight="1" outlineLevel="1">
      <c r="B151" s="118" t="s">
        <v>176</v>
      </c>
      <c r="C151" s="119">
        <v>15</v>
      </c>
      <c r="D151" s="119">
        <v>-16</v>
      </c>
      <c r="E151" s="119">
        <v>-39</v>
      </c>
      <c r="F151" s="119">
        <v>17</v>
      </c>
      <c r="G151" s="119"/>
      <c r="H151" s="119"/>
      <c r="I151" s="119"/>
    </row>
    <row r="152" spans="2:9" ht="12.6" customHeight="1" outlineLevel="1">
      <c r="B152" s="120"/>
      <c r="C152" s="91"/>
      <c r="D152" s="91"/>
      <c r="E152" s="91"/>
      <c r="F152" s="91"/>
      <c r="G152" s="91"/>
      <c r="H152" s="91"/>
      <c r="I152" s="91"/>
    </row>
    <row r="153" spans="2:9" ht="12.6" customHeight="1" outlineLevel="1">
      <c r="B153" s="117" t="s">
        <v>179</v>
      </c>
      <c r="C153" s="116">
        <v>442</v>
      </c>
      <c r="D153" s="116">
        <v>5</v>
      </c>
      <c r="E153" s="116">
        <v>48</v>
      </c>
      <c r="F153" s="116">
        <v>473</v>
      </c>
      <c r="G153" s="116"/>
      <c r="H153" s="116"/>
      <c r="I153" s="116"/>
    </row>
    <row r="154" spans="2:9" ht="12.6" customHeight="1" outlineLevel="1">
      <c r="B154" s="117" t="s">
        <v>180</v>
      </c>
      <c r="C154" s="116">
        <v>316</v>
      </c>
      <c r="D154" s="116">
        <v>758</v>
      </c>
      <c r="E154" s="116">
        <v>763</v>
      </c>
      <c r="F154" s="116">
        <v>811</v>
      </c>
      <c r="G154" s="116"/>
      <c r="H154" s="116"/>
      <c r="I154" s="116"/>
    </row>
    <row r="155" spans="2:9" ht="12.6" customHeight="1" outlineLevel="1">
      <c r="B155" s="18"/>
      <c r="C155" s="91"/>
      <c r="D155" s="91"/>
      <c r="E155" s="91"/>
      <c r="F155" s="91"/>
      <c r="G155" s="91"/>
      <c r="H155" s="91"/>
      <c r="I155" s="91"/>
    </row>
    <row r="156" spans="2:9" ht="12.6" customHeight="1" outlineLevel="1">
      <c r="B156" s="97" t="s">
        <v>181</v>
      </c>
      <c r="C156" s="111">
        <f>SUM(C153:C154)</f>
        <v>758</v>
      </c>
      <c r="D156" s="111">
        <f t="shared" ref="D156:H156" si="65">SUM(D153:D154)</f>
        <v>763</v>
      </c>
      <c r="E156" s="111">
        <f t="shared" si="65"/>
        <v>811</v>
      </c>
      <c r="F156" s="111">
        <f t="shared" si="65"/>
        <v>1284</v>
      </c>
      <c r="G156" s="111">
        <f t="shared" si="65"/>
        <v>0</v>
      </c>
      <c r="H156" s="111">
        <f t="shared" si="65"/>
        <v>0</v>
      </c>
      <c r="I156" s="111">
        <f t="shared" ref="I156" si="66">SUM(I153:I154)</f>
        <v>0</v>
      </c>
    </row>
    <row r="159" spans="2:9" outlineLevel="1">
      <c r="B159" s="18" t="s">
        <v>296</v>
      </c>
      <c r="C159" s="88">
        <f>C62-C83</f>
        <v>-454</v>
      </c>
      <c r="D159" s="88">
        <f t="shared" ref="D159:I159" si="67">D62-D83</f>
        <v>-628</v>
      </c>
      <c r="E159" s="88">
        <f t="shared" si="67"/>
        <v>-1305</v>
      </c>
      <c r="F159" s="88">
        <f t="shared" si="67"/>
        <v>-2150</v>
      </c>
      <c r="G159" s="88">
        <f t="shared" si="67"/>
        <v>-1804.625464320512</v>
      </c>
      <c r="H159" s="88">
        <f t="shared" si="67"/>
        <v>-1787.8186710040618</v>
      </c>
      <c r="I159" s="88">
        <f t="shared" si="67"/>
        <v>-1751.9546835024776</v>
      </c>
    </row>
    <row r="160" spans="2:9" outlineLevel="1">
      <c r="B160" s="18" t="s">
        <v>297</v>
      </c>
      <c r="D160" s="88">
        <f>D159-C159</f>
        <v>-174</v>
      </c>
      <c r="E160" s="88">
        <f t="shared" ref="E160:I160" si="68">E159-D159</f>
        <v>-677</v>
      </c>
      <c r="F160" s="88">
        <f t="shared" si="68"/>
        <v>-845</v>
      </c>
      <c r="G160" s="88">
        <f t="shared" si="68"/>
        <v>345.37453567948796</v>
      </c>
      <c r="H160" s="88">
        <f t="shared" si="68"/>
        <v>16.806793316450239</v>
      </c>
      <c r="I160" s="88">
        <f t="shared" si="68"/>
        <v>35.863987501584234</v>
      </c>
    </row>
    <row r="161" spans="2:9" outlineLevel="1"/>
    <row r="162" spans="2:9" outlineLevel="1">
      <c r="B162" s="18" t="s">
        <v>298</v>
      </c>
      <c r="C162" s="88">
        <f>C73+C74+C85+C86-C57</f>
        <v>3</v>
      </c>
      <c r="D162" s="88">
        <f t="shared" ref="D162:I162" si="69">D73+D74+D85+D86-D57</f>
        <v>355</v>
      </c>
      <c r="E162" s="88">
        <f t="shared" si="69"/>
        <v>1163</v>
      </c>
      <c r="F162" s="88">
        <f t="shared" si="69"/>
        <v>2050</v>
      </c>
      <c r="G162" s="88">
        <f t="shared" si="69"/>
        <v>2050</v>
      </c>
      <c r="H162" s="88">
        <f t="shared" si="69"/>
        <v>2050</v>
      </c>
      <c r="I162" s="88">
        <f t="shared" si="69"/>
        <v>2050</v>
      </c>
    </row>
  </sheetData>
  <mergeCells count="3">
    <mergeCell ref="C4:F4"/>
    <mergeCell ref="G4:H4"/>
    <mergeCell ref="L12:L13"/>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7F2590-5604-472E-9146-FE2CBF24981A}">
  <dimension ref="D7:M9"/>
  <sheetViews>
    <sheetView workbookViewId="0">
      <selection activeCell="H7" sqref="H7"/>
    </sheetView>
  </sheetViews>
  <sheetFormatPr defaultRowHeight="13.8"/>
  <cols>
    <col min="6" max="6" width="11.33203125" customWidth="1"/>
  </cols>
  <sheetData>
    <row r="7" spans="4:13">
      <c r="E7" s="18" t="s">
        <v>654</v>
      </c>
      <c r="F7" s="506" t="s">
        <v>656</v>
      </c>
    </row>
    <row r="9" spans="4:13">
      <c r="D9" s="18" t="s">
        <v>655</v>
      </c>
      <c r="G9">
        <v>6</v>
      </c>
      <c r="J9">
        <v>6</v>
      </c>
      <c r="M9">
        <v>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227FF2-E51D-436B-ACA2-66BC1BB2667F}">
  <dimension ref="B1:I147"/>
  <sheetViews>
    <sheetView showGridLines="0" topLeftCell="A123" zoomScaleNormal="100" workbookViewId="0">
      <selection activeCell="G133" sqref="G133"/>
    </sheetView>
  </sheetViews>
  <sheetFormatPr defaultRowHeight="13.8"/>
  <cols>
    <col min="2" max="2" width="44.88671875" bestFit="1" customWidth="1"/>
    <col min="3" max="3" width="14.6640625" customWidth="1"/>
    <col min="4" max="4" width="12.44140625" customWidth="1"/>
    <col min="5" max="5" width="11.21875" customWidth="1"/>
    <col min="6" max="6" width="14.44140625" customWidth="1"/>
    <col min="7" max="7" width="11" customWidth="1"/>
    <col min="8" max="8" width="10.88671875" customWidth="1"/>
    <col min="9" max="9" width="10.5546875" customWidth="1"/>
  </cols>
  <sheetData>
    <row r="1" spans="2:9" ht="15.6">
      <c r="B1" s="141" t="s">
        <v>110</v>
      </c>
      <c r="C1" s="143"/>
      <c r="D1" s="142"/>
      <c r="E1" s="142"/>
      <c r="F1" s="142"/>
      <c r="G1" s="142"/>
      <c r="H1" s="142"/>
      <c r="I1" s="142"/>
    </row>
    <row r="2" spans="2:9" ht="15.6">
      <c r="B2" s="98" t="s">
        <v>72</v>
      </c>
      <c r="C2" s="99">
        <v>44166</v>
      </c>
      <c r="D2" s="99">
        <v>44531</v>
      </c>
      <c r="E2" s="99">
        <v>44896</v>
      </c>
      <c r="F2" s="99">
        <v>45261</v>
      </c>
      <c r="G2" s="99">
        <v>45627</v>
      </c>
      <c r="H2" s="99">
        <v>45992</v>
      </c>
      <c r="I2" s="99">
        <v>46357</v>
      </c>
    </row>
    <row r="3" spans="2:9" ht="14.4">
      <c r="B3" s="81"/>
      <c r="C3" s="516" t="s">
        <v>142</v>
      </c>
      <c r="D3" s="516"/>
      <c r="E3" s="516"/>
      <c r="F3" s="516"/>
      <c r="G3" s="517" t="s">
        <v>143</v>
      </c>
      <c r="H3" s="517"/>
      <c r="I3" s="140"/>
    </row>
    <row r="4" spans="2:9" ht="14.4">
      <c r="B4" s="81"/>
      <c r="C4" s="107"/>
      <c r="D4" s="107"/>
      <c r="E4" s="107"/>
      <c r="F4" s="107"/>
      <c r="G4" s="144"/>
      <c r="H4" s="144"/>
      <c r="I4" s="144"/>
    </row>
    <row r="5" spans="2:9">
      <c r="B5" s="18" t="s">
        <v>74</v>
      </c>
      <c r="C5">
        <f>'Financial Statement'!C7</f>
        <v>3969</v>
      </c>
      <c r="D5">
        <f>'Financial Statement'!D7</f>
        <v>5107</v>
      </c>
      <c r="E5">
        <f>'Financial Statement'!E7</f>
        <v>6622</v>
      </c>
      <c r="F5">
        <f>'Financial Statement'!F7</f>
        <v>8407</v>
      </c>
      <c r="G5" s="122">
        <f>'Financial Statement'!G7</f>
        <v>10797.193542859159</v>
      </c>
      <c r="H5" s="122">
        <f>'Financial Statement'!H7</f>
        <v>13866.942833586238</v>
      </c>
      <c r="I5" s="122">
        <f>'Financial Statement'!I7</f>
        <v>17809.452316164436</v>
      </c>
    </row>
    <row r="6" spans="2:9" ht="18">
      <c r="B6" s="100" t="s">
        <v>101</v>
      </c>
      <c r="C6" s="101"/>
      <c r="D6" s="101"/>
      <c r="E6" s="101"/>
      <c r="F6" s="101"/>
      <c r="G6" s="101"/>
      <c r="H6" s="101"/>
      <c r="I6" s="101"/>
    </row>
    <row r="7" spans="2:9">
      <c r="B7" s="18" t="s">
        <v>113</v>
      </c>
      <c r="C7" s="88">
        <v>758</v>
      </c>
      <c r="D7" s="88">
        <v>763</v>
      </c>
      <c r="E7" s="88">
        <v>811</v>
      </c>
      <c r="F7" s="88">
        <v>1284</v>
      </c>
      <c r="G7" s="88"/>
      <c r="H7" s="88"/>
      <c r="I7" s="88"/>
    </row>
    <row r="8" spans="2:9">
      <c r="B8" t="s">
        <v>111</v>
      </c>
      <c r="C8" s="88">
        <v>483</v>
      </c>
      <c r="D8" s="88">
        <v>600</v>
      </c>
      <c r="E8" s="88">
        <v>892</v>
      </c>
      <c r="F8" s="88">
        <v>1146</v>
      </c>
      <c r="G8" s="145">
        <f>G5*G9</f>
        <v>1377.1723402498305</v>
      </c>
      <c r="H8" s="145">
        <f t="shared" ref="H8:I8" si="0">H5*H9</f>
        <v>1768.716105572702</v>
      </c>
      <c r="I8" s="145">
        <f t="shared" si="0"/>
        <v>2271.579649606349</v>
      </c>
    </row>
    <row r="9" spans="2:9">
      <c r="C9" s="137">
        <f>C8/C5</f>
        <v>0.12169312169312169</v>
      </c>
      <c r="D9" s="137">
        <f t="shared" ref="D9:F9" si="1">D8/D5</f>
        <v>0.11748580379870766</v>
      </c>
      <c r="E9" s="137">
        <f t="shared" si="1"/>
        <v>0.13470250679553006</v>
      </c>
      <c r="F9" s="137">
        <f t="shared" si="1"/>
        <v>0.13631497561555847</v>
      </c>
      <c r="G9" s="137">
        <f>AVERAGE(C9:F9)</f>
        <v>0.12754910197572947</v>
      </c>
      <c r="H9" s="137">
        <f>AVERAGE(C9:G9)</f>
        <v>0.12754910197572947</v>
      </c>
      <c r="I9" s="137">
        <f>AVERAGE(C9:H9)</f>
        <v>0.12754910197572947</v>
      </c>
    </row>
    <row r="10" spans="2:9">
      <c r="B10" t="s">
        <v>112</v>
      </c>
      <c r="C10" s="88">
        <v>98</v>
      </c>
      <c r="D10" s="88">
        <v>140</v>
      </c>
      <c r="E10" s="88">
        <v>219</v>
      </c>
      <c r="F10" s="88">
        <v>326</v>
      </c>
      <c r="G10" s="88">
        <f>G5*G11</f>
        <v>334.58748595171232</v>
      </c>
      <c r="H10" s="88">
        <f t="shared" ref="H10:I10" si="2">H5*H11</f>
        <v>429.71402912326721</v>
      </c>
      <c r="I10" s="88">
        <f t="shared" si="2"/>
        <v>551.88599268772839</v>
      </c>
    </row>
    <row r="11" spans="2:9">
      <c r="C11" s="138">
        <f>C10/C5</f>
        <v>2.4691358024691357E-2</v>
      </c>
      <c r="D11" s="138">
        <f t="shared" ref="D11:F11" si="3">D10/D5</f>
        <v>2.7413354219698455E-2</v>
      </c>
      <c r="E11" s="138">
        <f t="shared" si="3"/>
        <v>3.3071579583207493E-2</v>
      </c>
      <c r="F11" s="138">
        <f t="shared" si="3"/>
        <v>3.8777209468300225E-2</v>
      </c>
      <c r="G11" s="138">
        <f>AVERAGE($C$11:$F$11)</f>
        <v>3.0988375323974384E-2</v>
      </c>
      <c r="H11" s="138">
        <f t="shared" ref="H11:I11" si="4">AVERAGE($C$11:$F$11)</f>
        <v>3.0988375323974384E-2</v>
      </c>
      <c r="I11" s="138">
        <f t="shared" si="4"/>
        <v>3.0988375323974384E-2</v>
      </c>
    </row>
    <row r="12" spans="2:9">
      <c r="B12" s="18" t="s">
        <v>114</v>
      </c>
      <c r="C12" s="88">
        <v>27</v>
      </c>
      <c r="D12" s="88">
        <v>35</v>
      </c>
      <c r="E12" s="88">
        <v>48</v>
      </c>
      <c r="F12" s="88">
        <v>51</v>
      </c>
      <c r="G12" s="145">
        <f>'Financial Statement'!G10*Assumption!G13</f>
        <v>72.981285150592313</v>
      </c>
      <c r="H12" s="145">
        <f>'Financial Statement'!H10*Assumption!H13</f>
        <v>93.730588887538744</v>
      </c>
      <c r="I12" s="145">
        <f>'Financial Statement'!I10*Assumption!I13</f>
        <v>120.3791256220911</v>
      </c>
    </row>
    <row r="13" spans="2:9">
      <c r="B13" s="18"/>
      <c r="C13" s="138">
        <f>C12/'Financial Statement'!C10</f>
        <v>6.323185011709602E-2</v>
      </c>
      <c r="D13" s="138">
        <f>D12/'Financial Statement'!D10</f>
        <v>6.5789473684210523E-2</v>
      </c>
      <c r="E13" s="138">
        <f>E12/'Financial Statement'!E10</f>
        <v>6.3157894736842107E-2</v>
      </c>
      <c r="F13" s="138">
        <f>F12/'Financial Statement'!F10</f>
        <v>5.2685950413223138E-2</v>
      </c>
      <c r="G13" s="138">
        <f>AVERAGE($C$13:$F$13)</f>
        <v>6.1216292237842945E-2</v>
      </c>
      <c r="H13" s="138">
        <f t="shared" ref="H13:I13" si="5">AVERAGE($C$13:$F$13)</f>
        <v>6.1216292237842945E-2</v>
      </c>
      <c r="I13" s="138">
        <f t="shared" si="5"/>
        <v>6.1216292237842945E-2</v>
      </c>
    </row>
    <row r="14" spans="2:9">
      <c r="B14" s="18" t="s">
        <v>115</v>
      </c>
      <c r="C14" s="88">
        <v>219</v>
      </c>
      <c r="D14" s="88">
        <v>296</v>
      </c>
      <c r="E14" s="88">
        <v>497</v>
      </c>
      <c r="F14" s="88">
        <v>538</v>
      </c>
      <c r="G14" s="88">
        <v>538</v>
      </c>
      <c r="H14" s="88">
        <v>538</v>
      </c>
      <c r="I14" s="88">
        <v>538</v>
      </c>
    </row>
    <row r="15" spans="2:9" ht="14.4">
      <c r="B15" s="92" t="s">
        <v>104</v>
      </c>
      <c r="C15" s="93">
        <v>1585</v>
      </c>
      <c r="D15" s="93">
        <v>1834</v>
      </c>
      <c r="E15" s="93">
        <v>2467</v>
      </c>
      <c r="F15" s="93">
        <v>3345</v>
      </c>
      <c r="G15" s="93">
        <v>538</v>
      </c>
      <c r="H15" s="93">
        <v>538</v>
      </c>
      <c r="I15" s="93">
        <v>538</v>
      </c>
    </row>
    <row r="16" spans="2:9" ht="14.4">
      <c r="B16" s="92"/>
      <c r="C16" s="93"/>
      <c r="D16" s="93"/>
      <c r="E16" s="93"/>
      <c r="F16" s="93"/>
      <c r="G16" s="93"/>
      <c r="H16" s="93"/>
      <c r="I16" s="93"/>
    </row>
    <row r="17" spans="2:9">
      <c r="B17" s="18" t="s">
        <v>116</v>
      </c>
      <c r="C17" s="88">
        <v>86</v>
      </c>
      <c r="D17" s="89">
        <v>93</v>
      </c>
      <c r="E17" s="89">
        <v>128</v>
      </c>
      <c r="F17" s="88">
        <v>142</v>
      </c>
      <c r="G17" s="88"/>
      <c r="H17" s="88"/>
      <c r="I17" s="88"/>
    </row>
    <row r="18" spans="2:9">
      <c r="B18" s="18" t="s">
        <v>117</v>
      </c>
      <c r="C18" s="88">
        <v>251</v>
      </c>
      <c r="D18" s="88">
        <v>245</v>
      </c>
      <c r="E18" s="88">
        <v>283</v>
      </c>
      <c r="F18" s="88">
        <v>312</v>
      </c>
      <c r="G18" s="88"/>
      <c r="H18" s="88"/>
      <c r="I18" s="88"/>
    </row>
    <row r="19" spans="2:9">
      <c r="B19" s="18" t="s">
        <v>118</v>
      </c>
      <c r="C19" s="88">
        <v>52</v>
      </c>
      <c r="D19" s="88">
        <v>66</v>
      </c>
      <c r="E19" s="88">
        <v>159</v>
      </c>
      <c r="F19" s="88">
        <v>107</v>
      </c>
      <c r="G19" s="88"/>
      <c r="H19" s="88"/>
      <c r="I19" s="88"/>
    </row>
    <row r="20" spans="2:9">
      <c r="B20" s="18" t="s">
        <v>119</v>
      </c>
      <c r="C20" s="88">
        <v>75</v>
      </c>
      <c r="D20" s="88">
        <v>99</v>
      </c>
      <c r="E20" s="88">
        <v>174</v>
      </c>
      <c r="F20" s="88">
        <v>286</v>
      </c>
      <c r="G20" s="88"/>
      <c r="H20" s="88"/>
      <c r="I20" s="88"/>
    </row>
    <row r="21" spans="2:9">
      <c r="B21" s="18" t="s">
        <v>120</v>
      </c>
      <c r="C21" s="88">
        <v>2325</v>
      </c>
      <c r="D21" s="88">
        <v>3428</v>
      </c>
      <c r="E21" s="88">
        <v>4662</v>
      </c>
      <c r="F21" s="88">
        <v>6707</v>
      </c>
      <c r="G21" s="88"/>
      <c r="H21" s="88"/>
      <c r="I21" s="88"/>
    </row>
    <row r="22" spans="2:9" ht="14.4">
      <c r="B22" s="92" t="s">
        <v>103</v>
      </c>
      <c r="C22" s="93">
        <v>2789</v>
      </c>
      <c r="D22" s="93">
        <v>3931</v>
      </c>
      <c r="E22" s="93">
        <v>5406</v>
      </c>
      <c r="F22" s="93">
        <v>7554</v>
      </c>
      <c r="G22" s="93">
        <v>0</v>
      </c>
      <c r="H22" s="93">
        <v>0</v>
      </c>
      <c r="I22" s="93">
        <v>0</v>
      </c>
    </row>
    <row r="23" spans="2:9">
      <c r="C23" s="88"/>
      <c r="D23" s="88"/>
      <c r="E23" s="88"/>
      <c r="F23" s="88"/>
      <c r="G23" s="88"/>
      <c r="H23" s="88"/>
      <c r="I23" s="88"/>
    </row>
    <row r="24" spans="2:9" ht="14.4">
      <c r="B24" s="102" t="s">
        <v>105</v>
      </c>
      <c r="C24" s="103">
        <v>4374</v>
      </c>
      <c r="D24" s="103">
        <v>5765</v>
      </c>
      <c r="E24" s="103">
        <v>7873</v>
      </c>
      <c r="F24" s="103">
        <v>10899</v>
      </c>
      <c r="G24" s="103">
        <v>538</v>
      </c>
      <c r="H24" s="103">
        <v>538</v>
      </c>
      <c r="I24" s="103">
        <v>538</v>
      </c>
    </row>
    <row r="25" spans="2:9" ht="14.4">
      <c r="B25" s="90"/>
      <c r="C25" s="91"/>
      <c r="D25" s="91"/>
      <c r="E25" s="91"/>
      <c r="F25" s="91"/>
      <c r="G25" s="91"/>
      <c r="H25" s="91"/>
      <c r="I25" s="91"/>
    </row>
    <row r="26" spans="2:9" ht="14.4">
      <c r="B26" s="94" t="s">
        <v>125</v>
      </c>
      <c r="C26" s="95">
        <v>113</v>
      </c>
      <c r="D26" s="89">
        <v>143</v>
      </c>
      <c r="E26" s="89">
        <v>505</v>
      </c>
      <c r="F26" s="89">
        <v>861</v>
      </c>
      <c r="G26" s="91"/>
      <c r="H26" s="91"/>
      <c r="I26" s="91"/>
    </row>
    <row r="27" spans="2:9" ht="14.4">
      <c r="B27" s="94" t="s">
        <v>126</v>
      </c>
      <c r="C27" s="95">
        <v>28</v>
      </c>
      <c r="D27" s="89">
        <v>60</v>
      </c>
      <c r="E27" s="89">
        <v>316</v>
      </c>
      <c r="F27" s="89">
        <v>225</v>
      </c>
      <c r="G27" s="91"/>
      <c r="H27" s="91"/>
      <c r="I27" s="91"/>
    </row>
    <row r="28" spans="2:9" ht="14.4">
      <c r="B28" s="94" t="s">
        <v>127</v>
      </c>
      <c r="C28" s="95">
        <v>0</v>
      </c>
      <c r="D28" s="89">
        <v>7</v>
      </c>
      <c r="E28" s="89">
        <v>0</v>
      </c>
      <c r="F28" s="89">
        <v>814</v>
      </c>
      <c r="G28" s="91"/>
      <c r="H28" s="91"/>
      <c r="I28" s="91"/>
    </row>
    <row r="29" spans="2:9" ht="14.4">
      <c r="B29" s="94" t="s">
        <v>122</v>
      </c>
      <c r="C29" s="95">
        <v>666</v>
      </c>
      <c r="D29" s="89">
        <v>832</v>
      </c>
      <c r="E29" s="89">
        <v>1083</v>
      </c>
      <c r="F29" s="89">
        <v>1432</v>
      </c>
      <c r="G29" s="95">
        <f>'Financial Statement'!G10*Assumption!G30</f>
        <v>1796.6165756726471</v>
      </c>
      <c r="H29" s="95">
        <f>'Financial Statement'!H10*Assumption!H30</f>
        <v>2287.2293945875704</v>
      </c>
      <c r="I29" s="95">
        <f>'Financial Statement'!I10*Assumption!I30</f>
        <v>2903.0494514186457</v>
      </c>
    </row>
    <row r="30" spans="2:9" ht="14.4">
      <c r="B30" s="94"/>
      <c r="C30" s="146">
        <f>C29/'Financial Statement'!C10</f>
        <v>1.5597189695550351</v>
      </c>
      <c r="D30" s="146">
        <f>D29/'Financial Statement'!D10</f>
        <v>1.5639097744360901</v>
      </c>
      <c r="E30" s="146">
        <f>E29/'Financial Statement'!E10</f>
        <v>1.425</v>
      </c>
      <c r="F30" s="146">
        <f>F29/'Financial Statement'!F10</f>
        <v>1.4793388429752066</v>
      </c>
      <c r="G30" s="147">
        <f>AVERAGE(C30:F30)</f>
        <v>1.506991896741583</v>
      </c>
      <c r="H30" s="147">
        <f t="shared" ref="H30:I30" si="6">AVERAGE(D30:G30)</f>
        <v>1.4938101285382199</v>
      </c>
      <c r="I30" s="147">
        <f t="shared" si="6"/>
        <v>1.4762852170637524</v>
      </c>
    </row>
    <row r="31" spans="2:9" ht="14.4">
      <c r="B31" s="94" t="s">
        <v>128</v>
      </c>
      <c r="C31" s="95">
        <v>21</v>
      </c>
      <c r="D31" s="89">
        <v>22</v>
      </c>
      <c r="E31" s="89">
        <v>21</v>
      </c>
      <c r="F31" s="89">
        <v>21</v>
      </c>
      <c r="G31" s="91"/>
      <c r="H31" s="91"/>
      <c r="I31" s="91"/>
    </row>
    <row r="32" spans="2:9" ht="14.4">
      <c r="B32" s="94" t="s">
        <v>123</v>
      </c>
      <c r="C32" s="95">
        <v>962</v>
      </c>
      <c r="D32" s="89">
        <v>1158</v>
      </c>
      <c r="E32" s="89">
        <v>1482</v>
      </c>
      <c r="F32" s="89">
        <v>1757</v>
      </c>
      <c r="G32" s="91"/>
      <c r="H32" s="91"/>
      <c r="I32" s="91"/>
    </row>
    <row r="33" spans="2:9" ht="14.4">
      <c r="B33" s="94" t="s">
        <v>129</v>
      </c>
      <c r="C33" s="95">
        <v>12</v>
      </c>
      <c r="D33" s="89">
        <v>11</v>
      </c>
      <c r="E33" s="89">
        <v>11</v>
      </c>
      <c r="F33" s="89">
        <v>9</v>
      </c>
      <c r="G33" s="91"/>
      <c r="H33" s="91"/>
      <c r="I33" s="91"/>
    </row>
    <row r="34" spans="2:9">
      <c r="B34" s="18" t="s">
        <v>124</v>
      </c>
      <c r="C34" s="89">
        <v>85</v>
      </c>
      <c r="D34" s="89">
        <v>94</v>
      </c>
      <c r="E34" s="89">
        <v>159</v>
      </c>
      <c r="F34" s="89">
        <v>174</v>
      </c>
      <c r="G34" s="88"/>
      <c r="H34" s="88"/>
      <c r="I34" s="88"/>
    </row>
    <row r="35" spans="2:9">
      <c r="B35" s="18" t="s">
        <v>130</v>
      </c>
      <c r="C35" s="89">
        <v>74</v>
      </c>
      <c r="D35" s="89">
        <v>79</v>
      </c>
      <c r="E35" s="89">
        <v>96</v>
      </c>
      <c r="F35" s="89">
        <v>112</v>
      </c>
      <c r="G35" s="88"/>
      <c r="H35" s="88"/>
      <c r="I35" s="88"/>
    </row>
    <row r="36" spans="2:9">
      <c r="B36" s="18" t="s">
        <v>131</v>
      </c>
      <c r="C36" s="89">
        <v>78</v>
      </c>
      <c r="D36" s="89">
        <v>56</v>
      </c>
      <c r="E36" s="89">
        <v>99</v>
      </c>
      <c r="F36" s="89">
        <v>90</v>
      </c>
      <c r="G36" s="88"/>
      <c r="H36" s="88"/>
      <c r="I36" s="88"/>
    </row>
    <row r="37" spans="2:9" ht="14.4">
      <c r="B37" s="90" t="s">
        <v>133</v>
      </c>
      <c r="C37" s="91">
        <v>2039</v>
      </c>
      <c r="D37" s="91">
        <v>2462</v>
      </c>
      <c r="E37" s="91">
        <v>3772</v>
      </c>
      <c r="F37" s="91">
        <v>5495</v>
      </c>
      <c r="G37" s="91">
        <v>0</v>
      </c>
      <c r="H37" s="91">
        <v>0</v>
      </c>
      <c r="I37" s="91">
        <v>0</v>
      </c>
    </row>
    <row r="38" spans="2:9" ht="14.4">
      <c r="B38" s="90"/>
      <c r="C38" s="91"/>
      <c r="D38" s="91"/>
      <c r="E38" s="91"/>
      <c r="F38" s="91"/>
      <c r="G38" s="91"/>
      <c r="H38" s="91"/>
      <c r="I38" s="91"/>
    </row>
    <row r="39" spans="2:9">
      <c r="B39" s="18" t="s">
        <v>125</v>
      </c>
      <c r="C39" s="88">
        <v>421</v>
      </c>
      <c r="D39" s="88">
        <v>561</v>
      </c>
      <c r="E39" s="88">
        <v>567</v>
      </c>
      <c r="F39" s="88">
        <v>863</v>
      </c>
      <c r="G39" s="88"/>
      <c r="H39" s="88"/>
      <c r="I39" s="88"/>
    </row>
    <row r="40" spans="2:9">
      <c r="B40" s="18" t="s">
        <v>126</v>
      </c>
      <c r="C40" s="88">
        <v>199</v>
      </c>
      <c r="D40" s="88">
        <v>354</v>
      </c>
      <c r="E40" s="88">
        <v>586</v>
      </c>
      <c r="F40" s="88">
        <v>1385</v>
      </c>
      <c r="G40" s="88"/>
      <c r="H40" s="88"/>
      <c r="I40" s="88"/>
    </row>
    <row r="41" spans="2:9">
      <c r="B41" s="18" t="s">
        <v>118</v>
      </c>
      <c r="C41" s="88">
        <v>285</v>
      </c>
      <c r="D41" s="88">
        <v>436</v>
      </c>
      <c r="E41" s="88">
        <v>465</v>
      </c>
      <c r="F41" s="88">
        <v>625</v>
      </c>
      <c r="G41" s="88"/>
      <c r="H41" s="88"/>
      <c r="I41" s="88"/>
    </row>
    <row r="42" spans="2:9">
      <c r="B42" t="s">
        <v>124</v>
      </c>
      <c r="C42" s="88">
        <v>37</v>
      </c>
      <c r="D42" s="88">
        <v>68</v>
      </c>
      <c r="E42" s="88">
        <v>73</v>
      </c>
      <c r="F42" s="88">
        <v>87</v>
      </c>
      <c r="G42" s="88"/>
      <c r="H42" s="88"/>
      <c r="I42" s="88"/>
    </row>
    <row r="43" spans="2:9">
      <c r="B43" s="18" t="s">
        <v>130</v>
      </c>
      <c r="C43" s="88">
        <v>201</v>
      </c>
      <c r="D43" s="88">
        <v>190</v>
      </c>
      <c r="E43" s="88">
        <v>218</v>
      </c>
      <c r="F43" s="88">
        <v>236</v>
      </c>
      <c r="G43" s="88"/>
      <c r="H43" s="88"/>
      <c r="I43" s="88"/>
    </row>
    <row r="44" spans="2:9">
      <c r="B44" s="18" t="s">
        <v>134</v>
      </c>
      <c r="C44" s="88">
        <v>146</v>
      </c>
      <c r="D44" s="88">
        <v>175</v>
      </c>
      <c r="E44" s="88">
        <v>258</v>
      </c>
      <c r="F44" s="88">
        <v>246</v>
      </c>
      <c r="G44" s="88"/>
      <c r="H44" s="88"/>
      <c r="I44" s="88"/>
    </row>
    <row r="45" spans="2:9" ht="14.4">
      <c r="B45" s="90" t="s">
        <v>132</v>
      </c>
      <c r="C45" s="91">
        <v>1289</v>
      </c>
      <c r="D45" s="91">
        <v>1784</v>
      </c>
      <c r="E45" s="91">
        <v>2167</v>
      </c>
      <c r="F45" s="91">
        <v>3442</v>
      </c>
      <c r="G45" s="91">
        <v>0</v>
      </c>
      <c r="H45" s="91">
        <v>0</v>
      </c>
      <c r="I45" s="91">
        <v>0</v>
      </c>
    </row>
    <row r="46" spans="2:9" ht="14.4">
      <c r="B46" s="90"/>
      <c r="C46" s="91"/>
      <c r="D46" s="91"/>
      <c r="E46" s="91"/>
      <c r="F46" s="91"/>
      <c r="G46" s="91"/>
      <c r="H46" s="91"/>
      <c r="I46" s="91"/>
    </row>
    <row r="47" spans="2:9" ht="14.4">
      <c r="B47" s="102" t="s">
        <v>102</v>
      </c>
      <c r="C47" s="103">
        <v>3328</v>
      </c>
      <c r="D47" s="103">
        <v>4246</v>
      </c>
      <c r="E47" s="103">
        <v>5939</v>
      </c>
      <c r="F47" s="103">
        <v>8937</v>
      </c>
      <c r="G47" s="103">
        <v>0</v>
      </c>
      <c r="H47" s="103">
        <v>0</v>
      </c>
      <c r="I47" s="103">
        <v>0</v>
      </c>
    </row>
    <row r="48" spans="2:9" ht="14.4">
      <c r="B48" s="90"/>
      <c r="C48" s="91"/>
      <c r="D48" s="91"/>
      <c r="E48" s="91"/>
      <c r="F48" s="91"/>
      <c r="G48" s="91"/>
      <c r="H48" s="91"/>
      <c r="I48" s="91"/>
    </row>
    <row r="49" spans="2:9" ht="14.4">
      <c r="B49" s="94" t="s">
        <v>138</v>
      </c>
      <c r="C49" s="96">
        <v>99</v>
      </c>
      <c r="D49" s="89">
        <v>99</v>
      </c>
      <c r="E49" s="89">
        <v>99</v>
      </c>
      <c r="F49" s="89">
        <v>99</v>
      </c>
      <c r="G49" s="89">
        <v>99</v>
      </c>
      <c r="H49" s="89">
        <v>99</v>
      </c>
      <c r="I49" s="89">
        <v>99</v>
      </c>
    </row>
    <row r="50" spans="2:9" ht="14.4">
      <c r="B50" s="94" t="s">
        <v>135</v>
      </c>
      <c r="C50" s="96">
        <v>0</v>
      </c>
      <c r="D50" s="89">
        <v>-179</v>
      </c>
      <c r="E50" s="89">
        <v>0</v>
      </c>
      <c r="F50" s="89">
        <v>0</v>
      </c>
      <c r="G50" s="89">
        <v>0</v>
      </c>
      <c r="H50" s="89">
        <v>0</v>
      </c>
      <c r="I50" s="89">
        <v>0</v>
      </c>
    </row>
    <row r="51" spans="2:9" ht="14.4">
      <c r="B51" s="94" t="s">
        <v>136</v>
      </c>
      <c r="C51" s="96">
        <v>-31</v>
      </c>
      <c r="D51" s="89">
        <v>-66</v>
      </c>
      <c r="E51" s="89">
        <v>-150</v>
      </c>
      <c r="F51" s="89">
        <v>-99</v>
      </c>
      <c r="G51" s="91"/>
      <c r="H51" s="91"/>
      <c r="I51" s="91"/>
    </row>
    <row r="52" spans="2:9" ht="14.4">
      <c r="B52" s="94" t="s">
        <v>137</v>
      </c>
      <c r="C52" s="96">
        <v>980</v>
      </c>
      <c r="D52" s="89">
        <v>1206</v>
      </c>
      <c r="E52" s="89">
        <v>1763</v>
      </c>
      <c r="F52" s="89">
        <v>1876</v>
      </c>
      <c r="G52" s="91"/>
      <c r="H52" s="91"/>
      <c r="I52" s="91"/>
    </row>
    <row r="53" spans="2:9" ht="14.4">
      <c r="B53" s="94" t="s">
        <v>139</v>
      </c>
      <c r="C53" s="96">
        <v>0</v>
      </c>
      <c r="D53" s="89">
        <v>460</v>
      </c>
      <c r="E53" s="89">
        <v>221</v>
      </c>
      <c r="F53" s="89">
        <v>85</v>
      </c>
      <c r="G53" s="91"/>
      <c r="H53" s="91"/>
      <c r="I53" s="91"/>
    </row>
    <row r="54" spans="2:9" ht="14.4">
      <c r="B54" s="104" t="s">
        <v>140</v>
      </c>
      <c r="C54" s="105">
        <v>1048</v>
      </c>
      <c r="D54" s="105">
        <v>1520</v>
      </c>
      <c r="E54" s="105">
        <v>1933</v>
      </c>
      <c r="F54" s="105">
        <v>1961</v>
      </c>
      <c r="G54" s="105">
        <v>99</v>
      </c>
      <c r="H54" s="105">
        <v>99</v>
      </c>
      <c r="I54" s="105">
        <v>99</v>
      </c>
    </row>
    <row r="55" spans="2:9" ht="14.4">
      <c r="B55" s="90"/>
      <c r="C55" s="91"/>
      <c r="D55" s="91"/>
      <c r="E55" s="91"/>
      <c r="F55" s="91"/>
      <c r="G55" s="91"/>
      <c r="H55" s="91"/>
      <c r="I55" s="91"/>
    </row>
    <row r="56" spans="2:9" ht="14.4">
      <c r="B56" s="104" t="s">
        <v>141</v>
      </c>
      <c r="C56" s="105">
        <v>4376</v>
      </c>
      <c r="D56" s="105">
        <v>5766</v>
      </c>
      <c r="E56" s="105">
        <v>7872</v>
      </c>
      <c r="F56" s="105">
        <v>10898</v>
      </c>
      <c r="G56" s="105">
        <v>99</v>
      </c>
      <c r="H56" s="105">
        <v>99</v>
      </c>
      <c r="I56" s="105">
        <v>99</v>
      </c>
    </row>
    <row r="60" spans="2:9">
      <c r="B60" s="148" t="s">
        <v>218</v>
      </c>
      <c r="C60" s="148">
        <v>403</v>
      </c>
      <c r="D60" s="148">
        <v>518</v>
      </c>
      <c r="E60" s="148">
        <v>676</v>
      </c>
      <c r="F60" s="148">
        <v>589</v>
      </c>
      <c r="G60" s="151">
        <f>F60*(1+G61)</f>
        <v>671.05693158926124</v>
      </c>
      <c r="H60" s="151">
        <f t="shared" ref="H60:I60" si="7">G60*(1+H61)</f>
        <v>764.54567985398046</v>
      </c>
      <c r="I60" s="151">
        <f t="shared" si="7"/>
        <v>871.05887603164319</v>
      </c>
    </row>
    <row r="61" spans="2:9">
      <c r="B61" s="148" t="s">
        <v>219</v>
      </c>
      <c r="C61" s="149">
        <f>C60/C21</f>
        <v>0.17333333333333334</v>
      </c>
      <c r="D61" s="149">
        <f t="shared" ref="D61:F61" si="8">D60/D21</f>
        <v>0.15110851808634773</v>
      </c>
      <c r="E61" s="149">
        <f t="shared" si="8"/>
        <v>0.14500214500214501</v>
      </c>
      <c r="F61" s="149">
        <f t="shared" si="8"/>
        <v>8.7818696883852687E-2</v>
      </c>
      <c r="G61" s="150">
        <f>AVERAGE($C$61:$F$61)</f>
        <v>0.1393156733264197</v>
      </c>
      <c r="H61" s="150">
        <f t="shared" ref="H61:I61" si="9">AVERAGE($C$61:$F$61)</f>
        <v>0.1393156733264197</v>
      </c>
      <c r="I61" s="150">
        <f t="shared" si="9"/>
        <v>0.1393156733264197</v>
      </c>
    </row>
    <row r="64" spans="2:9">
      <c r="B64" s="18" t="s">
        <v>231</v>
      </c>
    </row>
    <row r="65" spans="2:9">
      <c r="B65" s="153" t="s">
        <v>224</v>
      </c>
      <c r="C65" s="153">
        <f>'Financial Statement'!C64</f>
        <v>86</v>
      </c>
      <c r="D65" s="154">
        <f>C67</f>
        <v>111</v>
      </c>
      <c r="E65" s="154">
        <f t="shared" ref="E65:F65" si="10">D67</f>
        <v>140</v>
      </c>
      <c r="F65" s="154">
        <f t="shared" si="10"/>
        <v>181</v>
      </c>
      <c r="G65" s="154">
        <f>F67</f>
        <v>223</v>
      </c>
      <c r="H65" s="154">
        <f t="shared" ref="H65:I65" si="11">G67</f>
        <v>285.52821078476836</v>
      </c>
      <c r="I65" s="154">
        <f t="shared" si="11"/>
        <v>365.83381251330854</v>
      </c>
    </row>
    <row r="66" spans="2:9">
      <c r="B66" s="153" t="s">
        <v>225</v>
      </c>
      <c r="C66" s="153">
        <f>-'Financial Statement'!C131</f>
        <v>25</v>
      </c>
      <c r="D66" s="153">
        <f>-'Financial Statement'!D131</f>
        <v>29</v>
      </c>
      <c r="E66" s="153">
        <f>-'Financial Statement'!E131</f>
        <v>41</v>
      </c>
      <c r="F66" s="153">
        <f>-'Financial Statement'!F131</f>
        <v>42</v>
      </c>
      <c r="G66" s="154">
        <f>G5*G71</f>
        <v>62.528210784768369</v>
      </c>
      <c r="H66" s="154">
        <f>H5*H71</f>
        <v>80.305601728540196</v>
      </c>
      <c r="I66" s="154">
        <f>I5*I71</f>
        <v>103.13728136538759</v>
      </c>
    </row>
    <row r="67" spans="2:9">
      <c r="B67" s="155" t="s">
        <v>204</v>
      </c>
      <c r="C67" s="156">
        <f>C65+C66</f>
        <v>111</v>
      </c>
      <c r="D67" s="156">
        <f t="shared" ref="D67:F67" si="12">D65+D66</f>
        <v>140</v>
      </c>
      <c r="E67" s="156">
        <f t="shared" si="12"/>
        <v>181</v>
      </c>
      <c r="F67" s="156">
        <f t="shared" si="12"/>
        <v>223</v>
      </c>
      <c r="G67" s="156">
        <f t="shared" ref="G67" si="13">G65+G66</f>
        <v>285.52821078476836</v>
      </c>
      <c r="H67" s="156">
        <f t="shared" ref="H67" si="14">H65+H66</f>
        <v>365.83381251330854</v>
      </c>
      <c r="I67" s="156">
        <f t="shared" ref="I67" si="15">I65+I66</f>
        <v>468.97109387869614</v>
      </c>
    </row>
    <row r="68" spans="2:9">
      <c r="B68" s="153" t="s">
        <v>201</v>
      </c>
      <c r="C68" s="153">
        <v>105</v>
      </c>
      <c r="D68" s="154">
        <v>121</v>
      </c>
      <c r="E68" s="154">
        <v>143</v>
      </c>
      <c r="F68" s="154">
        <v>162</v>
      </c>
      <c r="G68" s="154">
        <f>G74</f>
        <v>252.891323276224</v>
      </c>
      <c r="H68" s="154">
        <f t="shared" ref="H68:I68" si="16">H74</f>
        <v>324.01770981367406</v>
      </c>
      <c r="I68" s="154">
        <f t="shared" si="16"/>
        <v>415.3660340017388</v>
      </c>
    </row>
    <row r="69" spans="2:9">
      <c r="B69" s="153" t="s">
        <v>226</v>
      </c>
      <c r="C69" s="154">
        <f>C67-C68</f>
        <v>6</v>
      </c>
      <c r="D69" s="154">
        <f t="shared" ref="D69:I69" si="17">D67-D68</f>
        <v>19</v>
      </c>
      <c r="E69" s="154">
        <f t="shared" si="17"/>
        <v>38</v>
      </c>
      <c r="F69" s="154">
        <f t="shared" si="17"/>
        <v>61</v>
      </c>
      <c r="G69" s="154">
        <f t="shared" si="17"/>
        <v>32.636887508544362</v>
      </c>
      <c r="H69" s="154">
        <f t="shared" si="17"/>
        <v>41.816102699634484</v>
      </c>
      <c r="I69" s="154">
        <f t="shared" si="17"/>
        <v>53.605059876957341</v>
      </c>
    </row>
    <row r="70" spans="2:9">
      <c r="B70" s="153"/>
      <c r="C70" s="153"/>
      <c r="D70" s="153"/>
      <c r="E70" s="153"/>
      <c r="F70" s="153"/>
      <c r="G70" s="153"/>
      <c r="H70" s="153"/>
      <c r="I70" s="153"/>
    </row>
    <row r="71" spans="2:9">
      <c r="B71" s="153" t="s">
        <v>227</v>
      </c>
      <c r="C71" s="157">
        <f>C66/C5</f>
        <v>6.2988158226253465E-3</v>
      </c>
      <c r="D71" s="157">
        <f>D66/D5</f>
        <v>5.6784805169375367E-3</v>
      </c>
      <c r="E71" s="157">
        <f>E66/E5</f>
        <v>6.1914829356689823E-3</v>
      </c>
      <c r="F71" s="157">
        <f>F66/F5</f>
        <v>4.9958368026644462E-3</v>
      </c>
      <c r="G71" s="157">
        <f>AVERAGE($C$71:$F$71)</f>
        <v>5.7911540194740775E-3</v>
      </c>
      <c r="H71" s="157">
        <f>AVERAGE($C$71:$G$71)</f>
        <v>5.7911540194740775E-3</v>
      </c>
      <c r="I71" s="157">
        <f>AVERAGE($C$71:$H$71)</f>
        <v>5.7911540194740775E-3</v>
      </c>
    </row>
    <row r="72" spans="2:9">
      <c r="B72" s="153" t="s">
        <v>229</v>
      </c>
      <c r="C72" s="154">
        <v>105</v>
      </c>
      <c r="D72" s="154">
        <v>121</v>
      </c>
      <c r="E72" s="154">
        <v>143</v>
      </c>
      <c r="F72" s="154">
        <v>162</v>
      </c>
      <c r="G72" s="154"/>
      <c r="H72" s="154"/>
      <c r="I72" s="154"/>
    </row>
    <row r="73" spans="2:9">
      <c r="B73" s="153" t="s">
        <v>228</v>
      </c>
      <c r="C73" s="158"/>
      <c r="D73" s="158">
        <f>D72/AVERAGE(C67:D67)</f>
        <v>0.96414342629482075</v>
      </c>
      <c r="E73" s="158">
        <f t="shared" ref="E73:F73" si="18">E72/AVERAGE(D67:E67)</f>
        <v>0.8909657320872274</v>
      </c>
      <c r="F73" s="158">
        <f t="shared" si="18"/>
        <v>0.80198019801980203</v>
      </c>
      <c r="G73" s="158">
        <f>AVERAGE(C73:F73)</f>
        <v>0.8856964521339501</v>
      </c>
      <c r="H73" s="158">
        <f t="shared" ref="H73" si="19">AVERAGE(D73:G73)</f>
        <v>0.8856964521339501</v>
      </c>
      <c r="I73" s="158">
        <f>AVERAGE(D73:H73)</f>
        <v>0.8856964521339501</v>
      </c>
    </row>
    <row r="74" spans="2:9">
      <c r="B74" s="153" t="s">
        <v>230</v>
      </c>
      <c r="D74" s="123"/>
      <c r="G74" s="154">
        <f>G67*G73</f>
        <v>252.891323276224</v>
      </c>
      <c r="H74" s="154">
        <f t="shared" ref="H74:I74" si="20">H67*H73</f>
        <v>324.01770981367406</v>
      </c>
      <c r="I74" s="154">
        <f t="shared" si="20"/>
        <v>415.3660340017388</v>
      </c>
    </row>
    <row r="77" spans="2:9">
      <c r="B77" s="153" t="s">
        <v>232</v>
      </c>
    </row>
    <row r="79" spans="2:9">
      <c r="B79" s="166" t="s">
        <v>74</v>
      </c>
      <c r="C79" s="167">
        <f>'Financial Statement'!C7</f>
        <v>3969</v>
      </c>
      <c r="D79" s="167">
        <f>'Financial Statement'!D7</f>
        <v>5107</v>
      </c>
      <c r="E79" s="167">
        <f>'Financial Statement'!E7</f>
        <v>6622</v>
      </c>
      <c r="F79" s="167">
        <f>'Financial Statement'!F7</f>
        <v>8407</v>
      </c>
      <c r="G79" s="167">
        <f>'Financial Statement'!G7</f>
        <v>10797.193542859159</v>
      </c>
      <c r="H79" s="167">
        <f>'Financial Statement'!H7</f>
        <v>13866.942833586238</v>
      </c>
      <c r="I79" s="167">
        <f>'Financial Statement'!I7</f>
        <v>17809.452316164436</v>
      </c>
    </row>
    <row r="81" spans="2:9" ht="14.4">
      <c r="B81" s="113" t="s">
        <v>222</v>
      </c>
      <c r="C81" s="96">
        <v>508</v>
      </c>
      <c r="D81" s="96">
        <v>524</v>
      </c>
      <c r="E81" s="96">
        <v>546</v>
      </c>
      <c r="F81" s="96">
        <v>565</v>
      </c>
      <c r="G81" s="96">
        <v>1736.0575088753101</v>
      </c>
      <c r="H81" s="96">
        <v>2763.1036088339115</v>
      </c>
      <c r="I81" s="96">
        <v>1553.0460999586014</v>
      </c>
    </row>
    <row r="82" spans="2:9" ht="14.4">
      <c r="B82" s="113"/>
      <c r="C82" s="96"/>
      <c r="D82" s="96"/>
      <c r="E82" s="96"/>
      <c r="F82" s="96"/>
      <c r="G82" s="96"/>
      <c r="H82" s="96"/>
      <c r="I82" s="96"/>
    </row>
    <row r="83" spans="2:9" ht="14.4">
      <c r="B83" s="113" t="s">
        <v>147</v>
      </c>
      <c r="C83" s="96">
        <v>65</v>
      </c>
      <c r="D83" s="96">
        <v>132</v>
      </c>
      <c r="E83" s="96">
        <v>112</v>
      </c>
      <c r="F83" s="96">
        <v>152</v>
      </c>
      <c r="G83" s="96">
        <f>G$5*G84</f>
        <v>208.43250219536745</v>
      </c>
      <c r="H83" s="96">
        <f t="shared" ref="H83:I83" si="21">H$5*H84</f>
        <v>267.6919313459972</v>
      </c>
      <c r="I83" s="96">
        <f t="shared" si="21"/>
        <v>343.79940437783972</v>
      </c>
    </row>
    <row r="84" spans="2:9" ht="14.4">
      <c r="B84" s="165" t="s">
        <v>233</v>
      </c>
      <c r="C84" s="162">
        <f>C83/C$79</f>
        <v>1.6376921138825901E-2</v>
      </c>
      <c r="D84" s="162">
        <f t="shared" ref="D84:F84" si="22">D83/D$79</f>
        <v>2.5846876835715685E-2</v>
      </c>
      <c r="E84" s="162">
        <f t="shared" si="22"/>
        <v>1.6913319238900635E-2</v>
      </c>
      <c r="F84" s="162">
        <f t="shared" si="22"/>
        <v>1.8080171285833235E-2</v>
      </c>
      <c r="G84" s="163">
        <f>AVERAGE($C$84:$F$84)</f>
        <v>1.9304322124818866E-2</v>
      </c>
      <c r="H84" s="163">
        <f>AVERAGE($C$84:$F$84)</f>
        <v>1.9304322124818866E-2</v>
      </c>
      <c r="I84" s="163">
        <f>AVERAGE($C$84:$F$84)</f>
        <v>1.9304322124818866E-2</v>
      </c>
    </row>
    <row r="85" spans="2:9" ht="14.4">
      <c r="B85" s="113" t="s">
        <v>148</v>
      </c>
      <c r="C85" s="96">
        <v>-4</v>
      </c>
      <c r="D85" s="96">
        <v>-7</v>
      </c>
      <c r="E85" s="96">
        <v>0</v>
      </c>
      <c r="F85" s="96">
        <v>-34</v>
      </c>
      <c r="G85" s="96">
        <f>G$79*G86</f>
        <v>-17.336856846642963</v>
      </c>
      <c r="H85" s="96">
        <f>H$79*H86</f>
        <v>-22.265897323426547</v>
      </c>
      <c r="I85" s="96">
        <f>I$79*I86</f>
        <v>-28.596312930470575</v>
      </c>
    </row>
    <row r="86" spans="2:9" ht="14.4">
      <c r="B86" s="165" t="s">
        <v>233</v>
      </c>
      <c r="C86" s="162">
        <f>C85/C$79</f>
        <v>-1.0078105316200555E-3</v>
      </c>
      <c r="D86" s="162">
        <f t="shared" ref="D86" si="23">D85/D$79</f>
        <v>-1.3706677109849227E-3</v>
      </c>
      <c r="E86" s="162">
        <f t="shared" ref="E86:F86" si="24">E85/E$79</f>
        <v>0</v>
      </c>
      <c r="F86" s="162">
        <f t="shared" si="24"/>
        <v>-4.0442488402521711E-3</v>
      </c>
      <c r="G86" s="161">
        <f>AVERAGE(C86:F86)</f>
        <v>-1.6056817707142874E-3</v>
      </c>
      <c r="H86" s="161">
        <f>AVERAGE(C86:G86)</f>
        <v>-1.6056817707142874E-3</v>
      </c>
      <c r="I86" s="161">
        <f>AVERAGE(C86:H86)</f>
        <v>-1.6056817707142872E-3</v>
      </c>
    </row>
    <row r="87" spans="2:9">
      <c r="B87" s="114" t="s">
        <v>149</v>
      </c>
      <c r="C87" s="96">
        <v>-2</v>
      </c>
      <c r="D87" s="96">
        <v>-2</v>
      </c>
      <c r="E87" s="96">
        <v>-16</v>
      </c>
      <c r="F87" s="96">
        <v>-54</v>
      </c>
      <c r="G87" s="96">
        <f>G$79*G88</f>
        <v>-26.277485748898396</v>
      </c>
      <c r="H87" s="96">
        <f>H$79*H88</f>
        <v>-33.748435761934019</v>
      </c>
      <c r="I87" s="96">
        <f>I$79*I88</f>
        <v>-43.343451015861909</v>
      </c>
    </row>
    <row r="88" spans="2:9" ht="14.4">
      <c r="B88" s="165" t="s">
        <v>233</v>
      </c>
      <c r="C88" s="162">
        <f>C87/C$79</f>
        <v>-5.0390526581002776E-4</v>
      </c>
      <c r="D88" s="162">
        <f t="shared" ref="D88" si="25">D87/D$79</f>
        <v>-3.9161934599569217E-4</v>
      </c>
      <c r="E88" s="162">
        <f t="shared" ref="E88:F88" si="26">E87/E$79</f>
        <v>-2.4161884627000906E-3</v>
      </c>
      <c r="F88" s="162">
        <f t="shared" si="26"/>
        <v>-6.4232187462828598E-3</v>
      </c>
      <c r="G88" s="161">
        <f>AVERAGE(C88:F88)</f>
        <v>-2.4337329551971675E-3</v>
      </c>
      <c r="H88" s="161">
        <f>AVERAGE(C88:G88)</f>
        <v>-2.4337329551971675E-3</v>
      </c>
      <c r="I88" s="161">
        <f>AVERAGE(C88:H88)</f>
        <v>-2.4337329551971675E-3</v>
      </c>
    </row>
    <row r="89" spans="2:9">
      <c r="B89" s="114" t="s">
        <v>150</v>
      </c>
      <c r="C89" s="96">
        <v>12</v>
      </c>
      <c r="D89" s="96">
        <v>12</v>
      </c>
      <c r="E89" s="96">
        <v>7</v>
      </c>
      <c r="F89" s="96">
        <v>26</v>
      </c>
      <c r="G89" s="96">
        <f>G$79*G90</f>
        <v>25.705124306621986</v>
      </c>
      <c r="H89" s="96">
        <f>H$79*H90</f>
        <v>33.013346280700716</v>
      </c>
      <c r="I89" s="96">
        <f>I$79*I90</f>
        <v>42.399368299054977</v>
      </c>
    </row>
    <row r="90" spans="2:9" ht="14.4">
      <c r="B90" s="165" t="s">
        <v>233</v>
      </c>
      <c r="C90" s="164">
        <f>C89/C$79</f>
        <v>3.0234315948601664E-3</v>
      </c>
      <c r="D90" s="164">
        <f t="shared" ref="D90" si="27">D89/D$79</f>
        <v>2.3497160759741531E-3</v>
      </c>
      <c r="E90" s="164">
        <f t="shared" ref="E90:F90" si="28">E89/E$79</f>
        <v>1.0570824524312897E-3</v>
      </c>
      <c r="F90" s="164">
        <f t="shared" si="28"/>
        <v>3.0926608778398955E-3</v>
      </c>
      <c r="G90" s="161">
        <f>AVERAGE(C90:F90)</f>
        <v>2.3807227502763762E-3</v>
      </c>
      <c r="H90" s="161">
        <f>AVERAGE(C90:G90)</f>
        <v>2.3807227502763762E-3</v>
      </c>
      <c r="I90" s="161">
        <f>AVERAGE(C90:H90)</f>
        <v>2.3807227502763762E-3</v>
      </c>
    </row>
    <row r="91" spans="2:9">
      <c r="B91" s="114" t="s">
        <v>156</v>
      </c>
      <c r="C91" s="96">
        <v>0</v>
      </c>
      <c r="D91" s="96">
        <v>295</v>
      </c>
      <c r="E91" s="96">
        <v>0</v>
      </c>
      <c r="F91" s="96">
        <v>597</v>
      </c>
      <c r="G91" s="96">
        <f>G$79*G92</f>
        <v>347.60513296430508</v>
      </c>
      <c r="H91" s="96">
        <f>H$79*H92</f>
        <v>446.4327223869268</v>
      </c>
      <c r="I91" s="96">
        <f>I$79*I92</f>
        <v>573.35797638600707</v>
      </c>
    </row>
    <row r="92" spans="2:9" ht="14.4">
      <c r="B92" s="165" t="s">
        <v>233</v>
      </c>
      <c r="C92" s="161">
        <f>C91/C$79</f>
        <v>0</v>
      </c>
      <c r="D92" s="161">
        <f t="shared" ref="D92" si="29">D91/D$79</f>
        <v>5.7763853534364598E-2</v>
      </c>
      <c r="E92" s="161">
        <f t="shared" ref="E92:F92" si="30">E91/E$79</f>
        <v>0</v>
      </c>
      <c r="F92" s="161">
        <f t="shared" si="30"/>
        <v>7.1012251695016057E-2</v>
      </c>
      <c r="G92" s="161">
        <f>AVERAGE(C92:F92)</f>
        <v>3.2194026307345164E-2</v>
      </c>
      <c r="H92" s="161">
        <f>AVERAGE(C92:G92)</f>
        <v>3.2194026307345164E-2</v>
      </c>
      <c r="I92" s="161">
        <f>AVERAGE(C92:H92)</f>
        <v>3.2194026307345164E-2</v>
      </c>
    </row>
    <row r="93" spans="2:9">
      <c r="B93" s="114" t="s">
        <v>151</v>
      </c>
      <c r="C93" s="96">
        <v>46</v>
      </c>
      <c r="D93" s="96">
        <v>68</v>
      </c>
      <c r="E93" s="96">
        <v>110</v>
      </c>
      <c r="F93" s="96">
        <v>192</v>
      </c>
      <c r="G93" s="96">
        <f>G$79*G94</f>
        <v>173.71141938626209</v>
      </c>
      <c r="H93" s="96">
        <f>H$79*H94</f>
        <v>223.09930007353969</v>
      </c>
      <c r="I93" s="96">
        <f>I$79*I94</f>
        <v>286.52864543480678</v>
      </c>
    </row>
    <row r="94" spans="2:9" ht="14.4">
      <c r="B94" s="165" t="s">
        <v>233</v>
      </c>
      <c r="C94" s="161">
        <f>C93/C$79</f>
        <v>1.1589821113630638E-2</v>
      </c>
      <c r="D94" s="161">
        <f t="shared" ref="D94" si="31">D93/D$79</f>
        <v>1.3315057763853534E-2</v>
      </c>
      <c r="E94" s="161">
        <f t="shared" ref="E94:F94" si="32">E93/E$79</f>
        <v>1.6611295681063124E-2</v>
      </c>
      <c r="F94" s="161">
        <f t="shared" si="32"/>
        <v>2.283811109789461E-2</v>
      </c>
      <c r="G94" s="161">
        <f>AVERAGE(C94:F94)</f>
        <v>1.6088571414110478E-2</v>
      </c>
      <c r="H94" s="161">
        <f>AVERAGE(C94:G94)</f>
        <v>1.6088571414110478E-2</v>
      </c>
      <c r="I94" s="161">
        <f>AVERAGE(C94:H94)</f>
        <v>1.6088571414110478E-2</v>
      </c>
    </row>
    <row r="95" spans="2:9">
      <c r="B95" s="114" t="s">
        <v>152</v>
      </c>
      <c r="C95" s="96">
        <v>167</v>
      </c>
      <c r="D95" s="96">
        <v>206</v>
      </c>
      <c r="E95" s="96">
        <v>175</v>
      </c>
      <c r="F95" s="96">
        <v>204</v>
      </c>
      <c r="G95" s="96">
        <f>G$79*G96</f>
        <v>359.2912903736526</v>
      </c>
      <c r="H95" s="96">
        <f>H$79*H96</f>
        <v>461.44137033756823</v>
      </c>
      <c r="I95" s="96">
        <f>I$79*I96</f>
        <v>592.63373191588835</v>
      </c>
    </row>
    <row r="96" spans="2:9" ht="14.4">
      <c r="B96" s="165" t="s">
        <v>233</v>
      </c>
      <c r="C96" s="161">
        <f>C95/C$79</f>
        <v>4.2076089695137313E-2</v>
      </c>
      <c r="D96" s="161">
        <f t="shared" ref="D96" si="33">D95/D$79</f>
        <v>4.0336792637556296E-2</v>
      </c>
      <c r="E96" s="161">
        <f t="shared" ref="E96:F96" si="34">E95/E$79</f>
        <v>2.6427061310782242E-2</v>
      </c>
      <c r="F96" s="161">
        <f t="shared" si="34"/>
        <v>2.4265493041513025E-2</v>
      </c>
      <c r="G96" s="161">
        <f>AVERAGE(C96:F96)</f>
        <v>3.3276359171247216E-2</v>
      </c>
      <c r="H96" s="161">
        <f>AVERAGE(C96:G96)</f>
        <v>3.3276359171247216E-2</v>
      </c>
      <c r="I96" s="161">
        <f>AVERAGE(C96:H96)</f>
        <v>3.3276359171247216E-2</v>
      </c>
    </row>
    <row r="97" spans="2:9">
      <c r="B97" s="114" t="s">
        <v>153</v>
      </c>
      <c r="C97" s="96">
        <v>2</v>
      </c>
      <c r="D97" s="96">
        <v>1</v>
      </c>
      <c r="E97" s="96">
        <v>-56</v>
      </c>
      <c r="F97" s="96">
        <v>43</v>
      </c>
      <c r="G97" s="96">
        <f>G$79*G98</f>
        <v>-7.1319765564597599</v>
      </c>
      <c r="H97" s="96">
        <f>H$79*H98</f>
        <v>-9.1596682791995025</v>
      </c>
      <c r="I97" s="96">
        <f>I$79*I98</f>
        <v>-11.763852884370728</v>
      </c>
    </row>
    <row r="98" spans="2:9" ht="14.4">
      <c r="B98" s="165" t="s">
        <v>233</v>
      </c>
      <c r="C98" s="161">
        <f>C97/C$79</f>
        <v>5.0390526581002776E-4</v>
      </c>
      <c r="D98" s="161">
        <f t="shared" ref="D98" si="35">D97/D$79</f>
        <v>1.9580967299784609E-4</v>
      </c>
      <c r="E98" s="161">
        <f t="shared" ref="E98:F98" si="36">E97/E$79</f>
        <v>-8.4566596194503175E-3</v>
      </c>
      <c r="F98" s="161">
        <f t="shared" si="36"/>
        <v>5.114785297965981E-3</v>
      </c>
      <c r="G98" s="161">
        <f>AVERAGE(C98:F98)</f>
        <v>-6.605398456691156E-4</v>
      </c>
      <c r="H98" s="161">
        <f>AVERAGE(C98:G98)</f>
        <v>-6.605398456691156E-4</v>
      </c>
      <c r="I98" s="161">
        <f>AVERAGE(C98:H98)</f>
        <v>-6.6053984566911549E-4</v>
      </c>
    </row>
    <row r="99" spans="2:9">
      <c r="B99" s="114" t="s">
        <v>154</v>
      </c>
      <c r="C99" s="96">
        <v>0</v>
      </c>
      <c r="D99" s="96">
        <v>0</v>
      </c>
      <c r="E99" s="96">
        <v>0</v>
      </c>
      <c r="F99" s="96">
        <v>0</v>
      </c>
      <c r="G99" s="96">
        <v>0</v>
      </c>
      <c r="H99" s="96">
        <v>0</v>
      </c>
      <c r="I99" s="96">
        <v>0</v>
      </c>
    </row>
    <row r="100" spans="2:9" ht="14.4">
      <c r="B100" s="165" t="s">
        <v>233</v>
      </c>
      <c r="C100" s="161">
        <f>C99/C$79</f>
        <v>0</v>
      </c>
      <c r="D100" s="161">
        <f t="shared" ref="D100" si="37">D99/D$79</f>
        <v>0</v>
      </c>
      <c r="E100" s="161">
        <f t="shared" ref="E100:F100" si="38">E99/E$79</f>
        <v>0</v>
      </c>
      <c r="F100" s="161">
        <f t="shared" si="38"/>
        <v>0</v>
      </c>
      <c r="G100" s="161">
        <f>AVERAGE(C100:F100)</f>
        <v>0</v>
      </c>
      <c r="H100" s="161">
        <f>AVERAGE(C100:G100)</f>
        <v>0</v>
      </c>
      <c r="I100" s="161">
        <f>AVERAGE(C100:H100)</f>
        <v>0</v>
      </c>
    </row>
    <row r="101" spans="2:9">
      <c r="B101" s="115" t="s">
        <v>157</v>
      </c>
      <c r="C101" s="96">
        <v>117</v>
      </c>
      <c r="D101" s="96">
        <v>45</v>
      </c>
      <c r="E101" s="96">
        <v>-60</v>
      </c>
      <c r="F101" s="96">
        <v>-36</v>
      </c>
      <c r="G101" s="96">
        <f>G$79*G102</f>
        <v>67.339506875607498</v>
      </c>
      <c r="H101" s="96">
        <f>H$79*H102</f>
        <v>86.484797052055328</v>
      </c>
      <c r="I101" s="96">
        <f>I$79*I102</f>
        <v>111.07328325037903</v>
      </c>
    </row>
    <row r="102" spans="2:9" ht="14.4">
      <c r="B102" s="165" t="s">
        <v>233</v>
      </c>
      <c r="C102" s="161">
        <f>C101/C$79</f>
        <v>2.9478458049886622E-2</v>
      </c>
      <c r="D102" s="161">
        <f t="shared" ref="D102" si="39">D101/D$79</f>
        <v>8.8114352849030745E-3</v>
      </c>
      <c r="E102" s="161">
        <f t="shared" ref="E102:F102" si="40">E101/E$79</f>
        <v>-9.060706735125339E-3</v>
      </c>
      <c r="F102" s="161">
        <f t="shared" si="40"/>
        <v>-4.2821458308552399E-3</v>
      </c>
      <c r="G102" s="161">
        <f>AVERAGE(C102:F102)</f>
        <v>6.2367601922022793E-3</v>
      </c>
      <c r="H102" s="161">
        <f>AVERAGE(C102:G102)</f>
        <v>6.2367601922022793E-3</v>
      </c>
      <c r="I102" s="161">
        <f>AVERAGE(C102:H102)</f>
        <v>6.2367601922022793E-3</v>
      </c>
    </row>
    <row r="103" spans="2:9">
      <c r="B103" s="115" t="s">
        <v>155</v>
      </c>
      <c r="C103" s="96">
        <v>-162</v>
      </c>
      <c r="D103" s="96">
        <v>-257</v>
      </c>
      <c r="E103" s="96">
        <v>-343</v>
      </c>
      <c r="F103" s="96">
        <v>-394</v>
      </c>
      <c r="G103" s="96">
        <f>'Financial Statement'!G31*Assumption!G104</f>
        <v>-285.43072667621328</v>
      </c>
      <c r="H103" s="96">
        <f>'Financial Statement'!H31*Assumption!H104</f>
        <v>-197.67717958610507</v>
      </c>
      <c r="I103" s="96">
        <f>'Financial Statement'!I31*Assumption!I104</f>
        <v>-1923.2135832414435</v>
      </c>
    </row>
    <row r="104" spans="2:9" ht="14.4">
      <c r="B104" s="165" t="s">
        <v>234</v>
      </c>
      <c r="C104" s="159">
        <f>C103/'Financial Statement'!C31</f>
        <v>-0.26821192052980131</v>
      </c>
      <c r="D104" s="159">
        <f>D103/'Financial Statement'!D31</f>
        <v>-0.68351063829787229</v>
      </c>
      <c r="E104" s="159">
        <f>E103/'Financial Statement'!E31</f>
        <v>-0.47441217150760717</v>
      </c>
      <c r="F104" s="159">
        <f>F103/'Financial Statement'!F31</f>
        <v>-1.481203007518797</v>
      </c>
      <c r="G104" s="160">
        <f>AVERAGE(C104:F104)</f>
        <v>-0.72683443446351947</v>
      </c>
      <c r="H104" s="160">
        <f>AVERAGE(C104:G104)</f>
        <v>-0.72683443446351947</v>
      </c>
      <c r="I104" s="160">
        <f>AVERAGE(C104:H104)</f>
        <v>-0.72683443446351947</v>
      </c>
    </row>
    <row r="105" spans="2:9" ht="14.4">
      <c r="B105" s="97" t="s">
        <v>107</v>
      </c>
      <c r="C105" s="111">
        <v>1185</v>
      </c>
      <c r="D105" s="111">
        <v>1186</v>
      </c>
      <c r="E105" s="111">
        <v>1026</v>
      </c>
      <c r="F105" s="111">
        <v>1323</v>
      </c>
      <c r="G105" s="111">
        <v>2128.761422094407</v>
      </c>
      <c r="H105" s="111">
        <v>3035.073634211165</v>
      </c>
      <c r="I105" s="111">
        <v>4199.0594037462488</v>
      </c>
    </row>
    <row r="107" spans="2:9">
      <c r="B107" s="166" t="s">
        <v>74</v>
      </c>
      <c r="C107" s="167">
        <v>3969</v>
      </c>
      <c r="D107" s="167">
        <v>5107</v>
      </c>
      <c r="E107" s="167">
        <v>6622</v>
      </c>
      <c r="F107" s="167">
        <v>8407</v>
      </c>
      <c r="G107" s="167">
        <v>10797.193542859159</v>
      </c>
      <c r="H107" s="167">
        <v>13866.942833586238</v>
      </c>
      <c r="I107" s="167">
        <v>17809.452316164436</v>
      </c>
    </row>
    <row r="109" spans="2:9" ht="15.6">
      <c r="B109" s="112" t="s">
        <v>108</v>
      </c>
    </row>
    <row r="110" spans="2:9">
      <c r="B110" s="18" t="s">
        <v>163</v>
      </c>
      <c r="C110" s="96">
        <v>-477</v>
      </c>
      <c r="D110" s="96">
        <v>-1224</v>
      </c>
      <c r="E110" s="96">
        <v>-1633</v>
      </c>
      <c r="F110" s="96">
        <v>-1609</v>
      </c>
      <c r="G110" s="96">
        <f>G$107*G111</f>
        <v>-2153.6158078982512</v>
      </c>
      <c r="H110" s="96">
        <f t="shared" ref="H110:I110" si="41">H$107*H111</f>
        <v>-2765.9101575875352</v>
      </c>
      <c r="I110" s="96">
        <f t="shared" si="41"/>
        <v>-3552.2858681613766</v>
      </c>
    </row>
    <row r="111" spans="2:9">
      <c r="B111" s="153" t="s">
        <v>233</v>
      </c>
      <c r="C111" s="163">
        <f>C110/C$107</f>
        <v>-0.12018140589569161</v>
      </c>
      <c r="D111" s="163">
        <f t="shared" ref="D111:F111" si="42">D110/D$107</f>
        <v>-0.23967103974936363</v>
      </c>
      <c r="E111" s="163">
        <f t="shared" si="42"/>
        <v>-0.24660223497432801</v>
      </c>
      <c r="F111" s="163">
        <f t="shared" si="42"/>
        <v>-0.19138812894016891</v>
      </c>
      <c r="G111" s="159">
        <f>AVERAGE(C111:F111)</f>
        <v>-0.19946070238988803</v>
      </c>
      <c r="H111" s="159">
        <f>AVERAGE(C111:G111)</f>
        <v>-0.19946070238988803</v>
      </c>
      <c r="I111" s="159">
        <f>AVERAGE(C111:H111)</f>
        <v>-0.19946070238988803</v>
      </c>
    </row>
    <row r="112" spans="2:9">
      <c r="B112" s="18" t="s">
        <v>164</v>
      </c>
      <c r="C112" s="96">
        <v>97</v>
      </c>
      <c r="D112" s="96">
        <v>153</v>
      </c>
      <c r="E112" s="96">
        <v>216</v>
      </c>
      <c r="F112" s="96">
        <v>152</v>
      </c>
      <c r="G112" s="96">
        <f>G$107*G113</f>
        <v>283.68816485324226</v>
      </c>
      <c r="H112" s="96">
        <f t="shared" ref="H112" si="43">H$107*H113</f>
        <v>364.34352584025117</v>
      </c>
      <c r="I112" s="96">
        <f t="shared" ref="I112" si="44">I$107*I113</f>
        <v>467.93000649279162</v>
      </c>
    </row>
    <row r="113" spans="2:9">
      <c r="B113" s="153" t="s">
        <v>233</v>
      </c>
      <c r="C113" s="163">
        <f>C112/C$107</f>
        <v>2.4439405391786344E-2</v>
      </c>
      <c r="D113" s="163">
        <f t="shared" ref="D113" si="45">D112/D$107</f>
        <v>2.9958879968670454E-2</v>
      </c>
      <c r="E113" s="163">
        <f t="shared" ref="E113" si="46">E112/E$107</f>
        <v>3.261854424645122E-2</v>
      </c>
      <c r="F113" s="163">
        <f t="shared" ref="F113" si="47">F112/F$107</f>
        <v>1.8080171285833235E-2</v>
      </c>
      <c r="G113" s="159">
        <f>AVERAGE(C113:F113)</f>
        <v>2.6274250223185313E-2</v>
      </c>
      <c r="H113" s="159">
        <f>AVERAGE(C113:G113)</f>
        <v>2.6274250223185313E-2</v>
      </c>
      <c r="I113" s="159">
        <f>AVERAGE(C113:H113)</f>
        <v>2.6274250223185313E-2</v>
      </c>
    </row>
    <row r="114" spans="2:9">
      <c r="B114" t="s">
        <v>158</v>
      </c>
      <c r="C114" s="96">
        <v>-105</v>
      </c>
      <c r="D114" s="96">
        <v>-145</v>
      </c>
      <c r="E114" s="96">
        <v>-149</v>
      </c>
      <c r="F114" s="96">
        <v>-238</v>
      </c>
      <c r="G114" s="96">
        <f>G$107*G115</f>
        <v>-285.20226903679611</v>
      </c>
      <c r="H114" s="96">
        <f t="shared" ref="H114" si="48">H$107*H115</f>
        <v>-366.28810487128288</v>
      </c>
      <c r="I114" s="96">
        <f t="shared" ref="I114" si="49">I$107*I115</f>
        <v>-470.42744864307525</v>
      </c>
    </row>
    <row r="115" spans="2:9">
      <c r="B115" s="153" t="s">
        <v>233</v>
      </c>
      <c r="C115" s="163">
        <f>C114/C$107</f>
        <v>-2.6455026455026454E-2</v>
      </c>
      <c r="D115" s="163">
        <f t="shared" ref="D115" si="50">D114/D$107</f>
        <v>-2.8392402584687684E-2</v>
      </c>
      <c r="E115" s="163">
        <f t="shared" ref="E115" si="51">E114/E$107</f>
        <v>-2.2500755058894595E-2</v>
      </c>
      <c r="F115" s="163">
        <f t="shared" ref="F115" si="52">F114/F$107</f>
        <v>-2.8309741881765195E-2</v>
      </c>
      <c r="G115" s="159">
        <f>AVERAGE(C115:F115)</f>
        <v>-2.6414481495093484E-2</v>
      </c>
      <c r="H115" s="159">
        <f>AVERAGE(C115:G115)</f>
        <v>-2.6414481495093484E-2</v>
      </c>
      <c r="I115" s="159">
        <f>AVERAGE(C115:H115)</f>
        <v>-2.6414481495093484E-2</v>
      </c>
    </row>
    <row r="116" spans="2:9">
      <c r="B116" s="18" t="s">
        <v>165</v>
      </c>
      <c r="C116" s="96">
        <v>0</v>
      </c>
      <c r="D116" s="96">
        <v>33</v>
      </c>
      <c r="E116" s="96">
        <v>0</v>
      </c>
      <c r="F116" s="96">
        <v>0</v>
      </c>
      <c r="G116" s="96">
        <v>0</v>
      </c>
      <c r="H116" s="96">
        <v>0</v>
      </c>
      <c r="I116" s="96">
        <v>0</v>
      </c>
    </row>
    <row r="117" spans="2:9">
      <c r="B117" t="s">
        <v>159</v>
      </c>
      <c r="C117" s="96">
        <v>-4</v>
      </c>
      <c r="D117" s="96">
        <v>-44</v>
      </c>
      <c r="E117" s="96">
        <v>-97</v>
      </c>
      <c r="F117" s="96">
        <v>-23</v>
      </c>
      <c r="G117" s="96">
        <f>G$107*G118</f>
        <v>-72.901015271065404</v>
      </c>
      <c r="H117" s="96">
        <f t="shared" ref="H117" si="53">H$107*H118</f>
        <v>-93.627497484551469</v>
      </c>
      <c r="I117" s="96">
        <f t="shared" ref="I117" si="54">I$107*I118</f>
        <v>-120.24672431001085</v>
      </c>
    </row>
    <row r="118" spans="2:9">
      <c r="B118" s="153" t="s">
        <v>233</v>
      </c>
      <c r="C118" s="163">
        <f>C117/C$107</f>
        <v>-1.0078105316200555E-3</v>
      </c>
      <c r="D118" s="163">
        <f t="shared" ref="D118" si="55">D117/D$107</f>
        <v>-8.6156256119052279E-3</v>
      </c>
      <c r="E118" s="163">
        <f t="shared" ref="E118" si="56">E117/E$107</f>
        <v>-1.4648142555119299E-2</v>
      </c>
      <c r="F118" s="163">
        <f t="shared" ref="F118" si="57">F117/F$107</f>
        <v>-2.7358153919352919E-3</v>
      </c>
      <c r="G118" s="159">
        <f>AVERAGE(C118:F118)</f>
        <v>-6.7518485226449685E-3</v>
      </c>
      <c r="H118" s="159">
        <f>AVERAGE(C118:G118)</f>
        <v>-6.7518485226449685E-3</v>
      </c>
      <c r="I118" s="159">
        <f>AVERAGE(C118:H118)</f>
        <v>-6.7518485226449676E-3</v>
      </c>
    </row>
    <row r="119" spans="2:9">
      <c r="B119" t="s">
        <v>160</v>
      </c>
      <c r="C119" s="96">
        <v>0</v>
      </c>
      <c r="D119" s="96">
        <v>13</v>
      </c>
      <c r="E119" s="96">
        <v>6</v>
      </c>
      <c r="F119" s="96">
        <v>119</v>
      </c>
      <c r="G119" s="96">
        <f>G$107*G120</f>
        <v>47.525108932077032</v>
      </c>
      <c r="H119" s="96">
        <f t="shared" ref="H119" si="58">H$107*H120</f>
        <v>61.036969107303456</v>
      </c>
      <c r="I119" s="96">
        <f t="shared" ref="I119" si="59">I$107*I120</f>
        <v>78.390385240998086</v>
      </c>
    </row>
    <row r="120" spans="2:9">
      <c r="B120" s="153" t="s">
        <v>233</v>
      </c>
      <c r="C120" s="163">
        <f>C119/C$107</f>
        <v>0</v>
      </c>
      <c r="D120" s="163">
        <f t="shared" ref="D120" si="60">D119/D$107</f>
        <v>2.5455257489719993E-3</v>
      </c>
      <c r="E120" s="163">
        <f t="shared" ref="E120" si="61">E119/E$107</f>
        <v>9.0607067351253397E-4</v>
      </c>
      <c r="F120" s="163">
        <f t="shared" ref="F120" si="62">F119/F$107</f>
        <v>1.4154870940882597E-2</v>
      </c>
      <c r="G120" s="159">
        <f>AVERAGE(C120:F120)</f>
        <v>4.401616840841783E-3</v>
      </c>
      <c r="H120" s="159">
        <f>AVERAGE(C120:G120)</f>
        <v>4.401616840841783E-3</v>
      </c>
      <c r="I120" s="159">
        <f>AVERAGE(C120:H120)</f>
        <v>4.401616840841783E-3</v>
      </c>
    </row>
    <row r="121" spans="2:9">
      <c r="B121" t="s">
        <v>161</v>
      </c>
      <c r="C121" s="96">
        <v>2</v>
      </c>
      <c r="D121" s="96">
        <v>5</v>
      </c>
      <c r="E121" s="96">
        <v>5</v>
      </c>
      <c r="F121" s="96">
        <v>4</v>
      </c>
      <c r="G121" s="96">
        <v>4</v>
      </c>
      <c r="H121" s="96">
        <v>4</v>
      </c>
      <c r="I121" s="96">
        <v>4</v>
      </c>
    </row>
    <row r="122" spans="2:9">
      <c r="B122" t="s">
        <v>162</v>
      </c>
      <c r="C122" s="96">
        <v>-25</v>
      </c>
      <c r="D122" s="96">
        <v>-29</v>
      </c>
      <c r="E122" s="96">
        <v>-41</v>
      </c>
      <c r="F122" s="96">
        <v>-42</v>
      </c>
      <c r="G122" s="96">
        <v>-62.528210784768369</v>
      </c>
      <c r="H122" s="96">
        <v>-80.305601728540196</v>
      </c>
      <c r="I122" s="96">
        <v>-103.13728136538759</v>
      </c>
    </row>
    <row r="123" spans="2:9" ht="14.4">
      <c r="B123" s="97" t="s">
        <v>177</v>
      </c>
      <c r="C123" s="111">
        <v>-512</v>
      </c>
      <c r="D123" s="111">
        <v>-1238</v>
      </c>
      <c r="E123" s="111">
        <v>-1693</v>
      </c>
      <c r="F123" s="111">
        <v>-1637</v>
      </c>
      <c r="G123" s="111">
        <v>-58.528210784768369</v>
      </c>
      <c r="H123" s="111">
        <v>-76.305601728540196</v>
      </c>
      <c r="I123" s="111">
        <v>-99.137281365387594</v>
      </c>
    </row>
    <row r="125" spans="2:9" ht="15.6">
      <c r="B125" s="112" t="s">
        <v>109</v>
      </c>
    </row>
    <row r="126" spans="2:9">
      <c r="B126" s="18" t="s">
        <v>173</v>
      </c>
      <c r="C126" s="96">
        <v>-8</v>
      </c>
      <c r="D126" s="96">
        <v>-9</v>
      </c>
      <c r="E126" s="96">
        <v>-11</v>
      </c>
      <c r="F126" s="96">
        <v>-11</v>
      </c>
      <c r="G126" s="96"/>
      <c r="H126" s="96"/>
      <c r="I126" s="96"/>
    </row>
    <row r="127" spans="2:9">
      <c r="B127" s="153" t="s">
        <v>233</v>
      </c>
      <c r="C127" s="96"/>
      <c r="D127" s="96"/>
      <c r="E127" s="96"/>
      <c r="F127" s="96"/>
      <c r="G127" s="96"/>
      <c r="H127" s="96"/>
      <c r="I127" s="96"/>
    </row>
    <row r="128" spans="2:9">
      <c r="B128" t="s">
        <v>166</v>
      </c>
      <c r="C128" s="96">
        <v>-32</v>
      </c>
      <c r="D128" s="96">
        <v>-40</v>
      </c>
      <c r="E128" s="96">
        <v>-74</v>
      </c>
      <c r="F128" s="96">
        <v>-133</v>
      </c>
      <c r="G128" s="96">
        <f>G$107*G129</f>
        <v>-115.77261809610798</v>
      </c>
      <c r="H128" s="96">
        <f t="shared" ref="H128:I128" si="63">H$107*H129</f>
        <v>-148.68792251066924</v>
      </c>
      <c r="I128" s="96">
        <f t="shared" si="63"/>
        <v>-190.96137466793633</v>
      </c>
    </row>
    <row r="129" spans="2:9">
      <c r="B129" s="168" t="s">
        <v>233</v>
      </c>
      <c r="C129" s="169">
        <f>C128/C$107</f>
        <v>-8.0624842529604442E-3</v>
      </c>
      <c r="D129" s="169">
        <f t="shared" ref="D129:F129" si="64">D128/D$107</f>
        <v>-7.8323869199138432E-3</v>
      </c>
      <c r="E129" s="169">
        <f t="shared" si="64"/>
        <v>-1.117487163998792E-2</v>
      </c>
      <c r="F129" s="169">
        <f t="shared" si="64"/>
        <v>-1.5820149875104082E-2</v>
      </c>
      <c r="G129" s="170">
        <f>AVERAGE(C129:F129)</f>
        <v>-1.0722473171991573E-2</v>
      </c>
      <c r="H129" s="170">
        <f>AVERAGE(C129:G129)</f>
        <v>-1.0722473171991573E-2</v>
      </c>
      <c r="I129" s="170">
        <f>AVERAGE(C129:H129)</f>
        <v>-1.0722473171991572E-2</v>
      </c>
    </row>
    <row r="130" spans="2:9">
      <c r="B130" t="s">
        <v>187</v>
      </c>
      <c r="C130" s="96">
        <v>0</v>
      </c>
      <c r="D130" s="96">
        <v>0</v>
      </c>
      <c r="E130" s="96">
        <v>0</v>
      </c>
      <c r="F130" s="96">
        <v>5</v>
      </c>
      <c r="G130" s="96">
        <v>5</v>
      </c>
      <c r="H130" s="96">
        <v>5</v>
      </c>
      <c r="I130" s="96">
        <v>5</v>
      </c>
    </row>
    <row r="131" spans="2:9">
      <c r="B131" s="18" t="s">
        <v>174</v>
      </c>
      <c r="C131" s="96">
        <v>-65</v>
      </c>
      <c r="D131" s="96">
        <v>0</v>
      </c>
      <c r="E131" s="96">
        <v>322</v>
      </c>
      <c r="F131" s="96">
        <v>256</v>
      </c>
      <c r="G131" s="96">
        <f>G$107*G132</f>
        <v>169.24516247385114</v>
      </c>
      <c r="H131" s="96">
        <f t="shared" ref="H131" si="65">H$107*H132</f>
        <v>217.36324199153259</v>
      </c>
      <c r="I131" s="96">
        <f t="shared" ref="I131" si="66">I$107*I132</f>
        <v>279.16176910739961</v>
      </c>
    </row>
    <row r="132" spans="2:9">
      <c r="B132" s="168" t="s">
        <v>233</v>
      </c>
      <c r="C132" s="169">
        <f>C131/C$107</f>
        <v>-1.6376921138825901E-2</v>
      </c>
      <c r="D132" s="169">
        <f t="shared" ref="D132" si="67">D131/D$107</f>
        <v>0</v>
      </c>
      <c r="E132" s="169">
        <f t="shared" ref="E132" si="68">E131/E$107</f>
        <v>4.8625792811839326E-2</v>
      </c>
      <c r="F132" s="169">
        <f t="shared" ref="F132" si="69">F131/F$107</f>
        <v>3.0450814797192815E-2</v>
      </c>
      <c r="G132" s="170">
        <f>AVERAGE(C132:F132)</f>
        <v>1.567492161755156E-2</v>
      </c>
      <c r="H132" s="170">
        <f>AVERAGE(C132:G132)</f>
        <v>1.567492161755156E-2</v>
      </c>
      <c r="I132" s="170">
        <f>AVERAGE(C132:H132)</f>
        <v>1.567492161755156E-2</v>
      </c>
    </row>
    <row r="133" spans="2:9">
      <c r="B133" t="s">
        <v>167</v>
      </c>
      <c r="C133" s="96">
        <v>-31</v>
      </c>
      <c r="D133" s="96">
        <v>30</v>
      </c>
      <c r="E133" s="96">
        <v>91</v>
      </c>
      <c r="F133" s="96">
        <v>27</v>
      </c>
      <c r="G133" s="96">
        <f>G$107*G134</f>
        <v>40.536551076187756</v>
      </c>
      <c r="H133" s="96">
        <f t="shared" ref="H133" si="70">H$107*H134</f>
        <v>52.061494888734963</v>
      </c>
      <c r="I133" s="96">
        <f t="shared" ref="I133" si="71">I$107*I134</f>
        <v>66.863094616895964</v>
      </c>
    </row>
    <row r="134" spans="2:9">
      <c r="B134" s="168" t="s">
        <v>233</v>
      </c>
      <c r="C134" s="169">
        <f>C133/C$107</f>
        <v>-7.8105316200554296E-3</v>
      </c>
      <c r="D134" s="169">
        <f t="shared" ref="D134" si="72">D133/D$107</f>
        <v>5.8742901899353824E-3</v>
      </c>
      <c r="E134" s="169">
        <f t="shared" ref="E134" si="73">E133/E$107</f>
        <v>1.3742071881606765E-2</v>
      </c>
      <c r="F134" s="169">
        <f t="shared" ref="F134" si="74">F133/F$107</f>
        <v>3.2116093731414299E-3</v>
      </c>
      <c r="G134" s="170">
        <f>AVERAGE(C134:F134)</f>
        <v>3.7543599561570369E-3</v>
      </c>
      <c r="H134" s="170">
        <f>AVERAGE(C134:G134)</f>
        <v>3.7543599561570369E-3</v>
      </c>
      <c r="I134" s="170">
        <f>AVERAGE(C134:H134)</f>
        <v>3.7543599561570373E-3</v>
      </c>
    </row>
    <row r="135" spans="2:9">
      <c r="B135" t="s">
        <v>188</v>
      </c>
      <c r="C135" s="96">
        <v>0</v>
      </c>
      <c r="D135" s="96">
        <v>0</v>
      </c>
      <c r="E135" s="96">
        <v>0</v>
      </c>
      <c r="F135" s="96">
        <v>209</v>
      </c>
      <c r="G135" s="96">
        <v>0</v>
      </c>
      <c r="H135" s="96">
        <v>0</v>
      </c>
      <c r="I135" s="96">
        <v>0</v>
      </c>
    </row>
    <row r="136" spans="2:9">
      <c r="B136" t="s">
        <v>168</v>
      </c>
      <c r="C136" s="96">
        <v>48</v>
      </c>
      <c r="D136" s="96">
        <v>176</v>
      </c>
      <c r="E136" s="96">
        <v>476</v>
      </c>
      <c r="F136" s="96">
        <v>447</v>
      </c>
      <c r="G136" s="96">
        <f>G$107*G137</f>
        <v>463.22069258582388</v>
      </c>
      <c r="H136" s="96">
        <f t="shared" ref="H136" si="75">H$107*H137</f>
        <v>594.91893313981257</v>
      </c>
      <c r="I136" s="96">
        <f t="shared" ref="I136" si="76">I$107*I137</f>
        <v>764.06029064135191</v>
      </c>
    </row>
    <row r="137" spans="2:9">
      <c r="B137" s="168" t="s">
        <v>233</v>
      </c>
      <c r="C137" s="169">
        <f>C136/C$107</f>
        <v>1.2093726379440665E-2</v>
      </c>
      <c r="D137" s="169">
        <f t="shared" ref="D137" si="77">D136/D$107</f>
        <v>3.4462502447620912E-2</v>
      </c>
      <c r="E137" s="169">
        <f t="shared" ref="E137" si="78">E136/E$107</f>
        <v>7.1881606765327691E-2</v>
      </c>
      <c r="F137" s="169">
        <f t="shared" ref="F137" si="79">F136/F$107</f>
        <v>5.3169977399785892E-2</v>
      </c>
      <c r="G137" s="170">
        <f>AVERAGE(C137:F137)</f>
        <v>4.2901953248043787E-2</v>
      </c>
      <c r="H137" s="170">
        <f>AVERAGE(C137:G137)</f>
        <v>4.2901953248043787E-2</v>
      </c>
      <c r="I137" s="170">
        <f>AVERAGE(C137:H137)</f>
        <v>4.2901953248043793E-2</v>
      </c>
    </row>
    <row r="138" spans="2:9">
      <c r="B138" t="s">
        <v>169</v>
      </c>
      <c r="C138" s="96">
        <v>-6</v>
      </c>
      <c r="D138" s="96">
        <v>-6</v>
      </c>
      <c r="E138" s="96">
        <v>-102</v>
      </c>
      <c r="F138" s="96">
        <v>-282</v>
      </c>
      <c r="G138" s="96">
        <f>G$107*G139</f>
        <v>-139.37355096597449</v>
      </c>
      <c r="H138" s="96">
        <f t="shared" ref="H138" si="80">H$107*H139</f>
        <v>-178.99883484419786</v>
      </c>
      <c r="I138" s="96">
        <f t="shared" ref="I138" si="81">I$107*I139</f>
        <v>-229.88998022589345</v>
      </c>
    </row>
    <row r="139" spans="2:9">
      <c r="B139" s="168" t="s">
        <v>233</v>
      </c>
      <c r="C139" s="169">
        <f>C138/C$107</f>
        <v>-1.5117157974300832E-3</v>
      </c>
      <c r="D139" s="169">
        <f t="shared" ref="D139" si="82">D138/D$107</f>
        <v>-1.1748580379870766E-3</v>
      </c>
      <c r="E139" s="169">
        <f t="shared" ref="E139" si="83">E138/E$107</f>
        <v>-1.5403201449713078E-2</v>
      </c>
      <c r="F139" s="169">
        <f t="shared" ref="F139" si="84">F138/F$107</f>
        <v>-3.3543475675032713E-2</v>
      </c>
      <c r="G139" s="170">
        <f>AVERAGE(C139:F139)</f>
        <v>-1.2908312740040739E-2</v>
      </c>
      <c r="H139" s="170">
        <f>AVERAGE(C139:G139)</f>
        <v>-1.2908312740040739E-2</v>
      </c>
      <c r="I139" s="170">
        <f>AVERAGE(C139:H139)</f>
        <v>-1.290831274004074E-2</v>
      </c>
    </row>
    <row r="140" spans="2:9">
      <c r="B140" t="s">
        <v>170</v>
      </c>
      <c r="C140" s="96">
        <v>0</v>
      </c>
      <c r="D140" s="96">
        <v>3</v>
      </c>
      <c r="E140" s="96">
        <v>-3</v>
      </c>
      <c r="F140" s="96">
        <v>-1</v>
      </c>
      <c r="G140" s="96">
        <v>-1</v>
      </c>
      <c r="H140" s="96">
        <v>-1</v>
      </c>
      <c r="I140" s="96">
        <v>-1</v>
      </c>
    </row>
    <row r="141" spans="2:9">
      <c r="B141" t="s">
        <v>171</v>
      </c>
      <c r="C141" s="96">
        <v>-2</v>
      </c>
      <c r="D141" s="96">
        <v>-6</v>
      </c>
      <c r="E141" s="96">
        <v>-7</v>
      </c>
      <c r="F141" s="96">
        <v>-5</v>
      </c>
      <c r="G141" s="96">
        <v>-5</v>
      </c>
      <c r="H141" s="96">
        <v>-5</v>
      </c>
      <c r="I141" s="96">
        <v>-5</v>
      </c>
    </row>
    <row r="142" spans="2:9">
      <c r="B142" t="s">
        <v>172</v>
      </c>
      <c r="C142" s="96">
        <v>-66</v>
      </c>
      <c r="D142" s="96">
        <v>-83</v>
      </c>
      <c r="E142" s="96">
        <v>-94</v>
      </c>
      <c r="F142" s="96">
        <v>-109</v>
      </c>
      <c r="G142" s="96">
        <f>G$107*G143</f>
        <v>-162.0701125362086</v>
      </c>
      <c r="H142" s="96">
        <f t="shared" ref="H142" si="85">H$107*H143</f>
        <v>-208.14825414135942</v>
      </c>
      <c r="I142" s="96">
        <f t="shared" ref="I142" si="86">I$107*I143</f>
        <v>-267.32686874895842</v>
      </c>
    </row>
    <row r="143" spans="2:9">
      <c r="B143" s="168" t="s">
        <v>233</v>
      </c>
      <c r="C143" s="169">
        <f>C142/C$107</f>
        <v>-1.6628873771730914E-2</v>
      </c>
      <c r="D143" s="169">
        <f t="shared" ref="D143" si="87">D142/D$107</f>
        <v>-1.6252202858821226E-2</v>
      </c>
      <c r="E143" s="169">
        <f t="shared" ref="E143" si="88">E142/E$107</f>
        <v>-1.4195107218363033E-2</v>
      </c>
      <c r="F143" s="169">
        <f t="shared" ref="F143" si="89">F142/F$107</f>
        <v>-1.2965385987867253E-2</v>
      </c>
      <c r="G143" s="170">
        <f>AVERAGE(C143:F143)</f>
        <v>-1.5010392459195606E-2</v>
      </c>
      <c r="H143" s="170">
        <f>AVERAGE(C143:G143)</f>
        <v>-1.5010392459195606E-2</v>
      </c>
      <c r="I143" s="170">
        <f>AVERAGE(C143:H143)</f>
        <v>-1.5010392459195608E-2</v>
      </c>
    </row>
    <row r="144" spans="2:9">
      <c r="B144" s="18" t="s">
        <v>175</v>
      </c>
      <c r="C144" s="96">
        <v>0</v>
      </c>
      <c r="D144" s="96">
        <v>-22</v>
      </c>
      <c r="E144" s="96">
        <v>-23</v>
      </c>
      <c r="F144" s="96">
        <v>0</v>
      </c>
      <c r="G144" s="96">
        <v>0</v>
      </c>
      <c r="H144" s="96">
        <v>0</v>
      </c>
      <c r="I144" s="96">
        <v>0</v>
      </c>
    </row>
    <row r="145" spans="2:9">
      <c r="B145" s="18" t="s">
        <v>189</v>
      </c>
      <c r="C145" s="96">
        <v>0</v>
      </c>
      <c r="D145" s="96">
        <v>0</v>
      </c>
      <c r="E145" s="96">
        <v>-7</v>
      </c>
      <c r="F145" s="96">
        <v>0</v>
      </c>
      <c r="G145" s="96">
        <v>-1.75</v>
      </c>
      <c r="H145" s="96">
        <v>-1.75</v>
      </c>
      <c r="I145" s="96">
        <v>-1.75</v>
      </c>
    </row>
    <row r="146" spans="2:9">
      <c r="B146" t="s">
        <v>190</v>
      </c>
      <c r="C146" s="96">
        <v>-85</v>
      </c>
      <c r="D146" s="96">
        <v>-85</v>
      </c>
      <c r="E146" s="96">
        <v>-85</v>
      </c>
      <c r="F146" s="96">
        <v>-85</v>
      </c>
      <c r="G146" s="96">
        <v>-85</v>
      </c>
      <c r="H146" s="96">
        <v>-85</v>
      </c>
      <c r="I146" s="96">
        <v>-85</v>
      </c>
    </row>
    <row r="147" spans="2:9" ht="14.4">
      <c r="B147" s="97" t="s">
        <v>178</v>
      </c>
      <c r="C147" s="111">
        <v>-247</v>
      </c>
      <c r="D147" s="111">
        <v>-42</v>
      </c>
      <c r="E147" s="111">
        <v>483</v>
      </c>
      <c r="F147" s="111">
        <v>318</v>
      </c>
      <c r="G147" s="111">
        <v>-87.75</v>
      </c>
      <c r="H147" s="111">
        <v>-87.75</v>
      </c>
      <c r="I147" s="111">
        <v>-87.75</v>
      </c>
    </row>
  </sheetData>
  <mergeCells count="2">
    <mergeCell ref="C3:F3"/>
    <mergeCell ref="G3:H3"/>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C0E167-9AF5-4AC0-B448-88BBDE889D5D}">
  <dimension ref="B1:H20"/>
  <sheetViews>
    <sheetView workbookViewId="0"/>
  </sheetViews>
  <sheetFormatPr defaultRowHeight="13.8"/>
  <cols>
    <col min="2" max="2" width="18.88671875" bestFit="1" customWidth="1"/>
    <col min="3" max="3" width="12.21875" customWidth="1"/>
    <col min="4" max="4" width="13.88671875" customWidth="1"/>
    <col min="5" max="5" width="12.88671875" customWidth="1"/>
    <col min="6" max="6" width="14.109375" customWidth="1"/>
    <col min="7" max="7" width="11.5546875" customWidth="1"/>
    <col min="8" max="8" width="11.77734375" customWidth="1"/>
  </cols>
  <sheetData>
    <row r="1" spans="2:8" ht="15.6">
      <c r="C1" s="99">
        <v>44166</v>
      </c>
      <c r="D1" s="99">
        <f t="shared" ref="D1:H1" si="0">C1+365</f>
        <v>44531</v>
      </c>
      <c r="E1" s="99">
        <f t="shared" si="0"/>
        <v>44896</v>
      </c>
      <c r="F1" s="99">
        <f t="shared" si="0"/>
        <v>45261</v>
      </c>
      <c r="G1" s="99">
        <v>45627</v>
      </c>
      <c r="H1" s="99">
        <f t="shared" si="0"/>
        <v>45992</v>
      </c>
    </row>
    <row r="2" spans="2:8" ht="14.4">
      <c r="C2" s="516" t="s">
        <v>142</v>
      </c>
      <c r="D2" s="516"/>
      <c r="E2" s="516"/>
      <c r="F2" s="516"/>
      <c r="G2" s="519" t="s">
        <v>143</v>
      </c>
      <c r="H2" s="519"/>
    </row>
    <row r="3" spans="2:8">
      <c r="B3" s="18" t="s">
        <v>197</v>
      </c>
      <c r="C3" s="122">
        <v>3969</v>
      </c>
      <c r="D3" s="122">
        <v>5107</v>
      </c>
      <c r="E3" s="122">
        <v>6622</v>
      </c>
      <c r="F3" s="122">
        <v>8407</v>
      </c>
      <c r="G3" s="122">
        <v>10797.193542859159</v>
      </c>
      <c r="H3" s="122">
        <v>13866.942833586238</v>
      </c>
    </row>
    <row r="4" spans="2:8" ht="8.4" customHeight="1"/>
    <row r="5" spans="2:8">
      <c r="B5" s="18" t="s">
        <v>198</v>
      </c>
      <c r="C5">
        <v>598</v>
      </c>
      <c r="D5">
        <v>682</v>
      </c>
      <c r="E5">
        <v>608</v>
      </c>
      <c r="F5">
        <v>979</v>
      </c>
      <c r="G5" s="123">
        <f>G18</f>
        <v>797.52821078476836</v>
      </c>
      <c r="H5" s="123">
        <f>H18</f>
        <v>876.07388321253507</v>
      </c>
    </row>
    <row r="6" spans="2:8">
      <c r="B6" s="18" t="s">
        <v>201</v>
      </c>
      <c r="C6">
        <v>251</v>
      </c>
      <c r="D6">
        <v>343</v>
      </c>
      <c r="E6">
        <v>196</v>
      </c>
      <c r="F6">
        <v>526</v>
      </c>
    </row>
    <row r="7" spans="2:8">
      <c r="B7" s="18" t="s">
        <v>199</v>
      </c>
      <c r="C7" s="129">
        <v>-25</v>
      </c>
      <c r="D7" s="129">
        <v>-29</v>
      </c>
      <c r="E7" s="129">
        <v>-41</v>
      </c>
      <c r="F7" s="129">
        <v>-42</v>
      </c>
      <c r="G7" s="129"/>
      <c r="H7" s="129"/>
    </row>
    <row r="8" spans="2:8">
      <c r="B8" s="18" t="s">
        <v>200</v>
      </c>
      <c r="C8">
        <f>C5-C6</f>
        <v>347</v>
      </c>
      <c r="D8">
        <f t="shared" ref="D8:F8" si="1">D5-D6</f>
        <v>339</v>
      </c>
      <c r="E8">
        <f t="shared" si="1"/>
        <v>412</v>
      </c>
      <c r="F8">
        <f t="shared" si="1"/>
        <v>453</v>
      </c>
      <c r="G8" s="123">
        <f t="shared" ref="G8:H8" si="2">G5-G6-G7</f>
        <v>797.52821078476836</v>
      </c>
      <c r="H8" s="123">
        <f t="shared" si="2"/>
        <v>876.07388321253507</v>
      </c>
    </row>
    <row r="11" spans="2:8">
      <c r="B11" s="18" t="s">
        <v>206</v>
      </c>
      <c r="C11" s="137">
        <f>C7/C3</f>
        <v>-6.2988158226253465E-3</v>
      </c>
      <c r="D11" s="137">
        <f>D7/D3</f>
        <v>-5.6784805169375367E-3</v>
      </c>
      <c r="E11" s="137">
        <f>E7/E3</f>
        <v>-6.1914829356689823E-3</v>
      </c>
      <c r="F11" s="137">
        <f>F7/F3</f>
        <v>-4.9958368026644462E-3</v>
      </c>
      <c r="G11" s="137">
        <f>AVERAGE(C11:F11)</f>
        <v>-5.7911540194740775E-3</v>
      </c>
      <c r="H11" s="137">
        <f>AVERAGE(D11:G11)</f>
        <v>-5.6642385686862607E-3</v>
      </c>
    </row>
    <row r="12" spans="2:8">
      <c r="B12" s="18" t="s">
        <v>208</v>
      </c>
      <c r="C12">
        <f>'Financial Statement'!C25</f>
        <v>508</v>
      </c>
      <c r="D12">
        <f>'Financial Statement'!D25</f>
        <v>639</v>
      </c>
      <c r="E12">
        <f>'Financial Statement'!E25</f>
        <v>819</v>
      </c>
      <c r="F12">
        <f>'Financial Statement'!F25</f>
        <v>1021</v>
      </c>
      <c r="G12" s="123">
        <f>F12+G14</f>
        <v>1313</v>
      </c>
      <c r="H12" s="123">
        <f>G12+H14</f>
        <v>1706</v>
      </c>
    </row>
    <row r="13" spans="2:8">
      <c r="B13" s="18" t="s">
        <v>207</v>
      </c>
      <c r="C13" s="152">
        <f>C12/C5</f>
        <v>0.84949832775919731</v>
      </c>
      <c r="D13" s="152">
        <f t="shared" ref="D13:H13" si="3">D12/D5</f>
        <v>0.93695014662756593</v>
      </c>
      <c r="E13" s="152">
        <f t="shared" si="3"/>
        <v>1.3470394736842106</v>
      </c>
      <c r="F13" s="152">
        <f t="shared" si="3"/>
        <v>1.0429009193054137</v>
      </c>
      <c r="G13" s="152">
        <f t="shared" si="3"/>
        <v>1.6463367467691294</v>
      </c>
      <c r="H13" s="152">
        <f t="shared" si="3"/>
        <v>1.947324344088597</v>
      </c>
    </row>
    <row r="14" spans="2:8">
      <c r="B14" s="18"/>
      <c r="D14">
        <f>D12-C12</f>
        <v>131</v>
      </c>
      <c r="E14">
        <f>E12-D12</f>
        <v>180</v>
      </c>
      <c r="F14">
        <f>F12-E12</f>
        <v>202</v>
      </c>
      <c r="G14">
        <f>F14+E14/2</f>
        <v>292</v>
      </c>
      <c r="H14">
        <f>G14+F14/2</f>
        <v>393</v>
      </c>
    </row>
    <row r="16" spans="2:8">
      <c r="B16" s="18" t="s">
        <v>202</v>
      </c>
      <c r="C16">
        <f>C5</f>
        <v>598</v>
      </c>
      <c r="D16">
        <f>C18</f>
        <v>623</v>
      </c>
      <c r="E16">
        <f t="shared" ref="E16:F16" si="4">D18</f>
        <v>652</v>
      </c>
      <c r="F16">
        <f t="shared" si="4"/>
        <v>693</v>
      </c>
      <c r="G16" s="123">
        <f>F18</f>
        <v>735</v>
      </c>
      <c r="H16" s="123">
        <f>G18</f>
        <v>797.52821078476836</v>
      </c>
    </row>
    <row r="17" spans="2:8">
      <c r="B17" s="18" t="s">
        <v>203</v>
      </c>
      <c r="C17">
        <f>C7</f>
        <v>-25</v>
      </c>
      <c r="D17">
        <f>D7</f>
        <v>-29</v>
      </c>
      <c r="E17">
        <f>E7</f>
        <v>-41</v>
      </c>
      <c r="F17">
        <f>F7</f>
        <v>-42</v>
      </c>
      <c r="G17" s="123">
        <f>G3*G11</f>
        <v>-62.528210784768369</v>
      </c>
      <c r="H17" s="123">
        <f>H3*H11</f>
        <v>-78.545672427766704</v>
      </c>
    </row>
    <row r="18" spans="2:8">
      <c r="B18" s="18" t="s">
        <v>204</v>
      </c>
      <c r="C18" s="18">
        <f>C16-C17</f>
        <v>623</v>
      </c>
      <c r="D18" s="18">
        <f t="shared" ref="D18:F18" si="5">D16-D17</f>
        <v>652</v>
      </c>
      <c r="E18" s="18">
        <f t="shared" si="5"/>
        <v>693</v>
      </c>
      <c r="F18" s="18">
        <f t="shared" si="5"/>
        <v>735</v>
      </c>
      <c r="G18" s="139">
        <f t="shared" ref="G18" si="6">G16-G17</f>
        <v>797.52821078476836</v>
      </c>
      <c r="H18" s="139">
        <f t="shared" ref="H18" si="7">H16-H17</f>
        <v>876.07388321253507</v>
      </c>
    </row>
    <row r="19" spans="2:8">
      <c r="B19" s="18" t="s">
        <v>201</v>
      </c>
      <c r="C19">
        <f>C6</f>
        <v>251</v>
      </c>
      <c r="D19">
        <f>D6</f>
        <v>343</v>
      </c>
      <c r="E19">
        <f>E6</f>
        <v>196</v>
      </c>
      <c r="F19">
        <f>F6</f>
        <v>526</v>
      </c>
      <c r="G19" s="123">
        <f>G16*G13</f>
        <v>1210.0575088753101</v>
      </c>
      <c r="H19" s="123">
        <f>H16*H13</f>
        <v>1553.0460999586014</v>
      </c>
    </row>
    <row r="20" spans="2:8">
      <c r="B20" s="18" t="s">
        <v>205</v>
      </c>
      <c r="C20">
        <f>C18-C19</f>
        <v>372</v>
      </c>
      <c r="D20">
        <f t="shared" ref="D20:F20" si="8">D18-D19</f>
        <v>309</v>
      </c>
      <c r="E20">
        <f t="shared" si="8"/>
        <v>497</v>
      </c>
      <c r="F20">
        <f t="shared" si="8"/>
        <v>209</v>
      </c>
      <c r="G20" s="123">
        <f t="shared" ref="G20" si="9">G18-G19</f>
        <v>-412.52929809054172</v>
      </c>
      <c r="H20" s="123">
        <f t="shared" ref="H20" si="10">H18-H19</f>
        <v>-676.97221674606635</v>
      </c>
    </row>
  </sheetData>
  <mergeCells count="2">
    <mergeCell ref="C2:F2"/>
    <mergeCell ref="G2:H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766FA0-5E43-47FC-B74D-ED12F7F827D8}">
  <sheetPr>
    <tabColor rgb="FF0000FF"/>
  </sheetPr>
  <dimension ref="B2:K38"/>
  <sheetViews>
    <sheetView showGridLines="0" workbookViewId="0">
      <selection activeCell="Q15" sqref="Q15"/>
    </sheetView>
  </sheetViews>
  <sheetFormatPr defaultRowHeight="13.8"/>
  <cols>
    <col min="1" max="1" width="1.5546875" customWidth="1"/>
    <col min="2" max="2" width="26.6640625" customWidth="1"/>
    <col min="3" max="3" width="9.88671875" bestFit="1" customWidth="1"/>
    <col min="4" max="9" width="9.44140625" bestFit="1" customWidth="1"/>
  </cols>
  <sheetData>
    <row r="2" spans="2:11" ht="14.4" customHeight="1">
      <c r="B2" s="520" t="s">
        <v>273</v>
      </c>
      <c r="C2" s="520"/>
      <c r="D2" s="520"/>
      <c r="E2" s="520"/>
      <c r="F2" s="520"/>
      <c r="G2" s="520"/>
      <c r="H2" s="520"/>
      <c r="I2" s="520"/>
      <c r="J2" s="172"/>
      <c r="K2" s="172"/>
    </row>
    <row r="3" spans="2:11" ht="14.4" customHeight="1">
      <c r="B3" s="171" t="s">
        <v>72</v>
      </c>
      <c r="C3" s="172">
        <v>43921</v>
      </c>
      <c r="D3" s="172">
        <v>44286</v>
      </c>
      <c r="E3" s="172">
        <v>44651</v>
      </c>
      <c r="F3" s="172">
        <f>E3+365</f>
        <v>45016</v>
      </c>
      <c r="G3" s="172">
        <f t="shared" ref="G3:I3" si="0">F3+365</f>
        <v>45381</v>
      </c>
      <c r="H3" s="172">
        <f t="shared" si="0"/>
        <v>45746</v>
      </c>
      <c r="I3" s="172">
        <f t="shared" si="0"/>
        <v>46111</v>
      </c>
      <c r="J3" s="173" t="s">
        <v>274</v>
      </c>
      <c r="K3" s="172" t="s">
        <v>275</v>
      </c>
    </row>
    <row r="5" spans="2:11">
      <c r="B5" s="201" t="s">
        <v>75</v>
      </c>
      <c r="C5" s="220">
        <f>'Financial Statement'!C8</f>
        <v>0</v>
      </c>
      <c r="D5" s="220">
        <f>'Financial Statement'!D8</f>
        <v>0.28672209624590583</v>
      </c>
      <c r="E5" s="220">
        <f>'Financial Statement'!E8</f>
        <v>0.29665165459173681</v>
      </c>
      <c r="F5" s="220">
        <f>'Financial Statement'!F8</f>
        <v>0.26955602536997891</v>
      </c>
      <c r="G5" s="220">
        <f>'Financial Statement'!G8</f>
        <v>0.28430992540254052</v>
      </c>
      <c r="H5" s="220">
        <f>'Financial Statement'!H8</f>
        <v>0.28430992540254052</v>
      </c>
      <c r="I5" s="220">
        <f>'Financial Statement'!I8</f>
        <v>0.28430992540254052</v>
      </c>
      <c r="J5" s="202"/>
      <c r="K5" s="220">
        <f>MEDIAN(C5:I5)</f>
        <v>0.28430992540254052</v>
      </c>
    </row>
    <row r="6" spans="2:11">
      <c r="B6" s="201" t="s">
        <v>250</v>
      </c>
      <c r="C6" s="220">
        <f>'Financial Statement'!C14</f>
        <v>0.89241622574955903</v>
      </c>
      <c r="D6" s="220">
        <f>'Financial Statement'!D14</f>
        <v>0.8958292539651459</v>
      </c>
      <c r="E6" s="220">
        <f>'Financial Statement'!E14</f>
        <v>0.88523104802174568</v>
      </c>
      <c r="F6" s="220">
        <f>'Financial Statement'!F14</f>
        <v>0.88485785654811466</v>
      </c>
      <c r="G6" s="220">
        <f>'Financial Statement'!G14</f>
        <v>0.88958359607114124</v>
      </c>
      <c r="H6" s="220">
        <f>'Financial Statement'!H14</f>
        <v>0.88958359607114135</v>
      </c>
      <c r="I6" s="220">
        <f>'Financial Statement'!I14</f>
        <v>0.88958359607114135</v>
      </c>
      <c r="J6" s="202"/>
      <c r="K6" s="220">
        <f t="shared" ref="K6:K37" si="1">MEDIAN(C6:I6)</f>
        <v>0.88958359607114135</v>
      </c>
    </row>
    <row r="7" spans="2:11">
      <c r="B7" s="202" t="s">
        <v>247</v>
      </c>
      <c r="C7" s="220">
        <v>0</v>
      </c>
      <c r="D7" s="220">
        <f>('Financial Statement'!D19/'Financial Statement'!C19)-1</f>
        <v>0.26506024096385539</v>
      </c>
      <c r="E7" s="220">
        <f>('Financial Statement'!E19/'Financial Statement'!D19)-1</f>
        <v>0.1765079365079365</v>
      </c>
      <c r="F7" s="220">
        <f>('Financial Statement'!F19/'Financial Statement'!E19)-1</f>
        <v>0.26605504587155959</v>
      </c>
      <c r="G7" s="220">
        <f>('Financial Statement'!G19/'Financial Statement'!F19)-1</f>
        <v>0.35880708529173355</v>
      </c>
      <c r="H7" s="220">
        <f>('Financial Statement'!H19/'Financial Statement'!G19)-1</f>
        <v>0.28430992540254074</v>
      </c>
      <c r="I7" s="220">
        <f>('Financial Statement'!I19/'Financial Statement'!H19)-1</f>
        <v>0.2843099254025403</v>
      </c>
      <c r="J7" s="202"/>
      <c r="K7" s="220">
        <f t="shared" si="1"/>
        <v>0.26605504587155959</v>
      </c>
    </row>
    <row r="8" spans="2:11">
      <c r="B8" s="202" t="s">
        <v>248</v>
      </c>
      <c r="C8" s="220">
        <v>0</v>
      </c>
      <c r="D8" s="220">
        <f>('Financial Statement'!D31/'Financial Statement'!C31)-1</f>
        <v>-0.37748344370860931</v>
      </c>
      <c r="E8" s="220">
        <f>('Financial Statement'!E31/'Financial Statement'!D31)-1</f>
        <v>0.9228723404255319</v>
      </c>
      <c r="F8" s="220">
        <f>('Financial Statement'!F31/'Financial Statement'!E31)-1</f>
        <v>-0.63208852005532501</v>
      </c>
      <c r="G8" s="220">
        <f>('Financial Statement'!G31/'Financial Statement'!F31)-1</f>
        <v>0.47633050082367245</v>
      </c>
      <c r="H8" s="220">
        <f>('Financial Statement'!H31/'Financial Statement'!G31)-1</f>
        <v>-0.30744253820176148</v>
      </c>
      <c r="I8" s="220">
        <v>0</v>
      </c>
      <c r="J8" s="202"/>
      <c r="K8" s="220">
        <f t="shared" si="1"/>
        <v>0</v>
      </c>
    </row>
    <row r="9" spans="2:11">
      <c r="B9" s="202" t="s">
        <v>249</v>
      </c>
      <c r="C9" s="220">
        <v>0</v>
      </c>
      <c r="D9" s="220">
        <f>('Financial Statement'!D37/'Financial Statement'!C37)-1</f>
        <v>-0.61098398169336376</v>
      </c>
      <c r="E9" s="220">
        <f>('Financial Statement'!E37/'Financial Statement'!D37)-1</f>
        <v>2.223529411764706</v>
      </c>
      <c r="F9" s="220">
        <f>('Financial Statement'!F37/'Financial Statement'!E37)-1</f>
        <v>-0.88686131386861311</v>
      </c>
      <c r="G9" s="220">
        <f>('Financial Statement'!G37/'Financial Statement'!F37)-1</f>
        <v>2.4308914246086872</v>
      </c>
      <c r="H9" s="220">
        <f>('Financial Statement'!H37/'Financial Statement'!G37)-1</f>
        <v>-0.30744253820176148</v>
      </c>
      <c r="I9" s="220">
        <v>0</v>
      </c>
      <c r="J9" s="202"/>
      <c r="K9" s="220">
        <f t="shared" si="1"/>
        <v>0</v>
      </c>
    </row>
    <row r="11" spans="2:11">
      <c r="B11" s="202" t="s">
        <v>251</v>
      </c>
      <c r="C11" s="220">
        <f>'Financial Statement'!C20</f>
        <v>0.31368102796674224</v>
      </c>
      <c r="D11" s="220">
        <f>'Financial Statement'!D20</f>
        <v>0.30840023497160762</v>
      </c>
      <c r="E11" s="220">
        <f>'Financial Statement'!E20</f>
        <v>0.27982482633645422</v>
      </c>
      <c r="F11" s="220">
        <f>'Financial Statement'!F20</f>
        <v>0.27905316997739976</v>
      </c>
      <c r="G11" s="220">
        <f>'Financial Statement'!G20</f>
        <v>0.29523981481305089</v>
      </c>
      <c r="H11" s="220">
        <f>'Financial Statement'!H20</f>
        <v>0.29523981481305095</v>
      </c>
      <c r="I11" s="220">
        <f>'Financial Statement'!I20</f>
        <v>0.29523981481305095</v>
      </c>
      <c r="J11" s="202"/>
      <c r="K11" s="220">
        <f t="shared" si="1"/>
        <v>0.29523981481305095</v>
      </c>
    </row>
    <row r="12" spans="2:11">
      <c r="B12" s="202" t="s">
        <v>252</v>
      </c>
      <c r="C12" s="220">
        <f>'Financial Statement'!C20</f>
        <v>0.31368102796674224</v>
      </c>
      <c r="D12" s="220">
        <f>'Financial Statement'!D20</f>
        <v>0.30840023497160762</v>
      </c>
      <c r="E12" s="220">
        <f>'Financial Statement'!E20</f>
        <v>0.27982482633645422</v>
      </c>
      <c r="F12" s="220">
        <f>'Financial Statement'!F20</f>
        <v>0.27905316997739976</v>
      </c>
      <c r="G12" s="220">
        <f>'Financial Statement'!G20</f>
        <v>0.29523981481305089</v>
      </c>
      <c r="H12" s="220">
        <f>'Financial Statement'!H20</f>
        <v>0.29523981481305095</v>
      </c>
      <c r="I12" s="220">
        <f>'Financial Statement'!I20</f>
        <v>0.29523981481305095</v>
      </c>
      <c r="J12" s="202"/>
      <c r="K12" s="220">
        <f t="shared" si="1"/>
        <v>0.29523981481305095</v>
      </c>
    </row>
    <row r="13" spans="2:11">
      <c r="B13" s="202" t="s">
        <v>253</v>
      </c>
      <c r="C13" s="221">
        <f>('Financial Statement'!C19+'Financial Statement'!C22-'Financial Statement'!C25)/'Financial Statement'!C7</f>
        <v>0.15217939027462837</v>
      </c>
      <c r="D13" s="221">
        <f>('Financial Statement'!D19+'Financial Statement'!D22-'Financial Statement'!D25)/'Financial Statement'!D7</f>
        <v>7.3624437047190128E-2</v>
      </c>
      <c r="E13" s="221">
        <f>('Financial Statement'!E19+'Financial Statement'!E22-'Financial Statement'!E25)/'Financial Statement'!E7</f>
        <v>0.10918151615826034</v>
      </c>
      <c r="F13" s="221">
        <f>('Financial Statement'!F19+'Financial Statement'!F22-'Financial Statement'!F25)/'Financial Statement'!F7</f>
        <v>3.1640299750208163E-2</v>
      </c>
      <c r="G13" s="221">
        <f>('Financial Statement'!G19+'Financial Statement'!G22-'Financial Statement'!G25)/'Financial Statement'!G7</f>
        <v>3.6370924690779106E-2</v>
      </c>
      <c r="H13" s="221">
        <f>('Financial Statement'!H19+'Financial Statement'!H22-'Financial Statement'!H25)/'Financial Statement'!H7</f>
        <v>1.9612832377049413E-2</v>
      </c>
      <c r="I13" s="221">
        <f>('Financial Statement'!I19+'Financial Statement'!I22-'Financial Statement'!I25)/'Financial Statement'!I7</f>
        <v>0.14857353594113842</v>
      </c>
      <c r="J13" s="202"/>
      <c r="K13" s="220">
        <f t="shared" si="1"/>
        <v>7.3624437047190128E-2</v>
      </c>
    </row>
    <row r="14" spans="2:11">
      <c r="B14" s="202" t="s">
        <v>254</v>
      </c>
      <c r="C14" s="220">
        <f>'Financial Statement'!C32</f>
        <v>0.15217939027462837</v>
      </c>
      <c r="D14" s="220">
        <f>'Financial Statement'!D32</f>
        <v>7.3624437047190128E-2</v>
      </c>
      <c r="E14" s="220">
        <f>'Financial Statement'!E32</f>
        <v>0.10918151615826034</v>
      </c>
      <c r="F14" s="220">
        <f>'Financial Statement'!F32</f>
        <v>3.1640299750208163E-2</v>
      </c>
      <c r="G14" s="220">
        <f>'Financial Statement'!G32</f>
        <v>3.6370924690779106E-2</v>
      </c>
      <c r="H14" s="220">
        <f>'Financial Statement'!H32</f>
        <v>1.9612832377049413E-2</v>
      </c>
      <c r="I14" s="220">
        <f>'Financial Statement'!I32</f>
        <v>0.14857353594113842</v>
      </c>
      <c r="J14" s="202"/>
      <c r="K14" s="220">
        <f t="shared" si="1"/>
        <v>7.3624437047190128E-2</v>
      </c>
    </row>
    <row r="15" spans="2:11">
      <c r="B15" s="202" t="s">
        <v>255</v>
      </c>
      <c r="C15" s="220">
        <f>'Financial Statement'!C38</f>
        <v>0.11010330057949105</v>
      </c>
      <c r="D15" s="220">
        <f>'Financial Statement'!D38</f>
        <v>3.3287644409633839E-2</v>
      </c>
      <c r="E15" s="220">
        <f>'Financial Statement'!E38</f>
        <v>8.2754454847478107E-2</v>
      </c>
      <c r="F15" s="220">
        <f>'Financial Statement'!F38</f>
        <v>7.3748067086951349E-3</v>
      </c>
      <c r="G15" s="220">
        <f>'Financial Statement'!G38</f>
        <v>1.9700977618060774E-2</v>
      </c>
      <c r="H15" s="220">
        <f>'Financial Statement'!H38</f>
        <v>1.0623649933898648E-2</v>
      </c>
      <c r="I15" s="220">
        <f>'Financial Statement'!I38</f>
        <v>8.0477577380775031E-2</v>
      </c>
      <c r="J15" s="202"/>
      <c r="K15" s="220">
        <f t="shared" si="1"/>
        <v>3.3287644409633839E-2</v>
      </c>
    </row>
    <row r="17" spans="2:11">
      <c r="B17" s="202" t="s">
        <v>256</v>
      </c>
      <c r="C17" s="220">
        <f>'Financial Statement'!C17</f>
        <v>0.57873519778281679</v>
      </c>
      <c r="D17" s="220">
        <f>'Financial Statement'!D17</f>
        <v>0.58742901899353828</v>
      </c>
      <c r="E17" s="220">
        <f>'Financial Statement'!E17</f>
        <v>0.60540622168529146</v>
      </c>
      <c r="F17" s="220">
        <f>'Financial Statement'!F17</f>
        <v>0.60580468657071485</v>
      </c>
      <c r="G17" s="220">
        <f>'Financial Statement'!G17</f>
        <v>0.5943437812580904</v>
      </c>
      <c r="H17" s="220">
        <f>'Financial Statement'!H17</f>
        <v>0.5943437812580904</v>
      </c>
      <c r="I17" s="220">
        <f>'Financial Statement'!I17</f>
        <v>0.5943437812580904</v>
      </c>
      <c r="J17" s="202"/>
      <c r="K17" s="220">
        <f t="shared" si="1"/>
        <v>0.5943437812580904</v>
      </c>
    </row>
    <row r="18" spans="2:11">
      <c r="B18" s="202" t="s">
        <v>257</v>
      </c>
      <c r="C18" s="220">
        <f>'Financial Statement'!C26</f>
        <v>0.12799193751574703</v>
      </c>
      <c r="D18" s="220">
        <f>'Financial Statement'!D26</f>
        <v>0.12512238104562365</v>
      </c>
      <c r="E18" s="220">
        <f>'Financial Statement'!E26</f>
        <v>0.12367864693446089</v>
      </c>
      <c r="F18" s="220">
        <f>'Financial Statement'!F26</f>
        <v>0.12144641370286666</v>
      </c>
      <c r="G18" s="220">
        <f>'Financial Statement'!G26</f>
        <v>0.16078784750723216</v>
      </c>
      <c r="H18" s="220">
        <f>'Financial Statement'!H26</f>
        <v>0.19925831107788045</v>
      </c>
      <c r="I18" s="220">
        <f>'Financial Statement'!I26</f>
        <v>8.7203473323489378E-2</v>
      </c>
      <c r="J18" s="202"/>
      <c r="K18" s="220">
        <f t="shared" si="1"/>
        <v>0.12512238104562365</v>
      </c>
    </row>
    <row r="19" spans="2:11">
      <c r="B19" s="202" t="s">
        <v>258</v>
      </c>
      <c r="C19" s="220">
        <f>'Financial Statement'!C20</f>
        <v>0.31368102796674224</v>
      </c>
      <c r="D19" s="220">
        <f>'Financial Statement'!D20</f>
        <v>0.30840023497160762</v>
      </c>
      <c r="E19" s="220">
        <f>'Financial Statement'!E20</f>
        <v>0.27982482633645422</v>
      </c>
      <c r="F19" s="220">
        <f>'Financial Statement'!F20</f>
        <v>0.27905316997739976</v>
      </c>
      <c r="G19" s="220">
        <f>'Financial Statement'!G20</f>
        <v>0.29523981481305089</v>
      </c>
      <c r="H19" s="220">
        <f>'Financial Statement'!H20</f>
        <v>0.29523981481305095</v>
      </c>
      <c r="I19" s="220">
        <f>'Financial Statement'!I20</f>
        <v>0.29523981481305095</v>
      </c>
      <c r="J19" s="202"/>
      <c r="K19" s="220">
        <f t="shared" si="1"/>
        <v>0.29523981481305095</v>
      </c>
    </row>
    <row r="21" spans="2:11">
      <c r="B21" s="202" t="s">
        <v>259</v>
      </c>
      <c r="C21" s="205">
        <f>'Financial Statement'!C19/('Financial Statement'!C62-'Financial Statement'!C83)</f>
        <v>-2.7422907488986783</v>
      </c>
      <c r="D21" s="205">
        <f>'Financial Statement'!D19/('Financial Statement'!D62-'Financial Statement'!D83)</f>
        <v>-2.5079617834394905</v>
      </c>
      <c r="E21" s="205">
        <f>'Financial Statement'!E19/('Financial Statement'!E62-'Financial Statement'!E83)</f>
        <v>-1.4199233716475095</v>
      </c>
      <c r="F21" s="205">
        <f>'Financial Statement'!F19/('Financial Statement'!F62-'Financial Statement'!F83)</f>
        <v>-1.0911627906976744</v>
      </c>
      <c r="G21" s="205">
        <f>'Financial Statement'!G19/('Financial Statement'!G62-'Financial Statement'!G83)</f>
        <v>-1.7664393444069466</v>
      </c>
      <c r="H21" s="205">
        <f>'Financial Statement'!H19/('Financial Statement'!H62-'Financial Statement'!H83)</f>
        <v>-2.2899825919772283</v>
      </c>
      <c r="I21" s="205">
        <f>'Financial Statement'!I19/('Financial Statement'!I62-'Financial Statement'!I83)</f>
        <v>-3.001253087913454</v>
      </c>
      <c r="J21" s="202"/>
      <c r="K21" s="222">
        <f t="shared" si="1"/>
        <v>-2.2899825919772283</v>
      </c>
    </row>
    <row r="22" spans="2:11">
      <c r="B22" s="202" t="s">
        <v>260</v>
      </c>
      <c r="C22" s="202">
        <v>0</v>
      </c>
      <c r="D22" s="221">
        <f>('Financial Statement'!C98+'Financial Statement'!D37-'Financial Statement'!D77)/'Financial Statement'!D7</f>
        <v>0.22087331114157038</v>
      </c>
      <c r="E22" s="221">
        <f>('Financial Statement'!D98+'Financial Statement'!E37-'Financial Statement'!E77)/'Financial Statement'!E7</f>
        <v>0.26170341286620358</v>
      </c>
      <c r="F22" s="221">
        <f>('Financial Statement'!E98+'Financial Statement'!F37-'Financial Statement'!F77)/'Financial Statement'!F7</f>
        <v>0.21458308552396813</v>
      </c>
      <c r="G22" s="221">
        <f>('Financial Statement'!F98+'Financial Statement'!G37-'Financial Statement'!G77)/'Financial Statement'!G7</f>
        <v>0.19150488134884316</v>
      </c>
      <c r="H22" s="221">
        <f>('Financial Statement'!G98+'Financial Statement'!H37-'Financial Statement'!H77)/'Financial Statement'!H7</f>
        <v>2.2934601985439531E-2</v>
      </c>
      <c r="I22" s="221">
        <f>('Financial Statement'!H98+'Financial Statement'!I37-'Financial Statement'!I77)/'Financial Statement'!I7</f>
        <v>8.6391153185788147E-2</v>
      </c>
      <c r="J22" s="202"/>
      <c r="K22" s="221">
        <f t="shared" si="1"/>
        <v>0.19150488134884316</v>
      </c>
    </row>
    <row r="23" spans="2:11">
      <c r="B23" s="202" t="s">
        <v>261</v>
      </c>
      <c r="C23" s="221">
        <f>'Financial Statement'!C37/'Financial Statement'!C100</f>
        <v>0.4169847328244275</v>
      </c>
      <c r="D23" s="221">
        <f>'Financial Statement'!D37/'Financial Statement'!D100</f>
        <v>0.1118421052631579</v>
      </c>
      <c r="E23" s="221">
        <f>'Financial Statement'!E37/'Financial Statement'!E100</f>
        <v>0.28349715468184172</v>
      </c>
      <c r="F23" s="221">
        <f>'Financial Statement'!F37/'Financial Statement'!F100</f>
        <v>3.161652218255992E-2</v>
      </c>
      <c r="G23" s="221">
        <f>'Financial Statement'!G37/'Financial Statement'!G100</f>
        <v>0.7687153282605943</v>
      </c>
      <c r="H23" s="221">
        <f>'Financial Statement'!H37/'Financial Statement'!H100</f>
        <v>0.69713825891263081</v>
      </c>
      <c r="I23" s="221">
        <f>'Financial Statement'!I37/'Financial Statement'!I100</f>
        <v>0.95725529794652153</v>
      </c>
      <c r="J23" s="202"/>
      <c r="K23" s="221">
        <f t="shared" si="1"/>
        <v>0.4169847328244275</v>
      </c>
    </row>
    <row r="24" spans="2:11">
      <c r="B24" s="202" t="s">
        <v>262</v>
      </c>
      <c r="C24" s="205">
        <f>('Financial Statement'!C19+'Financial Statement'!C22-'Financial Statement'!C25)/('Financial Statement'!C135-'Financial Statement'!C136)</f>
        <v>25.166666666666668</v>
      </c>
      <c r="D24" s="205">
        <f>('Financial Statement'!D19+'Financial Statement'!D22-'Financial Statement'!D25)/('Financial Statement'!D135-'Financial Statement'!D136)</f>
        <v>12.129032258064516</v>
      </c>
      <c r="E24" s="205">
        <f>('Financial Statement'!E19+'Financial Statement'!E22-'Financial Statement'!E25)/('Financial Statement'!E135-'Financial Statement'!E136)</f>
        <v>11.476190476190476</v>
      </c>
      <c r="F24" s="205">
        <f>('Financial Statement'!F19+'Financial Statement'!F22-'Financial Statement'!F25)/('Financial Statement'!F135-'Financial Statement'!F136)</f>
        <v>2.180327868852459</v>
      </c>
      <c r="G24" s="205">
        <f>('Financial Statement'!G19+'Financial Statement'!G22-'Financial Statement'!G25)/('Financial Statement'!G135-'Financial Statement'!G136)</f>
        <v>3.7039635529761812</v>
      </c>
      <c r="H24" s="205">
        <f>('Financial Statement'!H19+'Financial Statement'!H22-'Financial Statement'!H25)/('Financial Statement'!H135-'Financial Statement'!H136)</f>
        <v>1.9574931052849773</v>
      </c>
      <c r="I24" s="205">
        <f>('Financial Statement'!I19+'Financial Statement'!I22-'Financial Statement'!I25)/('Financial Statement'!I135-'Financial Statement'!I136)</f>
        <v>14.60180581178404</v>
      </c>
      <c r="J24" s="202"/>
      <c r="K24" s="205">
        <f t="shared" si="1"/>
        <v>11.476190476190476</v>
      </c>
    </row>
    <row r="26" spans="2:11">
      <c r="B26" s="202" t="s">
        <v>263</v>
      </c>
      <c r="C26" s="205">
        <f>'Financial Statement'!C7/'Financial Statement'!C58</f>
        <v>8.2173913043478262</v>
      </c>
      <c r="D26" s="205">
        <f>'Financial Statement'!D7/AVERAGE('Financial Statement'!C58:D58)</f>
        <v>9.4312096029547554</v>
      </c>
      <c r="E26" s="205">
        <f>'Financial Statement'!E7/AVERAGE('Financial Statement'!D58:E58)</f>
        <v>8.8766756032171585</v>
      </c>
      <c r="F26" s="205">
        <f>'Financial Statement'!F7/AVERAGE('Financial Statement'!E58:F58)</f>
        <v>8.2502453385672236</v>
      </c>
      <c r="G26" s="205">
        <f>'Financial Statement'!G7/AVERAGE('Financial Statement'!F58:G58)</f>
        <v>8.5584273183575572</v>
      </c>
      <c r="H26" s="205">
        <f>'Financial Statement'!H7/AVERAGE('Financial Statement'!G58:H58)</f>
        <v>8.8159151682573729</v>
      </c>
      <c r="I26" s="205">
        <f>'Financial Statement'!I7/AVERAGE('Financial Statement'!H58:I58)</f>
        <v>8.8159151682573729</v>
      </c>
      <c r="J26" s="202"/>
      <c r="K26" s="205">
        <f t="shared" si="1"/>
        <v>8.8159151682573729</v>
      </c>
    </row>
    <row r="27" spans="2:11">
      <c r="B27" s="202" t="s">
        <v>264</v>
      </c>
      <c r="C27" s="205">
        <f>'Financial Statement'!C10/'Financial Statement'!C76</f>
        <v>0.64114114114114118</v>
      </c>
      <c r="D27" s="205">
        <f>'Financial Statement'!D10/(AVERAGE('Financial Statement'!C76:D76))</f>
        <v>0.71028037383177567</v>
      </c>
      <c r="E27" s="205">
        <f>'Financial Statement'!E10/(AVERAGE('Financial Statement'!D76:E76))</f>
        <v>0.79373368146214096</v>
      </c>
      <c r="F27" s="205">
        <f>'Financial Statement'!F10/(AVERAGE('Financial Statement'!E76:F76))</f>
        <v>0.76978131212723655</v>
      </c>
      <c r="G27" s="205">
        <f>'Financial Statement'!G10/(AVERAGE('Financial Statement'!F76:G76))</f>
        <v>0.73851276891126183</v>
      </c>
      <c r="H27" s="205">
        <f>'Financial Statement'!H10/(AVERAGE('Financial Statement'!G76:H76))</f>
        <v>0.74985098474421052</v>
      </c>
      <c r="I27" s="205">
        <f>'Financial Statement'!I10/(AVERAGE('Financial Statement'!H76:I76))</f>
        <v>0.7577456776552558</v>
      </c>
      <c r="J27" s="202"/>
      <c r="K27" s="205">
        <f t="shared" si="1"/>
        <v>0.74985098474421052</v>
      </c>
    </row>
    <row r="28" spans="2:11">
      <c r="B28" s="202" t="s">
        <v>265</v>
      </c>
      <c r="C28" s="205">
        <f>'Financial Statement'!C10/'Financial Statement'!C60</f>
        <v>15.814814814814815</v>
      </c>
      <c r="D28" s="205">
        <f>'Financial Statement'!D10/(AVERAGE('Financial Statement'!C60:D60))</f>
        <v>17.161290322580644</v>
      </c>
      <c r="E28" s="205">
        <f>'Financial Statement'!E10/(AVERAGE('Financial Statement'!D60:E60))</f>
        <v>18.313253012048193</v>
      </c>
      <c r="F28" s="205">
        <f>'Financial Statement'!F10/(AVERAGE('Financial Statement'!E60:F60))</f>
        <v>19.555555555555557</v>
      </c>
      <c r="G28" s="205">
        <f>'Financial Statement'!G10/(AVERAGE('Financial Statement'!F60:G60))</f>
        <v>19.2317297256328</v>
      </c>
      <c r="H28" s="205">
        <f>'Financial Statement'!H10/(AVERAGE('Financial Statement'!G60:H60))</f>
        <v>18.368673137480798</v>
      </c>
      <c r="I28" s="205">
        <f>'Financial Statement'!I10/(AVERAGE('Financial Statement'!H60:I60))</f>
        <v>18.368673137480794</v>
      </c>
      <c r="J28" s="202"/>
      <c r="K28" s="205">
        <f t="shared" si="1"/>
        <v>18.368673137480794</v>
      </c>
    </row>
    <row r="29" spans="2:11">
      <c r="B29" s="202" t="s">
        <v>266</v>
      </c>
      <c r="C29" s="205">
        <f>'Financial Statement'!C64/'Financial Statement'!C7</f>
        <v>2.1667926429831192E-2</v>
      </c>
      <c r="D29" s="205">
        <f>'Financial Statement'!D64/'Financial Statement'!D7</f>
        <v>1.8210299588799685E-2</v>
      </c>
      <c r="E29" s="205">
        <f>'Financial Statement'!E64/'Financial Statement'!E7</f>
        <v>1.9329507701600725E-2</v>
      </c>
      <c r="F29" s="205">
        <f>'Financial Statement'!F64/'Financial Statement'!F7</f>
        <v>1.689068633281789E-2</v>
      </c>
      <c r="G29" s="205">
        <f>'Financial Statement'!G64/'Financial Statement'!G7</f>
        <v>1.676361540445909E-2</v>
      </c>
      <c r="H29" s="205">
        <f>'Financial Statement'!H64/'Financial Statement'!H7</f>
        <v>1.6081410493730883E-2</v>
      </c>
      <c r="I29" s="205">
        <f>'Financial Statement'!I64/'Financial Statement'!I7</f>
        <v>1.6032397050504115E-2</v>
      </c>
      <c r="J29" s="202"/>
      <c r="K29" s="205">
        <f t="shared" si="1"/>
        <v>1.689068633281789E-2</v>
      </c>
    </row>
    <row r="30" spans="2:11">
      <c r="B30" s="202" t="s">
        <v>267</v>
      </c>
      <c r="C30" s="205">
        <f>'Financial Statement'!C7/'Financial Statement'!C100</f>
        <v>3.7872137404580153</v>
      </c>
      <c r="D30" s="205">
        <f>'Financial Statement'!D7/'Financial Statement'!D100</f>
        <v>3.3598684210526315</v>
      </c>
      <c r="E30" s="205">
        <f>'Financial Statement'!E7/'Financial Statement'!E100</f>
        <v>3.4257630625969995</v>
      </c>
      <c r="F30" s="205">
        <f>'Financial Statement'!F7/'Financial Statement'!F100</f>
        <v>4.2870984191738906</v>
      </c>
      <c r="G30" s="205">
        <f>'Financial Statement'!G7/'Financial Statement'!G100</f>
        <v>39.019146316672035</v>
      </c>
      <c r="H30" s="205">
        <f>'Financial Statement'!H7/'Financial Statement'!H100</f>
        <v>65.621350783421022</v>
      </c>
      <c r="I30" s="205">
        <f>'Financial Statement'!I7/'Financial Statement'!I100</f>
        <v>11.894683327970016</v>
      </c>
      <c r="J30" s="202"/>
      <c r="K30" s="205">
        <f t="shared" si="1"/>
        <v>4.2870984191738906</v>
      </c>
    </row>
    <row r="32" spans="2:11">
      <c r="B32" s="202" t="s">
        <v>268</v>
      </c>
      <c r="C32" s="203">
        <f>('Financial Statement'!C58/'Financial Statement'!C7)*365</f>
        <v>44.417989417989418</v>
      </c>
      <c r="D32" s="203">
        <f>('Financial Statement'!D58/'Financial Statement'!D7)*365</f>
        <v>42.882318386528297</v>
      </c>
      <c r="E32" s="203">
        <f>('Financial Statement'!E58/'Financial Statement'!E7)*365</f>
        <v>49.166414980368472</v>
      </c>
      <c r="F32" s="203">
        <f>('Financial Statement'!F58/'Financial Statement'!F7)*365</f>
        <v>49.754966099678839</v>
      </c>
      <c r="G32" s="203">
        <f>('Financial Statement'!G58/'Financial Statement'!G7)*365</f>
        <v>46.555422221141257</v>
      </c>
      <c r="H32" s="203">
        <f>('Financial Statement'!H58/'Financial Statement'!H7)*365</f>
        <v>46.555422221141257</v>
      </c>
      <c r="I32" s="203">
        <f>('Financial Statement'!I58/'Financial Statement'!I7)*365</f>
        <v>46.555422221141257</v>
      </c>
      <c r="J32" s="202"/>
      <c r="K32" s="205">
        <f t="shared" si="1"/>
        <v>46.555422221141257</v>
      </c>
    </row>
    <row r="33" spans="2:11">
      <c r="B33" s="202" t="s">
        <v>269</v>
      </c>
      <c r="C33" s="203">
        <f>('Financial Statement'!C60/'Financial Statement'!C10)*365</f>
        <v>23.079625292740047</v>
      </c>
      <c r="D33" s="203">
        <f>('Financial Statement'!D60/'Financial Statement'!D10)*365</f>
        <v>24.013157894736842</v>
      </c>
      <c r="E33" s="203">
        <f>('Financial Statement'!E60/'Financial Statement'!E10)*365</f>
        <v>23.05263157894737</v>
      </c>
      <c r="F33" s="203">
        <f>('Financial Statement'!F60/'Financial Statement'!F10)*365</f>
        <v>19.230371900826444</v>
      </c>
      <c r="G33" s="203">
        <f>('Financial Statement'!G60/'Financial Statement'!G10)*365</f>
        <v>22.343946666812673</v>
      </c>
      <c r="H33" s="203">
        <f>('Financial Statement'!H60/'Financial Statement'!H10)*365</f>
        <v>22.343946666812673</v>
      </c>
      <c r="I33" s="203">
        <f>('Financial Statement'!I60/'Financial Statement'!I10)*365</f>
        <v>22.343946666812673</v>
      </c>
      <c r="J33" s="202"/>
      <c r="K33" s="205">
        <f t="shared" si="1"/>
        <v>22.343946666812673</v>
      </c>
    </row>
    <row r="35" spans="2:11">
      <c r="B35" s="202" t="s">
        <v>270</v>
      </c>
      <c r="C35" s="205">
        <f>'Financial Statement'!C121/'Financial Statement'!C7</f>
        <v>0.29856386999244144</v>
      </c>
      <c r="D35" s="205">
        <f>'Financial Statement'!D121/'Financial Statement'!D7</f>
        <v>0.23223027217544548</v>
      </c>
      <c r="E35" s="205">
        <f>'Financial Statement'!E121/'Financial Statement'!E7</f>
        <v>0.15493808517064331</v>
      </c>
      <c r="F35" s="205">
        <f>'Financial Statement'!F121/'Financial Statement'!F7</f>
        <v>0.15736885928393005</v>
      </c>
      <c r="G35" s="205">
        <f>'Financial Statement'!G121/'Financial Statement'!G7</f>
        <v>0.24222757993664618</v>
      </c>
      <c r="H35" s="205">
        <f>'Financial Statement'!H121/'Financial Statement'!H7</f>
        <v>0.27612030974310192</v>
      </c>
      <c r="I35" s="205">
        <f>'Financial Statement'!I121/'Financial Statement'!I7</f>
        <v>0.1992930955097777</v>
      </c>
      <c r="J35" s="202"/>
      <c r="K35" s="205">
        <f t="shared" si="1"/>
        <v>0.23223027217544548</v>
      </c>
    </row>
    <row r="36" spans="2:11">
      <c r="B36" s="202" t="s">
        <v>271</v>
      </c>
      <c r="C36" s="205">
        <f>'Financial Statement'!C121/'Financial Statement'!C71</f>
        <v>0.27091906721536352</v>
      </c>
      <c r="D36" s="205">
        <f>'Financial Statement'!D121/'Financial Statement'!D71</f>
        <v>0.20572419774501302</v>
      </c>
      <c r="E36" s="205">
        <f>'Financial Statement'!E121/'Financial Statement'!E71</f>
        <v>0.13031881112663535</v>
      </c>
      <c r="F36" s="205">
        <f>'Financial Statement'!F121/'Financial Statement'!F71</f>
        <v>0.12138728323699421</v>
      </c>
      <c r="G36" s="205">
        <f>'Financial Statement'!G121/'Financial Statement'!G71</f>
        <v>0.23352129625062421</v>
      </c>
      <c r="H36" s="205">
        <f>'Financial Statement'!H121/'Financial Statement'!H71</f>
        <v>0.32589089897409174</v>
      </c>
      <c r="I36" s="205">
        <f>'Financial Statement'!I121/'Financial Statement'!I71</f>
        <v>0.28477851762020651</v>
      </c>
      <c r="J36" s="202"/>
      <c r="K36" s="205">
        <f t="shared" si="1"/>
        <v>0.23352129625062421</v>
      </c>
    </row>
    <row r="37" spans="2:11">
      <c r="B37" s="202" t="s">
        <v>272</v>
      </c>
      <c r="C37" s="205">
        <f>'Financial Statement'!C121/('Financial Statement'!C73+'Financial Statement'!C74+'Financial Statement'!C85+'Financial Statement'!C86)</f>
        <v>1.557161629434954</v>
      </c>
      <c r="D37" s="205">
        <f>'Financial Statement'!D121/('Financial Statement'!D73+'Financial Statement'!D74+'Financial Statement'!D85+'Financial Statement'!D86)</f>
        <v>1.0608228980322003</v>
      </c>
      <c r="E37" s="205">
        <f>'Financial Statement'!E121/('Financial Statement'!E73+'Financial Statement'!E74+'Financial Statement'!E85+'Financial Statement'!E86)</f>
        <v>0.51975683890577506</v>
      </c>
      <c r="F37" s="205">
        <f>'Financial Statement'!F121/('Financial Statement'!F73+'Financial Statement'!F74+'Financial Statement'!F85+'Financial Statement'!F86)</f>
        <v>0.39682063587282546</v>
      </c>
      <c r="G37" s="205">
        <f>'Financial Statement'!G121/('Financial Statement'!G73+'Financial Statement'!G74+'Financial Statement'!G85+'Financial Statement'!G86)</f>
        <v>0.78445652729284843</v>
      </c>
      <c r="H37" s="205">
        <f>'Financial Statement'!H121/('Financial Statement'!H73+'Financial Statement'!H74+'Financial Statement'!H85+'Financial Statement'!H86)</f>
        <v>1.1484536743850389</v>
      </c>
      <c r="I37" s="205">
        <f>'Financial Statement'!I121/('Financial Statement'!I73+'Financial Statement'!I74+'Financial Statement'!I85+'Financial Statement'!I86)</f>
        <v>1.0645773489568657</v>
      </c>
      <c r="J37" s="202"/>
      <c r="K37" s="205">
        <f t="shared" si="1"/>
        <v>1.0608228980322003</v>
      </c>
    </row>
    <row r="38" spans="2:11">
      <c r="B38" s="219"/>
      <c r="C38" s="219"/>
      <c r="D38" s="219"/>
      <c r="E38" s="219"/>
      <c r="F38" s="219"/>
      <c r="G38" s="219"/>
      <c r="H38" s="219"/>
      <c r="I38" s="219"/>
      <c r="J38" s="219"/>
      <c r="K38" s="219"/>
    </row>
  </sheetData>
  <mergeCells count="1">
    <mergeCell ref="B2:I2"/>
  </mergeCells>
  <pageMargins left="0.7" right="0.7" top="0.75" bottom="0.75" header="0.3" footer="0.3"/>
  <ignoredErrors>
    <ignoredError sqref="D26:I26 D27:I27 D28:I28" formulaRange="1"/>
  </ignoredErrors>
  <extLst>
    <ext xmlns:x14="http://schemas.microsoft.com/office/spreadsheetml/2009/9/main" uri="{05C60535-1F16-4fd2-B633-F4F36F0B64E0}">
      <x14:sparklineGroups xmlns:xm="http://schemas.microsoft.com/office/excel/2006/main">
        <x14:sparklineGroup displayEmptyCellsAs="gap" markers="1" high="1" low="1" first="1" last="1" negative="1" xr2:uid="{E358C867-A48C-42AC-8E7A-89A9D90094B9}">
          <x14:colorSeries rgb="FF000000"/>
          <x14:colorNegative rgb="FF0070C0"/>
          <x14:colorAxis rgb="FF000000"/>
          <x14:colorMarkers rgb="FF0070C0"/>
          <x14:colorFirst rgb="FF0070C0"/>
          <x14:colorLast rgb="FF0070C0"/>
          <x14:colorHigh rgb="FF0070C0"/>
          <x14:colorLow rgb="FF0070C0"/>
          <x14:sparklines>
            <x14:sparkline>
              <xm:f>'Ratio Analysis'!C5:I5</xm:f>
              <xm:sqref>J5</xm:sqref>
            </x14:sparkline>
            <x14:sparkline>
              <xm:f>'Ratio Analysis'!C6:I6</xm:f>
              <xm:sqref>J6</xm:sqref>
            </x14:sparkline>
            <x14:sparkline>
              <xm:f>'Ratio Analysis'!C7:I7</xm:f>
              <xm:sqref>J7</xm:sqref>
            </x14:sparkline>
            <x14:sparkline>
              <xm:f>'Ratio Analysis'!C8:I8</xm:f>
              <xm:sqref>J8</xm:sqref>
            </x14:sparkline>
            <x14:sparkline>
              <xm:f>'Ratio Analysis'!C9:I9</xm:f>
              <xm:sqref>J9</xm:sqref>
            </x14:sparkline>
            <x14:sparkline>
              <xm:f>'Ratio Analysis'!C11:I11</xm:f>
              <xm:sqref>J11</xm:sqref>
            </x14:sparkline>
            <x14:sparkline>
              <xm:f>'Ratio Analysis'!C12:I12</xm:f>
              <xm:sqref>J12</xm:sqref>
            </x14:sparkline>
            <x14:sparkline>
              <xm:f>'Ratio Analysis'!C13:I13</xm:f>
              <xm:sqref>J13</xm:sqref>
            </x14:sparkline>
            <x14:sparkline>
              <xm:f>'Ratio Analysis'!C14:I14</xm:f>
              <xm:sqref>J14</xm:sqref>
            </x14:sparkline>
            <x14:sparkline>
              <xm:f>'Ratio Analysis'!C15:I15</xm:f>
              <xm:sqref>J15</xm:sqref>
            </x14:sparkline>
            <x14:sparkline>
              <xm:f>'Ratio Analysis'!C16:I16</xm:f>
              <xm:sqref>J16</xm:sqref>
            </x14:sparkline>
            <x14:sparkline>
              <xm:f>'Ratio Analysis'!C17:I17</xm:f>
              <xm:sqref>J17</xm:sqref>
            </x14:sparkline>
            <x14:sparkline>
              <xm:f>'Ratio Analysis'!C18:I18</xm:f>
              <xm:sqref>J18</xm:sqref>
            </x14:sparkline>
            <x14:sparkline>
              <xm:f>'Ratio Analysis'!C19:I19</xm:f>
              <xm:sqref>J19</xm:sqref>
            </x14:sparkline>
            <x14:sparkline>
              <xm:f>'Ratio Analysis'!C20:I20</xm:f>
              <xm:sqref>J20</xm:sqref>
            </x14:sparkline>
            <x14:sparkline>
              <xm:f>'Ratio Analysis'!C21:I21</xm:f>
              <xm:sqref>J21</xm:sqref>
            </x14:sparkline>
            <x14:sparkline>
              <xm:f>'Ratio Analysis'!C22:I22</xm:f>
              <xm:sqref>J22</xm:sqref>
            </x14:sparkline>
            <x14:sparkline>
              <xm:f>'Ratio Analysis'!C23:I23</xm:f>
              <xm:sqref>J23</xm:sqref>
            </x14:sparkline>
            <x14:sparkline>
              <xm:f>'Ratio Analysis'!C24:I24</xm:f>
              <xm:sqref>J24</xm:sqref>
            </x14:sparkline>
            <x14:sparkline>
              <xm:f>'Ratio Analysis'!C25:I25</xm:f>
              <xm:sqref>J25</xm:sqref>
            </x14:sparkline>
            <x14:sparkline>
              <xm:f>'Ratio Analysis'!C26:I26</xm:f>
              <xm:sqref>J26</xm:sqref>
            </x14:sparkline>
            <x14:sparkline>
              <xm:f>'Ratio Analysis'!C27:I27</xm:f>
              <xm:sqref>J27</xm:sqref>
            </x14:sparkline>
            <x14:sparkline>
              <xm:f>'Ratio Analysis'!C28:I28</xm:f>
              <xm:sqref>J28</xm:sqref>
            </x14:sparkline>
            <x14:sparkline>
              <xm:f>'Ratio Analysis'!C29:I29</xm:f>
              <xm:sqref>J29</xm:sqref>
            </x14:sparkline>
            <x14:sparkline>
              <xm:f>'Ratio Analysis'!C30:I30</xm:f>
              <xm:sqref>J30</xm:sqref>
            </x14:sparkline>
            <x14:sparkline>
              <xm:f>'Ratio Analysis'!C31:I31</xm:f>
              <xm:sqref>J31</xm:sqref>
            </x14:sparkline>
            <x14:sparkline>
              <xm:f>'Ratio Analysis'!C32:I32</xm:f>
              <xm:sqref>J32</xm:sqref>
            </x14:sparkline>
            <x14:sparkline>
              <xm:f>'Ratio Analysis'!C33:I33</xm:f>
              <xm:sqref>J33</xm:sqref>
            </x14:sparkline>
            <x14:sparkline>
              <xm:f>'Ratio Analysis'!C34:I34</xm:f>
              <xm:sqref>J34</xm:sqref>
            </x14:sparkline>
            <x14:sparkline>
              <xm:f>'Ratio Analysis'!C35:I35</xm:f>
              <xm:sqref>J35</xm:sqref>
            </x14:sparkline>
            <x14:sparkline>
              <xm:f>'Ratio Analysis'!C36:I36</xm:f>
              <xm:sqref>J36</xm:sqref>
            </x14:sparkline>
            <x14:sparkline>
              <xm:f>'Ratio Analysis'!C37:I37</xm:f>
              <xm:sqref>J37</xm:sqref>
            </x14:sparkline>
            <x14:sparkline>
              <xm:f>'Ratio Analysis'!D16:J16</xm:f>
              <xm:sqref>K16</xm:sqref>
            </x14:sparkline>
            <x14:sparkline>
              <xm:f>'Ratio Analysis'!D20:J20</xm:f>
              <xm:sqref>K20</xm:sqref>
            </x14:sparkline>
          </x14:sparklines>
        </x14:sparklineGroup>
      </x14:sparklineGroup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A094F2-DB51-49BC-B640-1EB14F73C2E3}">
  <sheetPr>
    <tabColor rgb="FF7030A0"/>
  </sheetPr>
  <dimension ref="A2:Q69"/>
  <sheetViews>
    <sheetView showGridLines="0" topLeftCell="A9" workbookViewId="0">
      <selection activeCell="J14" sqref="J14"/>
    </sheetView>
  </sheetViews>
  <sheetFormatPr defaultRowHeight="13.8"/>
  <cols>
    <col min="1" max="1" width="4.21875" customWidth="1"/>
    <col min="2" max="2" width="27.88671875" bestFit="1" customWidth="1"/>
    <col min="7" max="9" width="10" bestFit="1" customWidth="1"/>
  </cols>
  <sheetData>
    <row r="2" spans="1:14">
      <c r="A2" s="521" t="s">
        <v>276</v>
      </c>
      <c r="B2" s="521"/>
      <c r="C2" s="521"/>
      <c r="D2" s="521"/>
      <c r="E2" s="521"/>
      <c r="F2" s="521"/>
      <c r="G2" s="521"/>
      <c r="H2" s="521"/>
      <c r="I2" s="521"/>
      <c r="J2" s="521"/>
      <c r="K2" s="521"/>
      <c r="L2" s="521"/>
      <c r="M2" s="521"/>
      <c r="N2" s="521"/>
    </row>
    <row r="3" spans="1:14">
      <c r="A3" s="521"/>
      <c r="B3" s="521"/>
      <c r="C3" s="521"/>
      <c r="D3" s="521"/>
      <c r="E3" s="521"/>
      <c r="F3" s="521"/>
      <c r="G3" s="521"/>
      <c r="H3" s="521"/>
      <c r="I3" s="521"/>
      <c r="J3" s="521"/>
      <c r="K3" s="521"/>
      <c r="L3" s="521"/>
      <c r="M3" s="521"/>
      <c r="N3" s="521"/>
    </row>
    <row r="6" spans="1:14">
      <c r="B6" s="201" t="s">
        <v>277</v>
      </c>
      <c r="C6" s="507">
        <v>8.2699999999999996E-2</v>
      </c>
      <c r="D6" s="224">
        <f>B23</f>
        <v>8.2785999999999998E-2</v>
      </c>
    </row>
    <row r="7" spans="1:14">
      <c r="B7" s="201" t="s">
        <v>278</v>
      </c>
      <c r="C7" s="507">
        <v>4.6699999999999998E-2</v>
      </c>
      <c r="D7" s="202"/>
    </row>
    <row r="8" spans="1:14">
      <c r="B8" s="201" t="s">
        <v>279</v>
      </c>
      <c r="C8" s="223">
        <v>3.7999999999999999E-2</v>
      </c>
      <c r="D8" s="202"/>
    </row>
    <row r="9" spans="1:14">
      <c r="B9" s="201" t="s">
        <v>280</v>
      </c>
      <c r="C9" s="202">
        <v>0.98</v>
      </c>
      <c r="D9" s="202"/>
    </row>
    <row r="10" spans="1:14">
      <c r="B10" s="201" t="s">
        <v>281</v>
      </c>
      <c r="C10" s="223">
        <v>4.5699999999999998E-2</v>
      </c>
      <c r="D10" s="202"/>
    </row>
    <row r="11" spans="1:14">
      <c r="B11" s="201" t="s">
        <v>282</v>
      </c>
      <c r="C11" s="223">
        <v>5.16E-2</v>
      </c>
      <c r="D11" s="202"/>
    </row>
    <row r="12" spans="1:14">
      <c r="B12" s="201" t="s">
        <v>283</v>
      </c>
      <c r="C12" s="225">
        <v>0.95</v>
      </c>
      <c r="D12" s="202"/>
    </row>
    <row r="14" spans="1:14" ht="14.4" thickBot="1"/>
    <row r="15" spans="1:14">
      <c r="B15" s="174" t="s">
        <v>284</v>
      </c>
      <c r="C15" s="175"/>
      <c r="D15" s="175"/>
      <c r="E15" s="175"/>
      <c r="F15" s="175"/>
      <c r="G15" s="176"/>
    </row>
    <row r="16" spans="1:14">
      <c r="B16" s="177" t="s">
        <v>285</v>
      </c>
      <c r="G16" s="54"/>
    </row>
    <row r="17" spans="2:11" ht="14.4" thickBot="1">
      <c r="B17" s="178">
        <f>(C6*C12)+(C7*C11)</f>
        <v>8.097472E-2</v>
      </c>
      <c r="C17" s="179"/>
      <c r="D17" s="179"/>
      <c r="E17" s="179"/>
      <c r="F17" s="179"/>
      <c r="G17" s="57"/>
    </row>
    <row r="18" spans="2:11" ht="14.4" thickBot="1"/>
    <row r="19" spans="2:11">
      <c r="B19" s="180" t="s">
        <v>286</v>
      </c>
    </row>
    <row r="20" spans="2:11">
      <c r="B20" s="181" t="s">
        <v>289</v>
      </c>
    </row>
    <row r="21" spans="2:11">
      <c r="B21" s="181" t="s">
        <v>287</v>
      </c>
    </row>
    <row r="22" spans="2:11">
      <c r="B22" s="182" t="s">
        <v>288</v>
      </c>
    </row>
    <row r="23" spans="2:11">
      <c r="B23" s="184">
        <f>C8+(C9*C10)</f>
        <v>8.2785999999999998E-2</v>
      </c>
      <c r="J23" s="200" t="s">
        <v>300</v>
      </c>
      <c r="K23" s="200"/>
    </row>
    <row r="24" spans="2:11">
      <c r="B24" s="186"/>
      <c r="C24" s="187"/>
      <c r="D24" s="187"/>
      <c r="E24" s="187"/>
      <c r="F24" s="187"/>
      <c r="G24" s="187"/>
      <c r="H24" s="187"/>
      <c r="I24" s="187"/>
      <c r="J24" s="522" t="s">
        <v>313</v>
      </c>
      <c r="K24" s="523"/>
    </row>
    <row r="25" spans="2:11" ht="14.4">
      <c r="B25" s="188" t="s">
        <v>291</v>
      </c>
      <c r="J25" s="524"/>
      <c r="K25" s="525"/>
    </row>
    <row r="26" spans="2:11">
      <c r="B26" s="189" t="s">
        <v>1</v>
      </c>
      <c r="C26">
        <v>1</v>
      </c>
      <c r="D26">
        <v>2</v>
      </c>
      <c r="E26">
        <v>3</v>
      </c>
      <c r="F26">
        <v>4</v>
      </c>
      <c r="G26" s="190">
        <v>1</v>
      </c>
      <c r="H26" s="190">
        <v>2</v>
      </c>
      <c r="I26" s="190">
        <v>3</v>
      </c>
      <c r="J26" s="191">
        <v>4</v>
      </c>
      <c r="K26" s="192">
        <v>5</v>
      </c>
    </row>
    <row r="27" spans="2:11">
      <c r="B27" s="189"/>
      <c r="C27">
        <v>2020</v>
      </c>
      <c r="D27">
        <v>2021</v>
      </c>
      <c r="E27">
        <v>2022</v>
      </c>
      <c r="F27">
        <v>2023</v>
      </c>
      <c r="G27" s="193">
        <v>2024</v>
      </c>
      <c r="H27" s="193">
        <v>2025</v>
      </c>
      <c r="I27" s="193">
        <v>2026</v>
      </c>
      <c r="J27" s="193">
        <v>2027</v>
      </c>
      <c r="K27" s="194">
        <v>2028</v>
      </c>
    </row>
    <row r="28" spans="2:11">
      <c r="B28" s="189"/>
      <c r="J28" s="195"/>
      <c r="K28" s="196"/>
    </row>
    <row r="29" spans="2:11">
      <c r="B29" s="201" t="s">
        <v>292</v>
      </c>
      <c r="C29" s="202">
        <f>'Financial Statement'!C37</f>
        <v>437</v>
      </c>
      <c r="D29" s="202">
        <f>'Financial Statement'!D37</f>
        <v>170</v>
      </c>
      <c r="E29" s="202">
        <f>'Financial Statement'!E37</f>
        <v>548</v>
      </c>
      <c r="F29" s="202">
        <f>'Financial Statement'!F37</f>
        <v>62</v>
      </c>
      <c r="G29" s="203">
        <f>'Financial Statement'!G37</f>
        <v>212.71526832573861</v>
      </c>
      <c r="H29" s="203">
        <f>'Financial Statement'!H37</f>
        <v>147.31754631740478</v>
      </c>
      <c r="I29" s="203">
        <f>'Financial Statement'!I37</f>
        <v>1433.2615768833464</v>
      </c>
      <c r="J29" s="226"/>
      <c r="K29" s="226"/>
    </row>
    <row r="30" spans="2:11">
      <c r="B30" s="201" t="s">
        <v>293</v>
      </c>
      <c r="C30" s="202">
        <f>'Financial Statement'!C22</f>
        <v>-133</v>
      </c>
      <c r="D30" s="202">
        <f>'Financial Statement'!D22</f>
        <v>-560</v>
      </c>
      <c r="E30" s="202">
        <f>'Financial Statement'!E22</f>
        <v>-311</v>
      </c>
      <c r="F30" s="202">
        <f>'Financial Statement'!F22</f>
        <v>-1059</v>
      </c>
      <c r="G30" s="203">
        <f>'Financial Statement'!G22</f>
        <v>-1059</v>
      </c>
      <c r="H30" s="203">
        <f>'Financial Statement'!H22</f>
        <v>-1059</v>
      </c>
      <c r="I30" s="203">
        <f>'Financial Statement'!I22</f>
        <v>-1059</v>
      </c>
      <c r="J30" s="226"/>
      <c r="K30" s="226"/>
    </row>
    <row r="31" spans="2:11">
      <c r="B31" s="201" t="s">
        <v>294</v>
      </c>
      <c r="C31" s="202"/>
      <c r="D31" s="202">
        <f>'Financial Statement'!D160</f>
        <v>-174</v>
      </c>
      <c r="E31" s="202">
        <f>'Financial Statement'!E160</f>
        <v>-677</v>
      </c>
      <c r="F31" s="202">
        <f>'Financial Statement'!F160</f>
        <v>-845</v>
      </c>
      <c r="G31" s="203">
        <f>'Financial Statement'!G160</f>
        <v>345.37453567948796</v>
      </c>
      <c r="H31" s="203">
        <f>'Financial Statement'!H160</f>
        <v>16.806793316450239</v>
      </c>
      <c r="I31" s="203">
        <f>'Financial Statement'!I160</f>
        <v>35.863987501584234</v>
      </c>
      <c r="J31" s="226"/>
      <c r="K31" s="226"/>
    </row>
    <row r="32" spans="2:11">
      <c r="B32" s="201" t="s">
        <v>203</v>
      </c>
      <c r="C32" s="203">
        <f>'Financial Statement'!C131</f>
        <v>-25</v>
      </c>
      <c r="D32" s="203">
        <f>'Financial Statement'!D131</f>
        <v>-29</v>
      </c>
      <c r="E32" s="203">
        <f>'Financial Statement'!E131</f>
        <v>-41</v>
      </c>
      <c r="F32" s="203">
        <f>'Financial Statement'!F131</f>
        <v>-42</v>
      </c>
      <c r="G32" s="203">
        <f>'Financial Statement'!G131</f>
        <v>-62.528210784768369</v>
      </c>
      <c r="H32" s="203">
        <f>'Financial Statement'!H131</f>
        <v>-80.305601728540196</v>
      </c>
      <c r="I32" s="203">
        <f>'Financial Statement'!I131</f>
        <v>-103.13728136538759</v>
      </c>
      <c r="J32" s="226"/>
      <c r="K32" s="226"/>
    </row>
    <row r="33" spans="2:17">
      <c r="B33" s="201" t="s">
        <v>295</v>
      </c>
      <c r="C33" s="203">
        <f>'Financial Statement'!C162</f>
        <v>3</v>
      </c>
      <c r="D33" s="203">
        <f>'Financial Statement'!D162</f>
        <v>355</v>
      </c>
      <c r="E33" s="203">
        <f>'Financial Statement'!E162</f>
        <v>1163</v>
      </c>
      <c r="F33" s="203">
        <f>'Financial Statement'!F162</f>
        <v>2050</v>
      </c>
      <c r="G33" s="203">
        <f>'Financial Statement'!G162</f>
        <v>2050</v>
      </c>
      <c r="H33" s="203">
        <f>'Financial Statement'!H162</f>
        <v>2050</v>
      </c>
      <c r="I33" s="203">
        <f>'Financial Statement'!I162</f>
        <v>2050</v>
      </c>
      <c r="J33" s="226"/>
      <c r="K33" s="226"/>
      <c r="Q33" s="189"/>
    </row>
    <row r="34" spans="2:17">
      <c r="B34" s="202"/>
      <c r="C34" s="202"/>
      <c r="D34" s="202"/>
      <c r="E34" s="202"/>
      <c r="F34" s="202"/>
      <c r="G34" s="202"/>
      <c r="H34" s="202"/>
      <c r="I34" s="202"/>
      <c r="J34" s="226"/>
      <c r="K34" s="226"/>
    </row>
    <row r="35" spans="2:17">
      <c r="B35" s="227" t="s">
        <v>291</v>
      </c>
      <c r="C35" s="228">
        <f>C29-C30+C31-C32+C33</f>
        <v>598</v>
      </c>
      <c r="D35" s="228">
        <f t="shared" ref="D35:I35" si="0">D29-D30+D31-D32+D33</f>
        <v>940</v>
      </c>
      <c r="E35" s="228">
        <f t="shared" si="0"/>
        <v>1386</v>
      </c>
      <c r="F35" s="228">
        <f t="shared" si="0"/>
        <v>2368</v>
      </c>
      <c r="G35" s="228">
        <f t="shared" si="0"/>
        <v>3729.618014789995</v>
      </c>
      <c r="H35" s="228">
        <f t="shared" si="0"/>
        <v>3353.4299413623953</v>
      </c>
      <c r="I35" s="228">
        <f t="shared" si="0"/>
        <v>4681.2628457503179</v>
      </c>
      <c r="J35" s="229">
        <f>I35*(1+I36)</f>
        <v>6534.8679454145067</v>
      </c>
      <c r="K35" s="229">
        <f>J35*(1+I36)</f>
        <v>9122.4313761346366</v>
      </c>
    </row>
    <row r="36" spans="2:17">
      <c r="B36" s="230" t="s">
        <v>299</v>
      </c>
      <c r="C36" s="202"/>
      <c r="D36" s="221">
        <f>(D35/C35)-1</f>
        <v>0.57190635451505023</v>
      </c>
      <c r="E36" s="221">
        <f t="shared" ref="E36:I36" si="1">(E35/D35)-1</f>
        <v>0.47446808510638294</v>
      </c>
      <c r="F36" s="221">
        <f t="shared" si="1"/>
        <v>0.70851370851370854</v>
      </c>
      <c r="G36" s="221">
        <f t="shared" si="1"/>
        <v>0.57500760759712621</v>
      </c>
      <c r="H36" s="221">
        <f t="shared" si="1"/>
        <v>-0.10086504085292547</v>
      </c>
      <c r="I36" s="221">
        <f t="shared" si="1"/>
        <v>0.39596261964800883</v>
      </c>
      <c r="J36" s="231"/>
      <c r="K36" s="231"/>
    </row>
    <row r="37" spans="2:17">
      <c r="B37" s="201" t="s">
        <v>312</v>
      </c>
      <c r="C37" s="202"/>
      <c r="D37" s="202"/>
      <c r="E37" s="202"/>
      <c r="F37" s="202"/>
      <c r="G37" s="232">
        <f>1/(1+$B$23)^G26</f>
        <v>0.92354352568282183</v>
      </c>
      <c r="H37" s="232">
        <f t="shared" ref="H37:K37" si="2">1/(1+$B$23)^H26</f>
        <v>0.85293264383065714</v>
      </c>
      <c r="I37" s="232">
        <f t="shared" si="2"/>
        <v>0.78772042105333573</v>
      </c>
      <c r="J37" s="232">
        <f t="shared" si="2"/>
        <v>0.7274940949119546</v>
      </c>
      <c r="K37" s="232">
        <f t="shared" si="2"/>
        <v>0.67187246132841993</v>
      </c>
    </row>
    <row r="38" spans="2:17">
      <c r="B38" s="377" t="s">
        <v>314</v>
      </c>
      <c r="C38" s="202"/>
      <c r="D38" s="202"/>
      <c r="E38" s="202"/>
      <c r="F38" s="202"/>
      <c r="G38" s="203">
        <f>SUMPRODUCT(G35:I35,G37:I37)</f>
        <v>9992.2407765322096</v>
      </c>
      <c r="H38" s="202"/>
      <c r="I38" s="202"/>
      <c r="J38" s="202"/>
      <c r="K38" s="202"/>
    </row>
    <row r="39" spans="2:17">
      <c r="B39" s="377" t="s">
        <v>315</v>
      </c>
      <c r="C39" s="202"/>
      <c r="D39" s="202"/>
      <c r="E39" s="202"/>
      <c r="F39" s="202"/>
      <c r="G39" s="203">
        <f>SUMPRODUCT(G35:K35,G37:K37)</f>
        <v>20875.429039833863</v>
      </c>
      <c r="H39" s="202"/>
      <c r="I39" s="202"/>
      <c r="J39" s="202"/>
      <c r="K39" s="202"/>
    </row>
    <row r="40" spans="2:17">
      <c r="B40" s="189"/>
      <c r="K40" s="197"/>
    </row>
    <row r="41" spans="2:17">
      <c r="B41" s="189"/>
      <c r="K41" s="197"/>
    </row>
    <row r="42" spans="2:17">
      <c r="B42" s="198"/>
      <c r="C42" s="185"/>
      <c r="D42" s="185"/>
      <c r="E42" s="185"/>
      <c r="F42" s="185"/>
      <c r="G42" s="185"/>
      <c r="H42" s="185"/>
      <c r="I42" s="185"/>
      <c r="J42" s="185"/>
      <c r="K42" s="199"/>
    </row>
    <row r="44" spans="2:17" ht="14.4">
      <c r="B44" s="183" t="s">
        <v>290</v>
      </c>
    </row>
    <row r="45" spans="2:17">
      <c r="B45" s="202"/>
      <c r="C45" s="202"/>
      <c r="D45" s="202"/>
      <c r="E45" s="202"/>
      <c r="F45" s="235" t="s">
        <v>311</v>
      </c>
      <c r="G45" s="235">
        <v>1</v>
      </c>
      <c r="H45" s="235">
        <v>2</v>
      </c>
      <c r="I45" s="235">
        <v>3</v>
      </c>
    </row>
    <row r="46" spans="2:17">
      <c r="B46" s="202"/>
      <c r="C46" s="202">
        <v>2020</v>
      </c>
      <c r="D46" s="202">
        <v>2021</v>
      </c>
      <c r="E46" s="202">
        <v>2022</v>
      </c>
      <c r="F46" s="202">
        <v>2023</v>
      </c>
      <c r="G46" s="236">
        <v>2024</v>
      </c>
      <c r="H46" s="236">
        <v>2025</v>
      </c>
      <c r="I46" s="236">
        <v>2026</v>
      </c>
    </row>
    <row r="47" spans="2:17">
      <c r="B47" s="202"/>
      <c r="C47" s="202"/>
      <c r="D47" s="202"/>
      <c r="E47" s="202"/>
      <c r="F47" s="202"/>
      <c r="G47" s="202"/>
      <c r="H47" s="202"/>
      <c r="I47" s="202"/>
    </row>
    <row r="48" spans="2:17">
      <c r="B48" s="201" t="s">
        <v>301</v>
      </c>
      <c r="C48" s="203">
        <f>'Financial Statement'!C19*(1-'Financial Statement'!C35)</f>
        <v>900.76986754966879</v>
      </c>
      <c r="D48" s="203">
        <f>'Financial Statement'!D19*(1-'Financial Statement'!D35)</f>
        <v>712.10106382978722</v>
      </c>
      <c r="E48" s="203">
        <f>'Financial Statement'!E19*(1-'Financial Statement'!E35)</f>
        <v>1404.4868603042876</v>
      </c>
      <c r="F48" s="203">
        <f>'Financial Statement'!F19*(1-'Financial Statement'!F35)</f>
        <v>546.81203007518809</v>
      </c>
      <c r="G48" s="203">
        <f>'Financial Statement'!G19*(1-'Financial Statement'!G35)</f>
        <v>1726.7093691550083</v>
      </c>
      <c r="H48" s="203">
        <f>'Financial Statement'!H19*(1-'Financial Statement'!H35)</f>
        <v>2217.629981091337</v>
      </c>
      <c r="I48" s="203">
        <f>'Financial Statement'!I19*(1-'Financial Statement'!I35)</f>
        <v>2848.1241955858518</v>
      </c>
    </row>
    <row r="49" spans="2:9">
      <c r="B49" s="201" t="s">
        <v>302</v>
      </c>
      <c r="C49" s="203">
        <f>'Financial Statement'!C25*'Financial Statement'!C35</f>
        <v>140.45695364238412</v>
      </c>
      <c r="D49" s="203">
        <f>'Financial Statement'!D25*'Financial Statement'!D35</f>
        <v>350.09042553191489</v>
      </c>
      <c r="E49" s="203">
        <f>'Financial Statement'!E25*'Financial Statement'!E35</f>
        <v>198.23651452282158</v>
      </c>
      <c r="F49" s="203">
        <f>'Financial Statement'!F25*'Financial Statement'!F35</f>
        <v>783.02255639097746</v>
      </c>
      <c r="G49" s="203">
        <f>'Financial Statement'!G25*'Financial Statement'!G35</f>
        <v>795.69015729434079</v>
      </c>
      <c r="H49" s="203">
        <f>'Financial Statement'!H25*'Financial Statement'!H35</f>
        <v>1266.4179233082798</v>
      </c>
      <c r="I49" s="203">
        <f>'Financial Statement'!I25*'Financial Statement'!I35</f>
        <v>711.81023050439603</v>
      </c>
    </row>
    <row r="50" spans="2:9">
      <c r="B50" s="201" t="s">
        <v>303</v>
      </c>
      <c r="C50" s="203">
        <f>'Financial Statement'!C159</f>
        <v>-454</v>
      </c>
      <c r="D50" s="203">
        <f>'Financial Statement'!D159</f>
        <v>-628</v>
      </c>
      <c r="E50" s="203">
        <f>'Financial Statement'!E159</f>
        <v>-1305</v>
      </c>
      <c r="F50" s="203">
        <f>'Financial Statement'!F159</f>
        <v>-2150</v>
      </c>
      <c r="G50" s="203">
        <f>'Financial Statement'!G159</f>
        <v>-1804.625464320512</v>
      </c>
      <c r="H50" s="203">
        <f>'Financial Statement'!H159</f>
        <v>-1787.8186710040618</v>
      </c>
      <c r="I50" s="203">
        <f>'Financial Statement'!I159</f>
        <v>-1751.9546835024776</v>
      </c>
    </row>
    <row r="51" spans="2:9">
      <c r="B51" s="201" t="s">
        <v>225</v>
      </c>
      <c r="C51" s="203">
        <f>'Financial Statement'!C131</f>
        <v>-25</v>
      </c>
      <c r="D51" s="203">
        <f>'Financial Statement'!D131</f>
        <v>-29</v>
      </c>
      <c r="E51" s="203">
        <f>'Financial Statement'!E131</f>
        <v>-41</v>
      </c>
      <c r="F51" s="203">
        <f>'Financial Statement'!F131</f>
        <v>-42</v>
      </c>
      <c r="G51" s="203">
        <f>'Financial Statement'!G131</f>
        <v>-62.528210784768369</v>
      </c>
      <c r="H51" s="203">
        <f>'Financial Statement'!H131</f>
        <v>-80.305601728540196</v>
      </c>
      <c r="I51" s="203">
        <f>'Financial Statement'!I131</f>
        <v>-103.13728136538759</v>
      </c>
    </row>
    <row r="52" spans="2:9">
      <c r="B52" s="201"/>
      <c r="C52" s="202"/>
      <c r="D52" s="202"/>
      <c r="E52" s="202"/>
      <c r="F52" s="202"/>
      <c r="G52" s="202"/>
      <c r="H52" s="202"/>
      <c r="I52" s="202"/>
    </row>
    <row r="53" spans="2:9">
      <c r="B53" s="230" t="s">
        <v>290</v>
      </c>
      <c r="C53" s="233">
        <f>C48+C49-C50-C51</f>
        <v>1520.226821192053</v>
      </c>
      <c r="D53" s="233">
        <f t="shared" ref="D53:I53" si="3">D48+D49-D50-D51</f>
        <v>1719.1914893617022</v>
      </c>
      <c r="E53" s="233">
        <f t="shared" si="3"/>
        <v>2948.7233748271092</v>
      </c>
      <c r="F53" s="233">
        <f t="shared" si="3"/>
        <v>3521.8345864661655</v>
      </c>
      <c r="G53" s="233">
        <f t="shared" si="3"/>
        <v>4389.5532015546305</v>
      </c>
      <c r="H53" s="233">
        <f t="shared" si="3"/>
        <v>5352.1721771322182</v>
      </c>
      <c r="I53" s="233">
        <f t="shared" si="3"/>
        <v>5415.0263909581136</v>
      </c>
    </row>
    <row r="54" spans="2:9">
      <c r="B54" s="230" t="s">
        <v>304</v>
      </c>
      <c r="C54" s="202"/>
      <c r="D54" s="230"/>
      <c r="E54" s="230"/>
      <c r="F54" s="230"/>
      <c r="G54" s="234">
        <f>1/(1+$B$17)^G45</f>
        <v>0.92509101415433659</v>
      </c>
      <c r="H54" s="234">
        <f t="shared" ref="H54:I54" si="4">1/(1+$B$17)^H45</f>
        <v>0.85579338446909903</v>
      </c>
      <c r="I54" s="234">
        <f t="shared" si="4"/>
        <v>0.79168676994509091</v>
      </c>
    </row>
    <row r="56" spans="2:9">
      <c r="B56" s="201" t="s">
        <v>305</v>
      </c>
      <c r="C56" s="202"/>
      <c r="D56" s="202"/>
      <c r="E56" s="202"/>
      <c r="F56" s="203">
        <f>SUMPRODUCT(G53:I53,G54:I54)</f>
        <v>12928.094517264966</v>
      </c>
      <c r="G56" s="202"/>
      <c r="H56" s="202"/>
      <c r="I56" s="202"/>
    </row>
    <row r="57" spans="2:9">
      <c r="B57" s="204" t="s">
        <v>306</v>
      </c>
      <c r="C57" s="202"/>
      <c r="D57" s="202"/>
      <c r="E57" s="202"/>
      <c r="F57" s="202"/>
      <c r="G57" s="202"/>
      <c r="H57" s="202"/>
      <c r="I57" s="202"/>
    </row>
    <row r="58" spans="2:9">
      <c r="B58" s="204" t="s">
        <v>307</v>
      </c>
      <c r="C58" s="205">
        <v>35.770000000000003</v>
      </c>
      <c r="E58" s="202"/>
      <c r="F58" s="202"/>
      <c r="G58" s="202"/>
      <c r="H58" s="202"/>
      <c r="I58" s="202"/>
    </row>
    <row r="59" spans="2:9">
      <c r="B59" s="204" t="s">
        <v>82</v>
      </c>
      <c r="C59" s="203">
        <f>'Financial Statement'!I19</f>
        <v>5258.0594037462488</v>
      </c>
      <c r="E59" s="202"/>
      <c r="F59" s="202"/>
      <c r="G59" s="202"/>
      <c r="H59" s="202"/>
      <c r="I59" s="202"/>
    </row>
    <row r="60" spans="2:9">
      <c r="B60" s="206" t="s">
        <v>308</v>
      </c>
      <c r="C60" s="202"/>
      <c r="E60" s="202"/>
      <c r="F60" s="202"/>
      <c r="G60" s="202"/>
      <c r="H60" s="202"/>
      <c r="I60" s="203">
        <f>C59*C58</f>
        <v>188080.78487200334</v>
      </c>
    </row>
    <row r="61" spans="2:9">
      <c r="B61" s="204" t="s">
        <v>309</v>
      </c>
      <c r="C61" s="202"/>
      <c r="D61" s="202"/>
      <c r="E61" s="202"/>
      <c r="F61" s="203">
        <f>I60/(1+B17)^I45</f>
        <v>148901.06906405385</v>
      </c>
      <c r="G61" s="202"/>
      <c r="H61" s="202"/>
      <c r="I61" s="202"/>
    </row>
    <row r="63" spans="2:9">
      <c r="B63" s="208" t="s">
        <v>310</v>
      </c>
      <c r="C63" s="187"/>
      <c r="D63" s="187"/>
      <c r="E63" s="187"/>
      <c r="F63" s="209">
        <f>F61+F56</f>
        <v>161829.1635813188</v>
      </c>
    </row>
    <row r="64" spans="2:9">
      <c r="B64" s="207"/>
    </row>
    <row r="65" spans="2:2">
      <c r="B65" s="207"/>
    </row>
    <row r="66" spans="2:2">
      <c r="B66" s="207"/>
    </row>
    <row r="67" spans="2:2">
      <c r="B67" s="207"/>
    </row>
    <row r="68" spans="2:2">
      <c r="B68" s="207"/>
    </row>
    <row r="69" spans="2:2">
      <c r="B69" s="207"/>
    </row>
  </sheetData>
  <mergeCells count="2">
    <mergeCell ref="A2:N3"/>
    <mergeCell ref="J24:K2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1. Modelling</vt:lpstr>
      <vt:lpstr>Analysis</vt:lpstr>
      <vt:lpstr>2. Equity Research</vt:lpstr>
      <vt:lpstr>Financial Statement</vt:lpstr>
      <vt:lpstr>Sheet1</vt:lpstr>
      <vt:lpstr>Assumption</vt:lpstr>
      <vt:lpstr>Dep &amp; Amort</vt:lpstr>
      <vt:lpstr>Ratio Analysis</vt:lpstr>
      <vt:lpstr>DCF</vt:lpstr>
      <vt:lpstr>Forcasting</vt:lpstr>
      <vt:lpstr>Table 1 - Raw Data</vt:lpstr>
      <vt:lpstr>Table 2 - Raw Data</vt:lpstr>
      <vt:lpstr>Table 3 - Raw Data</vt:lpstr>
      <vt:lpstr>Table 4 - Raw Data</vt:lpstr>
      <vt:lpstr>Table 5 - Raw Data</vt:lpstr>
      <vt:lpstr>Table 6 - Raw Data</vt:lpstr>
      <vt:lpstr>Table 1 (2) - Raw Data</vt:lpstr>
      <vt:lpstr>Table 2 (2) - Raw Data</vt:lpstr>
      <vt:lpstr>Table 3 (2) - Raw Data</vt:lpstr>
      <vt:lpstr>Table 4 (2) - Raw Data</vt:lpstr>
      <vt:lpstr>Table 5 (2) - Raw Data</vt:lpstr>
      <vt:lpstr>Table 6 (2) - Raw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Meena Rajamanickam</dc:creator>
  <cp:lastModifiedBy>Mayur Sejpal</cp:lastModifiedBy>
  <dcterms:created xsi:type="dcterms:W3CDTF">2023-06-13T04:29:56Z</dcterms:created>
  <dcterms:modified xsi:type="dcterms:W3CDTF">2024-09-11T22:14:17Z</dcterms:modified>
</cp:coreProperties>
</file>