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8_{4D0D9D95-A85E-4D9E-9B27-33A6DA2B3EDE}" xr6:coauthVersionLast="47" xr6:coauthVersionMax="47" xr10:uidLastSave="{00000000-0000-0000-0000-000000000000}"/>
  <bookViews>
    <workbookView xWindow="-108" yWindow="-108" windowWidth="23256" windowHeight="12456" tabRatio="753" xr2:uid="{44879813-DE1A-4360-9B60-2D0A76FE5F4C}"/>
  </bookViews>
  <sheets>
    <sheet name="Income Statement" sheetId="1" r:id="rId1"/>
    <sheet name="Fixed Asset Schdule" sheetId="4" r:id="rId2"/>
    <sheet name="Debt Schdule" sheetId="2" r:id="rId3"/>
    <sheet name="Working Capital Schdule" sheetId="3" r:id="rId4"/>
    <sheet name="Discount Rate" sheetId="5" r:id="rId5"/>
    <sheet name="DCF" sheetId="6" r:id="rId6"/>
    <sheet name="Comparable Val" sheetId="7" r:id="rId7"/>
    <sheet name="Precendtal Transection " sheetId="9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9" l="1"/>
  <c r="E10" i="9"/>
  <c r="D10" i="9"/>
  <c r="C10" i="9"/>
  <c r="G10" i="9" s="1"/>
  <c r="B10" i="9"/>
  <c r="E9" i="9"/>
  <c r="D9" i="9"/>
  <c r="C9" i="9"/>
  <c r="F9" i="9" s="1"/>
  <c r="B9" i="9"/>
  <c r="E8" i="9"/>
  <c r="D8" i="9"/>
  <c r="C8" i="9"/>
  <c r="G8" i="9" s="1"/>
  <c r="B8" i="9"/>
  <c r="E7" i="9"/>
  <c r="D7" i="9"/>
  <c r="C7" i="9"/>
  <c r="G7" i="9" s="1"/>
  <c r="B7" i="9"/>
  <c r="F6" i="9"/>
  <c r="E6" i="9"/>
  <c r="G6" i="9" s="1"/>
  <c r="D6" i="9"/>
  <c r="C6" i="9"/>
  <c r="B6" i="9"/>
  <c r="E5" i="9"/>
  <c r="D5" i="9"/>
  <c r="C5" i="9"/>
  <c r="G5" i="9" s="1"/>
  <c r="B5" i="9"/>
  <c r="E4" i="9"/>
  <c r="D4" i="9"/>
  <c r="C4" i="9"/>
  <c r="F4" i="9" s="1"/>
  <c r="B4" i="9"/>
  <c r="G3" i="9"/>
  <c r="E3" i="9"/>
  <c r="D3" i="9"/>
  <c r="C3" i="9"/>
  <c r="F3" i="9" s="1"/>
  <c r="B3" i="9"/>
  <c r="O35" i="7"/>
  <c r="O33" i="7"/>
  <c r="O32" i="7"/>
  <c r="F20" i="7"/>
  <c r="I20" i="7" s="1"/>
  <c r="Q19" i="7"/>
  <c r="F19" i="7"/>
  <c r="I19" i="7" s="1"/>
  <c r="F18" i="7"/>
  <c r="I18" i="7" s="1"/>
  <c r="F17" i="7"/>
  <c r="Q17" i="7" s="1"/>
  <c r="Q16" i="7"/>
  <c r="I16" i="7"/>
  <c r="P16" i="7" s="1"/>
  <c r="F16" i="7"/>
  <c r="F15" i="7"/>
  <c r="Q15" i="7" s="1"/>
  <c r="F14" i="7"/>
  <c r="I14" i="7" s="1"/>
  <c r="Q13" i="7"/>
  <c r="F13" i="7"/>
  <c r="I13" i="7" s="1"/>
  <c r="F12" i="7"/>
  <c r="Q12" i="7" s="1"/>
  <c r="F11" i="7"/>
  <c r="Q11" i="7" s="1"/>
  <c r="Q10" i="7"/>
  <c r="F10" i="7"/>
  <c r="I10" i="7" s="1"/>
  <c r="F9" i="7"/>
  <c r="Q9" i="7" s="1"/>
  <c r="F8" i="7"/>
  <c r="Q8" i="7" s="1"/>
  <c r="Q7" i="7"/>
  <c r="I7" i="7"/>
  <c r="P7" i="7" s="1"/>
  <c r="F7" i="7"/>
  <c r="G9" i="9" l="1"/>
  <c r="D18" i="9" s="1"/>
  <c r="F7" i="9"/>
  <c r="C18" i="9" s="1"/>
  <c r="F10" i="9"/>
  <c r="F5" i="9"/>
  <c r="G4" i="9"/>
  <c r="D19" i="9" s="1"/>
  <c r="F8" i="9"/>
  <c r="P18" i="7"/>
  <c r="O18" i="7"/>
  <c r="P19" i="7"/>
  <c r="O19" i="7"/>
  <c r="P20" i="7"/>
  <c r="O20" i="7"/>
  <c r="O13" i="7"/>
  <c r="P13" i="7"/>
  <c r="P14" i="7"/>
  <c r="O14" i="7"/>
  <c r="P10" i="7"/>
  <c r="O10" i="7"/>
  <c r="O7" i="7"/>
  <c r="I17" i="7"/>
  <c r="I11" i="7"/>
  <c r="Q20" i="7"/>
  <c r="Q14" i="7"/>
  <c r="Q24" i="7" s="1"/>
  <c r="I15" i="7"/>
  <c r="I12" i="7"/>
  <c r="I9" i="7"/>
  <c r="Q18" i="7"/>
  <c r="Q27" i="7" s="1"/>
  <c r="I8" i="7"/>
  <c r="O16" i="7"/>
  <c r="C19" i="9" l="1"/>
  <c r="P11" i="7"/>
  <c r="O11" i="7"/>
  <c r="P17" i="7"/>
  <c r="O17" i="7"/>
  <c r="Q26" i="7"/>
  <c r="Q23" i="7"/>
  <c r="Q25" i="7"/>
  <c r="Q34" i="7" s="1"/>
  <c r="Q22" i="7"/>
  <c r="P8" i="7"/>
  <c r="O8" i="7"/>
  <c r="O24" i="7" s="1"/>
  <c r="P9" i="7"/>
  <c r="O9" i="7"/>
  <c r="P12" i="7"/>
  <c r="O12" i="7"/>
  <c r="P15" i="7"/>
  <c r="O15" i="7"/>
  <c r="F10" i="4"/>
  <c r="O8" i="2"/>
  <c r="N8" i="2"/>
  <c r="L8" i="2"/>
  <c r="K8" i="2"/>
  <c r="K7" i="2"/>
  <c r="F8" i="2"/>
  <c r="F37" i="6"/>
  <c r="M8" i="5"/>
  <c r="F35" i="6"/>
  <c r="F34" i="6"/>
  <c r="N4" i="5"/>
  <c r="F32" i="6"/>
  <c r="G6" i="6"/>
  <c r="H6" i="6"/>
  <c r="I6" i="6"/>
  <c r="J6" i="6"/>
  <c r="K6" i="6"/>
  <c r="L6" i="6"/>
  <c r="M6" i="6"/>
  <c r="N6" i="6"/>
  <c r="O6" i="6"/>
  <c r="F6" i="6"/>
  <c r="G5" i="6"/>
  <c r="H5" i="6"/>
  <c r="I5" i="6"/>
  <c r="J5" i="6"/>
  <c r="K5" i="6"/>
  <c r="L5" i="6"/>
  <c r="M5" i="6"/>
  <c r="N5" i="6"/>
  <c r="O5" i="6"/>
  <c r="F5" i="6"/>
  <c r="E3" i="6"/>
  <c r="H4" i="6" s="1"/>
  <c r="E17" i="6"/>
  <c r="E18" i="6" s="1"/>
  <c r="F7" i="6"/>
  <c r="G2" i="6"/>
  <c r="H2" i="6" s="1"/>
  <c r="I2" i="6" s="1"/>
  <c r="J2" i="6" s="1"/>
  <c r="K2" i="6" s="1"/>
  <c r="L2" i="6" s="1"/>
  <c r="M2" i="6" s="1"/>
  <c r="N2" i="6" s="1"/>
  <c r="O2" i="6" s="1"/>
  <c r="G14" i="5"/>
  <c r="T24" i="5"/>
  <c r="R23" i="5"/>
  <c r="G13" i="5"/>
  <c r="M21" i="5"/>
  <c r="M22" i="5"/>
  <c r="G229" i="5"/>
  <c r="D229" i="5"/>
  <c r="G228" i="5"/>
  <c r="D228" i="5"/>
  <c r="G227" i="5"/>
  <c r="D227" i="5"/>
  <c r="G226" i="5"/>
  <c r="D226" i="5"/>
  <c r="G225" i="5"/>
  <c r="D225" i="5"/>
  <c r="G224" i="5"/>
  <c r="D224" i="5"/>
  <c r="G223" i="5"/>
  <c r="D223" i="5"/>
  <c r="G222" i="5"/>
  <c r="D222" i="5"/>
  <c r="G221" i="5"/>
  <c r="D221" i="5"/>
  <c r="G220" i="5"/>
  <c r="D220" i="5"/>
  <c r="G219" i="5"/>
  <c r="D219" i="5"/>
  <c r="G218" i="5"/>
  <c r="D218" i="5"/>
  <c r="G217" i="5"/>
  <c r="D217" i="5"/>
  <c r="G216" i="5"/>
  <c r="D216" i="5"/>
  <c r="G215" i="5"/>
  <c r="D215" i="5"/>
  <c r="G214" i="5"/>
  <c r="D214" i="5"/>
  <c r="G213" i="5"/>
  <c r="D213" i="5"/>
  <c r="G212" i="5"/>
  <c r="D212" i="5"/>
  <c r="G211" i="5"/>
  <c r="D211" i="5"/>
  <c r="G210" i="5"/>
  <c r="D210" i="5"/>
  <c r="G209" i="5"/>
  <c r="D209" i="5"/>
  <c r="G208" i="5"/>
  <c r="D208" i="5"/>
  <c r="G207" i="5"/>
  <c r="D207" i="5"/>
  <c r="G206" i="5"/>
  <c r="D206" i="5"/>
  <c r="G205" i="5"/>
  <c r="D205" i="5"/>
  <c r="G204" i="5"/>
  <c r="D204" i="5"/>
  <c r="G203" i="5"/>
  <c r="D203" i="5"/>
  <c r="G202" i="5"/>
  <c r="D202" i="5"/>
  <c r="G201" i="5"/>
  <c r="D201" i="5"/>
  <c r="G200" i="5"/>
  <c r="D200" i="5"/>
  <c r="G199" i="5"/>
  <c r="D199" i="5"/>
  <c r="G198" i="5"/>
  <c r="D198" i="5"/>
  <c r="G197" i="5"/>
  <c r="D197" i="5"/>
  <c r="G196" i="5"/>
  <c r="D196" i="5"/>
  <c r="G195" i="5"/>
  <c r="D195" i="5"/>
  <c r="G194" i="5"/>
  <c r="D194" i="5"/>
  <c r="G193" i="5"/>
  <c r="D193" i="5"/>
  <c r="G192" i="5"/>
  <c r="D192" i="5"/>
  <c r="G191" i="5"/>
  <c r="D191" i="5"/>
  <c r="G190" i="5"/>
  <c r="D190" i="5"/>
  <c r="G189" i="5"/>
  <c r="D189" i="5"/>
  <c r="G188" i="5"/>
  <c r="D188" i="5"/>
  <c r="G187" i="5"/>
  <c r="D187" i="5"/>
  <c r="G186" i="5"/>
  <c r="D186" i="5"/>
  <c r="G185" i="5"/>
  <c r="D185" i="5"/>
  <c r="G184" i="5"/>
  <c r="D184" i="5"/>
  <c r="G183" i="5"/>
  <c r="D183" i="5"/>
  <c r="G182" i="5"/>
  <c r="D182" i="5"/>
  <c r="G181" i="5"/>
  <c r="D181" i="5"/>
  <c r="G180" i="5"/>
  <c r="D180" i="5"/>
  <c r="G179" i="5"/>
  <c r="D179" i="5"/>
  <c r="G178" i="5"/>
  <c r="D178" i="5"/>
  <c r="G177" i="5"/>
  <c r="D177" i="5"/>
  <c r="G176" i="5"/>
  <c r="D176" i="5"/>
  <c r="G175" i="5"/>
  <c r="D175" i="5"/>
  <c r="G174" i="5"/>
  <c r="D174" i="5"/>
  <c r="G173" i="5"/>
  <c r="D173" i="5"/>
  <c r="G172" i="5"/>
  <c r="D172" i="5"/>
  <c r="G171" i="5"/>
  <c r="D171" i="5"/>
  <c r="G170" i="5"/>
  <c r="D170" i="5"/>
  <c r="G169" i="5"/>
  <c r="D169" i="5"/>
  <c r="G168" i="5"/>
  <c r="D168" i="5"/>
  <c r="G167" i="5"/>
  <c r="D167" i="5"/>
  <c r="G166" i="5"/>
  <c r="D166" i="5"/>
  <c r="G165" i="5"/>
  <c r="D165" i="5"/>
  <c r="G164" i="5"/>
  <c r="D164" i="5"/>
  <c r="G163" i="5"/>
  <c r="D163" i="5"/>
  <c r="G162" i="5"/>
  <c r="D162" i="5"/>
  <c r="G161" i="5"/>
  <c r="D161" i="5"/>
  <c r="G160" i="5"/>
  <c r="D160" i="5"/>
  <c r="G159" i="5"/>
  <c r="D159" i="5"/>
  <c r="G158" i="5"/>
  <c r="D158" i="5"/>
  <c r="G157" i="5"/>
  <c r="D157" i="5"/>
  <c r="G156" i="5"/>
  <c r="D156" i="5"/>
  <c r="G155" i="5"/>
  <c r="D155" i="5"/>
  <c r="G154" i="5"/>
  <c r="D154" i="5"/>
  <c r="G153" i="5"/>
  <c r="D153" i="5"/>
  <c r="G152" i="5"/>
  <c r="D152" i="5"/>
  <c r="G151" i="5"/>
  <c r="D151" i="5"/>
  <c r="G150" i="5"/>
  <c r="D150" i="5"/>
  <c r="G149" i="5"/>
  <c r="D149" i="5"/>
  <c r="G148" i="5"/>
  <c r="D148" i="5"/>
  <c r="G147" i="5"/>
  <c r="D147" i="5"/>
  <c r="G146" i="5"/>
  <c r="D146" i="5"/>
  <c r="G145" i="5"/>
  <c r="D145" i="5"/>
  <c r="G144" i="5"/>
  <c r="D144" i="5"/>
  <c r="G143" i="5"/>
  <c r="D143" i="5"/>
  <c r="G142" i="5"/>
  <c r="D142" i="5"/>
  <c r="G141" i="5"/>
  <c r="D141" i="5"/>
  <c r="G140" i="5"/>
  <c r="D140" i="5"/>
  <c r="G139" i="5"/>
  <c r="D139" i="5"/>
  <c r="G138" i="5"/>
  <c r="D138" i="5"/>
  <c r="G137" i="5"/>
  <c r="D137" i="5"/>
  <c r="G136" i="5"/>
  <c r="D136" i="5"/>
  <c r="G135" i="5"/>
  <c r="D135" i="5"/>
  <c r="G134" i="5"/>
  <c r="D134" i="5"/>
  <c r="G133" i="5"/>
  <c r="D133" i="5"/>
  <c r="G132" i="5"/>
  <c r="D132" i="5"/>
  <c r="G131" i="5"/>
  <c r="D131" i="5"/>
  <c r="G130" i="5"/>
  <c r="D130" i="5"/>
  <c r="G129" i="5"/>
  <c r="D129" i="5"/>
  <c r="G128" i="5"/>
  <c r="D128" i="5"/>
  <c r="G127" i="5"/>
  <c r="D127" i="5"/>
  <c r="G126" i="5"/>
  <c r="D126" i="5"/>
  <c r="G125" i="5"/>
  <c r="D125" i="5"/>
  <c r="G124" i="5"/>
  <c r="D124" i="5"/>
  <c r="G123" i="5"/>
  <c r="D123" i="5"/>
  <c r="G122" i="5"/>
  <c r="D122" i="5"/>
  <c r="G121" i="5"/>
  <c r="D121" i="5"/>
  <c r="G120" i="5"/>
  <c r="D120" i="5"/>
  <c r="G119" i="5"/>
  <c r="D119" i="5"/>
  <c r="G118" i="5"/>
  <c r="D118" i="5"/>
  <c r="G117" i="5"/>
  <c r="D117" i="5"/>
  <c r="G116" i="5"/>
  <c r="D116" i="5"/>
  <c r="G115" i="5"/>
  <c r="D115" i="5"/>
  <c r="G114" i="5"/>
  <c r="D114" i="5"/>
  <c r="G113" i="5"/>
  <c r="D113" i="5"/>
  <c r="G112" i="5"/>
  <c r="D112" i="5"/>
  <c r="G111" i="5"/>
  <c r="D111" i="5"/>
  <c r="G110" i="5"/>
  <c r="D110" i="5"/>
  <c r="G109" i="5"/>
  <c r="D109" i="5"/>
  <c r="G108" i="5"/>
  <c r="D108" i="5"/>
  <c r="G107" i="5"/>
  <c r="D107" i="5"/>
  <c r="G106" i="5"/>
  <c r="D106" i="5"/>
  <c r="G105" i="5"/>
  <c r="D105" i="5"/>
  <c r="G104" i="5"/>
  <c r="D104" i="5"/>
  <c r="G103" i="5"/>
  <c r="D103" i="5"/>
  <c r="G102" i="5"/>
  <c r="D102" i="5"/>
  <c r="G101" i="5"/>
  <c r="D101" i="5"/>
  <c r="G100" i="5"/>
  <c r="D100" i="5"/>
  <c r="G99" i="5"/>
  <c r="D99" i="5"/>
  <c r="G98" i="5"/>
  <c r="D98" i="5"/>
  <c r="G97" i="5"/>
  <c r="D97" i="5"/>
  <c r="G96" i="5"/>
  <c r="D96" i="5"/>
  <c r="G95" i="5"/>
  <c r="D95" i="5"/>
  <c r="G94" i="5"/>
  <c r="D94" i="5"/>
  <c r="G93" i="5"/>
  <c r="D93" i="5"/>
  <c r="G92" i="5"/>
  <c r="D92" i="5"/>
  <c r="G91" i="5"/>
  <c r="D91" i="5"/>
  <c r="G90" i="5"/>
  <c r="D90" i="5"/>
  <c r="G89" i="5"/>
  <c r="D89" i="5"/>
  <c r="G88" i="5"/>
  <c r="D88" i="5"/>
  <c r="G87" i="5"/>
  <c r="D87" i="5"/>
  <c r="G86" i="5"/>
  <c r="D86" i="5"/>
  <c r="G85" i="5"/>
  <c r="D85" i="5"/>
  <c r="G84" i="5"/>
  <c r="D84" i="5"/>
  <c r="G83" i="5"/>
  <c r="D83" i="5"/>
  <c r="G82" i="5"/>
  <c r="D82" i="5"/>
  <c r="G81" i="5"/>
  <c r="D81" i="5"/>
  <c r="G80" i="5"/>
  <c r="D80" i="5"/>
  <c r="G79" i="5"/>
  <c r="D79" i="5"/>
  <c r="G78" i="5"/>
  <c r="D78" i="5"/>
  <c r="G77" i="5"/>
  <c r="D77" i="5"/>
  <c r="G76" i="5"/>
  <c r="D76" i="5"/>
  <c r="G75" i="5"/>
  <c r="D75" i="5"/>
  <c r="G74" i="5"/>
  <c r="D74" i="5"/>
  <c r="G73" i="5"/>
  <c r="D73" i="5"/>
  <c r="G72" i="5"/>
  <c r="D72" i="5"/>
  <c r="G71" i="5"/>
  <c r="D71" i="5"/>
  <c r="G70" i="5"/>
  <c r="D70" i="5"/>
  <c r="G69" i="5"/>
  <c r="D69" i="5"/>
  <c r="G68" i="5"/>
  <c r="D68" i="5"/>
  <c r="G67" i="5"/>
  <c r="D67" i="5"/>
  <c r="G66" i="5"/>
  <c r="D66" i="5"/>
  <c r="G65" i="5"/>
  <c r="D65" i="5"/>
  <c r="G64" i="5"/>
  <c r="D64" i="5"/>
  <c r="G63" i="5"/>
  <c r="D63" i="5"/>
  <c r="G62" i="5"/>
  <c r="D62" i="5"/>
  <c r="G61" i="5"/>
  <c r="D61" i="5"/>
  <c r="G60" i="5"/>
  <c r="D60" i="5"/>
  <c r="G59" i="5"/>
  <c r="D59" i="5"/>
  <c r="G58" i="5"/>
  <c r="D58" i="5"/>
  <c r="G57" i="5"/>
  <c r="D57" i="5"/>
  <c r="G56" i="5"/>
  <c r="D56" i="5"/>
  <c r="G55" i="5"/>
  <c r="D55" i="5"/>
  <c r="G54" i="5"/>
  <c r="D54" i="5"/>
  <c r="G53" i="5"/>
  <c r="D53" i="5"/>
  <c r="G52" i="5"/>
  <c r="D52" i="5"/>
  <c r="G51" i="5"/>
  <c r="D51" i="5"/>
  <c r="G50" i="5"/>
  <c r="D50" i="5"/>
  <c r="G49" i="5"/>
  <c r="D49" i="5"/>
  <c r="G48" i="5"/>
  <c r="D48" i="5"/>
  <c r="G47" i="5"/>
  <c r="D47" i="5"/>
  <c r="G46" i="5"/>
  <c r="D46" i="5"/>
  <c r="G45" i="5"/>
  <c r="D45" i="5"/>
  <c r="G44" i="5"/>
  <c r="D44" i="5"/>
  <c r="G43" i="5"/>
  <c r="D43" i="5"/>
  <c r="G42" i="5"/>
  <c r="D42" i="5"/>
  <c r="G41" i="5"/>
  <c r="D41" i="5"/>
  <c r="G40" i="5"/>
  <c r="D40" i="5"/>
  <c r="G39" i="5"/>
  <c r="D39" i="5"/>
  <c r="G38" i="5"/>
  <c r="D38" i="5"/>
  <c r="G37" i="5"/>
  <c r="D37" i="5"/>
  <c r="G36" i="5"/>
  <c r="D36" i="5"/>
  <c r="G35" i="5"/>
  <c r="D35" i="5"/>
  <c r="G34" i="5"/>
  <c r="D34" i="5"/>
  <c r="G33" i="5"/>
  <c r="D33" i="5"/>
  <c r="G32" i="5"/>
  <c r="D32" i="5"/>
  <c r="G31" i="5"/>
  <c r="D31" i="5"/>
  <c r="G30" i="5"/>
  <c r="D30" i="5"/>
  <c r="G29" i="5"/>
  <c r="D29" i="5"/>
  <c r="G28" i="5"/>
  <c r="D28" i="5"/>
  <c r="G27" i="5"/>
  <c r="D27" i="5"/>
  <c r="G26" i="5"/>
  <c r="D26" i="5"/>
  <c r="G25" i="5"/>
  <c r="D25" i="5"/>
  <c r="G24" i="5"/>
  <c r="D24" i="5"/>
  <c r="G23" i="5"/>
  <c r="D23" i="5"/>
  <c r="G22" i="5"/>
  <c r="D22" i="5"/>
  <c r="G12" i="5"/>
  <c r="G6" i="5"/>
  <c r="G7" i="5"/>
  <c r="G8" i="5" s="1"/>
  <c r="M4" i="5" s="1"/>
  <c r="G19" i="3"/>
  <c r="G20" i="3" s="1"/>
  <c r="G7" i="6" s="1"/>
  <c r="H19" i="3"/>
  <c r="H20" i="3" s="1"/>
  <c r="H7" i="6" s="1"/>
  <c r="I19" i="3"/>
  <c r="I20" i="3" s="1"/>
  <c r="I7" i="6" s="1"/>
  <c r="J19" i="3"/>
  <c r="F19" i="3"/>
  <c r="L15" i="3"/>
  <c r="M15" i="3"/>
  <c r="N15" i="3"/>
  <c r="O15" i="3"/>
  <c r="K15" i="3"/>
  <c r="L13" i="3"/>
  <c r="M13" i="3"/>
  <c r="N13" i="3"/>
  <c r="O13" i="3"/>
  <c r="K13" i="3"/>
  <c r="N28" i="3"/>
  <c r="O28" i="3"/>
  <c r="G29" i="3"/>
  <c r="H29" i="3"/>
  <c r="I29" i="3"/>
  <c r="J29" i="3"/>
  <c r="F29" i="3"/>
  <c r="G28" i="3"/>
  <c r="H28" i="3"/>
  <c r="I28" i="3"/>
  <c r="J28" i="3"/>
  <c r="F28" i="3"/>
  <c r="G27" i="3"/>
  <c r="H27" i="3"/>
  <c r="I27" i="3"/>
  <c r="J27" i="3"/>
  <c r="F27" i="3"/>
  <c r="K27" i="3" s="1"/>
  <c r="K7" i="3" s="1"/>
  <c r="G26" i="3"/>
  <c r="H26" i="3"/>
  <c r="I26" i="3"/>
  <c r="J26" i="3"/>
  <c r="F26" i="3"/>
  <c r="G24" i="3"/>
  <c r="H24" i="3"/>
  <c r="I24" i="3"/>
  <c r="J24" i="3"/>
  <c r="F24" i="3"/>
  <c r="G25" i="3"/>
  <c r="H25" i="3"/>
  <c r="I25" i="3"/>
  <c r="J25" i="3"/>
  <c r="F25" i="3"/>
  <c r="G23" i="3"/>
  <c r="H23" i="3"/>
  <c r="I23" i="3"/>
  <c r="J23" i="3"/>
  <c r="F23" i="3"/>
  <c r="G9" i="3"/>
  <c r="H9" i="3"/>
  <c r="I9" i="3"/>
  <c r="J9" i="3"/>
  <c r="G17" i="3"/>
  <c r="H17" i="3"/>
  <c r="I17" i="3"/>
  <c r="J17" i="3"/>
  <c r="F17" i="3"/>
  <c r="F9" i="3"/>
  <c r="G2" i="3"/>
  <c r="H2" i="3" s="1"/>
  <c r="I2" i="3" s="1"/>
  <c r="J2" i="3" s="1"/>
  <c r="K2" i="3" s="1"/>
  <c r="L2" i="3" s="1"/>
  <c r="M2" i="3" s="1"/>
  <c r="N2" i="3" s="1"/>
  <c r="O2" i="3" s="1"/>
  <c r="L19" i="1"/>
  <c r="L21" i="1" s="1"/>
  <c r="M19" i="1"/>
  <c r="K19" i="1"/>
  <c r="K21" i="1" s="1"/>
  <c r="K22" i="1" s="1"/>
  <c r="K25" i="1" s="1"/>
  <c r="L5" i="2"/>
  <c r="K5" i="2"/>
  <c r="M8" i="2"/>
  <c r="G8" i="2"/>
  <c r="H8" i="2"/>
  <c r="I8" i="2"/>
  <c r="J8" i="2"/>
  <c r="G7" i="2"/>
  <c r="H7" i="2"/>
  <c r="I7" i="2"/>
  <c r="J7" i="2"/>
  <c r="F7" i="2"/>
  <c r="G10" i="2"/>
  <c r="G5" i="2" s="1"/>
  <c r="H10" i="2"/>
  <c r="H5" i="2" s="1"/>
  <c r="I3" i="2" s="1"/>
  <c r="I10" i="2"/>
  <c r="I5" i="2" s="1"/>
  <c r="J3" i="2" s="1"/>
  <c r="J10" i="2"/>
  <c r="J5" i="2" s="1"/>
  <c r="K3" i="2" s="1"/>
  <c r="F5" i="2"/>
  <c r="G3" i="2" s="1"/>
  <c r="L3" i="2"/>
  <c r="L7" i="2" s="1"/>
  <c r="E10" i="2"/>
  <c r="E5" i="2" s="1"/>
  <c r="F3" i="2" s="1"/>
  <c r="F10" i="2"/>
  <c r="G2" i="2"/>
  <c r="H2" i="2" s="1"/>
  <c r="I2" i="2" s="1"/>
  <c r="J2" i="2" s="1"/>
  <c r="K2" i="2" s="1"/>
  <c r="L2" i="2" s="1"/>
  <c r="M2" i="2" s="1"/>
  <c r="N2" i="2" s="1"/>
  <c r="O2" i="2" s="1"/>
  <c r="K17" i="4"/>
  <c r="G16" i="4"/>
  <c r="H16" i="4"/>
  <c r="I16" i="4"/>
  <c r="J16" i="4"/>
  <c r="F16" i="4"/>
  <c r="L21" i="4"/>
  <c r="M21" i="4"/>
  <c r="N21" i="4"/>
  <c r="O21" i="4"/>
  <c r="K21" i="4"/>
  <c r="G17" i="4"/>
  <c r="H17" i="4"/>
  <c r="I17" i="4"/>
  <c r="J17" i="4"/>
  <c r="F17" i="4"/>
  <c r="G15" i="4"/>
  <c r="H15" i="4"/>
  <c r="I15" i="4"/>
  <c r="J15" i="4"/>
  <c r="K15" i="4"/>
  <c r="F15" i="4"/>
  <c r="G13" i="1"/>
  <c r="H13" i="1"/>
  <c r="I13" i="1"/>
  <c r="J13" i="1"/>
  <c r="F13" i="1"/>
  <c r="F7" i="4" s="1"/>
  <c r="G18" i="4"/>
  <c r="G21" i="4" s="1"/>
  <c r="H18" i="4"/>
  <c r="H21" i="4" s="1"/>
  <c r="I18" i="4"/>
  <c r="I21" i="4" s="1"/>
  <c r="J18" i="4"/>
  <c r="F18" i="4"/>
  <c r="F21" i="4"/>
  <c r="K4" i="4"/>
  <c r="K5" i="4" s="1"/>
  <c r="L6" i="4"/>
  <c r="M6" i="4"/>
  <c r="N6" i="4"/>
  <c r="O6" i="4"/>
  <c r="K6" i="4"/>
  <c r="L12" i="4"/>
  <c r="M12" i="4"/>
  <c r="N12" i="4"/>
  <c r="O12" i="4"/>
  <c r="K12" i="4"/>
  <c r="G12" i="4"/>
  <c r="H12" i="4"/>
  <c r="I12" i="4"/>
  <c r="J12" i="4"/>
  <c r="F12" i="4"/>
  <c r="G6" i="4"/>
  <c r="H6" i="4"/>
  <c r="I6" i="4"/>
  <c r="J6" i="4"/>
  <c r="F6" i="4"/>
  <c r="G4" i="4"/>
  <c r="H4" i="4"/>
  <c r="I4" i="4"/>
  <c r="J4" i="4"/>
  <c r="F4" i="4"/>
  <c r="G2" i="4"/>
  <c r="H2" i="4" s="1"/>
  <c r="I2" i="4" s="1"/>
  <c r="J2" i="4" s="1"/>
  <c r="K2" i="4" s="1"/>
  <c r="L2" i="4" s="1"/>
  <c r="M2" i="4" s="1"/>
  <c r="N2" i="4" s="1"/>
  <c r="O2" i="4" s="1"/>
  <c r="M22" i="1"/>
  <c r="G25" i="1"/>
  <c r="H25" i="1"/>
  <c r="I25" i="1"/>
  <c r="J25" i="1"/>
  <c r="F25" i="1"/>
  <c r="L23" i="1"/>
  <c r="M23" i="1"/>
  <c r="N23" i="1"/>
  <c r="O23" i="1"/>
  <c r="K23" i="1"/>
  <c r="G23" i="1"/>
  <c r="H23" i="1"/>
  <c r="I23" i="1"/>
  <c r="J23" i="1"/>
  <c r="F23" i="1"/>
  <c r="M21" i="1"/>
  <c r="M25" i="1" s="1"/>
  <c r="G21" i="1"/>
  <c r="H21" i="1"/>
  <c r="I21" i="1"/>
  <c r="J21" i="1"/>
  <c r="F21" i="1"/>
  <c r="L3" i="1"/>
  <c r="M3" i="1" s="1"/>
  <c r="N3" i="1" s="1"/>
  <c r="O3" i="1" s="1"/>
  <c r="K3" i="1"/>
  <c r="K4" i="1"/>
  <c r="K8" i="1"/>
  <c r="K17" i="1"/>
  <c r="O4" i="1"/>
  <c r="N4" i="1"/>
  <c r="O8" i="1"/>
  <c r="O17" i="1"/>
  <c r="G7" i="4"/>
  <c r="G10" i="4" s="1"/>
  <c r="H7" i="4"/>
  <c r="I7" i="4"/>
  <c r="J7" i="4"/>
  <c r="G10" i="1"/>
  <c r="H10" i="1"/>
  <c r="I10" i="1"/>
  <c r="J10" i="1"/>
  <c r="F10" i="1"/>
  <c r="L17" i="1"/>
  <c r="M17" i="1"/>
  <c r="N17" i="1"/>
  <c r="G17" i="1"/>
  <c r="H17" i="1"/>
  <c r="I17" i="1"/>
  <c r="J17" i="1"/>
  <c r="F17" i="1"/>
  <c r="L8" i="1"/>
  <c r="M8" i="1"/>
  <c r="N8" i="1"/>
  <c r="L4" i="1"/>
  <c r="M4" i="1"/>
  <c r="G8" i="1"/>
  <c r="H8" i="1"/>
  <c r="I8" i="1"/>
  <c r="J8" i="1"/>
  <c r="F8" i="1"/>
  <c r="G7" i="1"/>
  <c r="H7" i="1"/>
  <c r="I7" i="1"/>
  <c r="J7" i="1"/>
  <c r="F7" i="1"/>
  <c r="H4" i="1"/>
  <c r="I4" i="1"/>
  <c r="J4" i="1"/>
  <c r="G4" i="1"/>
  <c r="G2" i="1"/>
  <c r="H2" i="1" s="1"/>
  <c r="I2" i="1" s="1"/>
  <c r="J2" i="1" s="1"/>
  <c r="C21" i="9" l="1"/>
  <c r="C22" i="9"/>
  <c r="Q36" i="7"/>
  <c r="Q31" i="7"/>
  <c r="O27" i="7"/>
  <c r="O26" i="7"/>
  <c r="O23" i="7"/>
  <c r="P23" i="7"/>
  <c r="P26" i="7"/>
  <c r="P22" i="7"/>
  <c r="P27" i="7"/>
  <c r="P25" i="7"/>
  <c r="P31" i="7" s="1"/>
  <c r="P34" i="7" s="1"/>
  <c r="P36" i="7" s="1"/>
  <c r="P24" i="7"/>
  <c r="O25" i="7"/>
  <c r="O31" i="7" s="1"/>
  <c r="O34" i="7" s="1"/>
  <c r="O36" i="7" s="1"/>
  <c r="O22" i="7"/>
  <c r="J20" i="3"/>
  <c r="J7" i="6" s="1"/>
  <c r="M4" i="6"/>
  <c r="L4" i="6"/>
  <c r="O4" i="6"/>
  <c r="G4" i="6"/>
  <c r="G8" i="6" s="1"/>
  <c r="N4" i="6"/>
  <c r="K4" i="6"/>
  <c r="J4" i="6"/>
  <c r="F4" i="6"/>
  <c r="I4" i="6"/>
  <c r="J8" i="6"/>
  <c r="I8" i="6"/>
  <c r="H8" i="6"/>
  <c r="F8" i="6"/>
  <c r="G15" i="5"/>
  <c r="G16" i="5"/>
  <c r="M5" i="5" s="1"/>
  <c r="K28" i="3"/>
  <c r="K14" i="3" s="1"/>
  <c r="M28" i="3"/>
  <c r="M14" i="3" s="1"/>
  <c r="L28" i="3"/>
  <c r="M26" i="3"/>
  <c r="M8" i="3" s="1"/>
  <c r="N24" i="3"/>
  <c r="N6" i="3" s="1"/>
  <c r="K26" i="3"/>
  <c r="K8" i="3" s="1"/>
  <c r="L29" i="3"/>
  <c r="L16" i="3" s="1"/>
  <c r="M23" i="3"/>
  <c r="M5" i="3" s="1"/>
  <c r="M25" i="3"/>
  <c r="M12" i="3" s="1"/>
  <c r="L24" i="3"/>
  <c r="L6" i="3" s="1"/>
  <c r="K24" i="3"/>
  <c r="K6" i="3" s="1"/>
  <c r="M24" i="3"/>
  <c r="M6" i="3" s="1"/>
  <c r="M27" i="3"/>
  <c r="M7" i="3" s="1"/>
  <c r="K23" i="3"/>
  <c r="K5" i="3" s="1"/>
  <c r="N23" i="3"/>
  <c r="N5" i="3" s="1"/>
  <c r="N27" i="3"/>
  <c r="N7" i="3" s="1"/>
  <c r="O25" i="3"/>
  <c r="O12" i="3" s="1"/>
  <c r="L27" i="3"/>
  <c r="L7" i="3" s="1"/>
  <c r="N25" i="3"/>
  <c r="N12" i="3" s="1"/>
  <c r="K29" i="3"/>
  <c r="K16" i="3" s="1"/>
  <c r="O23" i="3"/>
  <c r="O5" i="3" s="1"/>
  <c r="N26" i="3"/>
  <c r="N8" i="3" s="1"/>
  <c r="O27" i="3"/>
  <c r="O7" i="3" s="1"/>
  <c r="L25" i="3"/>
  <c r="L12" i="3" s="1"/>
  <c r="N29" i="3"/>
  <c r="N16" i="3" s="1"/>
  <c r="L26" i="3"/>
  <c r="L8" i="3" s="1"/>
  <c r="L23" i="3"/>
  <c r="L5" i="3" s="1"/>
  <c r="O29" i="3"/>
  <c r="O16" i="3" s="1"/>
  <c r="O24" i="3"/>
  <c r="O6" i="3" s="1"/>
  <c r="M29" i="3"/>
  <c r="M16" i="3" s="1"/>
  <c r="O26" i="3"/>
  <c r="O8" i="3" s="1"/>
  <c r="K25" i="3"/>
  <c r="K12" i="3" s="1"/>
  <c r="L22" i="1"/>
  <c r="L25" i="1" s="1"/>
  <c r="M3" i="2"/>
  <c r="M7" i="2" s="1"/>
  <c r="H3" i="2"/>
  <c r="G4" i="2"/>
  <c r="I4" i="2"/>
  <c r="H4" i="2"/>
  <c r="F4" i="2"/>
  <c r="J4" i="2"/>
  <c r="K18" i="4"/>
  <c r="K14" i="1" s="1"/>
  <c r="H10" i="4"/>
  <c r="J10" i="4"/>
  <c r="I10" i="4"/>
  <c r="J21" i="4"/>
  <c r="K2" i="1"/>
  <c r="L2" i="1" s="1"/>
  <c r="M2" i="1" s="1"/>
  <c r="N2" i="1" s="1"/>
  <c r="O2" i="1" s="1"/>
  <c r="L14" i="3" l="1"/>
  <c r="K9" i="3"/>
  <c r="M17" i="3"/>
  <c r="M9" i="3"/>
  <c r="M19" i="3" s="1"/>
  <c r="L17" i="3"/>
  <c r="N9" i="3"/>
  <c r="L9" i="3"/>
  <c r="K17" i="3"/>
  <c r="O9" i="3"/>
  <c r="M5" i="2"/>
  <c r="N3" i="2" s="1"/>
  <c r="K19" i="4"/>
  <c r="L15" i="4" s="1"/>
  <c r="L17" i="4" s="1"/>
  <c r="M10" i="4"/>
  <c r="M7" i="4" s="1"/>
  <c r="N10" i="4"/>
  <c r="N7" i="4" s="1"/>
  <c r="L10" i="4"/>
  <c r="L7" i="4" s="1"/>
  <c r="O10" i="4"/>
  <c r="O7" i="4" s="1"/>
  <c r="K10" i="4"/>
  <c r="K7" i="4" s="1"/>
  <c r="L19" i="3" l="1"/>
  <c r="K19" i="3"/>
  <c r="K20" i="3" s="1"/>
  <c r="K7" i="6" s="1"/>
  <c r="K8" i="6" s="1"/>
  <c r="M20" i="3"/>
  <c r="M7" i="6" s="1"/>
  <c r="M8" i="6" s="1"/>
  <c r="N5" i="2"/>
  <c r="O3" i="2" s="1"/>
  <c r="N7" i="2"/>
  <c r="N19" i="1" s="1"/>
  <c r="N21" i="1" s="1"/>
  <c r="N22" i="1" s="1"/>
  <c r="L18" i="4"/>
  <c r="L14" i="1" s="1"/>
  <c r="L19" i="4"/>
  <c r="M15" i="4" s="1"/>
  <c r="M17" i="4" s="1"/>
  <c r="M18" i="4" s="1"/>
  <c r="N8" i="4"/>
  <c r="O4" i="4" s="1"/>
  <c r="O5" i="4" s="1"/>
  <c r="N13" i="1"/>
  <c r="L8" i="4"/>
  <c r="M4" i="4" s="1"/>
  <c r="M5" i="4" s="1"/>
  <c r="L13" i="1"/>
  <c r="L12" i="1" s="1"/>
  <c r="O8" i="4"/>
  <c r="O13" i="1"/>
  <c r="M8" i="4"/>
  <c r="N4" i="4" s="1"/>
  <c r="N5" i="4" s="1"/>
  <c r="M13" i="1"/>
  <c r="K8" i="4"/>
  <c r="L4" i="4" s="1"/>
  <c r="L5" i="4" s="1"/>
  <c r="K13" i="1"/>
  <c r="K12" i="1" s="1"/>
  <c r="N25" i="1" l="1"/>
  <c r="N14" i="3"/>
  <c r="N17" i="3" s="1"/>
  <c r="N19" i="3" s="1"/>
  <c r="L20" i="3"/>
  <c r="L7" i="6" s="1"/>
  <c r="L8" i="6" s="1"/>
  <c r="O5" i="2"/>
  <c r="O7" i="2"/>
  <c r="O19" i="1" s="1"/>
  <c r="O21" i="1" s="1"/>
  <c r="O22" i="1" s="1"/>
  <c r="M19" i="4"/>
  <c r="N15" i="4" s="1"/>
  <c r="N17" i="4" s="1"/>
  <c r="N18" i="4" s="1"/>
  <c r="M14" i="1"/>
  <c r="M12" i="1" s="1"/>
  <c r="O25" i="1" l="1"/>
  <c r="O14" i="3"/>
  <c r="O17" i="3" s="1"/>
  <c r="O19" i="3" s="1"/>
  <c r="O20" i="3" s="1"/>
  <c r="O7" i="6" s="1"/>
  <c r="O8" i="6" s="1"/>
  <c r="N20" i="3"/>
  <c r="N7" i="6" s="1"/>
  <c r="N8" i="6" s="1"/>
  <c r="N19" i="4"/>
  <c r="O15" i="4" s="1"/>
  <c r="O17" i="4" s="1"/>
  <c r="O18" i="4" s="1"/>
  <c r="N14" i="1"/>
  <c r="N12" i="1" s="1"/>
  <c r="O19" i="4" l="1"/>
  <c r="O14" i="1"/>
  <c r="O12" i="1" s="1"/>
  <c r="K7" i="1" l="1"/>
  <c r="K6" i="1" s="1"/>
  <c r="L7" i="1"/>
  <c r="L16" i="1"/>
  <c r="K16" i="1"/>
  <c r="L10" i="1" l="1"/>
  <c r="L6" i="1"/>
  <c r="K10" i="1"/>
  <c r="M7" i="1"/>
  <c r="M16" i="1"/>
  <c r="M6" i="1"/>
  <c r="N7" i="1" l="1"/>
  <c r="N16" i="1"/>
  <c r="N6" i="1"/>
  <c r="M10" i="1"/>
  <c r="O7" i="1" l="1"/>
  <c r="O16" i="1"/>
  <c r="N10" i="1"/>
  <c r="O10" i="1" l="1"/>
  <c r="O6" i="1"/>
  <c r="M10" i="5"/>
  <c r="N5" i="5" s="1"/>
  <c r="N6" i="5" l="1"/>
  <c r="O4" i="5" s="1"/>
  <c r="P4" i="5" s="1"/>
  <c r="O5" i="5" l="1"/>
  <c r="P5" i="5" s="1"/>
  <c r="P7" i="5" s="1"/>
  <c r="E9" i="6" s="1"/>
  <c r="K9" i="6" l="1"/>
  <c r="L9" i="6"/>
  <c r="M9" i="6"/>
  <c r="B23" i="6"/>
  <c r="C24" i="6" s="1"/>
  <c r="E19" i="6"/>
  <c r="E12" i="6" s="1"/>
  <c r="N9" i="6"/>
  <c r="O9" i="6"/>
  <c r="E11" i="6" l="1"/>
  <c r="E13" i="6" s="1"/>
  <c r="F31" i="6" s="1"/>
  <c r="F33" i="6" s="1"/>
  <c r="F36" i="6" s="1"/>
  <c r="F38" i="6" s="1"/>
  <c r="E26" i="6" l="1"/>
</calcChain>
</file>

<file path=xl/sharedStrings.xml><?xml version="1.0" encoding="utf-8"?>
<sst xmlns="http://schemas.openxmlformats.org/spreadsheetml/2006/main" count="212" uniqueCount="173">
  <si>
    <t>INCOME STATEMENT</t>
  </si>
  <si>
    <t>Sales</t>
  </si>
  <si>
    <t>Sales Growth %</t>
  </si>
  <si>
    <t>Cost of Sales</t>
  </si>
  <si>
    <t>Gross Profit</t>
  </si>
  <si>
    <t>Gross Profit Margin</t>
  </si>
  <si>
    <t>Other Operating Expenses</t>
  </si>
  <si>
    <t>Depreciation &amp; Amortization</t>
  </si>
  <si>
    <t>Depreciation</t>
  </si>
  <si>
    <t>Amortization</t>
  </si>
  <si>
    <t>Operating Profit EBIT</t>
  </si>
  <si>
    <t>Operating Profir Margin</t>
  </si>
  <si>
    <t>Interest Expenses</t>
  </si>
  <si>
    <t>PBT</t>
  </si>
  <si>
    <t>Tax Expenses</t>
  </si>
  <si>
    <t>Tax Rate</t>
  </si>
  <si>
    <t>PAT</t>
  </si>
  <si>
    <t>Figures in Million $</t>
  </si>
  <si>
    <t>HISTORICAL</t>
  </si>
  <si>
    <t>PROJECTED</t>
  </si>
  <si>
    <t>Fixed Asset Schdule</t>
  </si>
  <si>
    <t>Opening Balanaces</t>
  </si>
  <si>
    <t>Add:Fixed Asset Purchase</t>
  </si>
  <si>
    <t>Total Fixed Asset</t>
  </si>
  <si>
    <t>Less:Depreciation</t>
  </si>
  <si>
    <t>Closing Balance</t>
  </si>
  <si>
    <t>Depreciation Rate</t>
  </si>
  <si>
    <t>Asset Turnover Ratio</t>
  </si>
  <si>
    <t>Debt Schdule</t>
  </si>
  <si>
    <t>Opening Balance</t>
  </si>
  <si>
    <t>Closing Balances</t>
  </si>
  <si>
    <t>Interest rate</t>
  </si>
  <si>
    <t>-</t>
  </si>
  <si>
    <t>Add:Intangable Asset Purchase</t>
  </si>
  <si>
    <t>Total Intangiable Asset</t>
  </si>
  <si>
    <t>Less:Amortization</t>
  </si>
  <si>
    <t>Amortization Rate</t>
  </si>
  <si>
    <t>Company is not going to purchase any Intangable Asset</t>
  </si>
  <si>
    <t>Closing Debt Bal</t>
  </si>
  <si>
    <t>Short-term borrowings and current portion of long-term debt</t>
  </si>
  <si>
    <t>Long-term debt</t>
  </si>
  <si>
    <t>Add / Less: Debt Taken or Debt Paid</t>
  </si>
  <si>
    <t>Current Asset</t>
  </si>
  <si>
    <t>Operating Working Capital</t>
  </si>
  <si>
    <t>A/R or Debtor</t>
  </si>
  <si>
    <t>Inventories</t>
  </si>
  <si>
    <t>Prepaids</t>
  </si>
  <si>
    <t>Other current assets</t>
  </si>
  <si>
    <t>Current Libalities</t>
  </si>
  <si>
    <t>Total Current Assets</t>
  </si>
  <si>
    <t>Accounts payable</t>
  </si>
  <si>
    <t>Accrued payroll</t>
  </si>
  <si>
    <t>Accrued income taxes</t>
  </si>
  <si>
    <t>Operating lease liabilities — current</t>
  </si>
  <si>
    <t>Other current liabilities</t>
  </si>
  <si>
    <t>Total Current Libality</t>
  </si>
  <si>
    <t>Debtors Days</t>
  </si>
  <si>
    <t>Inventory Days</t>
  </si>
  <si>
    <t>Creditors Days</t>
  </si>
  <si>
    <t>Other Current asset % of Revenue</t>
  </si>
  <si>
    <t>Prepaid Expenses as % of revenue</t>
  </si>
  <si>
    <t>Accured Income tax as % of Income Tax expnses</t>
  </si>
  <si>
    <t>Other current liabilities as % of Revenue</t>
  </si>
  <si>
    <t>Total Working Capital</t>
  </si>
  <si>
    <t>Change in Working Capital</t>
  </si>
  <si>
    <t>Cost of Debt</t>
  </si>
  <si>
    <t>WACC</t>
  </si>
  <si>
    <t>Risk Free Rate</t>
  </si>
  <si>
    <t>Cost</t>
  </si>
  <si>
    <t>Weight</t>
  </si>
  <si>
    <t>Weight %</t>
  </si>
  <si>
    <t>Add: Company Risk premium</t>
  </si>
  <si>
    <t>Kd</t>
  </si>
  <si>
    <t>Add: Country Risk Premium</t>
  </si>
  <si>
    <t>Ke</t>
  </si>
  <si>
    <t>Post Tax Cost of Debt</t>
  </si>
  <si>
    <t>No of Share</t>
  </si>
  <si>
    <t>Current Share price</t>
  </si>
  <si>
    <t>Total Market value</t>
  </si>
  <si>
    <t>Cost of Equity</t>
  </si>
  <si>
    <t>Risk free Rate</t>
  </si>
  <si>
    <t>Beta</t>
  </si>
  <si>
    <t>Return on Market</t>
  </si>
  <si>
    <t>Market Risk Premium</t>
  </si>
  <si>
    <t>Date</t>
  </si>
  <si>
    <t>Covariance / variance metrix</t>
  </si>
  <si>
    <t>Start Date stock price</t>
  </si>
  <si>
    <t>Slop</t>
  </si>
  <si>
    <t>End Date Stock Price</t>
  </si>
  <si>
    <t>Regression</t>
  </si>
  <si>
    <t>Year</t>
  </si>
  <si>
    <t>CAGR</t>
  </si>
  <si>
    <t>Price of 3M stock</t>
  </si>
  <si>
    <t>Return of Stock</t>
  </si>
  <si>
    <t>Price Composit Index</t>
  </si>
  <si>
    <t>Return of Index</t>
  </si>
  <si>
    <t>Add: Non cash Charges</t>
  </si>
  <si>
    <t>Less: Fixed Capital Investment</t>
  </si>
  <si>
    <t>Add/Less: Change in Working Capital</t>
  </si>
  <si>
    <t>FCFF</t>
  </si>
  <si>
    <t>Discounting Factor - WACC</t>
  </si>
  <si>
    <t>Present Value of Cash Flow</t>
  </si>
  <si>
    <t>Present Value of Terminal value</t>
  </si>
  <si>
    <t>Terminal value</t>
  </si>
  <si>
    <t>EV/EBITDA -  Exit Multipple</t>
  </si>
  <si>
    <t>EBITDA</t>
  </si>
  <si>
    <t>Enterprise Value</t>
  </si>
  <si>
    <t>Value of Equity</t>
  </si>
  <si>
    <t>Gorden Growth rate</t>
  </si>
  <si>
    <t>Growth rate Assumed to be 3.8%</t>
  </si>
  <si>
    <t>PV of TV</t>
  </si>
  <si>
    <t xml:space="preserve"> </t>
  </si>
  <si>
    <t>Value of Firm</t>
  </si>
  <si>
    <t>EBIT (1-Tax)</t>
  </si>
  <si>
    <t>Tax</t>
  </si>
  <si>
    <t>Total Value Of Firm</t>
  </si>
  <si>
    <t>Value of total Firm</t>
  </si>
  <si>
    <t>Share outstanding</t>
  </si>
  <si>
    <t>Value per share</t>
  </si>
  <si>
    <t>Total Value Of Firm as per GGM</t>
  </si>
  <si>
    <t>Add: Non opearting Asset including Cash</t>
  </si>
  <si>
    <t>Value of Share as of 2022</t>
  </si>
  <si>
    <t>Less: Value of Debt</t>
  </si>
  <si>
    <t>Less: non controlling Interest.</t>
  </si>
  <si>
    <t>qq</t>
  </si>
  <si>
    <t>Comparable Company Valuation Analysis</t>
  </si>
  <si>
    <t>Market Data</t>
  </si>
  <si>
    <t>Valuations</t>
  </si>
  <si>
    <t xml:space="preserve">Company </t>
  </si>
  <si>
    <t>Ticker</t>
  </si>
  <si>
    <t>Share Price</t>
  </si>
  <si>
    <t>Equity Value</t>
  </si>
  <si>
    <t>Net Debt</t>
  </si>
  <si>
    <t>Cash &amp; Cash Equivalent</t>
  </si>
  <si>
    <t>Revenue</t>
  </si>
  <si>
    <t>Net Income</t>
  </si>
  <si>
    <t>EV/Revenue</t>
  </si>
  <si>
    <t>EV/EBITDA</t>
  </si>
  <si>
    <t>P/E</t>
  </si>
  <si>
    <t xml:space="preserve">Sun Pharma.Inds. </t>
  </si>
  <si>
    <t xml:space="preserve">Cipla </t>
  </si>
  <si>
    <t xml:space="preserve">Mankind Pharma </t>
  </si>
  <si>
    <t xml:space="preserve">Dr Reddy's Labs </t>
  </si>
  <si>
    <t xml:space="preserve">Zydus Lifesci. </t>
  </si>
  <si>
    <t xml:space="preserve">Lupin </t>
  </si>
  <si>
    <t xml:space="preserve">Aurobindo Pharma </t>
  </si>
  <si>
    <t xml:space="preserve">Alkem Lab </t>
  </si>
  <si>
    <t xml:space="preserve">Biocon </t>
  </si>
  <si>
    <t xml:space="preserve">Glenmark Pharma. </t>
  </si>
  <si>
    <t xml:space="preserve">Ipca Labs. </t>
  </si>
  <si>
    <t xml:space="preserve">Piramal Pharma </t>
  </si>
  <si>
    <t xml:space="preserve">Laurus Labs </t>
  </si>
  <si>
    <t xml:space="preserve">J B Chemicals &amp; </t>
  </si>
  <si>
    <t>High</t>
  </si>
  <si>
    <t>75th Percentile</t>
  </si>
  <si>
    <t>Average</t>
  </si>
  <si>
    <t>Median</t>
  </si>
  <si>
    <t>25th Percentile</t>
  </si>
  <si>
    <t>Low</t>
  </si>
  <si>
    <t>Biocon Comparable Valuation</t>
  </si>
  <si>
    <t>Implied Enterprise Value</t>
  </si>
  <si>
    <t>Total Debt</t>
  </si>
  <si>
    <t>Cash &amp; Cash Equvalent</t>
  </si>
  <si>
    <t>Implied Market Value</t>
  </si>
  <si>
    <t>Shares Outstanding</t>
  </si>
  <si>
    <t>Implied Value Per share</t>
  </si>
  <si>
    <t>Company Name</t>
  </si>
  <si>
    <t>Revenue Multiple Valuation</t>
  </si>
  <si>
    <t>Revenue of target Firm</t>
  </si>
  <si>
    <t>EBITDA of Taget Firm</t>
  </si>
  <si>
    <t>Comparable firm Presendent Value</t>
  </si>
  <si>
    <t>Implied Revenue of Target Firm</t>
  </si>
  <si>
    <t>Implied EBITDA of Target Firm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</si>
</sst>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 * #,##0.00_ ;_ * \-#,##0.00_ ;_ * &quot;-&quot;??_ ;_ @_ "/>
    <numFmt numFmtId="164" formatCode="0.0%"/>
    <numFmt numFmtId="165" formatCode="0.00000"/>
    <numFmt numFmtId="166" formatCode="0.0000"/>
    <numFmt numFmtId="167" formatCode="_ * #,##0_ ;_ * \-#,##0_ ;_ * &quot;-&quot;??_ ;_ @_ "/>
    <numFmt numFmtId="168" formatCode="0.0"/>
    <numFmt numFmtId="169" formatCode="0.0\x"/>
    <numFmt numFmtId="170" formatCode="_ * #,##0.0_ ;_ * \-#,##0.0_ ;_ * &quot;-&quot;??_ ;_ @_ "/>
  </numFmts>
  <fonts count="16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i/>
      <sz val="11"/>
      <color theme="0" tint="-0.499984740745262"/>
      <name val="Calibri"/>
      <family val="2"/>
    </font>
    <font>
      <sz val="11"/>
      <color theme="0" tint="-0.499984740745262"/>
      <name val="Calibri"/>
      <family val="2"/>
    </font>
    <font>
      <sz val="11"/>
      <color rgb="FF0000CC"/>
      <name val="Calibri"/>
      <family val="2"/>
    </font>
    <font>
      <b/>
      <i/>
      <sz val="11"/>
      <name val="Calibri"/>
      <family val="2"/>
    </font>
    <font>
      <b/>
      <sz val="11"/>
      <name val="Calibri"/>
      <family val="2"/>
    </font>
    <font>
      <b/>
      <u/>
      <sz val="11"/>
      <color theme="1"/>
      <name val="Calibri"/>
      <family val="2"/>
    </font>
    <font>
      <b/>
      <i/>
      <sz val="11"/>
      <color theme="0"/>
      <name val="Calibri"/>
      <family val="2"/>
    </font>
    <font>
      <sz val="11"/>
      <color theme="2" tint="-0.249977111117893"/>
      <name val="Calibri"/>
      <family val="2"/>
    </font>
    <font>
      <b/>
      <u/>
      <sz val="11"/>
      <name val="Calibri"/>
      <family val="2"/>
    </font>
    <font>
      <sz val="11"/>
      <name val="Calibri"/>
      <family val="2"/>
    </font>
    <font>
      <b/>
      <i/>
      <sz val="11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/>
      <top/>
      <bottom style="hair">
        <color theme="4" tint="0.59996337778862885"/>
      </bottom>
      <diagonal/>
    </border>
    <border>
      <left/>
      <right/>
      <top/>
      <bottom style="hair">
        <color theme="4" tint="0.59996337778862885"/>
      </bottom>
      <diagonal/>
    </border>
    <border>
      <left/>
      <right style="thin">
        <color theme="1"/>
      </right>
      <top/>
      <bottom style="hair">
        <color theme="4" tint="0.59996337778862885"/>
      </bottom>
      <diagonal/>
    </border>
    <border>
      <left style="thin">
        <color theme="1"/>
      </left>
      <right/>
      <top style="thin">
        <color indexed="64"/>
      </top>
      <bottom style="hair">
        <color theme="4" tint="0.59996337778862885"/>
      </bottom>
      <diagonal/>
    </border>
    <border>
      <left/>
      <right/>
      <top style="thin">
        <color indexed="64"/>
      </top>
      <bottom style="hair">
        <color theme="4" tint="0.59996337778862885"/>
      </bottom>
      <diagonal/>
    </border>
    <border>
      <left/>
      <right style="thin">
        <color theme="1"/>
      </right>
      <top style="thin">
        <color indexed="64"/>
      </top>
      <bottom style="hair">
        <color theme="4" tint="0.59996337778862885"/>
      </bottom>
      <diagonal/>
    </border>
    <border>
      <left style="thin">
        <color theme="1"/>
      </left>
      <right/>
      <top style="hair">
        <color theme="4" tint="0.59996337778862885"/>
      </top>
      <bottom style="hair">
        <color theme="4" tint="0.59996337778862885"/>
      </bottom>
      <diagonal/>
    </border>
    <border>
      <left/>
      <right/>
      <top style="hair">
        <color theme="4" tint="0.59996337778862885"/>
      </top>
      <bottom style="hair">
        <color theme="4" tint="0.59996337778862885"/>
      </bottom>
      <diagonal/>
    </border>
    <border>
      <left/>
      <right style="thin">
        <color theme="1"/>
      </right>
      <top style="hair">
        <color theme="4" tint="0.59996337778862885"/>
      </top>
      <bottom style="hair">
        <color theme="4" tint="0.59996337778862885"/>
      </bottom>
      <diagonal/>
    </border>
    <border>
      <left style="thin">
        <color theme="1"/>
      </left>
      <right/>
      <top style="hair">
        <color theme="4" tint="0.59996337778862885"/>
      </top>
      <bottom style="thin">
        <color theme="1"/>
      </bottom>
      <diagonal/>
    </border>
    <border>
      <left/>
      <right/>
      <top style="hair">
        <color theme="4" tint="0.59996337778862885"/>
      </top>
      <bottom style="thin">
        <color theme="1"/>
      </bottom>
      <diagonal/>
    </border>
    <border>
      <left/>
      <right style="thin">
        <color theme="1"/>
      </right>
      <top style="hair">
        <color theme="4" tint="0.59996337778862885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hair">
        <color theme="4" tint="0.59996337778862885"/>
      </bottom>
      <diagonal/>
    </border>
    <border>
      <left/>
      <right/>
      <top style="thin">
        <color theme="1"/>
      </top>
      <bottom style="hair">
        <color theme="4" tint="0.59996337778862885"/>
      </bottom>
      <diagonal/>
    </border>
    <border>
      <left/>
      <right style="thin">
        <color theme="1"/>
      </right>
      <top style="thin">
        <color theme="1"/>
      </top>
      <bottom style="hair">
        <color theme="4" tint="0.59996337778862885"/>
      </bottom>
      <diagonal/>
    </border>
    <border>
      <left/>
      <right/>
      <top/>
      <bottom style="thin">
        <color theme="0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theme="1"/>
      </top>
      <bottom style="hair">
        <color theme="1"/>
      </bottom>
      <diagonal/>
    </border>
    <border>
      <left/>
      <right/>
      <top style="hair">
        <color theme="1"/>
      </top>
      <bottom/>
      <diagonal/>
    </border>
    <border>
      <left/>
      <right/>
      <top style="double">
        <color theme="1"/>
      </top>
      <bottom style="thin">
        <color theme="1"/>
      </bottom>
      <diagonal/>
    </border>
    <border>
      <left/>
      <right/>
      <top style="thin">
        <color theme="0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4">
    <xf numFmtId="0" fontId="0" fillId="0" borderId="0" xfId="0"/>
    <xf numFmtId="0" fontId="4" fillId="2" borderId="0" xfId="0" applyFont="1" applyFill="1"/>
    <xf numFmtId="0" fontId="2" fillId="2" borderId="0" xfId="0" applyFont="1" applyFill="1"/>
    <xf numFmtId="0" fontId="0" fillId="0" borderId="1" xfId="0" applyBorder="1"/>
    <xf numFmtId="0" fontId="3" fillId="0" borderId="1" xfId="0" applyFont="1" applyBorder="1"/>
    <xf numFmtId="0" fontId="5" fillId="0" borderId="0" xfId="0" applyFont="1"/>
    <xf numFmtId="0" fontId="0" fillId="0" borderId="0" xfId="0" applyAlignment="1">
      <alignment horizontal="center"/>
    </xf>
    <xf numFmtId="3" fontId="0" fillId="0" borderId="0" xfId="0" applyNumberFormat="1"/>
    <xf numFmtId="3" fontId="3" fillId="0" borderId="0" xfId="0" applyNumberFormat="1" applyFont="1"/>
    <xf numFmtId="166" fontId="0" fillId="0" borderId="0" xfId="0" applyNumberFormat="1"/>
    <xf numFmtId="0" fontId="8" fillId="4" borderId="0" xfId="0" applyFont="1" applyFill="1"/>
    <xf numFmtId="0" fontId="9" fillId="4" borderId="0" xfId="0" applyFont="1" applyFill="1"/>
    <xf numFmtId="10" fontId="0" fillId="0" borderId="0" xfId="2" applyNumberFormat="1" applyFont="1"/>
    <xf numFmtId="10" fontId="0" fillId="0" borderId="0" xfId="0" applyNumberFormat="1"/>
    <xf numFmtId="0" fontId="3" fillId="0" borderId="5" xfId="0" applyFont="1" applyBorder="1"/>
    <xf numFmtId="3" fontId="0" fillId="0" borderId="5" xfId="0" applyNumberFormat="1" applyBorder="1"/>
    <xf numFmtId="0" fontId="2" fillId="2" borderId="0" xfId="0" applyFont="1" applyFill="1" applyAlignment="1">
      <alignment horizontal="left" indent="17"/>
    </xf>
    <xf numFmtId="0" fontId="4" fillId="2" borderId="0" xfId="0" applyFont="1" applyFill="1" applyAlignment="1">
      <alignment horizontal="left" indent="23"/>
    </xf>
    <xf numFmtId="0" fontId="2" fillId="2" borderId="0" xfId="0" applyFont="1" applyFill="1" applyAlignment="1">
      <alignment horizontal="left" indent="26"/>
    </xf>
    <xf numFmtId="0" fontId="2" fillId="2" borderId="0" xfId="0" applyFont="1" applyFill="1" applyAlignment="1">
      <alignment horizontal="left" indent="15"/>
    </xf>
    <xf numFmtId="0" fontId="3" fillId="2" borderId="0" xfId="0" applyFont="1" applyFill="1" applyAlignment="1">
      <alignment horizontal="left" indent="15"/>
    </xf>
    <xf numFmtId="0" fontId="0" fillId="0" borderId="0" xfId="0" applyAlignment="1">
      <alignment horizontal="right"/>
    </xf>
    <xf numFmtId="0" fontId="11" fillId="2" borderId="1" xfId="0" applyFont="1" applyFill="1" applyBorder="1"/>
    <xf numFmtId="10" fontId="11" fillId="2" borderId="1" xfId="2" applyNumberFormat="1" applyFont="1" applyFill="1" applyBorder="1"/>
    <xf numFmtId="10" fontId="0" fillId="0" borderId="1" xfId="0" applyNumberFormat="1" applyBorder="1"/>
    <xf numFmtId="0" fontId="2" fillId="2" borderId="0" xfId="0" applyFont="1" applyFill="1" applyAlignment="1">
      <alignment horizontal="left" indent="16"/>
    </xf>
    <xf numFmtId="14" fontId="0" fillId="0" borderId="0" xfId="0" applyNumberFormat="1"/>
    <xf numFmtId="166" fontId="0" fillId="0" borderId="0" xfId="2" applyNumberFormat="1" applyFont="1"/>
    <xf numFmtId="1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0" fontId="0" fillId="0" borderId="0" xfId="2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165" fontId="0" fillId="0" borderId="0" xfId="2" applyNumberFormat="1" applyFont="1"/>
    <xf numFmtId="3" fontId="12" fillId="5" borderId="0" xfId="0" applyNumberFormat="1" applyFont="1" applyFill="1"/>
    <xf numFmtId="1" fontId="12" fillId="5" borderId="0" xfId="0" applyNumberFormat="1" applyFont="1" applyFill="1"/>
    <xf numFmtId="0" fontId="3" fillId="4" borderId="1" xfId="0" applyFont="1" applyFill="1" applyBorder="1"/>
    <xf numFmtId="0" fontId="0" fillId="4" borderId="1" xfId="0" applyFill="1" applyBorder="1"/>
    <xf numFmtId="3" fontId="12" fillId="4" borderId="1" xfId="0" applyNumberFormat="1" applyFont="1" applyFill="1" applyBorder="1"/>
    <xf numFmtId="3" fontId="3" fillId="4" borderId="1" xfId="0" applyNumberFormat="1" applyFont="1" applyFill="1" applyBorder="1"/>
    <xf numFmtId="167" fontId="0" fillId="0" borderId="0" xfId="1" applyNumberFormat="1" applyFont="1"/>
    <xf numFmtId="43" fontId="0" fillId="0" borderId="0" xfId="0" applyNumberFormat="1"/>
    <xf numFmtId="167" fontId="3" fillId="0" borderId="2" xfId="1" applyNumberFormat="1" applyFont="1" applyBorder="1"/>
    <xf numFmtId="0" fontId="0" fillId="5" borderId="0" xfId="0" applyFill="1"/>
    <xf numFmtId="3" fontId="0" fillId="5" borderId="0" xfId="0" applyNumberFormat="1" applyFill="1"/>
    <xf numFmtId="0" fontId="5" fillId="5" borderId="0" xfId="0" applyFont="1" applyFill="1"/>
    <xf numFmtId="0" fontId="5" fillId="5" borderId="0" xfId="0" applyFont="1" applyFill="1" applyAlignment="1">
      <alignment horizontal="right"/>
    </xf>
    <xf numFmtId="164" fontId="5" fillId="5" borderId="0" xfId="2" applyNumberFormat="1" applyFont="1" applyFill="1"/>
    <xf numFmtId="164" fontId="5" fillId="5" borderId="0" xfId="0" applyNumberFormat="1" applyFont="1" applyFill="1"/>
    <xf numFmtId="1" fontId="0" fillId="5" borderId="0" xfId="0" applyNumberFormat="1" applyFill="1"/>
    <xf numFmtId="0" fontId="3" fillId="5" borderId="2" xfId="0" applyFont="1" applyFill="1" applyBorder="1"/>
    <xf numFmtId="0" fontId="0" fillId="5" borderId="2" xfId="0" applyFill="1" applyBorder="1"/>
    <xf numFmtId="3" fontId="3" fillId="5" borderId="2" xfId="0" applyNumberFormat="1" applyFont="1" applyFill="1" applyBorder="1"/>
    <xf numFmtId="1" fontId="3" fillId="5" borderId="2" xfId="0" applyNumberFormat="1" applyFont="1" applyFill="1" applyBorder="1"/>
    <xf numFmtId="0" fontId="3" fillId="5" borderId="0" xfId="0" applyFont="1" applyFill="1"/>
    <xf numFmtId="3" fontId="3" fillId="5" borderId="0" xfId="0" applyNumberFormat="1" applyFont="1" applyFill="1"/>
    <xf numFmtId="1" fontId="3" fillId="5" borderId="0" xfId="0" applyNumberFormat="1" applyFont="1" applyFill="1"/>
    <xf numFmtId="0" fontId="3" fillId="5" borderId="1" xfId="0" applyFont="1" applyFill="1" applyBorder="1"/>
    <xf numFmtId="0" fontId="0" fillId="5" borderId="1" xfId="0" applyFill="1" applyBorder="1"/>
    <xf numFmtId="3" fontId="0" fillId="5" borderId="1" xfId="0" applyNumberFormat="1" applyFill="1" applyBorder="1"/>
    <xf numFmtId="1" fontId="0" fillId="5" borderId="1" xfId="0" applyNumberFormat="1" applyFill="1" applyBorder="1"/>
    <xf numFmtId="3" fontId="7" fillId="5" borderId="0" xfId="0" applyNumberFormat="1" applyFont="1" applyFill="1"/>
    <xf numFmtId="3" fontId="7" fillId="5" borderId="1" xfId="0" applyNumberFormat="1" applyFont="1" applyFill="1" applyBorder="1"/>
    <xf numFmtId="0" fontId="6" fillId="5" borderId="0" xfId="0" applyFont="1" applyFill="1"/>
    <xf numFmtId="164" fontId="6" fillId="5" borderId="0" xfId="2" applyNumberFormat="1" applyFont="1" applyFill="1"/>
    <xf numFmtId="164" fontId="6" fillId="5" borderId="0" xfId="0" applyNumberFormat="1" applyFont="1" applyFill="1"/>
    <xf numFmtId="166" fontId="0" fillId="5" borderId="0" xfId="0" applyNumberFormat="1" applyFill="1"/>
    <xf numFmtId="0" fontId="3" fillId="7" borderId="0" xfId="0" applyFont="1" applyFill="1"/>
    <xf numFmtId="0" fontId="0" fillId="7" borderId="0" xfId="0" applyFill="1"/>
    <xf numFmtId="3" fontId="0" fillId="7" borderId="0" xfId="0" applyNumberFormat="1" applyFill="1"/>
    <xf numFmtId="0" fontId="3" fillId="7" borderId="1" xfId="0" applyFont="1" applyFill="1" applyBorder="1"/>
    <xf numFmtId="0" fontId="0" fillId="7" borderId="1" xfId="0" applyFill="1" applyBorder="1"/>
    <xf numFmtId="3" fontId="0" fillId="7" borderId="1" xfId="0" applyNumberFormat="1" applyFill="1" applyBorder="1"/>
    <xf numFmtId="1" fontId="0" fillId="7" borderId="0" xfId="0" applyNumberFormat="1" applyFill="1"/>
    <xf numFmtId="0" fontId="5" fillId="7" borderId="0" xfId="0" applyFont="1" applyFill="1"/>
    <xf numFmtId="0" fontId="6" fillId="7" borderId="0" xfId="0" applyFont="1" applyFill="1"/>
    <xf numFmtId="10" fontId="6" fillId="7" borderId="0" xfId="2" applyNumberFormat="1" applyFont="1" applyFill="1"/>
    <xf numFmtId="10" fontId="6" fillId="7" borderId="0" xfId="0" applyNumberFormat="1" applyFont="1" applyFill="1"/>
    <xf numFmtId="10" fontId="7" fillId="5" borderId="0" xfId="0" applyNumberFormat="1" applyFont="1" applyFill="1"/>
    <xf numFmtId="10" fontId="0" fillId="5" borderId="0" xfId="2" applyNumberFormat="1" applyFont="1" applyFill="1"/>
    <xf numFmtId="10" fontId="0" fillId="5" borderId="0" xfId="0" applyNumberFormat="1" applyFill="1"/>
    <xf numFmtId="10" fontId="0" fillId="5" borderId="1" xfId="0" applyNumberFormat="1" applyFill="1" applyBorder="1"/>
    <xf numFmtId="0" fontId="4" fillId="0" borderId="0" xfId="0" applyFont="1" applyAlignment="1">
      <alignment horizontal="left" indent="23"/>
    </xf>
    <xf numFmtId="10" fontId="7" fillId="0" borderId="0" xfId="0" applyNumberFormat="1" applyFont="1"/>
    <xf numFmtId="10" fontId="0" fillId="0" borderId="0" xfId="2" applyNumberFormat="1" applyFont="1" applyFill="1"/>
    <xf numFmtId="0" fontId="10" fillId="8" borderId="0" xfId="0" applyFont="1" applyFill="1"/>
    <xf numFmtId="0" fontId="0" fillId="8" borderId="0" xfId="0" applyFill="1"/>
    <xf numFmtId="3" fontId="0" fillId="8" borderId="0" xfId="0" applyNumberFormat="1" applyFill="1"/>
    <xf numFmtId="0" fontId="0" fillId="8" borderId="1" xfId="0" applyFill="1" applyBorder="1"/>
    <xf numFmtId="0" fontId="3" fillId="8" borderId="0" xfId="0" applyFont="1" applyFill="1"/>
    <xf numFmtId="1" fontId="0" fillId="8" borderId="0" xfId="0" applyNumberFormat="1" applyFill="1"/>
    <xf numFmtId="1" fontId="0" fillId="3" borderId="5" xfId="0" applyNumberFormat="1" applyFill="1" applyBorder="1"/>
    <xf numFmtId="0" fontId="0" fillId="3" borderId="5" xfId="0" applyFill="1" applyBorder="1"/>
    <xf numFmtId="164" fontId="0" fillId="3" borderId="5" xfId="2" applyNumberFormat="1" applyFont="1" applyFill="1" applyBorder="1"/>
    <xf numFmtId="164" fontId="0" fillId="3" borderId="5" xfId="0" applyNumberFormat="1" applyFill="1" applyBorder="1"/>
    <xf numFmtId="0" fontId="2" fillId="6" borderId="6" xfId="0" applyFont="1" applyFill="1" applyBorder="1"/>
    <xf numFmtId="0" fontId="2" fillId="6" borderId="7" xfId="0" applyFont="1" applyFill="1" applyBorder="1"/>
    <xf numFmtId="10" fontId="0" fillId="0" borderId="7" xfId="0" applyNumberFormat="1" applyBorder="1"/>
    <xf numFmtId="0" fontId="0" fillId="0" borderId="7" xfId="0" applyBorder="1"/>
    <xf numFmtId="0" fontId="0" fillId="0" borderId="8" xfId="0" applyBorder="1"/>
    <xf numFmtId="3" fontId="0" fillId="0" borderId="9" xfId="0" applyNumberFormat="1" applyBorder="1"/>
    <xf numFmtId="0" fontId="0" fillId="0" borderId="10" xfId="0" applyBorder="1"/>
    <xf numFmtId="0" fontId="0" fillId="0" borderId="9" xfId="0" applyBorder="1"/>
    <xf numFmtId="167" fontId="0" fillId="0" borderId="0" xfId="1" applyNumberFormat="1" applyFont="1" applyBorder="1"/>
    <xf numFmtId="0" fontId="2" fillId="2" borderId="11" xfId="0" applyFont="1" applyFill="1" applyBorder="1"/>
    <xf numFmtId="0" fontId="2" fillId="2" borderId="12" xfId="0" applyFont="1" applyFill="1" applyBorder="1"/>
    <xf numFmtId="167" fontId="2" fillId="2" borderId="12" xfId="1" applyNumberFormat="1" applyFont="1" applyFill="1" applyBorder="1"/>
    <xf numFmtId="0" fontId="0" fillId="0" borderId="13" xfId="0" applyBorder="1"/>
    <xf numFmtId="167" fontId="0" fillId="0" borderId="10" xfId="1" applyNumberFormat="1" applyFont="1" applyBorder="1"/>
    <xf numFmtId="167" fontId="2" fillId="2" borderId="13" xfId="1" applyNumberFormat="1" applyFont="1" applyFill="1" applyBorder="1"/>
    <xf numFmtId="0" fontId="0" fillId="0" borderId="6" xfId="0" applyBorder="1"/>
    <xf numFmtId="10" fontId="2" fillId="2" borderId="8" xfId="0" applyNumberFormat="1" applyFont="1" applyFill="1" applyBorder="1"/>
    <xf numFmtId="0" fontId="10" fillId="5" borderId="6" xfId="0" applyFont="1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3" fontId="0" fillId="5" borderId="10" xfId="0" applyNumberFormat="1" applyFill="1" applyBorder="1"/>
    <xf numFmtId="0" fontId="3" fillId="5" borderId="14" xfId="0" applyFont="1" applyFill="1" applyBorder="1"/>
    <xf numFmtId="0" fontId="3" fillId="5" borderId="15" xfId="0" applyFont="1" applyFill="1" applyBorder="1"/>
    <xf numFmtId="0" fontId="0" fillId="5" borderId="17" xfId="0" applyFill="1" applyBorder="1"/>
    <xf numFmtId="0" fontId="0" fillId="5" borderId="18" xfId="0" applyFill="1" applyBorder="1"/>
    <xf numFmtId="0" fontId="0" fillId="5" borderId="20" xfId="0" applyFill="1" applyBorder="1"/>
    <xf numFmtId="0" fontId="0" fillId="5" borderId="21" xfId="0" applyFill="1" applyBorder="1"/>
    <xf numFmtId="167" fontId="0" fillId="5" borderId="22" xfId="0" applyNumberFormat="1" applyFill="1" applyBorder="1"/>
    <xf numFmtId="0" fontId="0" fillId="5" borderId="23" xfId="0" applyFill="1" applyBorder="1"/>
    <xf numFmtId="0" fontId="0" fillId="5" borderId="24" xfId="0" applyFill="1" applyBorder="1"/>
    <xf numFmtId="0" fontId="0" fillId="5" borderId="25" xfId="0" applyFill="1" applyBorder="1"/>
    <xf numFmtId="0" fontId="0" fillId="5" borderId="19" xfId="0" applyFill="1" applyBorder="1"/>
    <xf numFmtId="0" fontId="0" fillId="5" borderId="26" xfId="0" applyFill="1" applyBorder="1"/>
    <xf numFmtId="0" fontId="0" fillId="5" borderId="27" xfId="0" applyFill="1" applyBorder="1"/>
    <xf numFmtId="0" fontId="0" fillId="5" borderId="28" xfId="0" applyFill="1" applyBorder="1"/>
    <xf numFmtId="0" fontId="0" fillId="5" borderId="29" xfId="0" applyFill="1" applyBorder="1"/>
    <xf numFmtId="0" fontId="0" fillId="5" borderId="30" xfId="0" applyFill="1" applyBorder="1"/>
    <xf numFmtId="167" fontId="0" fillId="5" borderId="31" xfId="0" applyNumberFormat="1" applyFill="1" applyBorder="1"/>
    <xf numFmtId="43" fontId="3" fillId="3" borderId="16" xfId="0" applyNumberFormat="1" applyFont="1" applyFill="1" applyBorder="1"/>
    <xf numFmtId="0" fontId="0" fillId="9" borderId="0" xfId="0" applyFill="1"/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0" xfId="0" applyAlignment="1">
      <alignment wrapText="1"/>
    </xf>
    <xf numFmtId="0" fontId="13" fillId="0" borderId="0" xfId="0" applyFont="1"/>
    <xf numFmtId="0" fontId="14" fillId="0" borderId="0" xfId="0" applyFont="1"/>
    <xf numFmtId="0" fontId="2" fillId="2" borderId="32" xfId="0" applyFont="1" applyFill="1" applyBorder="1" applyAlignment="1">
      <alignment horizontal="center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right"/>
    </xf>
    <xf numFmtId="0" fontId="2" fillId="0" borderId="0" xfId="0" applyFont="1"/>
    <xf numFmtId="0" fontId="2" fillId="0" borderId="0" xfId="0" applyFont="1" applyAlignment="1">
      <alignment wrapText="1"/>
    </xf>
    <xf numFmtId="0" fontId="0" fillId="0" borderId="33" xfId="0" applyBorder="1"/>
    <xf numFmtId="168" fontId="0" fillId="0" borderId="33" xfId="0" applyNumberFormat="1" applyBorder="1"/>
    <xf numFmtId="168" fontId="0" fillId="0" borderId="33" xfId="0" applyNumberFormat="1" applyBorder="1" applyAlignment="1">
      <alignment horizontal="right"/>
    </xf>
    <xf numFmtId="169" fontId="0" fillId="0" borderId="33" xfId="0" applyNumberFormat="1" applyBorder="1"/>
    <xf numFmtId="0" fontId="0" fillId="7" borderId="33" xfId="0" applyFill="1" applyBorder="1"/>
    <xf numFmtId="168" fontId="0" fillId="7" borderId="33" xfId="0" applyNumberFormat="1" applyFill="1" applyBorder="1"/>
    <xf numFmtId="168" fontId="0" fillId="7" borderId="33" xfId="0" applyNumberFormat="1" applyFill="1" applyBorder="1" applyAlignment="1">
      <alignment horizontal="right"/>
    </xf>
    <xf numFmtId="169" fontId="0" fillId="7" borderId="33" xfId="0" applyNumberFormat="1" applyFill="1" applyBorder="1"/>
    <xf numFmtId="0" fontId="0" fillId="10" borderId="33" xfId="0" applyFill="1" applyBorder="1"/>
    <xf numFmtId="169" fontId="0" fillId="10" borderId="33" xfId="0" applyNumberFormat="1" applyFill="1" applyBorder="1"/>
    <xf numFmtId="0" fontId="9" fillId="10" borderId="33" xfId="0" applyFont="1" applyFill="1" applyBorder="1"/>
    <xf numFmtId="169" fontId="9" fillId="10" borderId="33" xfId="0" applyNumberFormat="1" applyFont="1" applyFill="1" applyBorder="1"/>
    <xf numFmtId="0" fontId="4" fillId="2" borderId="0" xfId="0" applyFont="1" applyFill="1" applyAlignment="1">
      <alignment horizontal="right"/>
    </xf>
    <xf numFmtId="0" fontId="0" fillId="0" borderId="34" xfId="0" applyBorder="1"/>
    <xf numFmtId="168" fontId="0" fillId="0" borderId="34" xfId="0" applyNumberFormat="1" applyBorder="1"/>
    <xf numFmtId="0" fontId="0" fillId="11" borderId="34" xfId="0" applyFill="1" applyBorder="1"/>
    <xf numFmtId="168" fontId="0" fillId="11" borderId="34" xfId="0" applyNumberFormat="1" applyFill="1" applyBorder="1"/>
    <xf numFmtId="0" fontId="0" fillId="0" borderId="35" xfId="0" applyBorder="1"/>
    <xf numFmtId="168" fontId="0" fillId="0" borderId="35" xfId="0" applyNumberFormat="1" applyBorder="1"/>
    <xf numFmtId="0" fontId="0" fillId="12" borderId="36" xfId="0" applyFill="1" applyBorder="1"/>
    <xf numFmtId="2" fontId="0" fillId="12" borderId="36" xfId="0" applyNumberFormat="1" applyFill="1" applyBorder="1"/>
    <xf numFmtId="0" fontId="0" fillId="0" borderId="37" xfId="0" applyBorder="1"/>
    <xf numFmtId="168" fontId="0" fillId="0" borderId="0" xfId="0" applyNumberFormat="1"/>
    <xf numFmtId="168" fontId="0" fillId="13" borderId="33" xfId="0" applyNumberFormat="1" applyFill="1" applyBorder="1"/>
    <xf numFmtId="0" fontId="0" fillId="13" borderId="33" xfId="0" applyFill="1" applyBorder="1"/>
    <xf numFmtId="169" fontId="0" fillId="13" borderId="33" xfId="0" applyNumberFormat="1" applyFill="1" applyBorder="1"/>
    <xf numFmtId="168" fontId="10" fillId="0" borderId="0" xfId="0" applyNumberFormat="1" applyFont="1"/>
    <xf numFmtId="168" fontId="0" fillId="3" borderId="33" xfId="0" applyNumberFormat="1" applyFill="1" applyBorder="1"/>
    <xf numFmtId="170" fontId="0" fillId="3" borderId="33" xfId="1" applyNumberFormat="1" applyFont="1" applyFill="1" applyBorder="1"/>
    <xf numFmtId="168" fontId="3" fillId="14" borderId="0" xfId="0" applyNumberFormat="1" applyFont="1" applyFill="1"/>
    <xf numFmtId="168" fontId="3" fillId="14" borderId="0" xfId="0" applyNumberFormat="1" applyFont="1" applyFill="1" applyAlignment="1">
      <alignment horizontal="right"/>
    </xf>
    <xf numFmtId="169" fontId="0" fillId="0" borderId="0" xfId="0" applyNumberFormat="1"/>
    <xf numFmtId="168" fontId="15" fillId="4" borderId="0" xfId="0" applyNumberFormat="1" applyFont="1" applyFill="1"/>
    <xf numFmtId="169" fontId="15" fillId="4" borderId="0" xfId="0" applyNumberFormat="1" applyFont="1" applyFill="1"/>
    <xf numFmtId="168" fontId="0" fillId="15" borderId="33" xfId="0" applyNumberFormat="1" applyFill="1" applyBorder="1"/>
    <xf numFmtId="0" fontId="0" fillId="15" borderId="33" xfId="0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Desktop\Excel%20Files\Biocon%20-%20Comparable%20company%20analysis\Comparable%20company%20analysis.xlsx" TargetMode="External"/><Relationship Id="rId1" Type="http://schemas.openxmlformats.org/officeDocument/2006/relationships/externalLinkPath" Target="Excel%20Files/Biocon%20-%20Comparable%20company%20analysis/Comparable%20company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arable Val"/>
      <sheetName val="Precendental Transection Analys"/>
      <sheetName val="Sheet3"/>
    </sheetNames>
    <sheetDataSet>
      <sheetData sheetId="0">
        <row r="7">
          <cell r="B7" t="str">
            <v xml:space="preserve">Sun Pharma.Inds. </v>
          </cell>
          <cell r="I7">
            <v>430559.33450000006</v>
          </cell>
          <cell r="K7">
            <v>50307.74</v>
          </cell>
          <cell r="L7">
            <v>15801.25</v>
          </cell>
        </row>
        <row r="8">
          <cell r="B8" t="str">
            <v xml:space="preserve">Cipla </v>
          </cell>
          <cell r="I8">
            <v>117076.058</v>
          </cell>
          <cell r="K8">
            <v>26512.01</v>
          </cell>
          <cell r="L8">
            <v>7449.5400000000009</v>
          </cell>
        </row>
        <row r="9">
          <cell r="B9" t="str">
            <v xml:space="preserve">Mankind Pharma </v>
          </cell>
          <cell r="I9">
            <v>106914.30900000001</v>
          </cell>
          <cell r="K9">
            <v>9288.1200000000008</v>
          </cell>
          <cell r="L9">
            <v>2794.1800000000003</v>
          </cell>
        </row>
        <row r="10">
          <cell r="B10" t="str">
            <v xml:space="preserve">Dr Reddy's Labs </v>
          </cell>
          <cell r="I10">
            <v>109917.084</v>
          </cell>
          <cell r="K10">
            <v>30084.9</v>
          </cell>
          <cell r="L10">
            <v>8987.2999999999993</v>
          </cell>
        </row>
        <row r="11">
          <cell r="B11" t="str">
            <v xml:space="preserve">Zydus Lifesci. </v>
          </cell>
          <cell r="I11">
            <v>98568.394</v>
          </cell>
          <cell r="K11">
            <v>21483.5</v>
          </cell>
          <cell r="L11">
            <v>6603.8</v>
          </cell>
        </row>
        <row r="12">
          <cell r="B12" t="str">
            <v xml:space="preserve">Lupin </v>
          </cell>
          <cell r="I12">
            <v>99615.85</v>
          </cell>
          <cell r="K12">
            <v>21431.26</v>
          </cell>
          <cell r="L12">
            <v>4784.8100000000004</v>
          </cell>
        </row>
        <row r="13">
          <cell r="B13" t="str">
            <v xml:space="preserve">Aurobindo Pharma </v>
          </cell>
          <cell r="I13">
            <v>74739.030500000008</v>
          </cell>
          <cell r="K13">
            <v>30295.02</v>
          </cell>
          <cell r="L13">
            <v>7098.5599999999995</v>
          </cell>
        </row>
        <row r="14">
          <cell r="B14" t="str">
            <v xml:space="preserve">Alkem Lab </v>
          </cell>
          <cell r="I14">
            <v>62209.552000000003</v>
          </cell>
          <cell r="K14">
            <v>12706.18</v>
          </cell>
          <cell r="L14">
            <v>2907.6400000000003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051BC-7723-4EAB-AFD6-8B6A30A66A69}">
  <sheetPr>
    <tabColor theme="4" tint="0.59999389629810485"/>
  </sheetPr>
  <dimension ref="B1:S25"/>
  <sheetViews>
    <sheetView showGridLines="0" tabSelected="1" workbookViewId="0">
      <pane ySplit="2" topLeftCell="A3" activePane="bottomLeft" state="frozen"/>
      <selection pane="bottomLeft" activeCell="U6" sqref="U6"/>
    </sheetView>
  </sheetViews>
  <sheetFormatPr defaultRowHeight="14.4" x14ac:dyDescent="0.3"/>
  <cols>
    <col min="1" max="1" width="1.5546875" customWidth="1"/>
    <col min="11" max="11" width="10.44140625" customWidth="1"/>
  </cols>
  <sheetData>
    <row r="1" spans="2:19" x14ac:dyDescent="0.3">
      <c r="B1" s="5" t="s">
        <v>17</v>
      </c>
      <c r="F1" s="136" t="s">
        <v>18</v>
      </c>
      <c r="G1" s="136"/>
      <c r="H1" s="136"/>
      <c r="I1" s="136"/>
      <c r="J1" s="136"/>
      <c r="K1" s="137" t="s">
        <v>19</v>
      </c>
      <c r="L1" s="137"/>
      <c r="M1" s="137"/>
      <c r="N1" s="137"/>
      <c r="O1" s="137"/>
    </row>
    <row r="2" spans="2:19" x14ac:dyDescent="0.3">
      <c r="B2" s="2" t="s">
        <v>0</v>
      </c>
      <c r="C2" s="1"/>
      <c r="D2" s="1"/>
      <c r="E2" s="1"/>
      <c r="F2" s="1">
        <v>2018</v>
      </c>
      <c r="G2" s="1">
        <f>F2+1</f>
        <v>2019</v>
      </c>
      <c r="H2" s="1">
        <f t="shared" ref="H2:O2" si="0">G2+1</f>
        <v>2020</v>
      </c>
      <c r="I2" s="1">
        <f t="shared" si="0"/>
        <v>2021</v>
      </c>
      <c r="J2" s="1">
        <f t="shared" si="0"/>
        <v>2022</v>
      </c>
      <c r="K2" s="1">
        <f t="shared" si="0"/>
        <v>2023</v>
      </c>
      <c r="L2" s="1">
        <f t="shared" si="0"/>
        <v>2024</v>
      </c>
      <c r="M2" s="1">
        <f t="shared" si="0"/>
        <v>2025</v>
      </c>
      <c r="N2" s="1">
        <f t="shared" si="0"/>
        <v>2026</v>
      </c>
      <c r="O2" s="1">
        <f t="shared" si="0"/>
        <v>2027</v>
      </c>
    </row>
    <row r="3" spans="2:19" x14ac:dyDescent="0.3">
      <c r="B3" s="42" t="s">
        <v>1</v>
      </c>
      <c r="C3" s="42"/>
      <c r="D3" s="42"/>
      <c r="E3" s="42"/>
      <c r="F3" s="43">
        <v>32765</v>
      </c>
      <c r="G3" s="43">
        <v>32136</v>
      </c>
      <c r="H3" s="43">
        <v>32184</v>
      </c>
      <c r="I3" s="43">
        <v>35355</v>
      </c>
      <c r="J3" s="43">
        <v>34229</v>
      </c>
      <c r="K3" s="43">
        <f>J3*(1+K4)</f>
        <v>34648.092700003996</v>
      </c>
      <c r="L3" s="43">
        <f t="shared" ref="L3:O3" si="1">K3*(1+L4)</f>
        <v>35072.316683165445</v>
      </c>
      <c r="M3" s="43">
        <f t="shared" si="1"/>
        <v>35501.734775839577</v>
      </c>
      <c r="N3" s="43">
        <f t="shared" si="1"/>
        <v>35936.410573614339</v>
      </c>
      <c r="O3" s="43">
        <f t="shared" si="1"/>
        <v>36376.408450728719</v>
      </c>
    </row>
    <row r="4" spans="2:19" x14ac:dyDescent="0.3">
      <c r="B4" s="44" t="s">
        <v>2</v>
      </c>
      <c r="C4" s="44"/>
      <c r="D4" s="44"/>
      <c r="E4" s="44"/>
      <c r="F4" s="45" t="s">
        <v>32</v>
      </c>
      <c r="G4" s="46">
        <f>(G3/F3)-1</f>
        <v>-1.9197314207233362E-2</v>
      </c>
      <c r="H4" s="46">
        <f t="shared" ref="H4:J4" si="2">(H3/G3)-1</f>
        <v>1.4936519790889058E-3</v>
      </c>
      <c r="I4" s="46">
        <f t="shared" si="2"/>
        <v>9.8527218493661417E-2</v>
      </c>
      <c r="J4" s="46">
        <f t="shared" si="2"/>
        <v>-3.1848394852213247E-2</v>
      </c>
      <c r="K4" s="47">
        <f>AVERAGE($G$4:$J$4)</f>
        <v>1.2243790353325928E-2</v>
      </c>
      <c r="L4" s="47">
        <f t="shared" ref="L4:O4" si="3">AVERAGE($G$4:$J$4)</f>
        <v>1.2243790353325928E-2</v>
      </c>
      <c r="M4" s="47">
        <f t="shared" si="3"/>
        <v>1.2243790353325928E-2</v>
      </c>
      <c r="N4" s="47">
        <f t="shared" si="3"/>
        <v>1.2243790353325928E-2</v>
      </c>
      <c r="O4" s="47">
        <f t="shared" si="3"/>
        <v>1.2243790353325928E-2</v>
      </c>
    </row>
    <row r="5" spans="2:19" x14ac:dyDescent="0.3"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</row>
    <row r="6" spans="2:19" x14ac:dyDescent="0.3">
      <c r="B6" s="42" t="s">
        <v>3</v>
      </c>
      <c r="C6" s="42"/>
      <c r="D6" s="42"/>
      <c r="E6" s="42"/>
      <c r="F6" s="43">
        <v>16682</v>
      </c>
      <c r="G6" s="43">
        <v>17136</v>
      </c>
      <c r="H6" s="43">
        <v>16605</v>
      </c>
      <c r="I6" s="43">
        <v>18795</v>
      </c>
      <c r="J6" s="43">
        <v>19232</v>
      </c>
      <c r="K6" s="48">
        <f>K3-K7</f>
        <v>18375.858012055392</v>
      </c>
      <c r="L6" s="48">
        <f t="shared" ref="L6:O6" si="4">L3-L7</f>
        <v>18600.848165117481</v>
      </c>
      <c r="M6" s="48">
        <f t="shared" si="4"/>
        <v>18828.593050445226</v>
      </c>
      <c r="N6" s="48">
        <f t="shared" si="4"/>
        <v>19059.126396402968</v>
      </c>
      <c r="O6" s="48">
        <f t="shared" si="4"/>
        <v>19292.482344318068</v>
      </c>
    </row>
    <row r="7" spans="2:19" x14ac:dyDescent="0.3">
      <c r="B7" s="49" t="s">
        <v>4</v>
      </c>
      <c r="C7" s="50"/>
      <c r="D7" s="50"/>
      <c r="E7" s="50"/>
      <c r="F7" s="51">
        <f>F3-F6</f>
        <v>16083</v>
      </c>
      <c r="G7" s="51">
        <f t="shared" ref="G7:J7" si="5">G3-G6</f>
        <v>15000</v>
      </c>
      <c r="H7" s="51">
        <f t="shared" si="5"/>
        <v>15579</v>
      </c>
      <c r="I7" s="51">
        <f t="shared" si="5"/>
        <v>16560</v>
      </c>
      <c r="J7" s="51">
        <f t="shared" si="5"/>
        <v>14997</v>
      </c>
      <c r="K7" s="52">
        <f>K3*K8</f>
        <v>16272.234687948603</v>
      </c>
      <c r="L7" s="52">
        <f t="shared" ref="L7:O7" si="6">L3*L8</f>
        <v>16471.468518047965</v>
      </c>
      <c r="M7" s="52">
        <f t="shared" si="6"/>
        <v>16673.141725394351</v>
      </c>
      <c r="N7" s="52">
        <f t="shared" si="6"/>
        <v>16877.284177211372</v>
      </c>
      <c r="O7" s="52">
        <f t="shared" si="6"/>
        <v>17083.92610641065</v>
      </c>
    </row>
    <row r="8" spans="2:19" x14ac:dyDescent="0.3">
      <c r="B8" s="44" t="s">
        <v>5</v>
      </c>
      <c r="C8" s="44"/>
      <c r="D8" s="44"/>
      <c r="E8" s="44"/>
      <c r="F8" s="46">
        <f>F7/F3</f>
        <v>0.4908591484816115</v>
      </c>
      <c r="G8" s="46">
        <f t="shared" ref="G8:J8" si="7">G7/G3</f>
        <v>0.46676624346527257</v>
      </c>
      <c r="H8" s="46">
        <f t="shared" si="7"/>
        <v>0.48406040268456374</v>
      </c>
      <c r="I8" s="46">
        <f t="shared" si="7"/>
        <v>0.46839202375901567</v>
      </c>
      <c r="J8" s="46">
        <f t="shared" si="7"/>
        <v>0.43813725203774578</v>
      </c>
      <c r="K8" s="47">
        <f>AVERAGE($F$8:$J$8)</f>
        <v>0.46964301408564191</v>
      </c>
      <c r="L8" s="47">
        <f t="shared" ref="L8:O8" si="8">AVERAGE($F$8:$J$8)</f>
        <v>0.46964301408564191</v>
      </c>
      <c r="M8" s="47">
        <f t="shared" si="8"/>
        <v>0.46964301408564191</v>
      </c>
      <c r="N8" s="47">
        <f t="shared" si="8"/>
        <v>0.46964301408564191</v>
      </c>
      <c r="O8" s="47">
        <f t="shared" si="8"/>
        <v>0.46964301408564191</v>
      </c>
    </row>
    <row r="9" spans="2:19" x14ac:dyDescent="0.3">
      <c r="B9" s="42"/>
      <c r="C9" s="42"/>
      <c r="D9" s="42"/>
      <c r="E9" s="42"/>
      <c r="F9" s="42"/>
      <c r="G9" s="42"/>
      <c r="H9" s="42"/>
      <c r="I9" s="42"/>
      <c r="J9" s="42"/>
      <c r="K9" s="48"/>
      <c r="L9" s="42"/>
      <c r="M9" s="42"/>
      <c r="N9" s="42"/>
      <c r="O9" s="42"/>
    </row>
    <row r="10" spans="2:19" x14ac:dyDescent="0.3">
      <c r="B10" s="42" t="s">
        <v>6</v>
      </c>
      <c r="C10" s="42"/>
      <c r="D10" s="42"/>
      <c r="E10" s="42"/>
      <c r="F10" s="43">
        <f>F7-F12-F16</f>
        <v>7388</v>
      </c>
      <c r="G10" s="43">
        <f t="shared" ref="G10:N10" si="9">G7-G12-G16</f>
        <v>7233</v>
      </c>
      <c r="H10" s="43">
        <f t="shared" si="9"/>
        <v>6507</v>
      </c>
      <c r="I10" s="43">
        <f t="shared" si="9"/>
        <v>7276</v>
      </c>
      <c r="J10" s="43">
        <f t="shared" si="9"/>
        <v>6627</v>
      </c>
      <c r="K10" s="43">
        <f t="shared" si="9"/>
        <v>7370.5134654867916</v>
      </c>
      <c r="L10" s="43">
        <f t="shared" si="9"/>
        <v>7496.6522432887923</v>
      </c>
      <c r="M10" s="43">
        <f t="shared" si="9"/>
        <v>7621.4101587685145</v>
      </c>
      <c r="N10" s="43">
        <f t="shared" si="9"/>
        <v>7745.0086968413252</v>
      </c>
      <c r="O10" s="43">
        <f t="shared" ref="O10" si="10">O7-O12-O16</f>
        <v>7867.6526267918871</v>
      </c>
    </row>
    <row r="11" spans="2:19" x14ac:dyDescent="0.3"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</row>
    <row r="12" spans="2:19" x14ac:dyDescent="0.3">
      <c r="B12" s="53" t="s">
        <v>7</v>
      </c>
      <c r="C12" s="42"/>
      <c r="D12" s="42"/>
      <c r="E12" s="42"/>
      <c r="F12" s="54">
        <v>1488</v>
      </c>
      <c r="G12" s="54">
        <v>1593</v>
      </c>
      <c r="H12" s="54">
        <v>1911</v>
      </c>
      <c r="I12" s="54">
        <v>1915</v>
      </c>
      <c r="J12" s="54">
        <v>1831</v>
      </c>
      <c r="K12" s="55">
        <f>SUM(K13:K14)</f>
        <v>1736.1574355947337</v>
      </c>
      <c r="L12" s="55">
        <f t="shared" ref="L12:O12" si="11">SUM(L13:L14)</f>
        <v>1721.5188271223103</v>
      </c>
      <c r="M12" s="55">
        <f t="shared" si="11"/>
        <v>1709.6262656697954</v>
      </c>
      <c r="N12" s="55">
        <f t="shared" si="11"/>
        <v>1700.2749813570563</v>
      </c>
      <c r="O12" s="55">
        <f t="shared" si="11"/>
        <v>1693.2771245900435</v>
      </c>
    </row>
    <row r="13" spans="2:19" x14ac:dyDescent="0.3">
      <c r="B13" s="42" t="s">
        <v>8</v>
      </c>
      <c r="C13" s="42"/>
      <c r="D13" s="42"/>
      <c r="E13" s="42"/>
      <c r="F13" s="43">
        <f>F12-F14</f>
        <v>1239</v>
      </c>
      <c r="G13" s="43">
        <f t="shared" ref="G13:J13" si="12">G12-G14</f>
        <v>1252</v>
      </c>
      <c r="H13" s="43">
        <f t="shared" si="12"/>
        <v>1374</v>
      </c>
      <c r="I13" s="43">
        <f t="shared" si="12"/>
        <v>1386</v>
      </c>
      <c r="J13" s="43">
        <f t="shared" si="12"/>
        <v>1333</v>
      </c>
      <c r="K13" s="48">
        <f>'Fixed Asset Schdule'!K7</f>
        <v>1353.2183964184903</v>
      </c>
      <c r="L13" s="48">
        <f>'Fixed Asset Schdule'!L7</f>
        <v>1369.7869187665021</v>
      </c>
      <c r="M13" s="48">
        <f>'Fixed Asset Schdule'!M7</f>
        <v>1386.5583026286074</v>
      </c>
      <c r="N13" s="48">
        <f>'Fixed Asset Schdule'!N7</f>
        <v>1403.5350317986556</v>
      </c>
      <c r="O13" s="48">
        <f>'Fixed Asset Schdule'!O7</f>
        <v>1420.7196204815473</v>
      </c>
      <c r="R13" s="7"/>
      <c r="S13" s="7"/>
    </row>
    <row r="14" spans="2:19" x14ac:dyDescent="0.3">
      <c r="B14" s="42" t="s">
        <v>9</v>
      </c>
      <c r="C14" s="42"/>
      <c r="D14" s="42"/>
      <c r="E14" s="42"/>
      <c r="F14" s="42">
        <v>249</v>
      </c>
      <c r="G14" s="42">
        <v>341</v>
      </c>
      <c r="H14" s="42">
        <v>537</v>
      </c>
      <c r="I14" s="42">
        <v>529</v>
      </c>
      <c r="J14" s="42">
        <v>498</v>
      </c>
      <c r="K14" s="48">
        <f>'Fixed Asset Schdule'!K18</f>
        <v>382.93903917624323</v>
      </c>
      <c r="L14" s="48">
        <f>'Fixed Asset Schdule'!L18</f>
        <v>351.73190835580817</v>
      </c>
      <c r="M14" s="48">
        <f>'Fixed Asset Schdule'!M18</f>
        <v>323.06796304118814</v>
      </c>
      <c r="N14" s="48">
        <f>'Fixed Asset Schdule'!N18</f>
        <v>296.73994955840055</v>
      </c>
      <c r="O14" s="48">
        <f>'Fixed Asset Schdule'!O18</f>
        <v>272.55750410849618</v>
      </c>
      <c r="R14" s="7"/>
    </row>
    <row r="15" spans="2:19" x14ac:dyDescent="0.3">
      <c r="B15" s="42"/>
      <c r="C15" s="42"/>
      <c r="D15" s="42"/>
      <c r="E15" s="42"/>
      <c r="F15" s="43"/>
      <c r="G15" s="42"/>
      <c r="H15" s="42"/>
      <c r="I15" s="42"/>
      <c r="J15" s="42"/>
      <c r="K15" s="42"/>
      <c r="L15" s="42"/>
      <c r="M15" s="42"/>
      <c r="N15" s="42"/>
      <c r="O15" s="42"/>
    </row>
    <row r="16" spans="2:19" x14ac:dyDescent="0.3">
      <c r="B16" s="56" t="s">
        <v>10</v>
      </c>
      <c r="C16" s="57"/>
      <c r="D16" s="57"/>
      <c r="E16" s="57"/>
      <c r="F16" s="58">
        <v>7207</v>
      </c>
      <c r="G16" s="58">
        <v>6174</v>
      </c>
      <c r="H16" s="58">
        <v>7161</v>
      </c>
      <c r="I16" s="58">
        <v>7369</v>
      </c>
      <c r="J16" s="58">
        <v>6539</v>
      </c>
      <c r="K16" s="59">
        <f>K3*K17</f>
        <v>7165.5637868670774</v>
      </c>
      <c r="L16" s="59">
        <f t="shared" ref="L16:O16" si="13">L3*L17</f>
        <v>7253.2974476368618</v>
      </c>
      <c r="M16" s="59">
        <f t="shared" si="13"/>
        <v>7342.1053009560419</v>
      </c>
      <c r="N16" s="59">
        <f t="shared" si="13"/>
        <v>7432.000499012991</v>
      </c>
      <c r="O16" s="59">
        <f t="shared" si="13"/>
        <v>7522.9963550287193</v>
      </c>
      <c r="R16" s="7"/>
      <c r="S16" s="7"/>
    </row>
    <row r="17" spans="2:19" x14ac:dyDescent="0.3">
      <c r="B17" s="44" t="s">
        <v>11</v>
      </c>
      <c r="C17" s="44"/>
      <c r="D17" s="44"/>
      <c r="E17" s="44"/>
      <c r="F17" s="46">
        <f>F16/F3</f>
        <v>0.21996032351594688</v>
      </c>
      <c r="G17" s="46">
        <f t="shared" ref="G17:J17" si="14">G16/G3</f>
        <v>0.19212098581030621</v>
      </c>
      <c r="H17" s="46">
        <f t="shared" si="14"/>
        <v>0.22250186428038776</v>
      </c>
      <c r="I17" s="46">
        <f t="shared" si="14"/>
        <v>0.20842879366426248</v>
      </c>
      <c r="J17" s="46">
        <f t="shared" si="14"/>
        <v>0.19103684010634259</v>
      </c>
      <c r="K17" s="46">
        <f>AVERAGE($F$17:$J$17)</f>
        <v>0.20680976147544916</v>
      </c>
      <c r="L17" s="46">
        <f t="shared" ref="L17:O17" si="15">AVERAGE($F$17:$J$17)</f>
        <v>0.20680976147544916</v>
      </c>
      <c r="M17" s="46">
        <f t="shared" si="15"/>
        <v>0.20680976147544916</v>
      </c>
      <c r="N17" s="46">
        <f t="shared" si="15"/>
        <v>0.20680976147544916</v>
      </c>
      <c r="O17" s="46">
        <f t="shared" si="15"/>
        <v>0.20680976147544916</v>
      </c>
      <c r="S17" s="7"/>
    </row>
    <row r="18" spans="2:19" x14ac:dyDescent="0.3"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S18" s="7"/>
    </row>
    <row r="19" spans="2:19" x14ac:dyDescent="0.3">
      <c r="B19" s="42" t="s">
        <v>12</v>
      </c>
      <c r="C19" s="42"/>
      <c r="D19" s="42"/>
      <c r="E19" s="42"/>
      <c r="F19" s="42">
        <v>207</v>
      </c>
      <c r="G19" s="42">
        <v>462</v>
      </c>
      <c r="H19" s="42">
        <v>450</v>
      </c>
      <c r="I19" s="42">
        <v>165</v>
      </c>
      <c r="J19" s="42">
        <v>147</v>
      </c>
      <c r="K19" s="48">
        <f>'Debt Schdule'!K7</f>
        <v>273.62324652919239</v>
      </c>
      <c r="L19" s="48">
        <f>'Debt Schdule'!L7</f>
        <v>240.35379099411645</v>
      </c>
      <c r="M19" s="48">
        <f>'Debt Schdule'!M7</f>
        <v>221.47019910114253</v>
      </c>
      <c r="N19" s="48">
        <f>'Debt Schdule'!N7</f>
        <v>189.45392739169125</v>
      </c>
      <c r="O19" s="48">
        <f>'Debt Schdule'!O7</f>
        <v>164.76792271705804</v>
      </c>
    </row>
    <row r="20" spans="2:19" x14ac:dyDescent="0.3"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</row>
    <row r="21" spans="2:19" x14ac:dyDescent="0.3">
      <c r="B21" s="57" t="s">
        <v>13</v>
      </c>
      <c r="C21" s="57"/>
      <c r="D21" s="57"/>
      <c r="E21" s="57"/>
      <c r="F21" s="58">
        <f>F16-F19</f>
        <v>7000</v>
      </c>
      <c r="G21" s="58">
        <f t="shared" ref="G21:J21" si="16">G16-G19</f>
        <v>5712</v>
      </c>
      <c r="H21" s="58">
        <f t="shared" si="16"/>
        <v>6711</v>
      </c>
      <c r="I21" s="58">
        <f t="shared" si="16"/>
        <v>7204</v>
      </c>
      <c r="J21" s="58">
        <f t="shared" si="16"/>
        <v>6392</v>
      </c>
      <c r="K21" s="59">
        <f>K16-K19</f>
        <v>6891.9405403378851</v>
      </c>
      <c r="L21" s="59">
        <f t="shared" ref="L21:O21" si="17">L16-L19</f>
        <v>7012.9436566427457</v>
      </c>
      <c r="M21" s="59">
        <f t="shared" si="17"/>
        <v>7120.6351018548994</v>
      </c>
      <c r="N21" s="59">
        <f t="shared" si="17"/>
        <v>7242.5465716212993</v>
      </c>
      <c r="O21" s="59">
        <f t="shared" si="17"/>
        <v>7358.228432311661</v>
      </c>
    </row>
    <row r="22" spans="2:19" x14ac:dyDescent="0.3">
      <c r="B22" s="42" t="s">
        <v>14</v>
      </c>
      <c r="C22" s="42"/>
      <c r="D22" s="42"/>
      <c r="E22" s="42"/>
      <c r="F22" s="43">
        <v>1637</v>
      </c>
      <c r="G22" s="43">
        <v>1130</v>
      </c>
      <c r="H22" s="43">
        <v>1337</v>
      </c>
      <c r="I22" s="43">
        <v>1285</v>
      </c>
      <c r="J22" s="42">
        <v>612</v>
      </c>
      <c r="K22" s="48">
        <f>K21*K23</f>
        <v>1247.4815337869454</v>
      </c>
      <c r="L22" s="48">
        <f t="shared" ref="L22:O22" si="18">L21*L23</f>
        <v>1269.3838053224433</v>
      </c>
      <c r="M22" s="48">
        <f t="shared" si="18"/>
        <v>1288.8765865591201</v>
      </c>
      <c r="N22" s="48">
        <f t="shared" si="18"/>
        <v>1310.9432753821427</v>
      </c>
      <c r="O22" s="48">
        <f t="shared" si="18"/>
        <v>1331.8823685389541</v>
      </c>
    </row>
    <row r="23" spans="2:19" x14ac:dyDescent="0.3">
      <c r="B23" s="44" t="s">
        <v>15</v>
      </c>
      <c r="C23" s="44"/>
      <c r="D23" s="44"/>
      <c r="E23" s="44"/>
      <c r="F23" s="46">
        <f>F22/F21</f>
        <v>0.23385714285714285</v>
      </c>
      <c r="G23" s="46">
        <f t="shared" ref="G23:J23" si="19">G22/G21</f>
        <v>0.19782913165266106</v>
      </c>
      <c r="H23" s="46">
        <f t="shared" si="19"/>
        <v>0.19922515273431679</v>
      </c>
      <c r="I23" s="46">
        <f t="shared" si="19"/>
        <v>0.17837312604108829</v>
      </c>
      <c r="J23" s="46">
        <f t="shared" si="19"/>
        <v>9.5744680851063829E-2</v>
      </c>
      <c r="K23" s="46">
        <f>AVERAGE($F$23:$J$23)</f>
        <v>0.18100584682725457</v>
      </c>
      <c r="L23" s="46">
        <f t="shared" ref="L23:O23" si="20">AVERAGE($F$23:$J$23)</f>
        <v>0.18100584682725457</v>
      </c>
      <c r="M23" s="46">
        <f t="shared" si="20"/>
        <v>0.18100584682725457</v>
      </c>
      <c r="N23" s="46">
        <f t="shared" si="20"/>
        <v>0.18100584682725457</v>
      </c>
      <c r="O23" s="46">
        <f t="shared" si="20"/>
        <v>0.18100584682725457</v>
      </c>
    </row>
    <row r="24" spans="2:19" x14ac:dyDescent="0.3"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</row>
    <row r="25" spans="2:19" x14ac:dyDescent="0.3">
      <c r="B25" s="57" t="s">
        <v>16</v>
      </c>
      <c r="C25" s="57"/>
      <c r="D25" s="57"/>
      <c r="E25" s="57"/>
      <c r="F25" s="58">
        <f>F21-F22</f>
        <v>5363</v>
      </c>
      <c r="G25" s="58">
        <f t="shared" ref="G25:O25" si="21">G21-G22</f>
        <v>4582</v>
      </c>
      <c r="H25" s="58">
        <f t="shared" si="21"/>
        <v>5374</v>
      </c>
      <c r="I25" s="58">
        <f t="shared" si="21"/>
        <v>5919</v>
      </c>
      <c r="J25" s="58">
        <f t="shared" si="21"/>
        <v>5780</v>
      </c>
      <c r="K25" s="58">
        <f t="shared" si="21"/>
        <v>5644.4590065509401</v>
      </c>
      <c r="L25" s="58">
        <f t="shared" si="21"/>
        <v>5743.5598513203022</v>
      </c>
      <c r="M25" s="58">
        <f t="shared" si="21"/>
        <v>5831.758515295779</v>
      </c>
      <c r="N25" s="58">
        <f t="shared" si="21"/>
        <v>5931.6032962391564</v>
      </c>
      <c r="O25" s="58">
        <f t="shared" si="21"/>
        <v>6026.3460637727067</v>
      </c>
    </row>
  </sheetData>
  <mergeCells count="2">
    <mergeCell ref="F1:J1"/>
    <mergeCell ref="K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63C51-26A7-4205-9909-327E8564FB85}">
  <sheetPr>
    <tabColor theme="9" tint="0.39997558519241921"/>
  </sheetPr>
  <dimension ref="B1:T23"/>
  <sheetViews>
    <sheetView showGridLines="0" workbookViewId="0">
      <selection activeCell="U12" sqref="U12"/>
    </sheetView>
  </sheetViews>
  <sheetFormatPr defaultRowHeight="14.4" x14ac:dyDescent="0.3"/>
  <cols>
    <col min="1" max="1" width="2.5546875" customWidth="1"/>
    <col min="16" max="16" width="11.33203125" customWidth="1"/>
    <col min="17" max="17" width="11.109375" customWidth="1"/>
    <col min="20" max="20" width="12" customWidth="1"/>
  </cols>
  <sheetData>
    <row r="1" spans="2:20" x14ac:dyDescent="0.3">
      <c r="B1" s="5" t="s">
        <v>17</v>
      </c>
      <c r="F1" s="136" t="s">
        <v>18</v>
      </c>
      <c r="G1" s="136"/>
      <c r="H1" s="136"/>
      <c r="I1" s="136"/>
      <c r="J1" s="136"/>
      <c r="K1" s="137" t="s">
        <v>19</v>
      </c>
      <c r="L1" s="137"/>
      <c r="M1" s="137"/>
      <c r="N1" s="137"/>
      <c r="O1" s="137"/>
    </row>
    <row r="2" spans="2:20" x14ac:dyDescent="0.3">
      <c r="B2" s="2" t="s">
        <v>20</v>
      </c>
      <c r="C2" s="1"/>
      <c r="D2" s="1"/>
      <c r="E2" s="1">
        <v>2017</v>
      </c>
      <c r="F2" s="1">
        <v>2018</v>
      </c>
      <c r="G2" s="1">
        <f>F2+1</f>
        <v>2019</v>
      </c>
      <c r="H2" s="1">
        <f t="shared" ref="H2:O2" si="0">G2+1</f>
        <v>2020</v>
      </c>
      <c r="I2" s="1">
        <f t="shared" si="0"/>
        <v>2021</v>
      </c>
      <c r="J2" s="1">
        <f t="shared" si="0"/>
        <v>2022</v>
      </c>
      <c r="K2" s="1">
        <f t="shared" si="0"/>
        <v>2023</v>
      </c>
      <c r="L2" s="1">
        <f t="shared" si="0"/>
        <v>2024</v>
      </c>
      <c r="M2" s="1">
        <f t="shared" si="0"/>
        <v>2025</v>
      </c>
      <c r="N2" s="1">
        <f t="shared" si="0"/>
        <v>2026</v>
      </c>
      <c r="O2" s="1">
        <f t="shared" si="0"/>
        <v>2027</v>
      </c>
    </row>
    <row r="3" spans="2:20" ht="6" customHeight="1" x14ac:dyDescent="0.3"/>
    <row r="4" spans="2:20" x14ac:dyDescent="0.3">
      <c r="B4" s="53" t="s">
        <v>21</v>
      </c>
      <c r="C4" s="42"/>
      <c r="D4" s="42"/>
      <c r="E4" s="42"/>
      <c r="F4" s="43">
        <f>E8</f>
        <v>8866</v>
      </c>
      <c r="G4" s="43">
        <f t="shared" ref="G4:O4" si="1">F8</f>
        <v>8738</v>
      </c>
      <c r="H4" s="43">
        <f t="shared" si="1"/>
        <v>9333</v>
      </c>
      <c r="I4" s="43">
        <f t="shared" si="1"/>
        <v>9421</v>
      </c>
      <c r="J4" s="43">
        <f t="shared" si="1"/>
        <v>9429</v>
      </c>
      <c r="K4" s="43">
        <f t="shared" si="1"/>
        <v>9178</v>
      </c>
      <c r="L4" s="43">
        <f t="shared" si="1"/>
        <v>9731.4186023434122</v>
      </c>
      <c r="M4" s="43">
        <f t="shared" si="1"/>
        <v>9850.5680515509594</v>
      </c>
      <c r="N4" s="43">
        <f t="shared" si="1"/>
        <v>9971.1763416353187</v>
      </c>
      <c r="O4" s="43">
        <f t="shared" si="1"/>
        <v>10093.261334338345</v>
      </c>
    </row>
    <row r="5" spans="2:20" x14ac:dyDescent="0.3">
      <c r="B5" s="42" t="s">
        <v>22</v>
      </c>
      <c r="C5" s="42"/>
      <c r="D5" s="42"/>
      <c r="E5" s="42"/>
      <c r="F5" s="60">
        <v>1577</v>
      </c>
      <c r="G5" s="60">
        <v>1699</v>
      </c>
      <c r="H5" s="60">
        <v>1501</v>
      </c>
      <c r="I5" s="60">
        <v>1603</v>
      </c>
      <c r="J5" s="60">
        <v>1749</v>
      </c>
      <c r="K5" s="43">
        <f>K6-K4</f>
        <v>1906.6369987619019</v>
      </c>
      <c r="L5" s="43">
        <f t="shared" ref="L5:O5" si="2">L6-L4</f>
        <v>1488.9363679740491</v>
      </c>
      <c r="M5" s="43">
        <f t="shared" si="2"/>
        <v>1507.166592712967</v>
      </c>
      <c r="N5" s="43">
        <f t="shared" si="2"/>
        <v>1525.6200245016826</v>
      </c>
      <c r="O5" s="43">
        <f t="shared" si="2"/>
        <v>1544.299396240518</v>
      </c>
    </row>
    <row r="6" spans="2:20" x14ac:dyDescent="0.3">
      <c r="B6" s="56" t="s">
        <v>23</v>
      </c>
      <c r="C6" s="57"/>
      <c r="D6" s="57"/>
      <c r="E6" s="57"/>
      <c r="F6" s="58">
        <f>F4+F5</f>
        <v>10443</v>
      </c>
      <c r="G6" s="58">
        <f t="shared" ref="G6:J6" si="3">G4+G5</f>
        <v>10437</v>
      </c>
      <c r="H6" s="58">
        <f t="shared" si="3"/>
        <v>10834</v>
      </c>
      <c r="I6" s="58">
        <f t="shared" si="3"/>
        <v>11024</v>
      </c>
      <c r="J6" s="58">
        <f t="shared" si="3"/>
        <v>11178</v>
      </c>
      <c r="K6" s="58">
        <f>'Income Statement'!K3/'Fixed Asset Schdule'!K12</f>
        <v>11084.636998761902</v>
      </c>
      <c r="L6" s="58">
        <f>'Income Statement'!L3/'Fixed Asset Schdule'!L12</f>
        <v>11220.354970317461</v>
      </c>
      <c r="M6" s="58">
        <f>'Income Statement'!M3/'Fixed Asset Schdule'!M12</f>
        <v>11357.734644263926</v>
      </c>
      <c r="N6" s="58">
        <f>'Income Statement'!N3/'Fixed Asset Schdule'!N12</f>
        <v>11496.796366137001</v>
      </c>
      <c r="O6" s="58">
        <f>'Income Statement'!O3/'Fixed Asset Schdule'!O12</f>
        <v>11637.560730578864</v>
      </c>
    </row>
    <row r="7" spans="2:20" x14ac:dyDescent="0.3">
      <c r="B7" s="42" t="s">
        <v>24</v>
      </c>
      <c r="C7" s="42"/>
      <c r="D7" s="42"/>
      <c r="E7" s="42"/>
      <c r="F7" s="43">
        <f>'Income Statement'!F13</f>
        <v>1239</v>
      </c>
      <c r="G7" s="43">
        <f>'Income Statement'!G13</f>
        <v>1252</v>
      </c>
      <c r="H7" s="43">
        <f>'Income Statement'!H13</f>
        <v>1374</v>
      </c>
      <c r="I7" s="43">
        <f>'Income Statement'!I13</f>
        <v>1386</v>
      </c>
      <c r="J7" s="43">
        <f>'Income Statement'!J13</f>
        <v>1333</v>
      </c>
      <c r="K7" s="48">
        <f>K6*K10</f>
        <v>1353.2183964184903</v>
      </c>
      <c r="L7" s="48">
        <f t="shared" ref="L7:O7" si="4">L6*L10</f>
        <v>1369.7869187665021</v>
      </c>
      <c r="M7" s="48">
        <f t="shared" si="4"/>
        <v>1386.5583026286074</v>
      </c>
      <c r="N7" s="48">
        <f t="shared" si="4"/>
        <v>1403.5350317986556</v>
      </c>
      <c r="O7" s="48">
        <f t="shared" si="4"/>
        <v>1420.7196204815473</v>
      </c>
    </row>
    <row r="8" spans="2:20" x14ac:dyDescent="0.3">
      <c r="B8" s="56" t="s">
        <v>25</v>
      </c>
      <c r="C8" s="57"/>
      <c r="D8" s="57"/>
      <c r="E8" s="58">
        <v>8866</v>
      </c>
      <c r="F8" s="61">
        <v>8738</v>
      </c>
      <c r="G8" s="61">
        <v>9333</v>
      </c>
      <c r="H8" s="61">
        <v>9421</v>
      </c>
      <c r="I8" s="61">
        <v>9429</v>
      </c>
      <c r="J8" s="61">
        <v>9178</v>
      </c>
      <c r="K8" s="58">
        <f>K6-K7</f>
        <v>9731.4186023434122</v>
      </c>
      <c r="L8" s="58">
        <f t="shared" ref="L8:O8" si="5">L6-L7</f>
        <v>9850.5680515509594</v>
      </c>
      <c r="M8" s="58">
        <f t="shared" si="5"/>
        <v>9971.1763416353187</v>
      </c>
      <c r="N8" s="58">
        <f t="shared" si="5"/>
        <v>10093.261334338345</v>
      </c>
      <c r="O8" s="58">
        <f t="shared" si="5"/>
        <v>10216.841110097317</v>
      </c>
    </row>
    <row r="9" spans="2:20" x14ac:dyDescent="0.3"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</row>
    <row r="10" spans="2:20" x14ac:dyDescent="0.3">
      <c r="B10" s="44" t="s">
        <v>26</v>
      </c>
      <c r="C10" s="62"/>
      <c r="D10" s="62"/>
      <c r="E10" s="62"/>
      <c r="F10" s="63">
        <f>F7/F6</f>
        <v>0.11864406779661017</v>
      </c>
      <c r="G10" s="63">
        <f t="shared" ref="G10:J10" si="6">G7/G6</f>
        <v>0.11995784229184632</v>
      </c>
      <c r="H10" s="63">
        <f t="shared" si="6"/>
        <v>0.12682296474063134</v>
      </c>
      <c r="I10" s="63">
        <f t="shared" si="6"/>
        <v>0.1257256894049347</v>
      </c>
      <c r="J10" s="63">
        <f t="shared" si="6"/>
        <v>0.11925210234388979</v>
      </c>
      <c r="K10" s="64">
        <f>AVERAGE($F$10:$J$10)</f>
        <v>0.12208053331558247</v>
      </c>
      <c r="L10" s="64">
        <f t="shared" ref="L10:O10" si="7">AVERAGE($F$10:$J$10)</f>
        <v>0.12208053331558247</v>
      </c>
      <c r="M10" s="64">
        <f t="shared" si="7"/>
        <v>0.12208053331558247</v>
      </c>
      <c r="N10" s="64">
        <f t="shared" si="7"/>
        <v>0.12208053331558247</v>
      </c>
      <c r="O10" s="64">
        <f t="shared" si="7"/>
        <v>0.12208053331558247</v>
      </c>
    </row>
    <row r="11" spans="2:20" x14ac:dyDescent="0.3"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</row>
    <row r="12" spans="2:20" x14ac:dyDescent="0.3">
      <c r="B12" s="42" t="s">
        <v>27</v>
      </c>
      <c r="C12" s="42"/>
      <c r="D12" s="42"/>
      <c r="E12" s="42"/>
      <c r="F12" s="65">
        <f>'Income Statement'!G3/'Fixed Asset Schdule'!F6</f>
        <v>3.0772766446423443</v>
      </c>
      <c r="G12" s="65">
        <f>'Income Statement'!H3/'Fixed Asset Schdule'!G6</f>
        <v>3.0836447254958324</v>
      </c>
      <c r="H12" s="65">
        <f>'Income Statement'!I3/'Fixed Asset Schdule'!H6</f>
        <v>3.2633376407605685</v>
      </c>
      <c r="I12" s="65">
        <f>'Income Statement'!J3/'Fixed Asset Schdule'!I6</f>
        <v>3.1049528301886791</v>
      </c>
      <c r="J12" s="65">
        <f>'Income Statement'!K3/'Fixed Asset Schdule'!J6</f>
        <v>3.0996683395959916</v>
      </c>
      <c r="K12" s="65">
        <f>AVERAGE($F$12:$J$12)</f>
        <v>3.1257760361366831</v>
      </c>
      <c r="L12" s="65">
        <f t="shared" ref="L12:O12" si="8">AVERAGE($F$12:$J$12)</f>
        <v>3.1257760361366831</v>
      </c>
      <c r="M12" s="65">
        <f t="shared" si="8"/>
        <v>3.1257760361366831</v>
      </c>
      <c r="N12" s="65">
        <f t="shared" si="8"/>
        <v>3.1257760361366831</v>
      </c>
      <c r="O12" s="65">
        <f t="shared" si="8"/>
        <v>3.1257760361366831</v>
      </c>
    </row>
    <row r="13" spans="2:20" x14ac:dyDescent="0.3"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</row>
    <row r="14" spans="2:20" ht="1.8" customHeight="1" x14ac:dyDescent="0.3">
      <c r="B14" s="13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</row>
    <row r="15" spans="2:20" x14ac:dyDescent="0.3">
      <c r="B15" s="53" t="s">
        <v>21</v>
      </c>
      <c r="C15" s="42"/>
      <c r="D15" s="42"/>
      <c r="E15" s="42"/>
      <c r="F15" s="43">
        <f>E19</f>
        <v>2936</v>
      </c>
      <c r="G15" s="43">
        <f t="shared" ref="G15:O15" si="9">F19</f>
        <v>2657</v>
      </c>
      <c r="H15" s="43">
        <f t="shared" si="9"/>
        <v>6379</v>
      </c>
      <c r="I15" s="43">
        <f t="shared" si="9"/>
        <v>5835</v>
      </c>
      <c r="J15" s="43">
        <f t="shared" si="9"/>
        <v>5288</v>
      </c>
      <c r="K15" s="43">
        <f t="shared" si="9"/>
        <v>4699</v>
      </c>
      <c r="L15" s="43">
        <f t="shared" si="9"/>
        <v>4316.0609608237564</v>
      </c>
      <c r="M15" s="43">
        <f t="shared" si="9"/>
        <v>3964.3290524679483</v>
      </c>
      <c r="N15" s="43">
        <f t="shared" si="9"/>
        <v>3641.26108942676</v>
      </c>
      <c r="O15" s="43">
        <f t="shared" si="9"/>
        <v>3344.5211398683596</v>
      </c>
    </row>
    <row r="16" spans="2:20" x14ac:dyDescent="0.3">
      <c r="B16" s="42" t="s">
        <v>33</v>
      </c>
      <c r="C16" s="42"/>
      <c r="D16" s="42"/>
      <c r="E16" s="42"/>
      <c r="F16" s="43">
        <f>F15-F17</f>
        <v>30</v>
      </c>
      <c r="G16" s="43">
        <f t="shared" ref="G16:J16" si="10">G15-G17</f>
        <v>-4063</v>
      </c>
      <c r="H16" s="43">
        <f t="shared" si="10"/>
        <v>7</v>
      </c>
      <c r="I16" s="43">
        <f t="shared" si="10"/>
        <v>18</v>
      </c>
      <c r="J16" s="43">
        <f t="shared" si="10"/>
        <v>91</v>
      </c>
      <c r="K16" s="43">
        <v>0</v>
      </c>
      <c r="L16" s="43">
        <v>0</v>
      </c>
      <c r="M16" s="43">
        <v>0</v>
      </c>
      <c r="N16" s="43">
        <v>0</v>
      </c>
      <c r="O16" s="43">
        <v>0</v>
      </c>
      <c r="P16" s="10" t="s">
        <v>37</v>
      </c>
      <c r="Q16" s="11"/>
      <c r="R16" s="11"/>
      <c r="S16" s="11"/>
      <c r="T16" s="11"/>
    </row>
    <row r="17" spans="2:15" x14ac:dyDescent="0.3">
      <c r="B17" s="56" t="s">
        <v>34</v>
      </c>
      <c r="C17" s="57"/>
      <c r="D17" s="57"/>
      <c r="E17" s="57"/>
      <c r="F17" s="58">
        <f>F19+F18</f>
        <v>2906</v>
      </c>
      <c r="G17" s="58">
        <f t="shared" ref="G17:J17" si="11">G19+G18</f>
        <v>6720</v>
      </c>
      <c r="H17" s="58">
        <f t="shared" si="11"/>
        <v>6372</v>
      </c>
      <c r="I17" s="58">
        <f t="shared" si="11"/>
        <v>5817</v>
      </c>
      <c r="J17" s="58">
        <f t="shared" si="11"/>
        <v>5197</v>
      </c>
      <c r="K17" s="58">
        <f>K15+K16</f>
        <v>4699</v>
      </c>
      <c r="L17" s="58">
        <f t="shared" ref="L17:O17" si="12">L15+L16</f>
        <v>4316.0609608237564</v>
      </c>
      <c r="M17" s="58">
        <f t="shared" si="12"/>
        <v>3964.3290524679483</v>
      </c>
      <c r="N17" s="58">
        <f t="shared" si="12"/>
        <v>3641.26108942676</v>
      </c>
      <c r="O17" s="58">
        <f t="shared" si="12"/>
        <v>3344.5211398683596</v>
      </c>
    </row>
    <row r="18" spans="2:15" x14ac:dyDescent="0.3">
      <c r="B18" s="42" t="s">
        <v>35</v>
      </c>
      <c r="C18" s="42"/>
      <c r="D18" s="42"/>
      <c r="E18" s="42"/>
      <c r="F18" s="43">
        <f>'Income Statement'!F14</f>
        <v>249</v>
      </c>
      <c r="G18" s="43">
        <f>'Income Statement'!G14</f>
        <v>341</v>
      </c>
      <c r="H18" s="43">
        <f>'Income Statement'!H14</f>
        <v>537</v>
      </c>
      <c r="I18" s="43">
        <f>'Income Statement'!I14</f>
        <v>529</v>
      </c>
      <c r="J18" s="43">
        <f>'Income Statement'!J14</f>
        <v>498</v>
      </c>
      <c r="K18" s="48">
        <f>K17*K21</f>
        <v>382.93903917624323</v>
      </c>
      <c r="L18" s="48">
        <f t="shared" ref="L18:O18" si="13">L17*L21</f>
        <v>351.73190835580817</v>
      </c>
      <c r="M18" s="48">
        <f t="shared" si="13"/>
        <v>323.06796304118814</v>
      </c>
      <c r="N18" s="48">
        <f t="shared" si="13"/>
        <v>296.73994955840055</v>
      </c>
      <c r="O18" s="48">
        <f t="shared" si="13"/>
        <v>272.55750410849618</v>
      </c>
    </row>
    <row r="19" spans="2:15" x14ac:dyDescent="0.3">
      <c r="B19" s="56" t="s">
        <v>25</v>
      </c>
      <c r="C19" s="57"/>
      <c r="D19" s="57"/>
      <c r="E19" s="61">
        <v>2936</v>
      </c>
      <c r="F19" s="61">
        <v>2657</v>
      </c>
      <c r="G19" s="61">
        <v>6379</v>
      </c>
      <c r="H19" s="61">
        <v>5835</v>
      </c>
      <c r="I19" s="61">
        <v>5288</v>
      </c>
      <c r="J19" s="61">
        <v>4699</v>
      </c>
      <c r="K19" s="58">
        <f>K17-K18</f>
        <v>4316.0609608237564</v>
      </c>
      <c r="L19" s="58">
        <f t="shared" ref="L19:O19" si="14">L17-L18</f>
        <v>3964.3290524679483</v>
      </c>
      <c r="M19" s="58">
        <f t="shared" si="14"/>
        <v>3641.26108942676</v>
      </c>
      <c r="N19" s="58">
        <f t="shared" si="14"/>
        <v>3344.5211398683596</v>
      </c>
      <c r="O19" s="58">
        <f t="shared" si="14"/>
        <v>3071.9636357598633</v>
      </c>
    </row>
    <row r="20" spans="2:15" x14ac:dyDescent="0.3"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</row>
    <row r="21" spans="2:15" x14ac:dyDescent="0.3">
      <c r="B21" s="44" t="s">
        <v>36</v>
      </c>
      <c r="C21" s="62"/>
      <c r="D21" s="62"/>
      <c r="E21" s="62"/>
      <c r="F21" s="63">
        <f>F18/F17</f>
        <v>8.5684790089470067E-2</v>
      </c>
      <c r="G21" s="63">
        <f t="shared" ref="G21:J21" si="15">G18/G17</f>
        <v>5.0744047619047619E-2</v>
      </c>
      <c r="H21" s="63">
        <f t="shared" si="15"/>
        <v>8.4274952919020721E-2</v>
      </c>
      <c r="I21" s="63">
        <f t="shared" si="15"/>
        <v>9.0940347258036791E-2</v>
      </c>
      <c r="J21" s="63">
        <f t="shared" si="15"/>
        <v>9.582451414277468E-2</v>
      </c>
      <c r="K21" s="64">
        <f>AVERAGE($F$21:$J$21)</f>
        <v>8.1493730405669984E-2</v>
      </c>
      <c r="L21" s="64">
        <f t="shared" ref="L21:O21" si="16">AVERAGE($F$21:$J$21)</f>
        <v>8.1493730405669984E-2</v>
      </c>
      <c r="M21" s="64">
        <f t="shared" si="16"/>
        <v>8.1493730405669984E-2</v>
      </c>
      <c r="N21" s="64">
        <f t="shared" si="16"/>
        <v>8.1493730405669984E-2</v>
      </c>
      <c r="O21" s="64">
        <f t="shared" si="16"/>
        <v>8.1493730405669984E-2</v>
      </c>
    </row>
    <row r="23" spans="2:15" x14ac:dyDescent="0.3">
      <c r="F23" s="9"/>
      <c r="G23" s="9"/>
      <c r="H23" s="9"/>
      <c r="I23" s="9"/>
      <c r="J23" s="9"/>
      <c r="K23" s="9"/>
      <c r="L23" s="9"/>
      <c r="M23" s="9"/>
      <c r="N23" s="9"/>
      <c r="O23" s="9"/>
    </row>
  </sheetData>
  <mergeCells count="2">
    <mergeCell ref="F1:J1"/>
    <mergeCell ref="K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761B1-6F38-4675-A560-9DF7A103D2C0}">
  <sheetPr>
    <tabColor rgb="FFFFFF00"/>
  </sheetPr>
  <dimension ref="B1:O12"/>
  <sheetViews>
    <sheetView showGridLines="0" workbookViewId="0">
      <selection activeCell="S9" sqref="S9"/>
    </sheetView>
  </sheetViews>
  <sheetFormatPr defaultRowHeight="14.4" x14ac:dyDescent="0.3"/>
  <cols>
    <col min="1" max="1" width="2.109375" customWidth="1"/>
  </cols>
  <sheetData>
    <row r="1" spans="2:15" x14ac:dyDescent="0.3">
      <c r="B1" s="5" t="s">
        <v>17</v>
      </c>
      <c r="F1" s="136" t="s">
        <v>18</v>
      </c>
      <c r="G1" s="136"/>
      <c r="H1" s="136"/>
      <c r="I1" s="136"/>
      <c r="J1" s="136"/>
      <c r="K1" s="137" t="s">
        <v>19</v>
      </c>
      <c r="L1" s="137"/>
      <c r="M1" s="137"/>
      <c r="N1" s="137"/>
      <c r="O1" s="137"/>
    </row>
    <row r="2" spans="2:15" x14ac:dyDescent="0.3">
      <c r="B2" s="2" t="s">
        <v>28</v>
      </c>
      <c r="C2" s="1"/>
      <c r="D2" s="1"/>
      <c r="E2" s="1">
        <v>2017</v>
      </c>
      <c r="F2" s="1">
        <v>2018</v>
      </c>
      <c r="G2" s="1">
        <f>F2+1</f>
        <v>2019</v>
      </c>
      <c r="H2" s="1">
        <f t="shared" ref="H2:O2" si="0">G2+1</f>
        <v>2020</v>
      </c>
      <c r="I2" s="1">
        <f t="shared" si="0"/>
        <v>2021</v>
      </c>
      <c r="J2" s="1">
        <f t="shared" si="0"/>
        <v>2022</v>
      </c>
      <c r="K2" s="1">
        <f t="shared" si="0"/>
        <v>2023</v>
      </c>
      <c r="L2" s="1">
        <f t="shared" si="0"/>
        <v>2024</v>
      </c>
      <c r="M2" s="1">
        <f t="shared" si="0"/>
        <v>2025</v>
      </c>
      <c r="N2" s="1">
        <f t="shared" si="0"/>
        <v>2026</v>
      </c>
      <c r="O2" s="1">
        <f t="shared" si="0"/>
        <v>2027</v>
      </c>
    </row>
    <row r="3" spans="2:15" x14ac:dyDescent="0.3">
      <c r="B3" s="66" t="s">
        <v>29</v>
      </c>
      <c r="C3" s="67"/>
      <c r="D3" s="67"/>
      <c r="E3" s="67"/>
      <c r="F3" s="67">
        <f>E5</f>
        <v>13949</v>
      </c>
      <c r="G3" s="67">
        <f t="shared" ref="G3:O3" si="1">F5</f>
        <v>14622</v>
      </c>
      <c r="H3" s="67">
        <f t="shared" si="1"/>
        <v>20313</v>
      </c>
      <c r="I3" s="67">
        <f t="shared" si="1"/>
        <v>18795</v>
      </c>
      <c r="J3" s="67">
        <f t="shared" si="1"/>
        <v>17363</v>
      </c>
      <c r="K3" s="67">
        <f t="shared" si="1"/>
        <v>15939</v>
      </c>
      <c r="L3" s="67">
        <f t="shared" si="1"/>
        <v>14001</v>
      </c>
      <c r="M3" s="67">
        <f t="shared" si="1"/>
        <v>12901</v>
      </c>
      <c r="N3" s="67">
        <f t="shared" si="1"/>
        <v>11036</v>
      </c>
      <c r="O3" s="67">
        <f t="shared" si="1"/>
        <v>9598</v>
      </c>
    </row>
    <row r="4" spans="2:15" x14ac:dyDescent="0.3">
      <c r="B4" s="67" t="s">
        <v>41</v>
      </c>
      <c r="C4" s="67"/>
      <c r="D4" s="67"/>
      <c r="E4" s="67"/>
      <c r="F4" s="67">
        <f>F5-F3</f>
        <v>673</v>
      </c>
      <c r="G4" s="67">
        <f t="shared" ref="G4:J4" si="2">G5-G3</f>
        <v>5691</v>
      </c>
      <c r="H4" s="67">
        <f t="shared" si="2"/>
        <v>-1518</v>
      </c>
      <c r="I4" s="67">
        <f t="shared" si="2"/>
        <v>-1432</v>
      </c>
      <c r="J4" s="67">
        <f t="shared" si="2"/>
        <v>-1424</v>
      </c>
      <c r="K4" s="68">
        <v>-1938</v>
      </c>
      <c r="L4" s="68">
        <v>-1100</v>
      </c>
      <c r="M4" s="68">
        <v>-1865</v>
      </c>
      <c r="N4" s="68">
        <v>-1438</v>
      </c>
      <c r="O4" s="67">
        <v>-845</v>
      </c>
    </row>
    <row r="5" spans="2:15" x14ac:dyDescent="0.3">
      <c r="B5" s="69" t="s">
        <v>30</v>
      </c>
      <c r="C5" s="70"/>
      <c r="D5" s="70"/>
      <c r="E5" s="70">
        <f t="shared" ref="E5:J5" si="3">E10</f>
        <v>13949</v>
      </c>
      <c r="F5" s="70">
        <f t="shared" si="3"/>
        <v>14622</v>
      </c>
      <c r="G5" s="70">
        <f t="shared" si="3"/>
        <v>20313</v>
      </c>
      <c r="H5" s="70">
        <f t="shared" si="3"/>
        <v>18795</v>
      </c>
      <c r="I5" s="70">
        <f t="shared" si="3"/>
        <v>17363</v>
      </c>
      <c r="J5" s="70">
        <f t="shared" si="3"/>
        <v>15939</v>
      </c>
      <c r="K5" s="71">
        <f>SUM(K3:K4)</f>
        <v>14001</v>
      </c>
      <c r="L5" s="71">
        <f t="shared" ref="L5:O5" si="4">SUM(L3:L4)</f>
        <v>12901</v>
      </c>
      <c r="M5" s="71">
        <f t="shared" si="4"/>
        <v>11036</v>
      </c>
      <c r="N5" s="71">
        <f t="shared" si="4"/>
        <v>9598</v>
      </c>
      <c r="O5" s="71">
        <f t="shared" si="4"/>
        <v>8753</v>
      </c>
    </row>
    <row r="6" spans="2:15" x14ac:dyDescent="0.3"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</row>
    <row r="7" spans="2:15" x14ac:dyDescent="0.3">
      <c r="B7" s="67" t="s">
        <v>12</v>
      </c>
      <c r="C7" s="67"/>
      <c r="D7" s="67"/>
      <c r="E7" s="67"/>
      <c r="F7" s="67">
        <f>'Income Statement'!F19</f>
        <v>207</v>
      </c>
      <c r="G7" s="67">
        <f>'Income Statement'!G19</f>
        <v>462</v>
      </c>
      <c r="H7" s="67">
        <f>'Income Statement'!H19</f>
        <v>450</v>
      </c>
      <c r="I7" s="67">
        <f>'Income Statement'!I19</f>
        <v>165</v>
      </c>
      <c r="J7" s="67">
        <f>'Income Statement'!J19</f>
        <v>147</v>
      </c>
      <c r="K7" s="72">
        <f>K3*K8</f>
        <v>273.62324652919239</v>
      </c>
      <c r="L7" s="72">
        <f t="shared" ref="L7:O7" si="5">L3*L8</f>
        <v>240.35379099411645</v>
      </c>
      <c r="M7" s="72">
        <f t="shared" si="5"/>
        <v>221.47019910114253</v>
      </c>
      <c r="N7" s="72">
        <f t="shared" si="5"/>
        <v>189.45392739169125</v>
      </c>
      <c r="O7" s="72">
        <f t="shared" si="5"/>
        <v>164.76792271705804</v>
      </c>
    </row>
    <row r="8" spans="2:15" x14ac:dyDescent="0.3">
      <c r="B8" s="73" t="s">
        <v>31</v>
      </c>
      <c r="C8" s="74"/>
      <c r="D8" s="74"/>
      <c r="E8" s="74"/>
      <c r="F8" s="75">
        <f>F7/F3</f>
        <v>1.4839773460463116E-2</v>
      </c>
      <c r="G8" s="75">
        <f t="shared" ref="G8:J8" si="6">G7/G3</f>
        <v>3.1596224866639308E-2</v>
      </c>
      <c r="H8" s="75">
        <f t="shared" si="6"/>
        <v>2.2153300841825433E-2</v>
      </c>
      <c r="I8" s="75">
        <f t="shared" si="6"/>
        <v>8.7789305666400638E-3</v>
      </c>
      <c r="J8" s="75">
        <f t="shared" si="6"/>
        <v>8.4662788688590687E-3</v>
      </c>
      <c r="K8" s="76">
        <f>AVERAGE($F$8:$J$8)</f>
        <v>1.7166901720885398E-2</v>
      </c>
      <c r="L8" s="76">
        <f>AVERAGE($F$8:$J$8)</f>
        <v>1.7166901720885398E-2</v>
      </c>
      <c r="M8" s="76">
        <f t="shared" ref="M8" si="7">AVERAGE($F$8:$J$8)</f>
        <v>1.7166901720885398E-2</v>
      </c>
      <c r="N8" s="76">
        <f>AVERAGE($F$8:$J$8)</f>
        <v>1.7166901720885398E-2</v>
      </c>
      <c r="O8" s="76">
        <f>AVERAGE($F$8:$J$8)</f>
        <v>1.7166901720885398E-2</v>
      </c>
    </row>
    <row r="10" spans="2:15" x14ac:dyDescent="0.3">
      <c r="B10" s="144" t="s">
        <v>38</v>
      </c>
      <c r="C10" s="145"/>
      <c r="D10" s="146"/>
      <c r="E10" s="14">
        <f>E11+E12</f>
        <v>13949</v>
      </c>
      <c r="F10" s="14">
        <f>F11+F12</f>
        <v>14622</v>
      </c>
      <c r="G10" s="14">
        <f t="shared" ref="G10:J10" si="8">G11+G12</f>
        <v>20313</v>
      </c>
      <c r="H10" s="14">
        <f t="shared" si="8"/>
        <v>18795</v>
      </c>
      <c r="I10" s="14">
        <f t="shared" si="8"/>
        <v>17363</v>
      </c>
      <c r="J10" s="14">
        <f t="shared" si="8"/>
        <v>15939</v>
      </c>
    </row>
    <row r="11" spans="2:15" x14ac:dyDescent="0.3">
      <c r="B11" s="138" t="s">
        <v>39</v>
      </c>
      <c r="C11" s="139"/>
      <c r="D11" s="140"/>
      <c r="E11" s="15">
        <v>1853</v>
      </c>
      <c r="F11" s="15">
        <v>1211</v>
      </c>
      <c r="G11" s="15">
        <v>2795</v>
      </c>
      <c r="H11" s="15">
        <v>806</v>
      </c>
      <c r="I11" s="15">
        <v>1307</v>
      </c>
      <c r="J11" s="15">
        <v>1938</v>
      </c>
    </row>
    <row r="12" spans="2:15" x14ac:dyDescent="0.3">
      <c r="B12" s="141" t="s">
        <v>40</v>
      </c>
      <c r="C12" s="142"/>
      <c r="D12" s="143"/>
      <c r="E12" s="15">
        <v>12096</v>
      </c>
      <c r="F12" s="15">
        <v>13411</v>
      </c>
      <c r="G12" s="15">
        <v>17518</v>
      </c>
      <c r="H12" s="15">
        <v>17989</v>
      </c>
      <c r="I12" s="15">
        <v>16056</v>
      </c>
      <c r="J12" s="15">
        <v>14001</v>
      </c>
    </row>
  </sheetData>
  <mergeCells count="5">
    <mergeCell ref="F1:J1"/>
    <mergeCell ref="K1:O1"/>
    <mergeCell ref="B11:D11"/>
    <mergeCell ref="B12:D12"/>
    <mergeCell ref="B10:D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0CC63-3A36-4735-9B63-FFDA16B22417}">
  <dimension ref="B1:O29"/>
  <sheetViews>
    <sheetView showGridLines="0" workbookViewId="0">
      <selection activeCell="R31" sqref="R31"/>
    </sheetView>
  </sheetViews>
  <sheetFormatPr defaultRowHeight="14.4" x14ac:dyDescent="0.3"/>
  <cols>
    <col min="1" max="1" width="3" customWidth="1"/>
  </cols>
  <sheetData>
    <row r="1" spans="2:15" x14ac:dyDescent="0.3">
      <c r="B1" s="5" t="s">
        <v>17</v>
      </c>
      <c r="F1" s="136" t="s">
        <v>18</v>
      </c>
      <c r="G1" s="136"/>
      <c r="H1" s="136"/>
      <c r="I1" s="136"/>
      <c r="J1" s="136"/>
      <c r="K1" s="137" t="s">
        <v>19</v>
      </c>
      <c r="L1" s="137"/>
      <c r="M1" s="137"/>
      <c r="N1" s="137"/>
      <c r="O1" s="137"/>
    </row>
    <row r="2" spans="2:15" x14ac:dyDescent="0.3">
      <c r="B2" s="2" t="s">
        <v>43</v>
      </c>
      <c r="C2" s="1"/>
      <c r="D2" s="1"/>
      <c r="E2" s="1">
        <v>2017</v>
      </c>
      <c r="F2" s="1">
        <v>2018</v>
      </c>
      <c r="G2" s="1">
        <f>F2+1</f>
        <v>2019</v>
      </c>
      <c r="H2" s="1">
        <f t="shared" ref="H2:O2" si="0">G2+1</f>
        <v>2020</v>
      </c>
      <c r="I2" s="1">
        <f t="shared" si="0"/>
        <v>2021</v>
      </c>
      <c r="J2" s="1">
        <f t="shared" si="0"/>
        <v>2022</v>
      </c>
      <c r="K2" s="1">
        <f t="shared" si="0"/>
        <v>2023</v>
      </c>
      <c r="L2" s="1">
        <f t="shared" si="0"/>
        <v>2024</v>
      </c>
      <c r="M2" s="1">
        <f t="shared" si="0"/>
        <v>2025</v>
      </c>
      <c r="N2" s="1">
        <f t="shared" si="0"/>
        <v>2026</v>
      </c>
      <c r="O2" s="1">
        <f t="shared" si="0"/>
        <v>2027</v>
      </c>
    </row>
    <row r="3" spans="2:15" ht="4.2" customHeight="1" x14ac:dyDescent="0.3"/>
    <row r="4" spans="2:15" x14ac:dyDescent="0.3">
      <c r="B4" s="84" t="s">
        <v>42</v>
      </c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</row>
    <row r="5" spans="2:15" x14ac:dyDescent="0.3">
      <c r="B5" s="85" t="s">
        <v>44</v>
      </c>
      <c r="C5" s="85"/>
      <c r="D5" s="85"/>
      <c r="E5" s="86"/>
      <c r="F5" s="85">
        <v>5020</v>
      </c>
      <c r="G5" s="86">
        <v>4791</v>
      </c>
      <c r="H5" s="86">
        <v>4705</v>
      </c>
      <c r="I5" s="86">
        <v>4660</v>
      </c>
      <c r="J5" s="86">
        <v>4532</v>
      </c>
      <c r="K5" s="86">
        <f>'Income Statement'!K3/(365/K23)</f>
        <v>4938.7140345007674</v>
      </c>
      <c r="L5" s="86">
        <f>'Income Statement'!L3/(365/L23)</f>
        <v>4999.1826137542239</v>
      </c>
      <c r="M5" s="86">
        <f>'Income Statement'!M3/(365/M23)</f>
        <v>5060.3915576150221</v>
      </c>
      <c r="N5" s="86">
        <f>'Income Statement'!N3/(365/N23)</f>
        <v>5122.3499309522012</v>
      </c>
      <c r="O5" s="86">
        <f>'Income Statement'!O3/(365/O23)</f>
        <v>5185.0669096231532</v>
      </c>
    </row>
    <row r="6" spans="2:15" x14ac:dyDescent="0.3">
      <c r="B6" s="85" t="s">
        <v>45</v>
      </c>
      <c r="C6" s="85"/>
      <c r="D6" s="85"/>
      <c r="E6" s="85"/>
      <c r="F6" s="86">
        <v>4366</v>
      </c>
      <c r="G6" s="86">
        <v>4134</v>
      </c>
      <c r="H6" s="86">
        <v>4239</v>
      </c>
      <c r="I6" s="86">
        <v>4985</v>
      </c>
      <c r="J6" s="86">
        <v>5372</v>
      </c>
      <c r="K6" s="86">
        <f>'Income Statement'!K6/(365/'Working Capital Schdule'!K24)</f>
        <v>4788.0374790078422</v>
      </c>
      <c r="L6" s="86">
        <f>'Income Statement'!L6/(365/'Working Capital Schdule'!L24)</f>
        <v>4846.6612061046808</v>
      </c>
      <c r="M6" s="86">
        <f>'Income Statement'!M6/(365/'Working Capital Schdule'!M24)</f>
        <v>4906.0027098258242</v>
      </c>
      <c r="N6" s="86">
        <f>'Income Statement'!N6/(365/'Working Capital Schdule'!N24)</f>
        <v>4966.0707784777806</v>
      </c>
      <c r="O6" s="86">
        <f>'Income Statement'!O6/(365/'Working Capital Schdule'!O24)</f>
        <v>5026.8743079692413</v>
      </c>
    </row>
    <row r="7" spans="2:15" x14ac:dyDescent="0.3">
      <c r="B7" s="85" t="s">
        <v>46</v>
      </c>
      <c r="C7" s="85"/>
      <c r="D7" s="85"/>
      <c r="E7" s="85"/>
      <c r="F7" s="85">
        <v>741</v>
      </c>
      <c r="G7" s="85">
        <v>704</v>
      </c>
      <c r="H7" s="85">
        <v>675</v>
      </c>
      <c r="I7" s="85">
        <v>654</v>
      </c>
      <c r="J7" s="85">
        <v>435</v>
      </c>
      <c r="K7" s="86">
        <f>'Income Statement'!K3*'Working Capital Schdule'!K27</f>
        <v>670.10976525242393</v>
      </c>
      <c r="L7" s="86">
        <f>'Income Statement'!L3*'Working Capital Schdule'!L27</f>
        <v>678.31444873189093</v>
      </c>
      <c r="M7" s="86">
        <f>'Income Statement'!M3*'Working Capital Schdule'!M27</f>
        <v>686.61958863579605</v>
      </c>
      <c r="N7" s="86">
        <f>'Income Statement'!N3*'Working Capital Schdule'!N27</f>
        <v>695.02641493153965</v>
      </c>
      <c r="O7" s="86">
        <f>'Income Statement'!O3*'Working Capital Schdule'!O27</f>
        <v>703.53617264598518</v>
      </c>
    </row>
    <row r="8" spans="2:15" x14ac:dyDescent="0.3">
      <c r="B8" s="85" t="s">
        <v>47</v>
      </c>
      <c r="C8" s="85"/>
      <c r="D8" s="85"/>
      <c r="E8" s="85"/>
      <c r="F8" s="85">
        <v>349</v>
      </c>
      <c r="G8" s="85">
        <v>891</v>
      </c>
      <c r="H8" s="85">
        <v>325</v>
      </c>
      <c r="I8" s="85">
        <v>339</v>
      </c>
      <c r="J8" s="85">
        <v>456</v>
      </c>
      <c r="K8" s="86">
        <f>'Income Statement'!K3*'Working Capital Schdule'!K26</f>
        <v>494.67918367455934</v>
      </c>
      <c r="L8" s="86">
        <f>'Income Statement'!L3*'Working Capital Schdule'!L26</f>
        <v>500.73593189162506</v>
      </c>
      <c r="M8" s="86">
        <f>'Income Statement'!M3*'Working Capital Schdule'!M26</f>
        <v>506.86683766408339</v>
      </c>
      <c r="N8" s="86">
        <f>'Income Statement'!N3*'Working Capital Schdule'!N26</f>
        <v>513.07280896149575</v>
      </c>
      <c r="O8" s="86">
        <f>'Income Statement'!O3*'Working Capital Schdule'!O26</f>
        <v>519.35476487041228</v>
      </c>
    </row>
    <row r="9" spans="2:15" x14ac:dyDescent="0.3">
      <c r="B9" s="87" t="s">
        <v>49</v>
      </c>
      <c r="C9" s="87"/>
      <c r="D9" s="87"/>
      <c r="E9" s="87"/>
      <c r="F9" s="87">
        <f t="shared" ref="F9:O9" si="1">SUM(F5:F8)</f>
        <v>10476</v>
      </c>
      <c r="G9" s="87">
        <f t="shared" si="1"/>
        <v>10520</v>
      </c>
      <c r="H9" s="87">
        <f t="shared" si="1"/>
        <v>9944</v>
      </c>
      <c r="I9" s="87">
        <f t="shared" si="1"/>
        <v>10638</v>
      </c>
      <c r="J9" s="87">
        <f t="shared" si="1"/>
        <v>10795</v>
      </c>
      <c r="K9" s="87">
        <f t="shared" si="1"/>
        <v>10891.540462435594</v>
      </c>
      <c r="L9" s="87">
        <f t="shared" si="1"/>
        <v>11024.89420048242</v>
      </c>
      <c r="M9" s="87">
        <f t="shared" si="1"/>
        <v>11159.880693740726</v>
      </c>
      <c r="N9" s="87">
        <f t="shared" si="1"/>
        <v>11296.519933323016</v>
      </c>
      <c r="O9" s="87">
        <f t="shared" si="1"/>
        <v>11434.83215510879</v>
      </c>
    </row>
    <row r="10" spans="2:15" x14ac:dyDescent="0.3"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</row>
    <row r="11" spans="2:15" x14ac:dyDescent="0.3">
      <c r="B11" s="84" t="s">
        <v>48</v>
      </c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</row>
    <row r="12" spans="2:15" x14ac:dyDescent="0.3">
      <c r="B12" s="85" t="s">
        <v>50</v>
      </c>
      <c r="C12" s="85"/>
      <c r="D12" s="85"/>
      <c r="E12" s="85"/>
      <c r="F12" s="86">
        <v>2266</v>
      </c>
      <c r="G12" s="86">
        <v>2228</v>
      </c>
      <c r="H12" s="86">
        <v>2561</v>
      </c>
      <c r="I12" s="86">
        <v>2994</v>
      </c>
      <c r="J12" s="86">
        <v>3183</v>
      </c>
      <c r="K12" s="86">
        <f>'Income Statement'!K6/(365/'Working Capital Schdule'!K25)</f>
        <v>2737.589212542774</v>
      </c>
      <c r="L12" s="86">
        <f>'Income Statement'!L6/(365/'Working Capital Schdule'!L25)</f>
        <v>2771.1076809346741</v>
      </c>
      <c r="M12" s="86">
        <f>'Income Statement'!M6/(365/'Working Capital Schdule'!M25)</f>
        <v>2805.0365424265296</v>
      </c>
      <c r="N12" s="86">
        <f>'Income Statement'!N6/(365/'Working Capital Schdule'!N25)</f>
        <v>2839.380821785418</v>
      </c>
      <c r="O12" s="86">
        <f>'Income Statement'!O6/(365/'Working Capital Schdule'!O25)</f>
        <v>2874.1456053006136</v>
      </c>
    </row>
    <row r="13" spans="2:15" x14ac:dyDescent="0.3">
      <c r="B13" s="85" t="s">
        <v>51</v>
      </c>
      <c r="C13" s="85"/>
      <c r="D13" s="85"/>
      <c r="E13" s="85"/>
      <c r="F13" s="85">
        <v>749</v>
      </c>
      <c r="G13" s="85">
        <v>702</v>
      </c>
      <c r="H13" s="85">
        <v>747</v>
      </c>
      <c r="I13" s="86">
        <v>1020</v>
      </c>
      <c r="J13" s="85">
        <v>692</v>
      </c>
      <c r="K13" s="86">
        <f>AVERAGE($F$13:$J$13)</f>
        <v>782</v>
      </c>
      <c r="L13" s="86">
        <f t="shared" ref="L13:O13" si="2">AVERAGE($F$13:$J$13)</f>
        <v>782</v>
      </c>
      <c r="M13" s="86">
        <f t="shared" si="2"/>
        <v>782</v>
      </c>
      <c r="N13" s="86">
        <f t="shared" si="2"/>
        <v>782</v>
      </c>
      <c r="O13" s="86">
        <f t="shared" si="2"/>
        <v>782</v>
      </c>
    </row>
    <row r="14" spans="2:15" x14ac:dyDescent="0.3">
      <c r="B14" s="85" t="s">
        <v>52</v>
      </c>
      <c r="C14" s="85"/>
      <c r="D14" s="85"/>
      <c r="E14" s="85"/>
      <c r="F14" s="85">
        <v>243</v>
      </c>
      <c r="G14" s="85">
        <v>194</v>
      </c>
      <c r="H14" s="85">
        <v>300</v>
      </c>
      <c r="I14" s="85">
        <v>260</v>
      </c>
      <c r="J14" s="85">
        <v>259</v>
      </c>
      <c r="K14" s="86">
        <f>'Income Statement'!K22*'Working Capital Schdule'!K28</f>
        <v>390.1730807478707</v>
      </c>
      <c r="L14" s="86">
        <f>'Income Statement'!L22*'Working Capital Schdule'!L28</f>
        <v>397.02342404268467</v>
      </c>
      <c r="M14" s="86">
        <f>'Income Statement'!M22*'Working Capital Schdule'!M28</f>
        <v>403.12015437613536</v>
      </c>
      <c r="N14" s="86">
        <f>'Income Statement'!N22*'Working Capital Schdule'!N28</f>
        <v>410.02192223946133</v>
      </c>
      <c r="O14" s="86">
        <f>'Income Statement'!O22*'Working Capital Schdule'!O28</f>
        <v>416.57101355968211</v>
      </c>
    </row>
    <row r="15" spans="2:15" x14ac:dyDescent="0.3">
      <c r="B15" s="85" t="s">
        <v>53</v>
      </c>
      <c r="C15" s="85"/>
      <c r="D15" s="85"/>
      <c r="E15" s="85"/>
      <c r="F15" s="85">
        <v>0</v>
      </c>
      <c r="G15" s="85">
        <v>247</v>
      </c>
      <c r="H15" s="85">
        <v>256</v>
      </c>
      <c r="I15" s="85">
        <v>263</v>
      </c>
      <c r="J15" s="85">
        <v>261</v>
      </c>
      <c r="K15" s="86">
        <f>AVERAGE($F$15:$J$15)</f>
        <v>205.4</v>
      </c>
      <c r="L15" s="86">
        <f t="shared" ref="L15:O15" si="3">AVERAGE($F$15:$J$15)</f>
        <v>205.4</v>
      </c>
      <c r="M15" s="86">
        <f t="shared" si="3"/>
        <v>205.4</v>
      </c>
      <c r="N15" s="86">
        <f t="shared" si="3"/>
        <v>205.4</v>
      </c>
      <c r="O15" s="86">
        <f t="shared" si="3"/>
        <v>205.4</v>
      </c>
    </row>
    <row r="16" spans="2:15" x14ac:dyDescent="0.3">
      <c r="B16" s="85" t="s">
        <v>54</v>
      </c>
      <c r="C16" s="85"/>
      <c r="D16" s="85"/>
      <c r="E16" s="85"/>
      <c r="F16" s="86">
        <v>2775</v>
      </c>
      <c r="G16" s="86">
        <v>3056</v>
      </c>
      <c r="H16" s="86">
        <v>3278</v>
      </c>
      <c r="I16" s="86">
        <v>3191</v>
      </c>
      <c r="J16" s="86">
        <v>3190</v>
      </c>
      <c r="K16" s="86">
        <f>'Income Statement'!K3*'Working Capital Schdule'!K29</f>
        <v>3222.9207552263892</v>
      </c>
      <c r="L16" s="86">
        <f>'Income Statement'!L3*'Working Capital Schdule'!L29</f>
        <v>3262.381521278764</v>
      </c>
      <c r="M16" s="86">
        <f>'Income Statement'!M3*'Working Capital Schdule'!M29</f>
        <v>3302.3254366778656</v>
      </c>
      <c r="N16" s="86">
        <f>'Income Statement'!N3*'Working Capital Schdule'!N29</f>
        <v>3342.758417003005</v>
      </c>
      <c r="O16" s="86">
        <f>'Income Statement'!O3*'Working Capital Schdule'!O29</f>
        <v>3383.6864502626054</v>
      </c>
    </row>
    <row r="17" spans="2:15" x14ac:dyDescent="0.3">
      <c r="B17" s="87" t="s">
        <v>55</v>
      </c>
      <c r="C17" s="87"/>
      <c r="D17" s="87"/>
      <c r="E17" s="87"/>
      <c r="F17" s="87">
        <f>SUM(F12:F16)</f>
        <v>6033</v>
      </c>
      <c r="G17" s="87">
        <f t="shared" ref="G17:O17" si="4">SUM(G12:G16)</f>
        <v>6427</v>
      </c>
      <c r="H17" s="87">
        <f t="shared" si="4"/>
        <v>7142</v>
      </c>
      <c r="I17" s="87">
        <f t="shared" si="4"/>
        <v>7728</v>
      </c>
      <c r="J17" s="87">
        <f t="shared" si="4"/>
        <v>7585</v>
      </c>
      <c r="K17" s="87">
        <f t="shared" si="4"/>
        <v>7338.0830485170336</v>
      </c>
      <c r="L17" s="87">
        <f t="shared" si="4"/>
        <v>7417.9126262561231</v>
      </c>
      <c r="M17" s="87">
        <f t="shared" si="4"/>
        <v>7497.8821334805307</v>
      </c>
      <c r="N17" s="87">
        <f t="shared" si="4"/>
        <v>7579.5611610278838</v>
      </c>
      <c r="O17" s="87">
        <f t="shared" si="4"/>
        <v>7661.8030691229014</v>
      </c>
    </row>
    <row r="18" spans="2:15" x14ac:dyDescent="0.3">
      <c r="B18" s="85"/>
      <c r="C18" s="85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</row>
    <row r="19" spans="2:15" x14ac:dyDescent="0.3">
      <c r="B19" s="88" t="s">
        <v>63</v>
      </c>
      <c r="C19" s="85"/>
      <c r="D19" s="85"/>
      <c r="E19" s="85"/>
      <c r="F19" s="89">
        <f>F9-F17</f>
        <v>4443</v>
      </c>
      <c r="G19" s="89">
        <f t="shared" ref="G19:O19" si="5">G9-G17</f>
        <v>4093</v>
      </c>
      <c r="H19" s="89">
        <f t="shared" si="5"/>
        <v>2802</v>
      </c>
      <c r="I19" s="89">
        <f t="shared" si="5"/>
        <v>2910</v>
      </c>
      <c r="J19" s="89">
        <f t="shared" si="5"/>
        <v>3210</v>
      </c>
      <c r="K19" s="89">
        <f t="shared" si="5"/>
        <v>3553.4574139185606</v>
      </c>
      <c r="L19" s="89">
        <f t="shared" si="5"/>
        <v>3606.9815742262972</v>
      </c>
      <c r="M19" s="89">
        <f t="shared" si="5"/>
        <v>3661.9985602601955</v>
      </c>
      <c r="N19" s="89">
        <f t="shared" si="5"/>
        <v>3716.9587722951319</v>
      </c>
      <c r="O19" s="89">
        <f t="shared" si="5"/>
        <v>3773.0290859858887</v>
      </c>
    </row>
    <row r="20" spans="2:15" x14ac:dyDescent="0.3">
      <c r="B20" s="85" t="s">
        <v>64</v>
      </c>
      <c r="C20" s="85"/>
      <c r="D20" s="85"/>
      <c r="E20" s="85"/>
      <c r="F20" s="85"/>
      <c r="G20" s="89">
        <f>(G19-F19)</f>
        <v>-350</v>
      </c>
      <c r="H20" s="89">
        <f t="shared" ref="H20:O20" si="6">(H19-G19)</f>
        <v>-1291</v>
      </c>
      <c r="I20" s="89">
        <f t="shared" si="6"/>
        <v>108</v>
      </c>
      <c r="J20" s="89">
        <f t="shared" si="6"/>
        <v>300</v>
      </c>
      <c r="K20" s="89">
        <f t="shared" si="6"/>
        <v>343.45741391856063</v>
      </c>
      <c r="L20" s="89">
        <f t="shared" si="6"/>
        <v>53.524160307736565</v>
      </c>
      <c r="M20" s="89">
        <f t="shared" si="6"/>
        <v>55.01698603389832</v>
      </c>
      <c r="N20" s="89">
        <f t="shared" si="6"/>
        <v>54.960212034936376</v>
      </c>
      <c r="O20" s="89">
        <f t="shared" si="6"/>
        <v>56.070313690756848</v>
      </c>
    </row>
    <row r="23" spans="2:15" x14ac:dyDescent="0.3">
      <c r="B23" s="147" t="s">
        <v>56</v>
      </c>
      <c r="C23" s="148"/>
      <c r="D23" s="148"/>
      <c r="E23" s="149"/>
      <c r="F23" s="90">
        <f>365/('Income Statement'!F3/'Working Capital Schdule'!F5)</f>
        <v>55.922478254234697</v>
      </c>
      <c r="G23" s="90">
        <f>365/('Income Statement'!G3/'Working Capital Schdule'!G5)</f>
        <v>54.416075429424943</v>
      </c>
      <c r="H23" s="90">
        <f>365/('Income Statement'!H3/'Working Capital Schdule'!H5)</f>
        <v>53.359588615461092</v>
      </c>
      <c r="I23" s="90">
        <f>365/('Income Statement'!I3/'Working Capital Schdule'!I5)</f>
        <v>48.10917833404045</v>
      </c>
      <c r="J23" s="90">
        <f>365/('Income Statement'!J3/'Working Capital Schdule'!J5)</f>
        <v>48.326857343188522</v>
      </c>
      <c r="K23" s="90">
        <f>AVERAGE($F$23:$J$23)</f>
        <v>52.026835595269937</v>
      </c>
      <c r="L23" s="90">
        <f>AVERAGE($F$23:$J$23)</f>
        <v>52.026835595269937</v>
      </c>
      <c r="M23" s="90">
        <f>AVERAGE($F$23:$J$23)</f>
        <v>52.026835595269937</v>
      </c>
      <c r="N23" s="90">
        <f>AVERAGE($F$23:$J$23)</f>
        <v>52.026835595269937</v>
      </c>
      <c r="O23" s="90">
        <f>AVERAGE($F$23:$J$23)</f>
        <v>52.026835595269937</v>
      </c>
    </row>
    <row r="24" spans="2:15" x14ac:dyDescent="0.3">
      <c r="B24" s="147" t="s">
        <v>57</v>
      </c>
      <c r="C24" s="148"/>
      <c r="D24" s="148"/>
      <c r="E24" s="149"/>
      <c r="F24" s="90">
        <f>365/('Income Statement'!F6/'Working Capital Schdule'!F6)</f>
        <v>95.527514686488431</v>
      </c>
      <c r="G24" s="90">
        <f>365/('Income Statement'!G6/'Working Capital Schdule'!G6)</f>
        <v>88.054971988795515</v>
      </c>
      <c r="H24" s="90">
        <f>365/('Income Statement'!H6/'Working Capital Schdule'!H6)</f>
        <v>93.178861788617894</v>
      </c>
      <c r="I24" s="90">
        <f>365/('Income Statement'!I6/'Working Capital Schdule'!I6)</f>
        <v>96.808991753125824</v>
      </c>
      <c r="J24" s="90">
        <f>365/('Income Statement'!J6/'Working Capital Schdule'!J6)</f>
        <v>101.95403494176372</v>
      </c>
      <c r="K24" s="90">
        <f>AVERAGE($F$24:$J$24)</f>
        <v>95.104875031758283</v>
      </c>
      <c r="L24" s="90">
        <f t="shared" ref="L24:O24" si="7">AVERAGE($F$24:$J$24)</f>
        <v>95.104875031758283</v>
      </c>
      <c r="M24" s="90">
        <f t="shared" si="7"/>
        <v>95.104875031758283</v>
      </c>
      <c r="N24" s="90">
        <f t="shared" si="7"/>
        <v>95.104875031758283</v>
      </c>
      <c r="O24" s="90">
        <f t="shared" si="7"/>
        <v>95.104875031758283</v>
      </c>
    </row>
    <row r="25" spans="2:15" x14ac:dyDescent="0.3">
      <c r="B25" s="147" t="s">
        <v>58</v>
      </c>
      <c r="C25" s="148"/>
      <c r="D25" s="148"/>
      <c r="E25" s="149"/>
      <c r="F25" s="90">
        <f>365/('Income Statement'!F6/'Working Capital Schdule'!F12)</f>
        <v>49.579786596331374</v>
      </c>
      <c r="G25" s="90">
        <f>365/('Income Statement'!G6/'Working Capital Schdule'!G12)</f>
        <v>47.456816059757237</v>
      </c>
      <c r="H25" s="90">
        <f>365/('Income Statement'!H6/'Working Capital Schdule'!H12)</f>
        <v>56.29418849744053</v>
      </c>
      <c r="I25" s="90">
        <f>365/('Income Statement'!I6/'Working Capital Schdule'!I12)</f>
        <v>58.143655227454104</v>
      </c>
      <c r="J25" s="90">
        <f>365/('Income Statement'!J6/'Working Capital Schdule'!J12)</f>
        <v>60.409473793677201</v>
      </c>
      <c r="K25" s="90">
        <f>AVERAGE($F$25:$J$25)</f>
        <v>54.376784034932086</v>
      </c>
      <c r="L25" s="90">
        <f t="shared" ref="L25:O25" si="8">AVERAGE($F$25:$J$25)</f>
        <v>54.376784034932086</v>
      </c>
      <c r="M25" s="90">
        <f t="shared" si="8"/>
        <v>54.376784034932086</v>
      </c>
      <c r="N25" s="90">
        <f t="shared" si="8"/>
        <v>54.376784034932086</v>
      </c>
      <c r="O25" s="90">
        <f t="shared" si="8"/>
        <v>54.376784034932086</v>
      </c>
    </row>
    <row r="26" spans="2:15" x14ac:dyDescent="0.3">
      <c r="B26" s="91" t="s">
        <v>59</v>
      </c>
      <c r="C26" s="91"/>
      <c r="D26" s="91"/>
      <c r="E26" s="91"/>
      <c r="F26" s="92">
        <f>F8/'Income Statement'!F3</f>
        <v>1.0651609949641386E-2</v>
      </c>
      <c r="G26" s="92">
        <f>G8/'Income Statement'!G3</f>
        <v>2.7725914861837193E-2</v>
      </c>
      <c r="H26" s="92">
        <f>H8/'Income Statement'!H3</f>
        <v>1.0098185433755904E-2</v>
      </c>
      <c r="I26" s="92">
        <f>I8/'Income Statement'!I3</f>
        <v>9.588459906661009E-3</v>
      </c>
      <c r="J26" s="92">
        <f>J8/'Income Statement'!J3</f>
        <v>1.3322036869321336E-2</v>
      </c>
      <c r="K26" s="93">
        <f>AVERAGE($F$26:$J$26)</f>
        <v>1.4277241404243366E-2</v>
      </c>
      <c r="L26" s="93">
        <f t="shared" ref="L26:O26" si="9">AVERAGE($F$26:$J$26)</f>
        <v>1.4277241404243366E-2</v>
      </c>
      <c r="M26" s="93">
        <f t="shared" si="9"/>
        <v>1.4277241404243366E-2</v>
      </c>
      <c r="N26" s="93">
        <f t="shared" si="9"/>
        <v>1.4277241404243366E-2</v>
      </c>
      <c r="O26" s="93">
        <f t="shared" si="9"/>
        <v>1.4277241404243366E-2</v>
      </c>
    </row>
    <row r="27" spans="2:15" x14ac:dyDescent="0.3">
      <c r="B27" s="91" t="s">
        <v>60</v>
      </c>
      <c r="C27" s="91"/>
      <c r="D27" s="91"/>
      <c r="E27" s="91"/>
      <c r="F27" s="92">
        <f>F7/'Income Statement'!F3</f>
        <v>2.2615595910270105E-2</v>
      </c>
      <c r="G27" s="92">
        <f>G7/'Income Statement'!G3</f>
        <v>2.1906895693303459E-2</v>
      </c>
      <c r="H27" s="92">
        <f>H7/'Income Statement'!H3</f>
        <v>2.0973154362416108E-2</v>
      </c>
      <c r="I27" s="92">
        <f>I7/'Income Statement'!I3</f>
        <v>1.8498090793381418E-2</v>
      </c>
      <c r="J27" s="92">
        <f>J7/'Income Statement'!J3</f>
        <v>1.2708522013497326E-2</v>
      </c>
      <c r="K27" s="93">
        <f>AVERAGE($F$27:$J$27)</f>
        <v>1.9340451754573683E-2</v>
      </c>
      <c r="L27" s="93">
        <f t="shared" ref="L27:O27" si="10">AVERAGE($F$27:$J$27)</f>
        <v>1.9340451754573683E-2</v>
      </c>
      <c r="M27" s="93">
        <f t="shared" si="10"/>
        <v>1.9340451754573683E-2</v>
      </c>
      <c r="N27" s="93">
        <f t="shared" si="10"/>
        <v>1.9340451754573683E-2</v>
      </c>
      <c r="O27" s="93">
        <f t="shared" si="10"/>
        <v>1.9340451754573683E-2</v>
      </c>
    </row>
    <row r="28" spans="2:15" x14ac:dyDescent="0.3">
      <c r="B28" s="91" t="s">
        <v>61</v>
      </c>
      <c r="C28" s="91"/>
      <c r="D28" s="91"/>
      <c r="E28" s="91"/>
      <c r="F28" s="92">
        <f>F14/'Income Statement'!F22</f>
        <v>0.14844227244960292</v>
      </c>
      <c r="G28" s="92">
        <f>G14/'Income Statement'!G22</f>
        <v>0.17168141592920355</v>
      </c>
      <c r="H28" s="92">
        <f>H14/'Income Statement'!H22</f>
        <v>0.22438294689603591</v>
      </c>
      <c r="I28" s="92">
        <f>I14/'Income Statement'!I22</f>
        <v>0.20233463035019456</v>
      </c>
      <c r="J28" s="92">
        <f>J14/'Income Statement'!J22</f>
        <v>0.42320261437908496</v>
      </c>
      <c r="K28" s="93">
        <f>AVERAGE($I$28:$J$28)</f>
        <v>0.31276862236463976</v>
      </c>
      <c r="L28" s="93">
        <f t="shared" ref="L28:O28" si="11">AVERAGE($I$28:$J$28)</f>
        <v>0.31276862236463976</v>
      </c>
      <c r="M28" s="93">
        <f t="shared" si="11"/>
        <v>0.31276862236463976</v>
      </c>
      <c r="N28" s="93">
        <f t="shared" si="11"/>
        <v>0.31276862236463976</v>
      </c>
      <c r="O28" s="93">
        <f t="shared" si="11"/>
        <v>0.31276862236463976</v>
      </c>
    </row>
    <row r="29" spans="2:15" x14ac:dyDescent="0.3">
      <c r="B29" s="91" t="s">
        <v>62</v>
      </c>
      <c r="C29" s="91"/>
      <c r="D29" s="91"/>
      <c r="E29" s="91"/>
      <c r="F29" s="92">
        <f>F16/'Income Statement'!F3</f>
        <v>8.4694033267205857E-2</v>
      </c>
      <c r="G29" s="92">
        <f>G16/'Income Statement'!G3</f>
        <v>9.5095842668658198E-2</v>
      </c>
      <c r="H29" s="92">
        <f>H16/'Income Statement'!H3</f>
        <v>0.10185185185185185</v>
      </c>
      <c r="I29" s="92">
        <f>I16/'Income Statement'!I3</f>
        <v>9.0255975109602607E-2</v>
      </c>
      <c r="J29" s="92">
        <f>J16/'Income Statement'!J3</f>
        <v>9.3195828098980402E-2</v>
      </c>
      <c r="K29" s="93">
        <f>AVERAGE($F$29:$J$29)</f>
        <v>9.3018706199259782E-2</v>
      </c>
      <c r="L29" s="93">
        <f t="shared" ref="L29:O29" si="12">AVERAGE($F$29:$J$29)</f>
        <v>9.3018706199259782E-2</v>
      </c>
      <c r="M29" s="93">
        <f t="shared" si="12"/>
        <v>9.3018706199259782E-2</v>
      </c>
      <c r="N29" s="93">
        <f t="shared" si="12"/>
        <v>9.3018706199259782E-2</v>
      </c>
      <c r="O29" s="93">
        <f t="shared" si="12"/>
        <v>9.3018706199259782E-2</v>
      </c>
    </row>
  </sheetData>
  <mergeCells count="5">
    <mergeCell ref="F1:J1"/>
    <mergeCell ref="K1:O1"/>
    <mergeCell ref="B23:E23"/>
    <mergeCell ref="B24:E24"/>
    <mergeCell ref="B25:E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0E6A9-EE75-4F8D-9EB4-7A5DBBAA1B64}">
  <sheetPr>
    <tabColor rgb="FF7030A0"/>
  </sheetPr>
  <dimension ref="B2:T231"/>
  <sheetViews>
    <sheetView showGridLines="0" topLeftCell="B1" workbookViewId="0">
      <selection activeCell="I14" sqref="I14"/>
    </sheetView>
  </sheetViews>
  <sheetFormatPr defaultRowHeight="14.4" x14ac:dyDescent="0.3"/>
  <cols>
    <col min="1" max="1" width="3" customWidth="1"/>
    <col min="2" max="2" width="10.33203125" bestFit="1" customWidth="1"/>
    <col min="3" max="3" width="15.21875" bestFit="1" customWidth="1"/>
    <col min="4" max="4" width="13.6640625" bestFit="1" customWidth="1"/>
    <col min="5" max="5" width="9.88671875" bestFit="1" customWidth="1"/>
    <col min="6" max="6" width="18.33203125" bestFit="1" customWidth="1"/>
    <col min="7" max="7" width="13.6640625" bestFit="1" customWidth="1"/>
    <col min="13" max="13" width="12" bestFit="1" customWidth="1"/>
    <col min="14" max="14" width="15.33203125" bestFit="1" customWidth="1"/>
    <col min="18" max="18" width="12" bestFit="1" customWidth="1"/>
  </cols>
  <sheetData>
    <row r="2" spans="2:16" x14ac:dyDescent="0.3">
      <c r="B2" s="16" t="s">
        <v>65</v>
      </c>
      <c r="C2" s="17"/>
      <c r="D2" s="17"/>
      <c r="E2" s="17"/>
      <c r="F2" s="17"/>
      <c r="G2" s="17"/>
      <c r="H2" s="81"/>
      <c r="K2" s="18" t="s">
        <v>66</v>
      </c>
      <c r="L2" s="19"/>
      <c r="M2" s="20"/>
      <c r="N2" s="20"/>
      <c r="O2" s="20"/>
      <c r="P2" s="20"/>
    </row>
    <row r="3" spans="2:16" x14ac:dyDescent="0.3">
      <c r="B3" s="42" t="s">
        <v>67</v>
      </c>
      <c r="C3" s="42"/>
      <c r="D3" s="42"/>
      <c r="E3" s="42"/>
      <c r="F3" s="42"/>
      <c r="G3" s="77">
        <v>4.5900000000000003E-2</v>
      </c>
      <c r="H3" s="82"/>
      <c r="M3" s="21" t="s">
        <v>68</v>
      </c>
      <c r="N3" s="21" t="s">
        <v>69</v>
      </c>
      <c r="O3" t="s">
        <v>70</v>
      </c>
    </row>
    <row r="4" spans="2:16" x14ac:dyDescent="0.3">
      <c r="B4" s="42" t="s">
        <v>71</v>
      </c>
      <c r="C4" s="42"/>
      <c r="D4" s="42"/>
      <c r="E4" s="42"/>
      <c r="F4" s="42"/>
      <c r="G4" s="78">
        <v>9.4999999999999998E-3</v>
      </c>
      <c r="H4" s="83"/>
      <c r="K4" t="s">
        <v>72</v>
      </c>
      <c r="M4" s="13">
        <f>G8</f>
        <v>4.5372276085770095E-2</v>
      </c>
      <c r="N4" s="7">
        <f>'Debt Schdule'!J5</f>
        <v>15939</v>
      </c>
      <c r="O4" s="12">
        <f>N4/$N$6</f>
        <v>0.11187094972599795</v>
      </c>
      <c r="P4" s="32">
        <f>M4*O4</f>
        <v>5.0758396169452852E-3</v>
      </c>
    </row>
    <row r="5" spans="2:16" x14ac:dyDescent="0.3">
      <c r="B5" s="42" t="s">
        <v>73</v>
      </c>
      <c r="C5" s="42"/>
      <c r="D5" s="42"/>
      <c r="E5" s="42"/>
      <c r="F5" s="42"/>
      <c r="G5" s="78">
        <v>0</v>
      </c>
      <c r="H5" s="83"/>
      <c r="K5" t="s">
        <v>74</v>
      </c>
      <c r="M5" s="13">
        <f>G16</f>
        <v>6.3879044671503765E-2</v>
      </c>
      <c r="N5" s="7">
        <f>M10</f>
        <v>126537.66654336</v>
      </c>
      <c r="O5" s="12">
        <f>N5/$N$6</f>
        <v>0.88812905027400213</v>
      </c>
      <c r="P5" s="32">
        <f>M5*O5</f>
        <v>5.6732835276513197E-2</v>
      </c>
    </row>
    <row r="6" spans="2:16" x14ac:dyDescent="0.3">
      <c r="B6" s="53" t="s">
        <v>65</v>
      </c>
      <c r="C6" s="42"/>
      <c r="D6" s="42"/>
      <c r="E6" s="42"/>
      <c r="F6" s="42"/>
      <c r="G6" s="79">
        <f>G3+G4+G5</f>
        <v>5.5400000000000005E-2</v>
      </c>
      <c r="H6" s="13"/>
      <c r="N6" s="41">
        <f>SUM(N4:N5)</f>
        <v>142476.66654335998</v>
      </c>
    </row>
    <row r="7" spans="2:16" x14ac:dyDescent="0.3">
      <c r="B7" s="42" t="s">
        <v>15</v>
      </c>
      <c r="C7" s="42"/>
      <c r="D7" s="42"/>
      <c r="E7" s="42"/>
      <c r="F7" s="42"/>
      <c r="G7" s="79">
        <f>'Income Statement'!K23</f>
        <v>0.18100584682725457</v>
      </c>
      <c r="H7" s="13"/>
      <c r="K7" s="3"/>
      <c r="L7" s="3"/>
      <c r="M7" s="3"/>
      <c r="N7" s="3"/>
      <c r="O7" s="22" t="s">
        <v>66</v>
      </c>
      <c r="P7" s="23">
        <f>P4+P5</f>
        <v>6.1808674893458482E-2</v>
      </c>
    </row>
    <row r="8" spans="2:16" x14ac:dyDescent="0.3">
      <c r="B8" s="56" t="s">
        <v>75</v>
      </c>
      <c r="C8" s="57"/>
      <c r="D8" s="57"/>
      <c r="E8" s="57"/>
      <c r="F8" s="57"/>
      <c r="G8" s="80">
        <f>G6*(1-G7)</f>
        <v>4.5372276085770095E-2</v>
      </c>
      <c r="H8" s="13"/>
      <c r="K8" t="s">
        <v>76</v>
      </c>
      <c r="L8" s="7"/>
      <c r="M8" s="7">
        <f>848562678/1000000</f>
        <v>848.56267800000001</v>
      </c>
    </row>
    <row r="9" spans="2:16" x14ac:dyDescent="0.3">
      <c r="K9" t="s">
        <v>77</v>
      </c>
      <c r="M9">
        <v>149.12</v>
      </c>
    </row>
    <row r="10" spans="2:16" x14ac:dyDescent="0.3">
      <c r="K10" t="s">
        <v>78</v>
      </c>
      <c r="M10" s="39">
        <f>M8*M9</f>
        <v>126537.66654336</v>
      </c>
    </row>
    <row r="11" spans="2:16" x14ac:dyDescent="0.3">
      <c r="B11" s="25" t="s">
        <v>79</v>
      </c>
      <c r="C11" s="17"/>
      <c r="D11" s="17"/>
      <c r="E11" s="17"/>
      <c r="F11" s="17"/>
      <c r="G11" s="17"/>
      <c r="H11" s="81"/>
    </row>
    <row r="12" spans="2:16" x14ac:dyDescent="0.3">
      <c r="B12" t="s">
        <v>80</v>
      </c>
      <c r="G12" s="13">
        <f>G3</f>
        <v>4.5900000000000003E-2</v>
      </c>
      <c r="H12" s="13"/>
    </row>
    <row r="13" spans="2:16" x14ac:dyDescent="0.3">
      <c r="B13" t="s">
        <v>81</v>
      </c>
      <c r="G13" s="9">
        <f>M21</f>
        <v>1.0307198757990077</v>
      </c>
      <c r="H13" s="9"/>
    </row>
    <row r="14" spans="2:16" x14ac:dyDescent="0.3">
      <c r="B14" t="s">
        <v>82</v>
      </c>
      <c r="G14" s="13">
        <f>T24</f>
        <v>6.3343191980329783E-2</v>
      </c>
      <c r="H14" s="13"/>
    </row>
    <row r="15" spans="2:16" x14ac:dyDescent="0.3">
      <c r="B15" t="s">
        <v>83</v>
      </c>
      <c r="G15" s="13">
        <f>G14-G12</f>
        <v>1.7443191980329779E-2</v>
      </c>
      <c r="H15" s="13"/>
    </row>
    <row r="16" spans="2:16" x14ac:dyDescent="0.3">
      <c r="B16" s="4" t="s">
        <v>79</v>
      </c>
      <c r="C16" s="3"/>
      <c r="D16" s="3"/>
      <c r="E16" s="3"/>
      <c r="F16" s="3"/>
      <c r="G16" s="24">
        <f>G12+(G13*G15)</f>
        <v>6.3879044671503765E-2</v>
      </c>
      <c r="H16" s="13"/>
    </row>
    <row r="20" spans="2:20" x14ac:dyDescent="0.3">
      <c r="B20" s="31" t="s">
        <v>84</v>
      </c>
      <c r="C20" s="31" t="s">
        <v>92</v>
      </c>
      <c r="D20" s="31" t="s">
        <v>93</v>
      </c>
      <c r="E20" s="31"/>
      <c r="F20" s="31" t="s">
        <v>94</v>
      </c>
      <c r="G20" s="31" t="s">
        <v>95</v>
      </c>
      <c r="I20" s="16" t="s">
        <v>81</v>
      </c>
      <c r="J20" s="20"/>
      <c r="K20" s="20"/>
      <c r="L20" s="20"/>
      <c r="M20" s="20"/>
      <c r="O20" s="19" t="s">
        <v>82</v>
      </c>
      <c r="P20" s="20"/>
      <c r="Q20" s="20"/>
      <c r="R20" s="20"/>
      <c r="S20" s="20"/>
      <c r="T20" s="20"/>
    </row>
    <row r="21" spans="2:20" x14ac:dyDescent="0.3">
      <c r="B21" s="28">
        <v>45655</v>
      </c>
      <c r="C21" s="6">
        <v>129.87</v>
      </c>
      <c r="D21" s="6"/>
      <c r="E21" s="6"/>
      <c r="F21" s="29">
        <v>19254.3</v>
      </c>
      <c r="G21" s="13"/>
      <c r="I21" t="s">
        <v>85</v>
      </c>
      <c r="M21" s="27">
        <f>_xlfn.COVARIANCE.S(D22:D229,G22:G229)/_xlfn.VAR.S(G22:G229)</f>
        <v>1.0307198757990077</v>
      </c>
      <c r="O21" t="s">
        <v>86</v>
      </c>
      <c r="R21" s="26">
        <v>24103</v>
      </c>
      <c r="T21">
        <v>528.69000000000005</v>
      </c>
    </row>
    <row r="22" spans="2:20" x14ac:dyDescent="0.3">
      <c r="B22" s="28">
        <v>45648</v>
      </c>
      <c r="C22" s="6">
        <v>130.18</v>
      </c>
      <c r="D22" s="30">
        <f>(C22/C21)-1</f>
        <v>2.3870023870025125E-3</v>
      </c>
      <c r="E22" s="6"/>
      <c r="F22" s="29">
        <v>19238.5</v>
      </c>
      <c r="G22" s="13">
        <f>(F22/F21)-1</f>
        <v>-8.2059591883365535E-4</v>
      </c>
      <c r="H22" s="6"/>
      <c r="I22" t="s">
        <v>87</v>
      </c>
      <c r="M22" s="9">
        <f>SLOPE(D22:D229,G22:G229)</f>
        <v>1.0307198757990073</v>
      </c>
      <c r="O22" t="s">
        <v>88</v>
      </c>
      <c r="R22" s="26">
        <v>45678</v>
      </c>
      <c r="T22">
        <v>19893.59</v>
      </c>
    </row>
    <row r="23" spans="2:20" x14ac:dyDescent="0.3">
      <c r="B23" s="28">
        <v>45641</v>
      </c>
      <c r="C23" s="6">
        <v>129.28</v>
      </c>
      <c r="D23" s="30">
        <f t="shared" ref="D23:D86" si="0">(C23/C22)-1</f>
        <v>-6.9135043785528705E-3</v>
      </c>
      <c r="E23" s="6"/>
      <c r="F23" s="29">
        <v>19119.400000000001</v>
      </c>
      <c r="G23" s="13">
        <f t="shared" ref="G23:G86" si="1">(F23/F22)-1</f>
        <v>-6.190711334043586E-3</v>
      </c>
      <c r="H23" s="13"/>
      <c r="I23" t="s">
        <v>89</v>
      </c>
      <c r="M23" s="9"/>
      <c r="O23" t="s">
        <v>90</v>
      </c>
      <c r="R23">
        <f>YEARFRAC(R21,R22)</f>
        <v>59.06666666666667</v>
      </c>
    </row>
    <row r="24" spans="2:20" x14ac:dyDescent="0.3">
      <c r="B24" s="28">
        <v>45634</v>
      </c>
      <c r="C24" s="6">
        <v>129.91999999999999</v>
      </c>
      <c r="D24" s="30">
        <f t="shared" si="0"/>
        <v>4.9504950495049549E-3</v>
      </c>
      <c r="E24" s="6"/>
      <c r="F24" s="29">
        <v>19729.400000000001</v>
      </c>
      <c r="G24" s="13">
        <f t="shared" si="1"/>
        <v>3.1904766885990199E-2</v>
      </c>
      <c r="H24" s="13"/>
      <c r="O24" t="s">
        <v>91</v>
      </c>
      <c r="T24" s="12">
        <f>(T22/T21)^(1/R23)-1</f>
        <v>6.3343191980329783E-2</v>
      </c>
    </row>
    <row r="25" spans="2:20" x14ac:dyDescent="0.3">
      <c r="B25" s="28">
        <v>45627</v>
      </c>
      <c r="C25" s="6">
        <v>133.11000000000001</v>
      </c>
      <c r="D25" s="30">
        <f t="shared" si="0"/>
        <v>2.4553571428571619E-2</v>
      </c>
      <c r="E25" s="6"/>
      <c r="F25" s="29">
        <v>20107.8</v>
      </c>
      <c r="G25" s="13">
        <f t="shared" si="1"/>
        <v>1.9179498616278101E-2</v>
      </c>
      <c r="H25" s="13"/>
    </row>
    <row r="26" spans="2:20" x14ac:dyDescent="0.3">
      <c r="B26" s="28">
        <v>45620</v>
      </c>
      <c r="C26" s="6">
        <v>133.53</v>
      </c>
      <c r="D26" s="30">
        <f t="shared" si="0"/>
        <v>3.155285102546701E-3</v>
      </c>
      <c r="E26" s="6"/>
      <c r="F26" s="29">
        <v>20272</v>
      </c>
      <c r="G26" s="13">
        <f t="shared" si="1"/>
        <v>8.1659853390227966E-3</v>
      </c>
      <c r="H26" s="13"/>
    </row>
    <row r="27" spans="2:20" x14ac:dyDescent="0.3">
      <c r="B27" s="28">
        <v>45613</v>
      </c>
      <c r="C27" s="6">
        <v>128.41999999999999</v>
      </c>
      <c r="D27" s="30">
        <f t="shared" si="0"/>
        <v>-3.8268553883022638E-2</v>
      </c>
      <c r="E27" s="6"/>
      <c r="F27" s="29">
        <v>20123.5</v>
      </c>
      <c r="G27" s="13">
        <f t="shared" si="1"/>
        <v>-7.3253749013417746E-3</v>
      </c>
      <c r="H27" s="13"/>
    </row>
    <row r="28" spans="2:20" x14ac:dyDescent="0.3">
      <c r="B28" s="28">
        <v>45606</v>
      </c>
      <c r="C28" s="6">
        <v>129.79</v>
      </c>
      <c r="D28" s="30">
        <f t="shared" si="0"/>
        <v>1.0668120230493683E-2</v>
      </c>
      <c r="E28" s="6"/>
      <c r="F28" s="29">
        <v>19645.8</v>
      </c>
      <c r="G28" s="13">
        <f t="shared" si="1"/>
        <v>-2.3738415285611381E-2</v>
      </c>
      <c r="H28" s="13"/>
    </row>
    <row r="29" spans="2:20" x14ac:dyDescent="0.3">
      <c r="B29" s="28">
        <v>45599</v>
      </c>
      <c r="C29" s="6">
        <v>134.34</v>
      </c>
      <c r="D29" s="30">
        <f t="shared" si="0"/>
        <v>3.5056629940673378E-2</v>
      </c>
      <c r="E29" s="6"/>
      <c r="F29" s="29">
        <v>19937.099999999999</v>
      </c>
      <c r="G29" s="13">
        <f t="shared" si="1"/>
        <v>1.4827596738234083E-2</v>
      </c>
      <c r="H29" s="13"/>
    </row>
    <row r="30" spans="2:20" x14ac:dyDescent="0.3">
      <c r="B30" s="28">
        <v>45592</v>
      </c>
      <c r="C30" s="6">
        <v>127.22</v>
      </c>
      <c r="D30" s="30">
        <f t="shared" si="0"/>
        <v>-5.299985112401373E-2</v>
      </c>
      <c r="E30" s="6"/>
      <c r="F30" s="29">
        <v>19253.5</v>
      </c>
      <c r="G30" s="13">
        <f t="shared" si="1"/>
        <v>-3.428783524183554E-2</v>
      </c>
      <c r="H30" s="13"/>
    </row>
    <row r="31" spans="2:20" x14ac:dyDescent="0.3">
      <c r="B31" s="28">
        <v>45585</v>
      </c>
      <c r="C31" s="6">
        <v>124.75</v>
      </c>
      <c r="D31" s="30">
        <f t="shared" si="0"/>
        <v>-1.9415186291463549E-2</v>
      </c>
      <c r="E31" s="6"/>
      <c r="F31" s="29">
        <v>19456.3</v>
      </c>
      <c r="G31" s="13">
        <f t="shared" si="1"/>
        <v>1.0533149816916332E-2</v>
      </c>
      <c r="H31" s="13"/>
    </row>
    <row r="32" spans="2:20" x14ac:dyDescent="0.3">
      <c r="B32" s="28">
        <v>45578</v>
      </c>
      <c r="C32" s="6">
        <v>135.13999999999999</v>
      </c>
      <c r="D32" s="30">
        <f t="shared" si="0"/>
        <v>8.3286573146292397E-2</v>
      </c>
      <c r="E32" s="6"/>
      <c r="F32" s="29">
        <v>19884.8</v>
      </c>
      <c r="G32" s="13">
        <f t="shared" si="1"/>
        <v>2.2023714683675699E-2</v>
      </c>
      <c r="H32" s="13"/>
    </row>
    <row r="33" spans="2:8" x14ac:dyDescent="0.3">
      <c r="B33" s="28">
        <v>45571</v>
      </c>
      <c r="C33" s="6">
        <v>134.75</v>
      </c>
      <c r="D33" s="30">
        <f t="shared" si="0"/>
        <v>-2.885896107740038E-3</v>
      </c>
      <c r="E33" s="6"/>
      <c r="F33" s="29">
        <v>19711.2</v>
      </c>
      <c r="G33" s="13">
        <f t="shared" si="1"/>
        <v>-8.730286449951663E-3</v>
      </c>
      <c r="H33" s="13"/>
    </row>
    <row r="34" spans="2:8" x14ac:dyDescent="0.3">
      <c r="B34" s="28">
        <v>45564</v>
      </c>
      <c r="C34" s="6">
        <v>135.27000000000001</v>
      </c>
      <c r="D34" s="30">
        <f t="shared" si="0"/>
        <v>3.8589981447125776E-3</v>
      </c>
      <c r="E34" s="6"/>
      <c r="F34" s="29">
        <v>19538.7</v>
      </c>
      <c r="G34" s="13">
        <f t="shared" si="1"/>
        <v>-8.7513697796176571E-3</v>
      </c>
      <c r="H34" s="13"/>
    </row>
    <row r="35" spans="2:8" x14ac:dyDescent="0.3">
      <c r="B35" s="28">
        <v>45557</v>
      </c>
      <c r="C35" s="6">
        <v>137.30000000000001</v>
      </c>
      <c r="D35" s="30">
        <f t="shared" si="0"/>
        <v>1.500702299105483E-2</v>
      </c>
      <c r="E35" s="6"/>
      <c r="F35" s="29">
        <v>19501.2</v>
      </c>
      <c r="G35" s="13">
        <f t="shared" si="1"/>
        <v>-1.9192679144467428E-3</v>
      </c>
      <c r="H35" s="13"/>
    </row>
    <row r="36" spans="2:8" x14ac:dyDescent="0.3">
      <c r="B36" s="28">
        <v>45550</v>
      </c>
      <c r="C36" s="6">
        <v>134.77000000000001</v>
      </c>
      <c r="D36" s="30">
        <f t="shared" si="0"/>
        <v>-1.8426802621995586E-2</v>
      </c>
      <c r="E36" s="6"/>
      <c r="F36" s="29">
        <v>19373.7</v>
      </c>
      <c r="G36" s="13">
        <f t="shared" si="1"/>
        <v>-6.5380591963571932E-3</v>
      </c>
      <c r="H36" s="13"/>
    </row>
    <row r="37" spans="2:8" x14ac:dyDescent="0.3">
      <c r="B37" s="28">
        <v>45543</v>
      </c>
      <c r="C37" s="6">
        <v>133.18</v>
      </c>
      <c r="D37" s="30">
        <f t="shared" si="0"/>
        <v>-1.1797877865993955E-2</v>
      </c>
      <c r="E37" s="6"/>
      <c r="F37" s="29">
        <v>19121.5</v>
      </c>
      <c r="G37" s="13">
        <f t="shared" si="1"/>
        <v>-1.3017647635712337E-2</v>
      </c>
      <c r="H37" s="13"/>
    </row>
    <row r="38" spans="2:8" x14ac:dyDescent="0.3">
      <c r="B38" s="28">
        <v>45536</v>
      </c>
      <c r="C38" s="6">
        <v>128.6</v>
      </c>
      <c r="D38" s="30">
        <f t="shared" si="0"/>
        <v>-3.4389547980177348E-2</v>
      </c>
      <c r="E38" s="6"/>
      <c r="F38" s="29">
        <v>18663.099999999999</v>
      </c>
      <c r="G38" s="13">
        <f t="shared" si="1"/>
        <v>-2.3973014669351311E-2</v>
      </c>
      <c r="H38" s="13"/>
    </row>
    <row r="39" spans="2:8" x14ac:dyDescent="0.3">
      <c r="B39" s="28">
        <v>45529</v>
      </c>
      <c r="C39" s="6">
        <v>134.69</v>
      </c>
      <c r="D39" s="30">
        <f t="shared" si="0"/>
        <v>4.7356143079315682E-2</v>
      </c>
      <c r="E39" s="6"/>
      <c r="F39" s="29">
        <v>19292.2</v>
      </c>
      <c r="G39" s="13">
        <f t="shared" si="1"/>
        <v>3.3708226393257323E-2</v>
      </c>
      <c r="H39" s="13"/>
    </row>
    <row r="40" spans="2:8" x14ac:dyDescent="0.3">
      <c r="B40" s="28">
        <v>45522</v>
      </c>
      <c r="C40" s="6">
        <v>130.55000000000001</v>
      </c>
      <c r="D40" s="30">
        <f t="shared" si="0"/>
        <v>-3.0737248496547576E-2</v>
      </c>
      <c r="E40" s="6"/>
      <c r="F40" s="29">
        <v>19093.5</v>
      </c>
      <c r="G40" s="13">
        <f t="shared" si="1"/>
        <v>-1.0299499279501578E-2</v>
      </c>
      <c r="H40" s="13"/>
    </row>
    <row r="41" spans="2:8" x14ac:dyDescent="0.3">
      <c r="B41" s="28">
        <v>45515</v>
      </c>
      <c r="C41" s="6">
        <v>127.05</v>
      </c>
      <c r="D41" s="30">
        <f t="shared" si="0"/>
        <v>-2.680965147453096E-2</v>
      </c>
      <c r="E41" s="6"/>
      <c r="F41" s="29">
        <v>18753.8</v>
      </c>
      <c r="G41" s="13">
        <f t="shared" si="1"/>
        <v>-1.7791394977348385E-2</v>
      </c>
      <c r="H41" s="13"/>
    </row>
    <row r="42" spans="2:8" x14ac:dyDescent="0.3">
      <c r="B42" s="28">
        <v>45508</v>
      </c>
      <c r="C42" s="6">
        <v>124.17</v>
      </c>
      <c r="D42" s="30">
        <f t="shared" si="0"/>
        <v>-2.2668240850059029E-2</v>
      </c>
      <c r="E42" s="6"/>
      <c r="F42" s="29">
        <v>18267.2</v>
      </c>
      <c r="G42" s="13">
        <f t="shared" si="1"/>
        <v>-2.5946741460397327E-2</v>
      </c>
      <c r="H42" s="13"/>
    </row>
    <row r="43" spans="2:8" x14ac:dyDescent="0.3">
      <c r="B43" s="28">
        <v>45501</v>
      </c>
      <c r="C43" s="6">
        <v>125.24</v>
      </c>
      <c r="D43" s="30">
        <f t="shared" si="0"/>
        <v>8.6172183297092975E-3</v>
      </c>
      <c r="E43" s="6"/>
      <c r="F43" s="29">
        <v>18162.3</v>
      </c>
      <c r="G43" s="13">
        <f t="shared" si="1"/>
        <v>-5.7425330647281614E-3</v>
      </c>
      <c r="H43" s="13"/>
    </row>
    <row r="44" spans="2:8" x14ac:dyDescent="0.3">
      <c r="B44" s="28">
        <v>45494</v>
      </c>
      <c r="C44" s="6">
        <v>127.16</v>
      </c>
      <c r="D44" s="30">
        <f t="shared" si="0"/>
        <v>1.533056531459609E-2</v>
      </c>
      <c r="E44" s="6"/>
      <c r="F44" s="29">
        <v>18564.5</v>
      </c>
      <c r="G44" s="13">
        <f t="shared" si="1"/>
        <v>2.2144772413185576E-2</v>
      </c>
      <c r="H44" s="13"/>
    </row>
    <row r="45" spans="2:8" x14ac:dyDescent="0.3">
      <c r="B45" s="28">
        <v>45487</v>
      </c>
      <c r="C45" s="6">
        <v>103.92</v>
      </c>
      <c r="D45" s="30">
        <f t="shared" si="0"/>
        <v>-0.18276187480339723</v>
      </c>
      <c r="E45" s="6"/>
      <c r="F45" s="29">
        <v>18406.099999999999</v>
      </c>
      <c r="G45" s="13">
        <f t="shared" si="1"/>
        <v>-8.5324140159983575E-3</v>
      </c>
      <c r="H45" s="13"/>
    </row>
    <row r="46" spans="2:8" x14ac:dyDescent="0.3">
      <c r="B46" s="28">
        <v>45480</v>
      </c>
      <c r="C46" s="6">
        <v>104.04</v>
      </c>
      <c r="D46" s="30">
        <f t="shared" si="0"/>
        <v>1.1547344110856006E-3</v>
      </c>
      <c r="E46" s="6"/>
      <c r="F46" s="29">
        <v>18505.900000000001</v>
      </c>
      <c r="G46" s="13">
        <f t="shared" si="1"/>
        <v>5.4221154943199235E-3</v>
      </c>
      <c r="H46" s="13"/>
    </row>
    <row r="47" spans="2:8" x14ac:dyDescent="0.3">
      <c r="B47" s="28">
        <v>45473</v>
      </c>
      <c r="C47" s="6">
        <v>101.32</v>
      </c>
      <c r="D47" s="30">
        <f t="shared" si="0"/>
        <v>-2.6143790849673332E-2</v>
      </c>
      <c r="E47" s="6"/>
      <c r="F47" s="29">
        <v>18098.900000000001</v>
      </c>
      <c r="G47" s="13">
        <f t="shared" si="1"/>
        <v>-2.1992986020674454E-2</v>
      </c>
      <c r="H47" s="13"/>
    </row>
    <row r="48" spans="2:8" x14ac:dyDescent="0.3">
      <c r="B48" s="28">
        <v>45466</v>
      </c>
      <c r="C48" s="6">
        <v>102.19</v>
      </c>
      <c r="D48" s="30">
        <f t="shared" si="0"/>
        <v>8.5866561389658091E-3</v>
      </c>
      <c r="E48" s="6"/>
      <c r="F48" s="29">
        <v>18026.5</v>
      </c>
      <c r="G48" s="13">
        <f t="shared" si="1"/>
        <v>-4.0002431086972878E-3</v>
      </c>
      <c r="H48" s="13"/>
    </row>
    <row r="49" spans="2:8" x14ac:dyDescent="0.3">
      <c r="B49" s="28">
        <v>45459</v>
      </c>
      <c r="C49" s="6">
        <v>102.39</v>
      </c>
      <c r="D49" s="30">
        <f t="shared" si="0"/>
        <v>1.9571386632744048E-3</v>
      </c>
      <c r="E49" s="6"/>
      <c r="F49" s="29">
        <v>17995.7</v>
      </c>
      <c r="G49" s="13">
        <f t="shared" si="1"/>
        <v>-1.7085956785842793E-3</v>
      </c>
      <c r="H49" s="13"/>
    </row>
    <row r="50" spans="2:8" x14ac:dyDescent="0.3">
      <c r="B50" s="28">
        <v>45452</v>
      </c>
      <c r="C50" s="6">
        <v>100.9</v>
      </c>
      <c r="D50" s="30">
        <f t="shared" si="0"/>
        <v>-1.4552202363511957E-2</v>
      </c>
      <c r="E50" s="6"/>
      <c r="F50" s="29">
        <v>17817.3</v>
      </c>
      <c r="G50" s="13">
        <f t="shared" si="1"/>
        <v>-9.9134793311735914E-3</v>
      </c>
      <c r="H50" s="13"/>
    </row>
    <row r="51" spans="2:8" x14ac:dyDescent="0.3">
      <c r="B51" s="28">
        <v>45445</v>
      </c>
      <c r="C51" s="6">
        <v>100.86</v>
      </c>
      <c r="D51" s="30">
        <f t="shared" si="0"/>
        <v>-3.9643211100104381E-4</v>
      </c>
      <c r="E51" s="6"/>
      <c r="F51" s="29">
        <v>17985.599999999999</v>
      </c>
      <c r="G51" s="13">
        <f t="shared" si="1"/>
        <v>9.4458756377229225E-3</v>
      </c>
      <c r="H51" s="13"/>
    </row>
    <row r="52" spans="2:8" x14ac:dyDescent="0.3">
      <c r="B52" s="28">
        <v>45438</v>
      </c>
      <c r="C52" s="6">
        <v>100.14</v>
      </c>
      <c r="D52" s="30">
        <f t="shared" si="0"/>
        <v>-7.1386079714456097E-3</v>
      </c>
      <c r="E52" s="6"/>
      <c r="F52" s="29">
        <v>18083.7</v>
      </c>
      <c r="G52" s="13">
        <f t="shared" si="1"/>
        <v>5.4543634907926464E-3</v>
      </c>
      <c r="H52" s="13"/>
    </row>
    <row r="53" spans="2:8" x14ac:dyDescent="0.3">
      <c r="B53" s="28">
        <v>45431</v>
      </c>
      <c r="C53" s="6">
        <v>99.67</v>
      </c>
      <c r="D53" s="30">
        <f t="shared" si="0"/>
        <v>-4.6934291991211907E-3</v>
      </c>
      <c r="E53" s="6"/>
      <c r="F53" s="29">
        <v>18110.599999999999</v>
      </c>
      <c r="G53" s="13">
        <f t="shared" si="1"/>
        <v>1.4875274418397755E-3</v>
      </c>
      <c r="H53" s="13"/>
    </row>
    <row r="54" spans="2:8" x14ac:dyDescent="0.3">
      <c r="B54" s="28">
        <v>45424</v>
      </c>
      <c r="C54" s="6">
        <v>105.26</v>
      </c>
      <c r="D54" s="30">
        <f t="shared" si="0"/>
        <v>5.6085080766529627E-2</v>
      </c>
      <c r="E54" s="6"/>
      <c r="F54" s="29">
        <v>18388.3</v>
      </c>
      <c r="G54" s="13">
        <f t="shared" si="1"/>
        <v>1.5333561560633147E-2</v>
      </c>
      <c r="H54" s="13"/>
    </row>
    <row r="55" spans="2:8" x14ac:dyDescent="0.3">
      <c r="B55" s="28">
        <v>45417</v>
      </c>
      <c r="C55" s="6">
        <v>98.93</v>
      </c>
      <c r="D55" s="30">
        <f t="shared" si="0"/>
        <v>-6.0136804104123143E-2</v>
      </c>
      <c r="E55" s="6"/>
      <c r="F55" s="29">
        <v>18162.099999999999</v>
      </c>
      <c r="G55" s="13">
        <f t="shared" si="1"/>
        <v>-1.2301300283332428E-2</v>
      </c>
      <c r="H55" s="13"/>
    </row>
    <row r="56" spans="2:8" x14ac:dyDescent="0.3">
      <c r="B56" s="28">
        <v>45410</v>
      </c>
      <c r="C56" s="6">
        <v>97.15</v>
      </c>
      <c r="D56" s="30">
        <f t="shared" si="0"/>
        <v>-1.799251996361062E-2</v>
      </c>
      <c r="E56" s="6"/>
      <c r="F56" s="29">
        <v>17797.900000000001</v>
      </c>
      <c r="G56" s="13">
        <f t="shared" si="1"/>
        <v>-2.0052747204342913E-2</v>
      </c>
      <c r="H56" s="13"/>
    </row>
    <row r="57" spans="2:8" x14ac:dyDescent="0.3">
      <c r="B57" s="28">
        <v>45403</v>
      </c>
      <c r="C57" s="6">
        <v>91.83</v>
      </c>
      <c r="D57" s="30">
        <f t="shared" si="0"/>
        <v>-5.4760679361811726E-2</v>
      </c>
      <c r="E57" s="6"/>
      <c r="F57" s="29">
        <v>17763.3</v>
      </c>
      <c r="G57" s="13">
        <f t="shared" si="1"/>
        <v>-1.9440495788830559E-3</v>
      </c>
      <c r="H57" s="13"/>
    </row>
    <row r="58" spans="2:8" x14ac:dyDescent="0.3">
      <c r="B58" s="28">
        <v>45396</v>
      </c>
      <c r="C58" s="6">
        <v>92.27</v>
      </c>
      <c r="D58" s="30">
        <f t="shared" si="0"/>
        <v>4.7914624850267096E-3</v>
      </c>
      <c r="E58" s="6"/>
      <c r="F58" s="29">
        <v>17458.8</v>
      </c>
      <c r="G58" s="13">
        <f t="shared" si="1"/>
        <v>-1.7142085085541492E-2</v>
      </c>
      <c r="H58" s="13"/>
    </row>
    <row r="59" spans="2:8" x14ac:dyDescent="0.3">
      <c r="B59" s="28">
        <v>45389</v>
      </c>
      <c r="C59" s="6">
        <v>91.31</v>
      </c>
      <c r="D59" s="30">
        <f t="shared" si="0"/>
        <v>-1.0404248401430505E-2</v>
      </c>
      <c r="E59" s="6"/>
      <c r="F59" s="29">
        <v>17639</v>
      </c>
      <c r="G59" s="13">
        <f t="shared" si="1"/>
        <v>1.0321442481728393E-2</v>
      </c>
      <c r="H59" s="13"/>
    </row>
    <row r="60" spans="2:8" x14ac:dyDescent="0.3">
      <c r="B60" s="28">
        <v>45382</v>
      </c>
      <c r="C60" s="6">
        <v>91.03</v>
      </c>
      <c r="D60" s="30">
        <f t="shared" si="0"/>
        <v>-3.0664768371482243E-3</v>
      </c>
      <c r="E60" s="6"/>
      <c r="F60" s="29">
        <v>18122.3</v>
      </c>
      <c r="G60" s="13">
        <f t="shared" si="1"/>
        <v>2.7399512444016061E-2</v>
      </c>
      <c r="H60" s="13"/>
    </row>
    <row r="61" spans="2:8" x14ac:dyDescent="0.3">
      <c r="B61" s="28">
        <v>45375</v>
      </c>
      <c r="C61" s="6">
        <v>88.68</v>
      </c>
      <c r="D61" s="30">
        <f t="shared" si="0"/>
        <v>-2.5815665165330071E-2</v>
      </c>
      <c r="E61" s="6"/>
      <c r="F61" s="29">
        <v>18312.7</v>
      </c>
      <c r="G61" s="13">
        <f t="shared" si="1"/>
        <v>1.050639267642639E-2</v>
      </c>
      <c r="H61" s="13"/>
    </row>
    <row r="62" spans="2:8" x14ac:dyDescent="0.3">
      <c r="B62" s="28">
        <v>45368</v>
      </c>
      <c r="C62" s="6">
        <v>89.28</v>
      </c>
      <c r="D62" s="30">
        <f t="shared" si="0"/>
        <v>6.7658998646820123E-3</v>
      </c>
      <c r="E62" s="6"/>
      <c r="F62" s="29">
        <v>18112</v>
      </c>
      <c r="G62" s="13">
        <f t="shared" si="1"/>
        <v>-1.095960726708789E-2</v>
      </c>
      <c r="H62" s="13"/>
    </row>
    <row r="63" spans="2:8" x14ac:dyDescent="0.3">
      <c r="B63" s="28">
        <v>45361</v>
      </c>
      <c r="C63" s="6">
        <v>87.79</v>
      </c>
      <c r="D63" s="30">
        <f t="shared" si="0"/>
        <v>-1.6689068100358417E-2</v>
      </c>
      <c r="E63" s="6"/>
      <c r="F63" s="29">
        <v>17848.099999999999</v>
      </c>
      <c r="G63" s="13">
        <f t="shared" si="1"/>
        <v>-1.4570450530035362E-2</v>
      </c>
      <c r="H63" s="13"/>
    </row>
    <row r="64" spans="2:8" x14ac:dyDescent="0.3">
      <c r="B64" s="28">
        <v>45354</v>
      </c>
      <c r="C64" s="6">
        <v>78.510000000000005</v>
      </c>
      <c r="D64" s="30">
        <f t="shared" si="0"/>
        <v>-0.10570680031894297</v>
      </c>
      <c r="E64" s="6"/>
      <c r="F64" s="29">
        <v>17889.599999999999</v>
      </c>
      <c r="G64" s="13">
        <f t="shared" si="1"/>
        <v>2.3251774698707095E-3</v>
      </c>
      <c r="H64" s="13"/>
    </row>
    <row r="65" spans="2:8" x14ac:dyDescent="0.3">
      <c r="B65" s="28">
        <v>45347</v>
      </c>
      <c r="C65" s="6">
        <v>76.8</v>
      </c>
      <c r="D65" s="30">
        <f t="shared" si="0"/>
        <v>-2.1780664883454426E-2</v>
      </c>
      <c r="E65" s="6"/>
      <c r="F65" s="29">
        <v>17728.3</v>
      </c>
      <c r="G65" s="13">
        <f t="shared" si="1"/>
        <v>-9.0164117699668145E-3</v>
      </c>
      <c r="H65" s="13"/>
    </row>
    <row r="66" spans="2:8" x14ac:dyDescent="0.3">
      <c r="B66" s="28">
        <v>45340</v>
      </c>
      <c r="C66" s="6">
        <v>77.400000000000006</v>
      </c>
      <c r="D66" s="30">
        <f t="shared" si="0"/>
        <v>7.812500000000222E-3</v>
      </c>
      <c r="E66" s="6"/>
      <c r="F66" s="29">
        <v>17616</v>
      </c>
      <c r="G66" s="13">
        <f t="shared" si="1"/>
        <v>-6.3345047184444336E-3</v>
      </c>
      <c r="H66" s="13"/>
    </row>
    <row r="67" spans="2:8" x14ac:dyDescent="0.3">
      <c r="B67" s="28">
        <v>45333</v>
      </c>
      <c r="C67" s="6">
        <v>76.290000000000006</v>
      </c>
      <c r="D67" s="30">
        <f t="shared" si="0"/>
        <v>-1.4341085271317833E-2</v>
      </c>
      <c r="E67" s="6"/>
      <c r="F67" s="29">
        <v>17409.3</v>
      </c>
      <c r="G67" s="13">
        <f t="shared" si="1"/>
        <v>-1.1733651226158104E-2</v>
      </c>
      <c r="H67" s="13"/>
    </row>
    <row r="68" spans="2:8" x14ac:dyDescent="0.3">
      <c r="B68" s="28">
        <v>45326</v>
      </c>
      <c r="C68" s="6">
        <v>77.67</v>
      </c>
      <c r="D68" s="30">
        <f t="shared" si="0"/>
        <v>1.8088871411718443E-2</v>
      </c>
      <c r="E68" s="6"/>
      <c r="F68" s="29">
        <v>17275.900000000001</v>
      </c>
      <c r="G68" s="13">
        <f t="shared" si="1"/>
        <v>-7.6625711544977548E-3</v>
      </c>
      <c r="H68" s="13"/>
    </row>
    <row r="69" spans="2:8" x14ac:dyDescent="0.3">
      <c r="B69" s="28">
        <v>45319</v>
      </c>
      <c r="C69" s="6">
        <v>79.319999999999993</v>
      </c>
      <c r="D69" s="30">
        <f t="shared" si="0"/>
        <v>2.124372344534553E-2</v>
      </c>
      <c r="E69" s="6"/>
      <c r="F69" s="29">
        <v>17102</v>
      </c>
      <c r="G69" s="13">
        <f t="shared" si="1"/>
        <v>-1.0066045763173048E-2</v>
      </c>
      <c r="H69" s="13"/>
    </row>
    <row r="70" spans="2:8" x14ac:dyDescent="0.3">
      <c r="B70" s="28">
        <v>45312</v>
      </c>
      <c r="C70" s="6">
        <v>80.25</v>
      </c>
      <c r="D70" s="30">
        <f t="shared" si="0"/>
        <v>1.1724659606656695E-2</v>
      </c>
      <c r="E70" s="6"/>
      <c r="F70" s="29">
        <v>16949.099999999999</v>
      </c>
      <c r="G70" s="13">
        <f t="shared" si="1"/>
        <v>-8.9404747982693156E-3</v>
      </c>
      <c r="H70" s="13"/>
    </row>
    <row r="71" spans="2:8" x14ac:dyDescent="0.3">
      <c r="B71" s="28">
        <v>45305</v>
      </c>
      <c r="C71" s="6">
        <v>90.1</v>
      </c>
      <c r="D71" s="30">
        <f t="shared" si="0"/>
        <v>0.12274143302180685</v>
      </c>
      <c r="E71" s="6"/>
      <c r="F71" s="29">
        <v>16729.5</v>
      </c>
      <c r="G71" s="13">
        <f t="shared" si="1"/>
        <v>-1.2956440164964445E-2</v>
      </c>
      <c r="H71" s="13"/>
    </row>
    <row r="72" spans="2:8" x14ac:dyDescent="0.3">
      <c r="B72" s="28">
        <v>45298</v>
      </c>
      <c r="C72" s="6">
        <v>90.4</v>
      </c>
      <c r="D72" s="30">
        <f t="shared" si="0"/>
        <v>3.3296337402886067E-3</v>
      </c>
      <c r="E72" s="6"/>
      <c r="F72" s="29">
        <v>16799.599999999999</v>
      </c>
      <c r="G72" s="13">
        <f t="shared" si="1"/>
        <v>4.1902029349352166E-3</v>
      </c>
      <c r="H72" s="13"/>
    </row>
    <row r="73" spans="2:8" x14ac:dyDescent="0.3">
      <c r="B73" s="28">
        <v>45291</v>
      </c>
      <c r="C73" s="6">
        <v>90.79</v>
      </c>
      <c r="D73" s="30">
        <f t="shared" si="0"/>
        <v>4.314159292035491E-3</v>
      </c>
      <c r="E73" s="6"/>
      <c r="F73" s="29">
        <v>16758.2</v>
      </c>
      <c r="G73" s="13">
        <f t="shared" si="1"/>
        <v>-2.4643443891519956E-3</v>
      </c>
      <c r="H73" s="13"/>
    </row>
    <row r="74" spans="2:8" x14ac:dyDescent="0.3">
      <c r="B74" s="28">
        <v>45284</v>
      </c>
      <c r="C74" s="6">
        <v>91.4</v>
      </c>
      <c r="D74" s="30">
        <f t="shared" si="0"/>
        <v>6.7188016301353848E-3</v>
      </c>
      <c r="E74" s="6"/>
      <c r="F74" s="29">
        <v>16852.900000000001</v>
      </c>
      <c r="G74" s="13">
        <f t="shared" si="1"/>
        <v>5.6509649007649987E-3</v>
      </c>
      <c r="H74" s="13"/>
    </row>
    <row r="75" spans="2:8" x14ac:dyDescent="0.3">
      <c r="B75" s="28">
        <v>45277</v>
      </c>
      <c r="C75" s="6">
        <v>88.9</v>
      </c>
      <c r="D75" s="30">
        <f t="shared" si="0"/>
        <v>-2.7352297592997843E-2</v>
      </c>
      <c r="E75" s="6"/>
      <c r="F75" s="29">
        <v>16770.5</v>
      </c>
      <c r="G75" s="13">
        <f t="shared" si="1"/>
        <v>-4.8893662218373324E-3</v>
      </c>
      <c r="H75" s="13"/>
    </row>
    <row r="76" spans="2:8" x14ac:dyDescent="0.3">
      <c r="B76" s="28">
        <v>45270</v>
      </c>
      <c r="C76" s="6">
        <v>89.44</v>
      </c>
      <c r="D76" s="30">
        <f t="shared" si="0"/>
        <v>6.074240719909918E-3</v>
      </c>
      <c r="E76" s="6"/>
      <c r="F76" s="29">
        <v>16609.8</v>
      </c>
      <c r="G76" s="13">
        <f t="shared" si="1"/>
        <v>-9.5823022569393457E-3</v>
      </c>
      <c r="H76" s="13"/>
    </row>
    <row r="77" spans="2:8" x14ac:dyDescent="0.3">
      <c r="B77" s="28">
        <v>45263</v>
      </c>
      <c r="C77" s="6">
        <v>86.43</v>
      </c>
      <c r="D77" s="30">
        <f t="shared" si="0"/>
        <v>-3.3653846153846034E-2</v>
      </c>
      <c r="E77" s="6"/>
      <c r="F77" s="29">
        <v>16207.8</v>
      </c>
      <c r="G77" s="13">
        <f t="shared" si="1"/>
        <v>-2.4202579200231167E-2</v>
      </c>
      <c r="H77" s="13"/>
    </row>
    <row r="78" spans="2:8" x14ac:dyDescent="0.3">
      <c r="B78" s="28">
        <v>45256</v>
      </c>
      <c r="C78" s="6">
        <v>83.48</v>
      </c>
      <c r="D78" s="30">
        <f t="shared" si="0"/>
        <v>-3.4131667245169584E-2</v>
      </c>
      <c r="E78" s="6"/>
      <c r="F78" s="29">
        <v>16263.8</v>
      </c>
      <c r="G78" s="13">
        <f t="shared" si="1"/>
        <v>3.4551265440097012E-3</v>
      </c>
      <c r="H78" s="13"/>
    </row>
    <row r="79" spans="2:8" x14ac:dyDescent="0.3">
      <c r="B79" s="28">
        <v>45249</v>
      </c>
      <c r="C79" s="6">
        <v>80.22</v>
      </c>
      <c r="D79" s="30">
        <f t="shared" si="0"/>
        <v>-3.9051269765213337E-2</v>
      </c>
      <c r="E79" s="6"/>
      <c r="F79" s="29">
        <v>15983.8</v>
      </c>
      <c r="G79" s="13">
        <f t="shared" si="1"/>
        <v>-1.7216148747525195E-2</v>
      </c>
      <c r="H79" s="13"/>
    </row>
    <row r="80" spans="2:8" x14ac:dyDescent="0.3">
      <c r="B80" s="28">
        <v>45242</v>
      </c>
      <c r="C80" s="6">
        <v>79.709999999999994</v>
      </c>
      <c r="D80" s="30">
        <f t="shared" si="0"/>
        <v>-6.3575168287210992E-3</v>
      </c>
      <c r="E80" s="6"/>
      <c r="F80" s="29">
        <v>15813.5</v>
      </c>
      <c r="G80" s="13">
        <f t="shared" si="1"/>
        <v>-1.0654537719440915E-2</v>
      </c>
      <c r="H80" s="13"/>
    </row>
    <row r="81" spans="2:8" x14ac:dyDescent="0.3">
      <c r="B81" s="28">
        <v>45235</v>
      </c>
      <c r="C81" s="6">
        <v>77.599999999999994</v>
      </c>
      <c r="D81" s="30">
        <f t="shared" si="0"/>
        <v>-2.6470957219922209E-2</v>
      </c>
      <c r="E81" s="6"/>
      <c r="F81" s="29">
        <v>15388.4</v>
      </c>
      <c r="G81" s="13">
        <f t="shared" si="1"/>
        <v>-2.68820944130016E-2</v>
      </c>
      <c r="H81" s="13"/>
    </row>
    <row r="82" spans="2:8" x14ac:dyDescent="0.3">
      <c r="B82" s="28">
        <v>45228</v>
      </c>
      <c r="C82" s="6">
        <v>78.47</v>
      </c>
      <c r="D82" s="30">
        <f t="shared" si="0"/>
        <v>1.1211340206185527E-2</v>
      </c>
      <c r="E82" s="6"/>
      <c r="F82" s="29">
        <v>15475.2</v>
      </c>
      <c r="G82" s="13">
        <f t="shared" si="1"/>
        <v>5.6406124093473231E-3</v>
      </c>
      <c r="H82" s="13"/>
    </row>
    <row r="83" spans="2:8" x14ac:dyDescent="0.3">
      <c r="B83" s="28">
        <v>45221</v>
      </c>
      <c r="C83" s="6">
        <v>73.17</v>
      </c>
      <c r="D83" s="30">
        <f t="shared" si="0"/>
        <v>-6.754173569517008E-2</v>
      </c>
      <c r="E83" s="6"/>
      <c r="F83" s="29">
        <v>14675.8</v>
      </c>
      <c r="G83" s="13">
        <f t="shared" si="1"/>
        <v>-5.1656844499586518E-2</v>
      </c>
      <c r="H83" s="13"/>
    </row>
    <row r="84" spans="2:8" x14ac:dyDescent="0.3">
      <c r="B84" s="28">
        <v>45214</v>
      </c>
      <c r="C84" s="6">
        <v>72.36</v>
      </c>
      <c r="D84" s="30">
        <f t="shared" si="0"/>
        <v>-1.1070110701107083E-2</v>
      </c>
      <c r="E84" s="6"/>
      <c r="F84" s="29">
        <v>15033.3</v>
      </c>
      <c r="G84" s="13">
        <f t="shared" si="1"/>
        <v>2.4359830469207866E-2</v>
      </c>
      <c r="H84" s="13"/>
    </row>
    <row r="85" spans="2:8" x14ac:dyDescent="0.3">
      <c r="B85" s="28">
        <v>45207</v>
      </c>
      <c r="C85" s="6">
        <v>74.14</v>
      </c>
      <c r="D85" s="30">
        <f t="shared" si="0"/>
        <v>2.4599226091763349E-2</v>
      </c>
      <c r="E85" s="6"/>
      <c r="F85" s="29">
        <v>15323.7</v>
      </c>
      <c r="G85" s="13">
        <f t="shared" si="1"/>
        <v>1.9317116002474544E-2</v>
      </c>
      <c r="H85" s="13"/>
    </row>
    <row r="86" spans="2:8" x14ac:dyDescent="0.3">
      <c r="B86" s="28">
        <v>45200</v>
      </c>
      <c r="C86" s="6">
        <v>73.91</v>
      </c>
      <c r="D86" s="30">
        <f t="shared" si="0"/>
        <v>-3.1022390072835693E-3</v>
      </c>
      <c r="E86" s="6"/>
      <c r="F86" s="29">
        <v>15214</v>
      </c>
      <c r="G86" s="13">
        <f t="shared" si="1"/>
        <v>-7.1588454485536079E-3</v>
      </c>
      <c r="H86" s="13"/>
    </row>
    <row r="87" spans="2:8" x14ac:dyDescent="0.3">
      <c r="B87" s="28">
        <v>45193</v>
      </c>
      <c r="C87" s="6">
        <v>78.27</v>
      </c>
      <c r="D87" s="30">
        <f t="shared" ref="D87:D150" si="2">(C87/C86)-1</f>
        <v>5.8990664321472153E-2</v>
      </c>
      <c r="E87" s="6"/>
      <c r="F87" s="29">
        <v>15398.2</v>
      </c>
      <c r="G87" s="13">
        <f t="shared" ref="G87:G150" si="3">(F87/F86)-1</f>
        <v>1.2107269620086791E-2</v>
      </c>
      <c r="H87" s="13"/>
    </row>
    <row r="88" spans="2:8" x14ac:dyDescent="0.3">
      <c r="B88" s="28">
        <v>45186</v>
      </c>
      <c r="C88" s="6">
        <v>81.13</v>
      </c>
      <c r="D88" s="30">
        <f t="shared" si="2"/>
        <v>3.6540181423278417E-2</v>
      </c>
      <c r="E88" s="6"/>
      <c r="F88" s="29">
        <v>15569.5</v>
      </c>
      <c r="G88" s="13">
        <f t="shared" si="3"/>
        <v>1.1124676910288178E-2</v>
      </c>
      <c r="H88" s="13"/>
    </row>
    <row r="89" spans="2:8" x14ac:dyDescent="0.3">
      <c r="B89" s="28">
        <v>45179</v>
      </c>
      <c r="C89" s="6">
        <v>84.49</v>
      </c>
      <c r="D89" s="30">
        <f t="shared" si="2"/>
        <v>4.141501294219152E-2</v>
      </c>
      <c r="E89" s="6"/>
      <c r="F89" s="29">
        <v>15973.7</v>
      </c>
      <c r="G89" s="13">
        <f t="shared" si="3"/>
        <v>2.5961013520023224E-2</v>
      </c>
      <c r="H89" s="13"/>
    </row>
    <row r="90" spans="2:8" x14ac:dyDescent="0.3">
      <c r="B90" s="28">
        <v>45172</v>
      </c>
      <c r="C90" s="6">
        <v>88.82</v>
      </c>
      <c r="D90" s="30">
        <f t="shared" si="2"/>
        <v>5.1248668481477022E-2</v>
      </c>
      <c r="E90" s="6"/>
      <c r="F90" s="29">
        <v>15879</v>
      </c>
      <c r="G90" s="13">
        <f t="shared" si="3"/>
        <v>-5.9284949635964868E-3</v>
      </c>
      <c r="H90" s="13"/>
    </row>
    <row r="91" spans="2:8" x14ac:dyDescent="0.3">
      <c r="B91" s="28">
        <v>45165</v>
      </c>
      <c r="C91" s="6">
        <v>89.42</v>
      </c>
      <c r="D91" s="30">
        <f t="shared" si="2"/>
        <v>6.7552353073632165E-3</v>
      </c>
      <c r="E91" s="6"/>
      <c r="F91" s="29">
        <v>16091.8</v>
      </c>
      <c r="G91" s="13">
        <f t="shared" si="3"/>
        <v>1.340134769192014E-2</v>
      </c>
      <c r="H91" s="13"/>
    </row>
    <row r="92" spans="2:8" x14ac:dyDescent="0.3">
      <c r="B92" s="28">
        <v>45158</v>
      </c>
      <c r="C92" s="6">
        <v>82.73</v>
      </c>
      <c r="D92" s="30">
        <f t="shared" si="2"/>
        <v>-7.4815477521807172E-2</v>
      </c>
      <c r="E92" s="6"/>
      <c r="F92" s="29">
        <v>15766.9</v>
      </c>
      <c r="G92" s="13">
        <f t="shared" si="3"/>
        <v>-2.0190407536757826E-2</v>
      </c>
      <c r="H92" s="13"/>
    </row>
    <row r="93" spans="2:8" x14ac:dyDescent="0.3">
      <c r="B93" s="28">
        <v>45151</v>
      </c>
      <c r="C93" s="6">
        <v>83.62</v>
      </c>
      <c r="D93" s="30">
        <f t="shared" si="2"/>
        <v>1.0757887102623043E-2</v>
      </c>
      <c r="E93" s="6"/>
      <c r="F93" s="29">
        <v>15750.2</v>
      </c>
      <c r="G93" s="13">
        <f t="shared" si="3"/>
        <v>-1.059180942353799E-3</v>
      </c>
      <c r="H93" s="13"/>
    </row>
    <row r="94" spans="2:8" x14ac:dyDescent="0.3">
      <c r="B94" s="28">
        <v>45144</v>
      </c>
      <c r="C94" s="6">
        <v>87.41</v>
      </c>
      <c r="D94" s="30">
        <f t="shared" si="2"/>
        <v>4.5324085147093962E-2</v>
      </c>
      <c r="E94" s="6"/>
      <c r="F94" s="29">
        <v>16143.4</v>
      </c>
      <c r="G94" s="13">
        <f t="shared" si="3"/>
        <v>2.4964762352224001E-2</v>
      </c>
      <c r="H94" s="13"/>
    </row>
    <row r="95" spans="2:8" x14ac:dyDescent="0.3">
      <c r="B95" s="28">
        <v>45137</v>
      </c>
      <c r="C95" s="6">
        <v>88.21</v>
      </c>
      <c r="D95" s="30">
        <f t="shared" si="2"/>
        <v>9.152270907218929E-3</v>
      </c>
      <c r="E95" s="6"/>
      <c r="F95" s="29">
        <v>16071.1</v>
      </c>
      <c r="G95" s="13">
        <f t="shared" si="3"/>
        <v>-4.4786104538077076E-3</v>
      </c>
      <c r="H95" s="13"/>
    </row>
    <row r="96" spans="2:8" x14ac:dyDescent="0.3">
      <c r="B96" s="28">
        <v>45130</v>
      </c>
      <c r="C96" s="6">
        <v>93.54</v>
      </c>
      <c r="D96" s="30">
        <f t="shared" si="2"/>
        <v>6.0423988209953761E-2</v>
      </c>
      <c r="E96" s="6"/>
      <c r="F96" s="29">
        <v>16363.3</v>
      </c>
      <c r="G96" s="13">
        <f t="shared" si="3"/>
        <v>1.8181705048192054E-2</v>
      </c>
      <c r="H96" s="13"/>
    </row>
    <row r="97" spans="2:8" x14ac:dyDescent="0.3">
      <c r="B97" s="28">
        <v>45123</v>
      </c>
      <c r="C97" s="6">
        <v>87.23</v>
      </c>
      <c r="D97" s="30">
        <f t="shared" si="2"/>
        <v>-6.745777207611714E-2</v>
      </c>
      <c r="E97" s="6"/>
      <c r="F97" s="29">
        <v>16289.1</v>
      </c>
      <c r="G97" s="13">
        <f t="shared" si="3"/>
        <v>-4.5345376543850513E-3</v>
      </c>
      <c r="H97" s="13"/>
    </row>
    <row r="98" spans="2:8" x14ac:dyDescent="0.3">
      <c r="B98" s="28">
        <v>45116</v>
      </c>
      <c r="C98" s="6">
        <v>85.53</v>
      </c>
      <c r="D98" s="30">
        <f t="shared" si="2"/>
        <v>-1.9488708013298162E-2</v>
      </c>
      <c r="E98" s="6"/>
      <c r="F98" s="29">
        <v>16040.2</v>
      </c>
      <c r="G98" s="13">
        <f t="shared" si="3"/>
        <v>-1.5280156669183698E-2</v>
      </c>
      <c r="H98" s="13"/>
    </row>
    <row r="99" spans="2:8" x14ac:dyDescent="0.3">
      <c r="B99" s="28">
        <v>45109</v>
      </c>
      <c r="C99" s="6">
        <v>81.34</v>
      </c>
      <c r="D99" s="30">
        <f t="shared" si="2"/>
        <v>-4.8988658950075981E-2</v>
      </c>
      <c r="E99" s="6"/>
      <c r="F99" s="29">
        <v>15671.6</v>
      </c>
      <c r="G99" s="13">
        <f t="shared" si="3"/>
        <v>-2.2979763344596726E-2</v>
      </c>
      <c r="H99" s="13"/>
    </row>
    <row r="100" spans="2:8" x14ac:dyDescent="0.3">
      <c r="B100" s="28">
        <v>45102</v>
      </c>
      <c r="C100" s="6">
        <v>83.68</v>
      </c>
      <c r="D100" s="30">
        <f t="shared" si="2"/>
        <v>2.8768133759528025E-2</v>
      </c>
      <c r="E100" s="6"/>
      <c r="F100" s="29">
        <v>15875.9</v>
      </c>
      <c r="G100" s="13">
        <f t="shared" si="3"/>
        <v>1.3036320477807006E-2</v>
      </c>
      <c r="H100" s="13"/>
    </row>
    <row r="101" spans="2:8" x14ac:dyDescent="0.3">
      <c r="B101" s="28">
        <v>45095</v>
      </c>
      <c r="C101" s="6">
        <v>84.21</v>
      </c>
      <c r="D101" s="30">
        <f t="shared" si="2"/>
        <v>6.3336520076480163E-3</v>
      </c>
      <c r="E101" s="6"/>
      <c r="F101" s="29">
        <v>15469.4</v>
      </c>
      <c r="G101" s="13">
        <f t="shared" si="3"/>
        <v>-2.5604847599191238E-2</v>
      </c>
      <c r="H101" s="13"/>
    </row>
    <row r="102" spans="2:8" x14ac:dyDescent="0.3">
      <c r="B102" s="28">
        <v>45088</v>
      </c>
      <c r="C102" s="6">
        <v>87.4</v>
      </c>
      <c r="D102" s="30">
        <f t="shared" si="2"/>
        <v>3.7881486759292482E-2</v>
      </c>
      <c r="E102" s="6"/>
      <c r="F102" s="29">
        <v>15795.1</v>
      </c>
      <c r="G102" s="13">
        <f t="shared" si="3"/>
        <v>2.1054468822320205E-2</v>
      </c>
      <c r="H102" s="13"/>
    </row>
    <row r="103" spans="2:8" x14ac:dyDescent="0.3">
      <c r="B103" s="28">
        <v>45081</v>
      </c>
      <c r="C103" s="6">
        <v>83.52</v>
      </c>
      <c r="D103" s="30">
        <f t="shared" si="2"/>
        <v>-4.4393592677345661E-2</v>
      </c>
      <c r="E103" s="6"/>
      <c r="F103" s="29">
        <v>15499.9</v>
      </c>
      <c r="G103" s="13">
        <f t="shared" si="3"/>
        <v>-1.8689340365049989E-2</v>
      </c>
      <c r="H103" s="13"/>
    </row>
    <row r="104" spans="2:8" x14ac:dyDescent="0.3">
      <c r="B104" s="28">
        <v>45074</v>
      </c>
      <c r="C104" s="6">
        <v>85.72</v>
      </c>
      <c r="D104" s="30">
        <f t="shared" si="2"/>
        <v>2.634099616858232E-2</v>
      </c>
      <c r="E104" s="6"/>
      <c r="F104" s="29">
        <v>15345.2</v>
      </c>
      <c r="G104" s="13">
        <f t="shared" si="3"/>
        <v>-9.9807095529648171E-3</v>
      </c>
      <c r="H104" s="13"/>
    </row>
    <row r="105" spans="2:8" x14ac:dyDescent="0.3">
      <c r="B105" s="28">
        <v>45067</v>
      </c>
      <c r="C105" s="6">
        <v>81.05</v>
      </c>
      <c r="D105" s="30">
        <f t="shared" si="2"/>
        <v>-5.4479701353243093E-2</v>
      </c>
      <c r="E105" s="6"/>
      <c r="F105" s="29">
        <v>15078.7</v>
      </c>
      <c r="G105" s="13">
        <f t="shared" si="3"/>
        <v>-1.7366994239240929E-2</v>
      </c>
      <c r="H105" s="13"/>
    </row>
    <row r="106" spans="2:8" x14ac:dyDescent="0.3">
      <c r="B106" s="28">
        <v>45060</v>
      </c>
      <c r="C106" s="6">
        <v>82.8</v>
      </c>
      <c r="D106" s="30">
        <f t="shared" si="2"/>
        <v>2.1591610117211557E-2</v>
      </c>
      <c r="E106" s="6"/>
      <c r="F106" s="29">
        <v>15324.3</v>
      </c>
      <c r="G106" s="13">
        <f t="shared" si="3"/>
        <v>1.6287876275806079E-2</v>
      </c>
      <c r="H106" s="13"/>
    </row>
    <row r="107" spans="2:8" x14ac:dyDescent="0.3">
      <c r="B107" s="28">
        <v>45053</v>
      </c>
      <c r="C107" s="6">
        <v>83.83</v>
      </c>
      <c r="D107" s="30">
        <f t="shared" si="2"/>
        <v>1.2439613526570081E-2</v>
      </c>
      <c r="E107" s="6"/>
      <c r="F107" s="29">
        <v>15246.4</v>
      </c>
      <c r="G107" s="13">
        <f t="shared" si="3"/>
        <v>-5.0834295856906353E-3</v>
      </c>
      <c r="H107" s="13"/>
    </row>
    <row r="108" spans="2:8" x14ac:dyDescent="0.3">
      <c r="B108" s="28">
        <v>45046</v>
      </c>
      <c r="C108" s="6">
        <v>86.41</v>
      </c>
      <c r="D108" s="30">
        <f t="shared" si="2"/>
        <v>3.0776571633066796E-2</v>
      </c>
      <c r="E108" s="6"/>
      <c r="F108" s="29">
        <v>15380.9</v>
      </c>
      <c r="G108" s="13">
        <f t="shared" si="3"/>
        <v>8.8217546437192595E-3</v>
      </c>
      <c r="H108" s="13"/>
    </row>
    <row r="109" spans="2:8" x14ac:dyDescent="0.3">
      <c r="B109" s="28">
        <v>45039</v>
      </c>
      <c r="C109" s="6">
        <v>88.81</v>
      </c>
      <c r="D109" s="30">
        <f t="shared" si="2"/>
        <v>2.7774563129267404E-2</v>
      </c>
      <c r="E109" s="6"/>
      <c r="F109" s="29">
        <v>15545.9</v>
      </c>
      <c r="G109" s="13">
        <f t="shared" si="3"/>
        <v>1.0727590713157209E-2</v>
      </c>
      <c r="H109" s="13"/>
    </row>
    <row r="110" spans="2:8" x14ac:dyDescent="0.3">
      <c r="B110" s="28">
        <v>45032</v>
      </c>
      <c r="C110" s="6">
        <v>87.35</v>
      </c>
      <c r="D110" s="30">
        <f t="shared" si="2"/>
        <v>-1.6439590136245963E-2</v>
      </c>
      <c r="E110" s="6"/>
      <c r="F110" s="29">
        <v>15578.9</v>
      </c>
      <c r="G110" s="13">
        <f t="shared" si="3"/>
        <v>2.12274619031394E-3</v>
      </c>
      <c r="H110" s="13"/>
    </row>
    <row r="111" spans="2:8" x14ac:dyDescent="0.3">
      <c r="B111" s="28">
        <v>45025</v>
      </c>
      <c r="C111" s="6">
        <v>88.43</v>
      </c>
      <c r="D111" s="30">
        <f t="shared" si="2"/>
        <v>1.2364052661705927E-2</v>
      </c>
      <c r="E111" s="6"/>
      <c r="F111" s="29">
        <v>15601.8</v>
      </c>
      <c r="G111" s="13">
        <f t="shared" si="3"/>
        <v>1.4699369018351671E-3</v>
      </c>
      <c r="H111" s="13"/>
    </row>
    <row r="112" spans="2:8" x14ac:dyDescent="0.3">
      <c r="B112" s="28">
        <v>45018</v>
      </c>
      <c r="C112" s="6">
        <v>84.91</v>
      </c>
      <c r="D112" s="30">
        <f t="shared" si="2"/>
        <v>-3.9805495872441643E-2</v>
      </c>
      <c r="E112" s="6"/>
      <c r="F112" s="29">
        <v>15379.1</v>
      </c>
      <c r="G112" s="13">
        <f t="shared" si="3"/>
        <v>-1.4273994026330228E-2</v>
      </c>
      <c r="H112" s="13"/>
    </row>
    <row r="113" spans="2:8" x14ac:dyDescent="0.3">
      <c r="B113" s="28">
        <v>45011</v>
      </c>
      <c r="C113" s="6">
        <v>87.88</v>
      </c>
      <c r="D113" s="30">
        <f t="shared" si="2"/>
        <v>3.4978212224708427E-2</v>
      </c>
      <c r="E113" s="6"/>
      <c r="F113" s="29">
        <v>15374.9</v>
      </c>
      <c r="G113" s="13">
        <f t="shared" si="3"/>
        <v>-2.7309790559915115E-4</v>
      </c>
      <c r="H113" s="13"/>
    </row>
    <row r="114" spans="2:8" x14ac:dyDescent="0.3">
      <c r="B114" s="28">
        <v>45004</v>
      </c>
      <c r="C114" s="6">
        <v>84.56</v>
      </c>
      <c r="D114" s="30">
        <f t="shared" si="2"/>
        <v>-3.7778789258079093E-2</v>
      </c>
      <c r="E114" s="6"/>
      <c r="F114" s="29">
        <v>14758.6</v>
      </c>
      <c r="G114" s="13">
        <f t="shared" si="3"/>
        <v>-4.00848135597629E-2</v>
      </c>
      <c r="H114" s="13"/>
    </row>
    <row r="115" spans="2:8" x14ac:dyDescent="0.3">
      <c r="B115" s="28">
        <v>44997</v>
      </c>
      <c r="C115" s="6">
        <v>86.13</v>
      </c>
      <c r="D115" s="30">
        <f t="shared" si="2"/>
        <v>1.8566698202459708E-2</v>
      </c>
      <c r="E115" s="6"/>
      <c r="F115" s="29">
        <v>14599</v>
      </c>
      <c r="G115" s="13">
        <f t="shared" si="3"/>
        <v>-1.0814033851449301E-2</v>
      </c>
      <c r="H115" s="13"/>
    </row>
    <row r="116" spans="2:8" x14ac:dyDescent="0.3">
      <c r="B116" s="28">
        <v>44990</v>
      </c>
      <c r="C116" s="6">
        <v>87</v>
      </c>
      <c r="D116" s="30">
        <f t="shared" si="2"/>
        <v>1.0101010101010166E-2</v>
      </c>
      <c r="E116" s="6"/>
      <c r="F116" s="29">
        <v>14894.2</v>
      </c>
      <c r="G116" s="13">
        <f t="shared" si="3"/>
        <v>2.0220563052263829E-2</v>
      </c>
      <c r="H116" s="13"/>
    </row>
    <row r="117" spans="2:8" x14ac:dyDescent="0.3">
      <c r="B117" s="28">
        <v>44983</v>
      </c>
      <c r="C117" s="6">
        <v>93.02</v>
      </c>
      <c r="D117" s="30">
        <f t="shared" si="2"/>
        <v>6.9195402298850572E-2</v>
      </c>
      <c r="E117" s="6"/>
      <c r="F117" s="29">
        <v>15721.1</v>
      </c>
      <c r="G117" s="13">
        <f t="shared" si="3"/>
        <v>5.5518255428287588E-2</v>
      </c>
      <c r="H117" s="13"/>
    </row>
    <row r="118" spans="2:8" x14ac:dyDescent="0.3">
      <c r="B118" s="28">
        <v>44976</v>
      </c>
      <c r="C118" s="6">
        <v>90.13</v>
      </c>
      <c r="D118" s="30">
        <f t="shared" si="2"/>
        <v>-3.1068587400559067E-2</v>
      </c>
      <c r="E118" s="6"/>
      <c r="F118" s="29">
        <v>15464.5</v>
      </c>
      <c r="G118" s="13">
        <f t="shared" si="3"/>
        <v>-1.6322013090687038E-2</v>
      </c>
      <c r="H118" s="13"/>
    </row>
    <row r="119" spans="2:8" x14ac:dyDescent="0.3">
      <c r="B119" s="28">
        <v>44969</v>
      </c>
      <c r="C119" s="6">
        <v>94.47</v>
      </c>
      <c r="D119" s="30">
        <f t="shared" si="2"/>
        <v>4.8152668367912987E-2</v>
      </c>
      <c r="E119" s="6"/>
      <c r="F119" s="29">
        <v>15840.2</v>
      </c>
      <c r="G119" s="13">
        <f t="shared" si="3"/>
        <v>2.4294351579423834E-2</v>
      </c>
      <c r="H119" s="13"/>
    </row>
    <row r="120" spans="2:8" x14ac:dyDescent="0.3">
      <c r="B120" s="28">
        <v>44962</v>
      </c>
      <c r="C120" s="6">
        <v>95.21</v>
      </c>
      <c r="D120" s="30">
        <f t="shared" si="2"/>
        <v>7.8331745527679963E-3</v>
      </c>
      <c r="E120" s="6"/>
      <c r="F120" s="29">
        <v>15910.7</v>
      </c>
      <c r="G120" s="13">
        <f t="shared" si="3"/>
        <v>4.4507013800330064E-3</v>
      </c>
      <c r="H120" s="13"/>
    </row>
    <row r="121" spans="2:8" x14ac:dyDescent="0.3">
      <c r="B121" s="28">
        <v>44955</v>
      </c>
      <c r="C121" s="6">
        <v>98.23</v>
      </c>
      <c r="D121" s="30">
        <f t="shared" si="2"/>
        <v>3.1719357210377108E-2</v>
      </c>
      <c r="E121" s="6"/>
      <c r="F121" s="29">
        <v>15999.4</v>
      </c>
      <c r="G121" s="13">
        <f t="shared" si="3"/>
        <v>5.5748647136830698E-3</v>
      </c>
      <c r="H121" s="13"/>
    </row>
    <row r="122" spans="2:8" x14ac:dyDescent="0.3">
      <c r="B122" s="28">
        <v>44948</v>
      </c>
      <c r="C122" s="6">
        <v>96.36</v>
      </c>
      <c r="D122" s="30">
        <f t="shared" si="2"/>
        <v>-1.903695408734607E-2</v>
      </c>
      <c r="E122" s="6"/>
      <c r="F122" s="29">
        <v>15962.6</v>
      </c>
      <c r="G122" s="13">
        <f t="shared" si="3"/>
        <v>-2.3000862532344124E-3</v>
      </c>
      <c r="H122" s="13"/>
    </row>
    <row r="123" spans="2:8" x14ac:dyDescent="0.3">
      <c r="B123" s="28">
        <v>44941</v>
      </c>
      <c r="C123" s="6">
        <v>100.87</v>
      </c>
      <c r="D123" s="30">
        <f t="shared" si="2"/>
        <v>4.680365296803668E-2</v>
      </c>
      <c r="E123" s="6"/>
      <c r="F123" s="29">
        <v>15777.5</v>
      </c>
      <c r="G123" s="13">
        <f t="shared" si="3"/>
        <v>-1.1595855311791303E-2</v>
      </c>
      <c r="H123" s="13"/>
    </row>
    <row r="124" spans="2:8" x14ac:dyDescent="0.3">
      <c r="B124" s="28">
        <v>44934</v>
      </c>
      <c r="C124" s="6">
        <v>108.28</v>
      </c>
      <c r="D124" s="30">
        <f t="shared" si="2"/>
        <v>7.3460890254783306E-2</v>
      </c>
      <c r="E124" s="6"/>
      <c r="F124" s="29">
        <v>15918.4</v>
      </c>
      <c r="G124" s="13">
        <f t="shared" si="3"/>
        <v>8.9304389161781739E-3</v>
      </c>
      <c r="H124" s="13"/>
    </row>
    <row r="125" spans="2:8" x14ac:dyDescent="0.3">
      <c r="B125" s="28">
        <v>44927</v>
      </c>
      <c r="C125" s="6">
        <v>105.95</v>
      </c>
      <c r="D125" s="30">
        <f t="shared" si="2"/>
        <v>-2.1518285925378633E-2</v>
      </c>
      <c r="E125" s="6"/>
      <c r="F125" s="29">
        <v>15539.7</v>
      </c>
      <c r="G125" s="13">
        <f t="shared" si="3"/>
        <v>-2.3790079404965248E-2</v>
      </c>
      <c r="H125" s="13"/>
    </row>
    <row r="126" spans="2:8" x14ac:dyDescent="0.3">
      <c r="B126" s="28">
        <v>44920</v>
      </c>
      <c r="C126" s="6">
        <v>100.26</v>
      </c>
      <c r="D126" s="30">
        <f t="shared" si="2"/>
        <v>-5.3704577630957928E-2</v>
      </c>
      <c r="E126" s="6"/>
      <c r="F126" s="29">
        <v>15184.3</v>
      </c>
      <c r="G126" s="13">
        <f t="shared" si="3"/>
        <v>-2.2870454384576355E-2</v>
      </c>
      <c r="H126" s="13"/>
    </row>
    <row r="127" spans="2:8" x14ac:dyDescent="0.3">
      <c r="B127" s="28">
        <v>44913</v>
      </c>
      <c r="C127" s="6">
        <v>100.45</v>
      </c>
      <c r="D127" s="30">
        <f t="shared" si="2"/>
        <v>1.8950728106921222E-3</v>
      </c>
      <c r="E127" s="6"/>
      <c r="F127" s="29">
        <v>15188.5</v>
      </c>
      <c r="G127" s="13">
        <f t="shared" si="3"/>
        <v>2.7660148969665954E-4</v>
      </c>
      <c r="H127" s="13"/>
    </row>
    <row r="128" spans="2:8" x14ac:dyDescent="0.3">
      <c r="B128" s="28">
        <v>44906</v>
      </c>
      <c r="C128" s="6">
        <v>101.74</v>
      </c>
      <c r="D128" s="30">
        <f t="shared" si="2"/>
        <v>1.2842210054753611E-2</v>
      </c>
      <c r="E128" s="6"/>
      <c r="F128" s="29">
        <v>15018.2</v>
      </c>
      <c r="G128" s="13">
        <f t="shared" si="3"/>
        <v>-1.1212430457253841E-2</v>
      </c>
      <c r="H128" s="13"/>
    </row>
    <row r="129" spans="2:8" x14ac:dyDescent="0.3">
      <c r="B129" s="28">
        <v>44899</v>
      </c>
      <c r="C129" s="6">
        <v>105.14</v>
      </c>
      <c r="D129" s="30">
        <f t="shared" si="2"/>
        <v>3.3418517790446245E-2</v>
      </c>
      <c r="E129" s="6"/>
      <c r="F129" s="29">
        <v>15291</v>
      </c>
      <c r="G129" s="13">
        <f t="shared" si="3"/>
        <v>1.8164626919337845E-2</v>
      </c>
      <c r="H129" s="13"/>
    </row>
    <row r="130" spans="2:8" x14ac:dyDescent="0.3">
      <c r="B130" s="28">
        <v>44892</v>
      </c>
      <c r="C130" s="6">
        <v>106.17</v>
      </c>
      <c r="D130" s="30">
        <f t="shared" si="2"/>
        <v>9.7964618603767484E-3</v>
      </c>
      <c r="E130" s="6"/>
      <c r="F130" s="29">
        <v>15767</v>
      </c>
      <c r="G130" s="13">
        <f t="shared" si="3"/>
        <v>3.1129422536132267E-2</v>
      </c>
      <c r="H130" s="13"/>
    </row>
    <row r="131" spans="2:8" x14ac:dyDescent="0.3">
      <c r="B131" s="28">
        <v>44885</v>
      </c>
      <c r="C131" s="6">
        <v>107.89</v>
      </c>
      <c r="D131" s="30">
        <f t="shared" si="2"/>
        <v>1.6200433267401282E-2</v>
      </c>
      <c r="E131" s="6"/>
      <c r="F131" s="29">
        <v>15605.7</v>
      </c>
      <c r="G131" s="13">
        <f t="shared" si="3"/>
        <v>-1.0230227690746441E-2</v>
      </c>
      <c r="H131" s="13"/>
    </row>
    <row r="132" spans="2:8" x14ac:dyDescent="0.3">
      <c r="B132" s="28">
        <v>44878</v>
      </c>
      <c r="C132" s="6">
        <v>105.98</v>
      </c>
      <c r="D132" s="30">
        <f t="shared" si="2"/>
        <v>-1.7703216238761699E-2</v>
      </c>
      <c r="E132" s="6"/>
      <c r="F132" s="29">
        <v>15309.8</v>
      </c>
      <c r="G132" s="13">
        <f t="shared" si="3"/>
        <v>-1.8961020652710325E-2</v>
      </c>
      <c r="H132" s="13"/>
    </row>
    <row r="133" spans="2:8" x14ac:dyDescent="0.3">
      <c r="B133" s="28">
        <v>44871</v>
      </c>
      <c r="C133" s="6">
        <v>111.18</v>
      </c>
      <c r="D133" s="30">
        <f t="shared" si="2"/>
        <v>4.9065861483298834E-2</v>
      </c>
      <c r="E133" s="6"/>
      <c r="F133" s="29">
        <v>15352.7</v>
      </c>
      <c r="G133" s="13">
        <f t="shared" si="3"/>
        <v>2.8021267423481433E-3</v>
      </c>
      <c r="H133" s="13"/>
    </row>
    <row r="134" spans="2:8" x14ac:dyDescent="0.3">
      <c r="B134" s="28">
        <v>44864</v>
      </c>
      <c r="C134" s="6">
        <v>104.38</v>
      </c>
      <c r="D134" s="30">
        <f t="shared" si="2"/>
        <v>-6.1162079510703515E-2</v>
      </c>
      <c r="E134" s="6"/>
      <c r="F134" s="29">
        <v>14702.8</v>
      </c>
      <c r="G134" s="13">
        <f t="shared" si="3"/>
        <v>-4.2331316315696976E-2</v>
      </c>
      <c r="H134" s="13"/>
    </row>
    <row r="135" spans="2:8" x14ac:dyDescent="0.3">
      <c r="B135" s="28">
        <v>44857</v>
      </c>
      <c r="C135" s="6">
        <v>105.85</v>
      </c>
      <c r="D135" s="30">
        <f t="shared" si="2"/>
        <v>1.408315769304469E-2</v>
      </c>
      <c r="E135" s="6"/>
      <c r="F135" s="29">
        <v>14795.6</v>
      </c>
      <c r="G135" s="13">
        <f t="shared" si="3"/>
        <v>6.3117229371276729E-3</v>
      </c>
      <c r="H135" s="13"/>
    </row>
    <row r="136" spans="2:8" x14ac:dyDescent="0.3">
      <c r="B136" s="28">
        <v>44850</v>
      </c>
      <c r="C136" s="6">
        <v>97.66</v>
      </c>
      <c r="D136" s="30">
        <f t="shared" si="2"/>
        <v>-7.7373641946150151E-2</v>
      </c>
      <c r="E136" s="6"/>
      <c r="F136" s="29">
        <v>14144</v>
      </c>
      <c r="G136" s="13">
        <f t="shared" si="3"/>
        <v>-4.4040120035686359E-2</v>
      </c>
      <c r="H136" s="13"/>
    </row>
    <row r="137" spans="2:8" x14ac:dyDescent="0.3">
      <c r="B137" s="28">
        <v>44843</v>
      </c>
      <c r="C137" s="6">
        <v>95</v>
      </c>
      <c r="D137" s="30">
        <f t="shared" si="2"/>
        <v>-2.7237354085603127E-2</v>
      </c>
      <c r="E137" s="6"/>
      <c r="F137" s="29">
        <v>13607.3</v>
      </c>
      <c r="G137" s="13">
        <f t="shared" si="3"/>
        <v>-3.7945418552036259E-2</v>
      </c>
      <c r="H137" s="13"/>
    </row>
    <row r="138" spans="2:8" x14ac:dyDescent="0.3">
      <c r="B138" s="28">
        <v>44836</v>
      </c>
      <c r="C138" s="6">
        <v>89.89</v>
      </c>
      <c r="D138" s="30">
        <f t="shared" si="2"/>
        <v>-5.3789473684210498E-2</v>
      </c>
      <c r="E138" s="6"/>
      <c r="F138" s="29">
        <v>13798.3</v>
      </c>
      <c r="G138" s="13">
        <f t="shared" si="3"/>
        <v>1.403658330454971E-2</v>
      </c>
      <c r="H138" s="13"/>
    </row>
    <row r="139" spans="2:8" x14ac:dyDescent="0.3">
      <c r="B139" s="28">
        <v>44829</v>
      </c>
      <c r="C139" s="6">
        <v>92.39</v>
      </c>
      <c r="D139" s="30">
        <f t="shared" si="2"/>
        <v>2.7811769941038955E-2</v>
      </c>
      <c r="E139" s="6"/>
      <c r="F139" s="29">
        <v>13472.2</v>
      </c>
      <c r="G139" s="13">
        <f t="shared" si="3"/>
        <v>-2.363334613684287E-2</v>
      </c>
      <c r="H139" s="13"/>
    </row>
    <row r="140" spans="2:8" x14ac:dyDescent="0.3">
      <c r="B140" s="28">
        <v>44822</v>
      </c>
      <c r="C140" s="6">
        <v>94.47</v>
      </c>
      <c r="D140" s="30">
        <f t="shared" si="2"/>
        <v>2.2513259010715325E-2</v>
      </c>
      <c r="E140" s="6"/>
      <c r="F140" s="29">
        <v>13797</v>
      </c>
      <c r="G140" s="13">
        <f t="shared" si="3"/>
        <v>2.410890574664859E-2</v>
      </c>
      <c r="H140" s="13"/>
    </row>
    <row r="141" spans="2:8" x14ac:dyDescent="0.3">
      <c r="B141" s="28">
        <v>44815</v>
      </c>
      <c r="C141" s="6">
        <v>97.49</v>
      </c>
      <c r="D141" s="30">
        <f t="shared" si="2"/>
        <v>3.1967820472107444E-2</v>
      </c>
      <c r="E141" s="6"/>
      <c r="F141" s="29">
        <v>14573.9</v>
      </c>
      <c r="G141" s="13">
        <f t="shared" si="3"/>
        <v>5.630934261071241E-2</v>
      </c>
      <c r="H141" s="13"/>
    </row>
    <row r="142" spans="2:8" x14ac:dyDescent="0.3">
      <c r="B142" s="28">
        <v>44808</v>
      </c>
      <c r="C142" s="6">
        <v>102.92</v>
      </c>
      <c r="D142" s="30">
        <f t="shared" si="2"/>
        <v>5.5698020309775442E-2</v>
      </c>
      <c r="E142" s="6"/>
      <c r="F142" s="29">
        <v>15190.8</v>
      </c>
      <c r="G142" s="13">
        <f t="shared" si="3"/>
        <v>4.2329095163271324E-2</v>
      </c>
      <c r="H142" s="13"/>
    </row>
    <row r="143" spans="2:8" x14ac:dyDescent="0.3">
      <c r="B143" s="28">
        <v>44801</v>
      </c>
      <c r="C143" s="6">
        <v>101.71</v>
      </c>
      <c r="D143" s="30">
        <f t="shared" si="2"/>
        <v>-1.1756704236300153E-2</v>
      </c>
      <c r="E143" s="6"/>
      <c r="F143" s="29">
        <v>14689.5</v>
      </c>
      <c r="G143" s="13">
        <f t="shared" si="3"/>
        <v>-3.3000236985543885E-2</v>
      </c>
      <c r="H143" s="13"/>
    </row>
    <row r="144" spans="2:8" x14ac:dyDescent="0.3">
      <c r="B144" s="28">
        <v>44794</v>
      </c>
      <c r="C144" s="6">
        <v>107.97</v>
      </c>
      <c r="D144" s="30">
        <f t="shared" si="2"/>
        <v>6.154753711532801E-2</v>
      </c>
      <c r="E144" s="6"/>
      <c r="F144" s="29">
        <v>15178.2</v>
      </c>
      <c r="G144" s="13">
        <f t="shared" si="3"/>
        <v>3.3268661288675672E-2</v>
      </c>
      <c r="H144" s="13"/>
    </row>
    <row r="145" spans="2:8" x14ac:dyDescent="0.3">
      <c r="B145" s="28">
        <v>44787</v>
      </c>
      <c r="C145" s="6">
        <v>121.4</v>
      </c>
      <c r="D145" s="30">
        <f t="shared" si="2"/>
        <v>0.12438640363063813</v>
      </c>
      <c r="E145" s="6"/>
      <c r="F145" s="29">
        <v>15588.3</v>
      </c>
      <c r="G145" s="13">
        <f t="shared" si="3"/>
        <v>2.7019014112345197E-2</v>
      </c>
      <c r="H145" s="13"/>
    </row>
    <row r="146" spans="2:8" x14ac:dyDescent="0.3">
      <c r="B146" s="28">
        <v>44780</v>
      </c>
      <c r="C146" s="6">
        <v>127.28</v>
      </c>
      <c r="D146" s="30">
        <f t="shared" si="2"/>
        <v>4.8434925864909273E-2</v>
      </c>
      <c r="E146" s="6"/>
      <c r="F146" s="29">
        <v>15804.4</v>
      </c>
      <c r="G146" s="13">
        <f t="shared" si="3"/>
        <v>1.3862961323556799E-2</v>
      </c>
      <c r="H146" s="13"/>
    </row>
    <row r="147" spans="2:8" x14ac:dyDescent="0.3">
      <c r="B147" s="28">
        <v>44773</v>
      </c>
      <c r="C147" s="6">
        <v>123.25</v>
      </c>
      <c r="D147" s="30">
        <f t="shared" si="2"/>
        <v>-3.1662476429918263E-2</v>
      </c>
      <c r="E147" s="6"/>
      <c r="F147" s="29">
        <v>15273.2</v>
      </c>
      <c r="G147" s="13">
        <f t="shared" si="3"/>
        <v>-3.3610893168990796E-2</v>
      </c>
      <c r="H147" s="13"/>
    </row>
    <row r="148" spans="2:8" x14ac:dyDescent="0.3">
      <c r="B148" s="28">
        <v>44766</v>
      </c>
      <c r="C148" s="6">
        <v>119.76</v>
      </c>
      <c r="D148" s="30">
        <f t="shared" si="2"/>
        <v>-2.8316430020283945E-2</v>
      </c>
      <c r="E148" s="6"/>
      <c r="F148" s="29">
        <v>15327.7</v>
      </c>
      <c r="G148" s="13">
        <f t="shared" si="3"/>
        <v>3.5683419322736221E-3</v>
      </c>
      <c r="H148" s="13"/>
    </row>
    <row r="149" spans="2:8" x14ac:dyDescent="0.3">
      <c r="B149" s="28">
        <v>44759</v>
      </c>
      <c r="C149" s="6">
        <v>112.13</v>
      </c>
      <c r="D149" s="30">
        <f t="shared" si="2"/>
        <v>-6.3710754843019468E-2</v>
      </c>
      <c r="E149" s="6"/>
      <c r="F149" s="29">
        <v>14790.8</v>
      </c>
      <c r="G149" s="13">
        <f t="shared" si="3"/>
        <v>-3.5028086405657799E-2</v>
      </c>
      <c r="H149" s="13"/>
    </row>
    <row r="150" spans="2:8" x14ac:dyDescent="0.3">
      <c r="B150" s="28">
        <v>44752</v>
      </c>
      <c r="C150" s="6">
        <v>108.8</v>
      </c>
      <c r="D150" s="30">
        <f t="shared" si="2"/>
        <v>-2.9697672344599968E-2</v>
      </c>
      <c r="E150" s="6"/>
      <c r="F150" s="29">
        <v>14449.7</v>
      </c>
      <c r="G150" s="13">
        <f t="shared" si="3"/>
        <v>-2.3061632906942076E-2</v>
      </c>
      <c r="H150" s="13"/>
    </row>
    <row r="151" spans="2:8" x14ac:dyDescent="0.3">
      <c r="B151" s="28">
        <v>44745</v>
      </c>
      <c r="C151" s="6">
        <v>107.62</v>
      </c>
      <c r="D151" s="30">
        <f t="shared" ref="D151:D214" si="4">(C151/C150)-1</f>
        <v>-1.0845588235294024E-2</v>
      </c>
      <c r="E151" s="6"/>
      <c r="F151" s="29">
        <v>14642.3</v>
      </c>
      <c r="G151" s="13">
        <f t="shared" ref="G151:G214" si="5">(F151/F150)-1</f>
        <v>1.3328996449753161E-2</v>
      </c>
      <c r="H151" s="13"/>
    </row>
    <row r="152" spans="2:8" x14ac:dyDescent="0.3">
      <c r="B152" s="28">
        <v>44738</v>
      </c>
      <c r="C152" s="6">
        <v>107.43</v>
      </c>
      <c r="D152" s="30">
        <f t="shared" si="4"/>
        <v>-1.7654711020256286E-3</v>
      </c>
      <c r="E152" s="6"/>
      <c r="F152" s="29">
        <v>14636.8</v>
      </c>
      <c r="G152" s="13">
        <f t="shared" si="5"/>
        <v>-3.7562404813451522E-4</v>
      </c>
      <c r="H152" s="13"/>
    </row>
    <row r="153" spans="2:8" x14ac:dyDescent="0.3">
      <c r="B153" s="28">
        <v>44731</v>
      </c>
      <c r="C153" s="6">
        <v>112.31</v>
      </c>
      <c r="D153" s="30">
        <f t="shared" si="4"/>
        <v>4.5424927860001851E-2</v>
      </c>
      <c r="E153" s="6"/>
      <c r="F153" s="29">
        <v>14811.5</v>
      </c>
      <c r="G153" s="13">
        <f t="shared" si="5"/>
        <v>1.1935668998688254E-2</v>
      </c>
      <c r="H153" s="13"/>
    </row>
    <row r="154" spans="2:8" x14ac:dyDescent="0.3">
      <c r="B154" s="28">
        <v>44724</v>
      </c>
      <c r="C154" s="6">
        <v>108.56</v>
      </c>
      <c r="D154" s="30">
        <f t="shared" si="4"/>
        <v>-3.3389724868667092E-2</v>
      </c>
      <c r="E154" s="6"/>
      <c r="F154" s="29">
        <v>14097</v>
      </c>
      <c r="G154" s="13">
        <f t="shared" si="5"/>
        <v>-4.8239543597880075E-2</v>
      </c>
      <c r="H154" s="13"/>
    </row>
    <row r="155" spans="2:8" x14ac:dyDescent="0.3">
      <c r="B155" s="28">
        <v>44717</v>
      </c>
      <c r="C155" s="6">
        <v>115.09</v>
      </c>
      <c r="D155" s="30">
        <f t="shared" si="4"/>
        <v>6.0151068533529806E-2</v>
      </c>
      <c r="E155" s="6"/>
      <c r="F155" s="29">
        <v>15096.7</v>
      </c>
      <c r="G155" s="13">
        <f t="shared" si="5"/>
        <v>7.0915797687451265E-2</v>
      </c>
      <c r="H155" s="13"/>
    </row>
    <row r="156" spans="2:8" x14ac:dyDescent="0.3">
      <c r="B156" s="28">
        <v>44710</v>
      </c>
      <c r="C156" s="6">
        <v>122.04</v>
      </c>
      <c r="D156" s="30">
        <f t="shared" si="4"/>
        <v>6.0387522808237115E-2</v>
      </c>
      <c r="E156" s="6"/>
      <c r="F156" s="29">
        <v>15797.2</v>
      </c>
      <c r="G156" s="13">
        <f t="shared" si="5"/>
        <v>4.6400869064100014E-2</v>
      </c>
      <c r="H156" s="13"/>
    </row>
    <row r="157" spans="2:8" x14ac:dyDescent="0.3">
      <c r="B157" s="28">
        <v>44703</v>
      </c>
      <c r="C157" s="6">
        <v>125</v>
      </c>
      <c r="D157" s="30">
        <f t="shared" si="4"/>
        <v>2.4254342838413656E-2</v>
      </c>
      <c r="E157" s="6"/>
      <c r="F157" s="29">
        <v>15942.6</v>
      </c>
      <c r="G157" s="13">
        <f t="shared" si="5"/>
        <v>9.204162763021273E-3</v>
      </c>
      <c r="H157" s="13"/>
    </row>
    <row r="158" spans="2:8" x14ac:dyDescent="0.3">
      <c r="B158" s="28">
        <v>44696</v>
      </c>
      <c r="C158" s="6">
        <v>120.25</v>
      </c>
      <c r="D158" s="30">
        <f t="shared" si="4"/>
        <v>-3.8000000000000034E-2</v>
      </c>
      <c r="E158" s="6"/>
      <c r="F158" s="29">
        <v>15081</v>
      </c>
      <c r="G158" s="13">
        <f t="shared" si="5"/>
        <v>-5.4043882428211232E-2</v>
      </c>
      <c r="H158" s="13"/>
    </row>
    <row r="159" spans="2:8" x14ac:dyDescent="0.3">
      <c r="B159" s="28">
        <v>44689</v>
      </c>
      <c r="C159" s="6">
        <v>124.83</v>
      </c>
      <c r="D159" s="30">
        <f t="shared" si="4"/>
        <v>3.8087318087318023E-2</v>
      </c>
      <c r="E159" s="6"/>
      <c r="F159" s="29">
        <v>15257.4</v>
      </c>
      <c r="G159" s="13">
        <f t="shared" si="5"/>
        <v>1.1696837079769207E-2</v>
      </c>
      <c r="H159" s="13"/>
    </row>
    <row r="160" spans="2:8" x14ac:dyDescent="0.3">
      <c r="B160" s="28">
        <v>44682</v>
      </c>
      <c r="C160" s="6">
        <v>125.02</v>
      </c>
      <c r="D160" s="30">
        <f t="shared" si="4"/>
        <v>1.5220700152207556E-3</v>
      </c>
      <c r="E160" s="6"/>
      <c r="F160" s="29">
        <v>15566.6</v>
      </c>
      <c r="G160" s="13">
        <f t="shared" si="5"/>
        <v>2.0265576048343892E-2</v>
      </c>
      <c r="H160" s="13"/>
    </row>
    <row r="161" spans="2:8" x14ac:dyDescent="0.3">
      <c r="B161" s="28">
        <v>44675</v>
      </c>
      <c r="C161" s="6">
        <v>120.58</v>
      </c>
      <c r="D161" s="30">
        <f t="shared" si="4"/>
        <v>-3.5514317709166465E-2</v>
      </c>
      <c r="E161" s="6"/>
      <c r="F161" s="29">
        <v>15615.2</v>
      </c>
      <c r="G161" s="13">
        <f t="shared" si="5"/>
        <v>3.1220690452635758E-3</v>
      </c>
      <c r="H161" s="13"/>
    </row>
    <row r="162" spans="2:8" x14ac:dyDescent="0.3">
      <c r="B162" s="28">
        <v>44668</v>
      </c>
      <c r="C162" s="6">
        <v>124.72</v>
      </c>
      <c r="D162" s="30">
        <f t="shared" si="4"/>
        <v>3.4334052081605559E-2</v>
      </c>
      <c r="E162" s="6"/>
      <c r="F162" s="29">
        <v>16056.9</v>
      </c>
      <c r="G162" s="13">
        <f t="shared" si="5"/>
        <v>2.8286541318714997E-2</v>
      </c>
      <c r="H162" s="13"/>
    </row>
    <row r="163" spans="2:8" x14ac:dyDescent="0.3">
      <c r="B163" s="28">
        <v>44661</v>
      </c>
      <c r="C163" s="6">
        <v>123.22</v>
      </c>
      <c r="D163" s="30">
        <f t="shared" si="4"/>
        <v>-1.2026940346375858E-2</v>
      </c>
      <c r="E163" s="6"/>
      <c r="F163" s="29">
        <v>16511.5</v>
      </c>
      <c r="G163" s="13">
        <f t="shared" si="5"/>
        <v>2.8311816103980147E-2</v>
      </c>
      <c r="H163" s="13"/>
    </row>
    <row r="164" spans="2:8" x14ac:dyDescent="0.3">
      <c r="B164" s="28">
        <v>44654</v>
      </c>
      <c r="C164" s="6">
        <v>125.25</v>
      </c>
      <c r="D164" s="30">
        <f t="shared" si="4"/>
        <v>1.6474598279500041E-2</v>
      </c>
      <c r="E164" s="6"/>
      <c r="F164" s="29">
        <v>16690</v>
      </c>
      <c r="G164" s="13">
        <f t="shared" si="5"/>
        <v>1.0810647124731343E-2</v>
      </c>
      <c r="H164" s="13"/>
    </row>
    <row r="165" spans="2:8" x14ac:dyDescent="0.3">
      <c r="B165" s="28">
        <v>44647</v>
      </c>
      <c r="C165" s="6">
        <v>125.15</v>
      </c>
      <c r="D165" s="30">
        <f t="shared" si="4"/>
        <v>-7.9840319361268453E-4</v>
      </c>
      <c r="E165" s="6"/>
      <c r="F165" s="29">
        <v>16787.8</v>
      </c>
      <c r="G165" s="13">
        <f t="shared" si="5"/>
        <v>5.8597962852007246E-3</v>
      </c>
      <c r="H165" s="13"/>
    </row>
    <row r="166" spans="2:8" x14ac:dyDescent="0.3">
      <c r="B166" s="28">
        <v>44640</v>
      </c>
      <c r="C166" s="6">
        <v>125.8</v>
      </c>
      <c r="D166" s="30">
        <f t="shared" si="4"/>
        <v>5.1937674790250021E-3</v>
      </c>
      <c r="E166" s="6"/>
      <c r="F166" s="29">
        <v>16792.8</v>
      </c>
      <c r="G166" s="13">
        <f t="shared" si="5"/>
        <v>2.9783533280114405E-4</v>
      </c>
      <c r="H166" s="13"/>
    </row>
    <row r="167" spans="2:8" x14ac:dyDescent="0.3">
      <c r="B167" s="28">
        <v>44633</v>
      </c>
      <c r="C167" s="6">
        <v>124.01</v>
      </c>
      <c r="D167" s="30">
        <f t="shared" si="4"/>
        <v>-1.4228934817170025E-2</v>
      </c>
      <c r="E167" s="6"/>
      <c r="F167" s="29">
        <v>16612.599999999999</v>
      </c>
      <c r="G167" s="13">
        <f t="shared" si="5"/>
        <v>-1.0730789385927308E-2</v>
      </c>
      <c r="H167" s="13"/>
    </row>
    <row r="168" spans="2:8" x14ac:dyDescent="0.3">
      <c r="B168" s="28">
        <v>44626</v>
      </c>
      <c r="C168" s="6">
        <v>117.85</v>
      </c>
      <c r="D168" s="30">
        <f t="shared" si="4"/>
        <v>-4.9673413434400571E-2</v>
      </c>
      <c r="E168" s="6"/>
      <c r="F168" s="29">
        <v>15753.7</v>
      </c>
      <c r="G168" s="13">
        <f t="shared" si="5"/>
        <v>-5.1701720380915583E-2</v>
      </c>
      <c r="H168" s="13"/>
    </row>
    <row r="169" spans="2:8" x14ac:dyDescent="0.3">
      <c r="B169" s="28">
        <v>44619</v>
      </c>
      <c r="C169" s="6">
        <v>122.68</v>
      </c>
      <c r="D169" s="30">
        <f t="shared" si="4"/>
        <v>4.0984302078914014E-2</v>
      </c>
      <c r="E169" s="6"/>
      <c r="F169" s="29">
        <v>16129.7</v>
      </c>
      <c r="G169" s="13">
        <f t="shared" si="5"/>
        <v>2.3867408926157019E-2</v>
      </c>
      <c r="H169" s="13"/>
    </row>
    <row r="170" spans="2:8" x14ac:dyDescent="0.3">
      <c r="B170" s="28">
        <v>44612</v>
      </c>
      <c r="C170" s="6">
        <v>125.84</v>
      </c>
      <c r="D170" s="30">
        <f t="shared" si="4"/>
        <v>2.5758069775024373E-2</v>
      </c>
      <c r="E170" s="6"/>
      <c r="F170" s="29">
        <v>16428</v>
      </c>
      <c r="G170" s="13">
        <f t="shared" si="5"/>
        <v>1.8493834355257643E-2</v>
      </c>
      <c r="H170" s="13"/>
    </row>
    <row r="171" spans="2:8" x14ac:dyDescent="0.3">
      <c r="B171" s="28">
        <v>44605</v>
      </c>
      <c r="C171" s="6">
        <v>123.42</v>
      </c>
      <c r="D171" s="30">
        <f t="shared" si="4"/>
        <v>-1.9230769230769273E-2</v>
      </c>
      <c r="E171" s="6"/>
      <c r="F171" s="29">
        <v>16392.3</v>
      </c>
      <c r="G171" s="13">
        <f t="shared" si="5"/>
        <v>-2.1731190650110532E-3</v>
      </c>
      <c r="H171" s="13"/>
    </row>
    <row r="172" spans="2:8" x14ac:dyDescent="0.3">
      <c r="B172" s="28">
        <v>44598</v>
      </c>
      <c r="C172" s="6">
        <v>133.38999999999999</v>
      </c>
      <c r="D172" s="30">
        <f t="shared" si="4"/>
        <v>8.0781072759682271E-2</v>
      </c>
      <c r="E172" s="6"/>
      <c r="F172" s="29">
        <v>16665</v>
      </c>
      <c r="G172" s="13">
        <f t="shared" si="5"/>
        <v>1.6635859519408491E-2</v>
      </c>
      <c r="H172" s="13"/>
    </row>
    <row r="173" spans="2:8" x14ac:dyDescent="0.3">
      <c r="B173" s="28">
        <v>44591</v>
      </c>
      <c r="C173" s="6">
        <v>134.38</v>
      </c>
      <c r="D173" s="30">
        <f t="shared" si="4"/>
        <v>7.4218457155710293E-3</v>
      </c>
      <c r="E173" s="6"/>
      <c r="F173" s="29">
        <v>16701.599999999999</v>
      </c>
      <c r="G173" s="13">
        <f t="shared" si="5"/>
        <v>2.1962196219620367E-3</v>
      </c>
      <c r="H173" s="13"/>
    </row>
    <row r="174" spans="2:8" x14ac:dyDescent="0.3">
      <c r="B174" s="28">
        <v>44584</v>
      </c>
      <c r="C174" s="6">
        <v>136.36000000000001</v>
      </c>
      <c r="D174" s="30">
        <f t="shared" si="4"/>
        <v>1.4734335466587423E-2</v>
      </c>
      <c r="E174" s="6"/>
      <c r="F174" s="29">
        <v>16397.900000000001</v>
      </c>
      <c r="G174" s="13">
        <f t="shared" si="5"/>
        <v>-1.8183886573741259E-2</v>
      </c>
      <c r="H174" s="13"/>
    </row>
    <row r="175" spans="2:8" x14ac:dyDescent="0.3">
      <c r="B175" s="28">
        <v>44577</v>
      </c>
      <c r="C175" s="6">
        <v>144.35</v>
      </c>
      <c r="D175" s="30">
        <f t="shared" si="4"/>
        <v>5.8594895863889551E-2</v>
      </c>
      <c r="E175" s="6"/>
      <c r="F175" s="29">
        <v>16397.3</v>
      </c>
      <c r="G175" s="13">
        <f t="shared" si="5"/>
        <v>-3.659005116518621E-5</v>
      </c>
      <c r="H175" s="13"/>
    </row>
    <row r="176" spans="2:8" x14ac:dyDescent="0.3">
      <c r="B176" s="28">
        <v>44570</v>
      </c>
      <c r="C176" s="6">
        <v>149.44</v>
      </c>
      <c r="D176" s="30">
        <f t="shared" si="4"/>
        <v>3.5261517145826149E-2</v>
      </c>
      <c r="E176" s="6"/>
      <c r="F176" s="29">
        <v>17219.099999999999</v>
      </c>
      <c r="G176" s="13">
        <f t="shared" si="5"/>
        <v>5.0118007232898165E-2</v>
      </c>
      <c r="H176" s="13"/>
    </row>
    <row r="177" spans="2:8" x14ac:dyDescent="0.3">
      <c r="B177" s="28">
        <v>44563</v>
      </c>
      <c r="C177" s="6">
        <v>150.44999999999999</v>
      </c>
      <c r="D177" s="30">
        <f t="shared" si="4"/>
        <v>6.7585653104924592E-3</v>
      </c>
      <c r="E177" s="6"/>
      <c r="F177" s="29">
        <v>17166.3</v>
      </c>
      <c r="G177" s="13">
        <f t="shared" si="5"/>
        <v>-3.0663623534330497E-3</v>
      </c>
      <c r="H177" s="13"/>
    </row>
    <row r="178" spans="2:8" x14ac:dyDescent="0.3">
      <c r="B178" s="28">
        <v>44556</v>
      </c>
      <c r="C178" s="6">
        <v>148.51</v>
      </c>
      <c r="D178" s="30">
        <f t="shared" si="4"/>
        <v>-1.2894649385177814E-2</v>
      </c>
      <c r="E178" s="6"/>
      <c r="F178" s="29">
        <v>17164.099999999999</v>
      </c>
      <c r="G178" s="13">
        <f t="shared" si="5"/>
        <v>-1.2815807716282102E-4</v>
      </c>
      <c r="H178" s="13"/>
    </row>
    <row r="179" spans="2:8" x14ac:dyDescent="0.3">
      <c r="B179" s="28">
        <v>44549</v>
      </c>
      <c r="C179" s="6">
        <v>146.29</v>
      </c>
      <c r="D179" s="30">
        <f t="shared" si="4"/>
        <v>-1.4948488317285014E-2</v>
      </c>
      <c r="E179" s="6"/>
      <c r="F179" s="29">
        <v>16963.400000000001</v>
      </c>
      <c r="G179" s="13">
        <f t="shared" si="5"/>
        <v>-1.1693010411265248E-2</v>
      </c>
      <c r="H179" s="13"/>
    </row>
    <row r="180" spans="2:8" x14ac:dyDescent="0.3">
      <c r="B180" s="28">
        <v>44542</v>
      </c>
      <c r="C180" s="6">
        <v>146.1</v>
      </c>
      <c r="D180" s="30">
        <f t="shared" si="4"/>
        <v>-1.2987900745095038E-3</v>
      </c>
      <c r="E180" s="6"/>
      <c r="F180" s="29">
        <v>16668.599999999999</v>
      </c>
      <c r="G180" s="13">
        <f t="shared" si="5"/>
        <v>-1.7378591555938239E-2</v>
      </c>
      <c r="H180" s="13"/>
    </row>
    <row r="181" spans="2:8" x14ac:dyDescent="0.3">
      <c r="B181" s="28">
        <v>44535</v>
      </c>
      <c r="C181" s="6">
        <v>148.07</v>
      </c>
      <c r="D181" s="30">
        <f t="shared" si="4"/>
        <v>1.3483915126625501E-2</v>
      </c>
      <c r="E181" s="6"/>
      <c r="F181" s="29">
        <v>16856.599999999999</v>
      </c>
      <c r="G181" s="13">
        <f t="shared" si="5"/>
        <v>1.1278691671765984E-2</v>
      </c>
      <c r="H181" s="13"/>
    </row>
    <row r="182" spans="2:8" x14ac:dyDescent="0.3">
      <c r="B182" s="28">
        <v>44528</v>
      </c>
      <c r="C182" s="6">
        <v>144.30000000000001</v>
      </c>
      <c r="D182" s="30">
        <f t="shared" si="4"/>
        <v>-2.5460930640912927E-2</v>
      </c>
      <c r="E182" s="6"/>
      <c r="F182" s="29">
        <v>16347.9</v>
      </c>
      <c r="G182" s="13">
        <f t="shared" si="5"/>
        <v>-3.0178090480879827E-2</v>
      </c>
      <c r="H182" s="13"/>
    </row>
    <row r="183" spans="2:8" x14ac:dyDescent="0.3">
      <c r="B183" s="28">
        <v>44521</v>
      </c>
      <c r="C183" s="6">
        <v>146.75</v>
      </c>
      <c r="D183" s="30">
        <f t="shared" si="4"/>
        <v>1.6978516978516822E-2</v>
      </c>
      <c r="E183" s="6"/>
      <c r="F183" s="29">
        <v>16624.900000000001</v>
      </c>
      <c r="G183" s="13">
        <f t="shared" si="5"/>
        <v>1.6944072327332638E-2</v>
      </c>
      <c r="H183" s="13"/>
    </row>
    <row r="184" spans="2:8" x14ac:dyDescent="0.3">
      <c r="B184" s="28">
        <v>44514</v>
      </c>
      <c r="C184" s="6">
        <v>149.85</v>
      </c>
      <c r="D184" s="30">
        <f t="shared" si="4"/>
        <v>2.1124361158432636E-2</v>
      </c>
      <c r="E184" s="6"/>
      <c r="F184" s="29">
        <v>16974</v>
      </c>
      <c r="G184" s="13">
        <f t="shared" si="5"/>
        <v>2.0998622548105361E-2</v>
      </c>
      <c r="H184" s="13"/>
    </row>
    <row r="185" spans="2:8" x14ac:dyDescent="0.3">
      <c r="B185" s="28">
        <v>44507</v>
      </c>
      <c r="C185" s="6">
        <v>153.55000000000001</v>
      </c>
      <c r="D185" s="30">
        <f t="shared" si="4"/>
        <v>2.4691358024691468E-2</v>
      </c>
      <c r="E185" s="6"/>
      <c r="F185" s="29">
        <v>17297.7</v>
      </c>
      <c r="G185" s="13">
        <f t="shared" si="5"/>
        <v>1.9070342877341773E-2</v>
      </c>
      <c r="H185" s="13"/>
    </row>
    <row r="186" spans="2:8" x14ac:dyDescent="0.3">
      <c r="B186" s="28">
        <v>44500</v>
      </c>
      <c r="C186" s="6">
        <v>152</v>
      </c>
      <c r="D186" s="30">
        <f t="shared" si="4"/>
        <v>-1.0094431781178859E-2</v>
      </c>
      <c r="E186" s="6"/>
      <c r="F186" s="29">
        <v>17242.400000000001</v>
      </c>
      <c r="G186" s="13">
        <f t="shared" si="5"/>
        <v>-3.1969568208489729E-3</v>
      </c>
      <c r="H186" s="13"/>
    </row>
    <row r="187" spans="2:8" x14ac:dyDescent="0.3">
      <c r="B187" s="28">
        <v>44493</v>
      </c>
      <c r="C187" s="6">
        <v>149.38999999999999</v>
      </c>
      <c r="D187" s="30">
        <f t="shared" si="4"/>
        <v>-1.7171052631579031E-2</v>
      </c>
      <c r="E187" s="6"/>
      <c r="F187" s="29">
        <v>17016.400000000001</v>
      </c>
      <c r="G187" s="13">
        <f t="shared" si="5"/>
        <v>-1.3107224052336108E-2</v>
      </c>
      <c r="H187" s="13"/>
    </row>
    <row r="188" spans="2:8" x14ac:dyDescent="0.3">
      <c r="B188" s="28">
        <v>44486</v>
      </c>
      <c r="C188" s="6">
        <v>151.16</v>
      </c>
      <c r="D188" s="30">
        <f t="shared" si="4"/>
        <v>1.184818260927778E-2</v>
      </c>
      <c r="E188" s="6"/>
      <c r="F188" s="29">
        <v>17122.2</v>
      </c>
      <c r="G188" s="13">
        <f t="shared" si="5"/>
        <v>6.217531322723957E-3</v>
      </c>
      <c r="H188" s="13"/>
    </row>
    <row r="189" spans="2:8" x14ac:dyDescent="0.3">
      <c r="B189" s="28">
        <v>44479</v>
      </c>
      <c r="C189" s="6">
        <v>152.12</v>
      </c>
      <c r="D189" s="30">
        <f t="shared" si="4"/>
        <v>6.3508864779042717E-3</v>
      </c>
      <c r="E189" s="6"/>
      <c r="F189" s="29">
        <v>16871.7</v>
      </c>
      <c r="G189" s="13">
        <f t="shared" si="5"/>
        <v>-1.4630129305813533E-2</v>
      </c>
      <c r="H189" s="13"/>
    </row>
    <row r="190" spans="2:8" x14ac:dyDescent="0.3">
      <c r="B190" s="28">
        <v>44472</v>
      </c>
      <c r="C190" s="6">
        <v>147.94</v>
      </c>
      <c r="D190" s="30">
        <f t="shared" si="4"/>
        <v>-2.7478306600052682E-2</v>
      </c>
      <c r="E190" s="6"/>
      <c r="F190" s="29">
        <v>16517.2</v>
      </c>
      <c r="G190" s="13">
        <f t="shared" si="5"/>
        <v>-2.101151632615561E-2</v>
      </c>
      <c r="H190" s="13"/>
    </row>
    <row r="191" spans="2:8" x14ac:dyDescent="0.3">
      <c r="B191" s="28">
        <v>44465</v>
      </c>
      <c r="C191" s="6">
        <v>147.72</v>
      </c>
      <c r="D191" s="30">
        <f t="shared" si="4"/>
        <v>-1.4870893605515301E-3</v>
      </c>
      <c r="E191" s="6"/>
      <c r="F191" s="29">
        <v>16323.7</v>
      </c>
      <c r="G191" s="13">
        <f t="shared" si="5"/>
        <v>-1.1715060664035049E-2</v>
      </c>
      <c r="H191" s="13"/>
    </row>
    <row r="192" spans="2:8" x14ac:dyDescent="0.3">
      <c r="B192" s="28">
        <v>44458</v>
      </c>
      <c r="C192" s="6">
        <v>151.36000000000001</v>
      </c>
      <c r="D192" s="30">
        <f t="shared" si="4"/>
        <v>2.4641213105876192E-2</v>
      </c>
      <c r="E192" s="6"/>
      <c r="F192" s="29">
        <v>16539.2</v>
      </c>
      <c r="G192" s="13">
        <f t="shared" si="5"/>
        <v>1.3201663838467992E-2</v>
      </c>
      <c r="H192" s="13"/>
    </row>
    <row r="193" spans="2:8" x14ac:dyDescent="0.3">
      <c r="B193" s="28">
        <v>44451</v>
      </c>
      <c r="C193" s="6">
        <v>151.74</v>
      </c>
      <c r="D193" s="30">
        <f t="shared" si="4"/>
        <v>2.5105708245243274E-3</v>
      </c>
      <c r="E193" s="6"/>
      <c r="F193" s="29">
        <v>16460.3</v>
      </c>
      <c r="G193" s="13">
        <f t="shared" si="5"/>
        <v>-4.770484666731245E-3</v>
      </c>
      <c r="H193" s="13"/>
    </row>
    <row r="194" spans="2:8" x14ac:dyDescent="0.3">
      <c r="B194" s="28">
        <v>44444</v>
      </c>
      <c r="C194" s="6">
        <v>154.30000000000001</v>
      </c>
      <c r="D194" s="30">
        <f t="shared" si="4"/>
        <v>1.687096349018069E-2</v>
      </c>
      <c r="E194" s="6"/>
      <c r="F194" s="29">
        <v>16563.5</v>
      </c>
      <c r="G194" s="13">
        <f t="shared" si="5"/>
        <v>6.2696305656639861E-3</v>
      </c>
      <c r="H194" s="13"/>
    </row>
    <row r="195" spans="2:8" x14ac:dyDescent="0.3">
      <c r="B195" s="28">
        <v>44437</v>
      </c>
      <c r="C195" s="6">
        <v>162.52000000000001</v>
      </c>
      <c r="D195" s="30">
        <f t="shared" si="4"/>
        <v>5.3272845106934641E-2</v>
      </c>
      <c r="E195" s="6"/>
      <c r="F195" s="29">
        <v>16909.7</v>
      </c>
      <c r="G195" s="13">
        <f t="shared" si="5"/>
        <v>2.0901379539348675E-2</v>
      </c>
      <c r="H195" s="13"/>
    </row>
    <row r="196" spans="2:8" x14ac:dyDescent="0.3">
      <c r="B196" s="28">
        <v>44430</v>
      </c>
      <c r="C196" s="6">
        <v>163.08000000000001</v>
      </c>
      <c r="D196" s="30">
        <f t="shared" si="4"/>
        <v>3.4457297563377232E-3</v>
      </c>
      <c r="E196" s="6"/>
      <c r="F196" s="29">
        <v>16844.8</v>
      </c>
      <c r="G196" s="13">
        <f t="shared" si="5"/>
        <v>-3.8380337912560236E-3</v>
      </c>
      <c r="H196" s="13"/>
    </row>
    <row r="197" spans="2:8" x14ac:dyDescent="0.3">
      <c r="B197" s="28">
        <v>44423</v>
      </c>
      <c r="C197" s="6">
        <v>162.33000000000001</v>
      </c>
      <c r="D197" s="30">
        <f t="shared" si="4"/>
        <v>-4.5989698307579152E-3</v>
      </c>
      <c r="E197" s="6"/>
      <c r="F197" s="29">
        <v>16516.7</v>
      </c>
      <c r="G197" s="13">
        <f t="shared" si="5"/>
        <v>-1.947782104863216E-2</v>
      </c>
      <c r="H197" s="13"/>
    </row>
    <row r="198" spans="2:8" x14ac:dyDescent="0.3">
      <c r="B198" s="28">
        <v>44416</v>
      </c>
      <c r="C198" s="6">
        <v>167.7</v>
      </c>
      <c r="D198" s="30">
        <f t="shared" si="4"/>
        <v>3.3080761411938386E-2</v>
      </c>
      <c r="E198" s="6"/>
      <c r="F198" s="29">
        <v>16868.099999999999</v>
      </c>
      <c r="G198" s="13">
        <f t="shared" si="5"/>
        <v>2.1275436376515744E-2</v>
      </c>
      <c r="H198" s="13"/>
    </row>
    <row r="199" spans="2:8" x14ac:dyDescent="0.3">
      <c r="B199" s="28">
        <v>44409</v>
      </c>
      <c r="C199" s="6">
        <v>165.65</v>
      </c>
      <c r="D199" s="30">
        <f t="shared" si="4"/>
        <v>-1.222420989862838E-2</v>
      </c>
      <c r="E199" s="6"/>
      <c r="F199" s="29">
        <v>16748.099999999999</v>
      </c>
      <c r="G199" s="13">
        <f t="shared" si="5"/>
        <v>-7.1140199548259675E-3</v>
      </c>
      <c r="H199" s="13"/>
    </row>
    <row r="200" spans="2:8" x14ac:dyDescent="0.3">
      <c r="B200" s="28">
        <v>44402</v>
      </c>
      <c r="C200" s="6">
        <v>165.49</v>
      </c>
      <c r="D200" s="30">
        <f t="shared" si="4"/>
        <v>-9.6589194083906982E-4</v>
      </c>
      <c r="E200" s="6"/>
      <c r="F200" s="29">
        <v>16602.3</v>
      </c>
      <c r="G200" s="13">
        <f t="shared" si="5"/>
        <v>-8.7054650975334491E-3</v>
      </c>
      <c r="H200" s="13"/>
    </row>
    <row r="201" spans="2:8" x14ac:dyDescent="0.3">
      <c r="B201" s="28">
        <v>44395</v>
      </c>
      <c r="C201" s="6">
        <v>167.62</v>
      </c>
      <c r="D201" s="30">
        <f t="shared" si="4"/>
        <v>1.2870868330412621E-2</v>
      </c>
      <c r="E201" s="6"/>
      <c r="F201" s="29">
        <v>16552.400000000001</v>
      </c>
      <c r="G201" s="13">
        <f t="shared" si="5"/>
        <v>-3.0056076567702705E-3</v>
      </c>
      <c r="H201" s="13"/>
    </row>
    <row r="202" spans="2:8" x14ac:dyDescent="0.3">
      <c r="B202" s="28">
        <v>44388</v>
      </c>
      <c r="C202" s="6">
        <v>166.69</v>
      </c>
      <c r="D202" s="30">
        <f t="shared" si="4"/>
        <v>-5.5482639303185977E-3</v>
      </c>
      <c r="E202" s="6"/>
      <c r="F202" s="29">
        <v>16364.7</v>
      </c>
      <c r="G202" s="13">
        <f t="shared" si="5"/>
        <v>-1.1339745293733827E-2</v>
      </c>
      <c r="H202" s="13"/>
    </row>
    <row r="203" spans="2:8" x14ac:dyDescent="0.3">
      <c r="B203" s="28">
        <v>44381</v>
      </c>
      <c r="C203" s="6">
        <v>168.05</v>
      </c>
      <c r="D203" s="30">
        <f t="shared" si="4"/>
        <v>8.1588577599136514E-3</v>
      </c>
      <c r="E203" s="6"/>
      <c r="F203" s="29">
        <v>16633.3</v>
      </c>
      <c r="G203" s="13">
        <f t="shared" si="5"/>
        <v>1.6413377574902022E-2</v>
      </c>
      <c r="H203" s="13"/>
    </row>
    <row r="204" spans="2:8" x14ac:dyDescent="0.3">
      <c r="B204" s="28">
        <v>44374</v>
      </c>
      <c r="C204" s="6">
        <v>167.12</v>
      </c>
      <c r="D204" s="30">
        <f t="shared" si="4"/>
        <v>-5.5340672418923154E-3</v>
      </c>
      <c r="E204" s="6"/>
      <c r="F204" s="29">
        <v>16674.8</v>
      </c>
      <c r="G204" s="13">
        <f t="shared" si="5"/>
        <v>2.4949949799497606E-3</v>
      </c>
      <c r="H204" s="13"/>
    </row>
    <row r="205" spans="2:8" x14ac:dyDescent="0.3">
      <c r="B205" s="28">
        <v>44367</v>
      </c>
      <c r="C205" s="6">
        <v>162.83000000000001</v>
      </c>
      <c r="D205" s="30">
        <f t="shared" si="4"/>
        <v>-2.567017711823838E-2</v>
      </c>
      <c r="E205" s="6"/>
      <c r="F205" s="29">
        <v>16658.8</v>
      </c>
      <c r="G205" s="13">
        <f t="shared" si="5"/>
        <v>-9.5953174850671452E-4</v>
      </c>
      <c r="H205" s="13"/>
    </row>
    <row r="206" spans="2:8" x14ac:dyDescent="0.3">
      <c r="B206" s="28">
        <v>44360</v>
      </c>
      <c r="C206" s="6">
        <v>160.19</v>
      </c>
      <c r="D206" s="30">
        <f t="shared" si="4"/>
        <v>-1.6213228520542966E-2</v>
      </c>
      <c r="E206" s="6"/>
      <c r="F206" s="29">
        <v>16144</v>
      </c>
      <c r="G206" s="13">
        <f t="shared" si="5"/>
        <v>-3.0902586020601697E-2</v>
      </c>
      <c r="H206" s="13"/>
    </row>
    <row r="207" spans="2:8" x14ac:dyDescent="0.3">
      <c r="B207" s="28">
        <v>44353</v>
      </c>
      <c r="C207" s="6">
        <v>169.56</v>
      </c>
      <c r="D207" s="30">
        <f t="shared" si="4"/>
        <v>5.8493039515575385E-2</v>
      </c>
      <c r="E207" s="6"/>
      <c r="F207" s="29">
        <v>16694.900000000001</v>
      </c>
      <c r="G207" s="13">
        <f t="shared" si="5"/>
        <v>3.4124132804757235E-2</v>
      </c>
      <c r="H207" s="13"/>
    </row>
    <row r="208" spans="2:8" x14ac:dyDescent="0.3">
      <c r="B208" s="28">
        <v>44346</v>
      </c>
      <c r="C208" s="6">
        <v>172.27</v>
      </c>
      <c r="D208" s="30">
        <f t="shared" si="4"/>
        <v>1.5982543052606824E-2</v>
      </c>
      <c r="E208" s="6"/>
      <c r="F208" s="29">
        <v>16708.7</v>
      </c>
      <c r="G208" s="13">
        <f t="shared" si="5"/>
        <v>8.2659974004029024E-4</v>
      </c>
      <c r="H208" s="13"/>
    </row>
    <row r="209" spans="2:8" x14ac:dyDescent="0.3">
      <c r="B209" s="28">
        <v>44339</v>
      </c>
      <c r="C209" s="6">
        <v>169.76</v>
      </c>
      <c r="D209" s="30">
        <f t="shared" si="4"/>
        <v>-1.4570151506356432E-2</v>
      </c>
      <c r="E209" s="6"/>
      <c r="F209" s="29">
        <v>16555.7</v>
      </c>
      <c r="G209" s="13">
        <f t="shared" si="5"/>
        <v>-9.1569062823558811E-3</v>
      </c>
      <c r="H209" s="13"/>
    </row>
    <row r="210" spans="2:8" x14ac:dyDescent="0.3">
      <c r="B210" s="28">
        <v>44332</v>
      </c>
      <c r="C210" s="6">
        <v>168.77</v>
      </c>
      <c r="D210" s="30">
        <f t="shared" si="4"/>
        <v>-5.8317624882185948E-3</v>
      </c>
      <c r="E210" s="6"/>
      <c r="F210" s="29">
        <v>16375</v>
      </c>
      <c r="G210" s="13">
        <f t="shared" si="5"/>
        <v>-1.0914669872007843E-2</v>
      </c>
      <c r="H210" s="13"/>
    </row>
    <row r="211" spans="2:8" x14ac:dyDescent="0.3">
      <c r="B211" s="28">
        <v>44325</v>
      </c>
      <c r="C211" s="6">
        <v>170.88</v>
      </c>
      <c r="D211" s="30">
        <f t="shared" si="4"/>
        <v>1.2502221958878845E-2</v>
      </c>
      <c r="E211" s="6"/>
      <c r="F211" s="29">
        <v>16415.400000000001</v>
      </c>
      <c r="G211" s="13">
        <f t="shared" si="5"/>
        <v>2.4671755725191868E-3</v>
      </c>
      <c r="H211" s="13"/>
    </row>
    <row r="212" spans="2:8" x14ac:dyDescent="0.3">
      <c r="B212" s="28">
        <v>44318</v>
      </c>
      <c r="C212" s="6">
        <v>169.78</v>
      </c>
      <c r="D212" s="30">
        <f t="shared" si="4"/>
        <v>-6.4372659176029634E-3</v>
      </c>
      <c r="E212" s="6"/>
      <c r="F212" s="29">
        <v>16590.400000000001</v>
      </c>
      <c r="G212" s="13">
        <f t="shared" si="5"/>
        <v>1.0660721030252063E-2</v>
      </c>
      <c r="H212" s="13"/>
    </row>
    <row r="213" spans="2:8" x14ac:dyDescent="0.3">
      <c r="B213" s="28">
        <v>44311</v>
      </c>
      <c r="C213" s="6">
        <v>164.82</v>
      </c>
      <c r="D213" s="30">
        <f t="shared" si="4"/>
        <v>-2.9214277300035341E-2</v>
      </c>
      <c r="E213" s="6"/>
      <c r="F213" s="29">
        <v>16219.3</v>
      </c>
      <c r="G213" s="13">
        <f t="shared" si="5"/>
        <v>-2.2368357604397815E-2</v>
      </c>
      <c r="H213" s="13"/>
    </row>
    <row r="214" spans="2:8" x14ac:dyDescent="0.3">
      <c r="B214" s="28">
        <v>44304</v>
      </c>
      <c r="C214" s="6">
        <v>169.05</v>
      </c>
      <c r="D214" s="30">
        <f t="shared" si="4"/>
        <v>2.5664361121223278E-2</v>
      </c>
      <c r="E214" s="6"/>
      <c r="F214" s="29">
        <v>16206</v>
      </c>
      <c r="G214" s="13">
        <f t="shared" si="5"/>
        <v>-8.2001072795989671E-4</v>
      </c>
      <c r="H214" s="13"/>
    </row>
    <row r="215" spans="2:8" x14ac:dyDescent="0.3">
      <c r="B215" s="28">
        <v>44297</v>
      </c>
      <c r="C215" s="6">
        <v>166.03</v>
      </c>
      <c r="D215" s="30">
        <f t="shared" ref="D215:D229" si="6">(C215/C214)-1</f>
        <v>-1.7864537119195556E-2</v>
      </c>
      <c r="E215" s="6"/>
      <c r="F215" s="29">
        <v>16186.3</v>
      </c>
      <c r="G215" s="13">
        <f t="shared" ref="G215:G229" si="7">(F215/F214)-1</f>
        <v>-1.2155991608047145E-3</v>
      </c>
      <c r="H215" s="13"/>
    </row>
    <row r="216" spans="2:8" x14ac:dyDescent="0.3">
      <c r="B216" s="28">
        <v>44290</v>
      </c>
      <c r="C216" s="6">
        <v>165.54</v>
      </c>
      <c r="D216" s="30">
        <f t="shared" si="6"/>
        <v>-2.9512738661687798E-3</v>
      </c>
      <c r="E216" s="6"/>
      <c r="F216" s="29">
        <v>15956.4</v>
      </c>
      <c r="G216" s="13">
        <f t="shared" si="7"/>
        <v>-1.4203369516195719E-2</v>
      </c>
      <c r="H216" s="13"/>
    </row>
    <row r="217" spans="2:8" x14ac:dyDescent="0.3">
      <c r="B217" s="28">
        <v>44283</v>
      </c>
      <c r="C217" s="6">
        <v>161.11000000000001</v>
      </c>
      <c r="D217" s="30">
        <f t="shared" si="6"/>
        <v>-2.6760903709073247E-2</v>
      </c>
      <c r="E217" s="6"/>
      <c r="F217" s="29">
        <v>15752.2</v>
      </c>
      <c r="G217" s="13">
        <f t="shared" si="7"/>
        <v>-1.2797372840991583E-2</v>
      </c>
      <c r="H217" s="13"/>
    </row>
    <row r="218" spans="2:8" x14ac:dyDescent="0.3">
      <c r="B218" s="28">
        <v>44276</v>
      </c>
      <c r="C218" s="6">
        <v>162.93</v>
      </c>
      <c r="D218" s="30">
        <f t="shared" si="6"/>
        <v>1.1296629631928345E-2</v>
      </c>
      <c r="E218" s="6"/>
      <c r="F218" s="29">
        <v>15682.5</v>
      </c>
      <c r="G218" s="13">
        <f t="shared" si="7"/>
        <v>-4.4247787610619538E-3</v>
      </c>
      <c r="H218" s="13"/>
    </row>
    <row r="219" spans="2:8" x14ac:dyDescent="0.3">
      <c r="B219" s="28">
        <v>44269</v>
      </c>
      <c r="C219" s="6">
        <v>157.78</v>
      </c>
      <c r="D219" s="30">
        <f t="shared" si="6"/>
        <v>-3.1608666298410415E-2</v>
      </c>
      <c r="E219" s="6"/>
      <c r="F219" s="29">
        <v>15562.3</v>
      </c>
      <c r="G219" s="13">
        <f t="shared" si="7"/>
        <v>-7.6645942930018141E-3</v>
      </c>
      <c r="H219" s="13"/>
    </row>
    <row r="220" spans="2:8" x14ac:dyDescent="0.3">
      <c r="B220" s="28">
        <v>44262</v>
      </c>
      <c r="C220" s="6">
        <v>154.61000000000001</v>
      </c>
      <c r="D220" s="30">
        <f t="shared" si="6"/>
        <v>-2.0091266320192647E-2</v>
      </c>
      <c r="E220" s="6"/>
      <c r="F220" s="29">
        <v>15715.2</v>
      </c>
      <c r="G220" s="13">
        <f t="shared" si="7"/>
        <v>9.8250258637861965E-3</v>
      </c>
      <c r="H220" s="13"/>
    </row>
    <row r="221" spans="2:8" x14ac:dyDescent="0.3">
      <c r="B221" s="28">
        <v>44255</v>
      </c>
      <c r="C221" s="6">
        <v>151.16</v>
      </c>
      <c r="D221" s="30">
        <f t="shared" si="6"/>
        <v>-2.2314209947610242E-2</v>
      </c>
      <c r="E221" s="6"/>
      <c r="F221" s="29">
        <v>15251.8</v>
      </c>
      <c r="G221" s="13">
        <f t="shared" si="7"/>
        <v>-2.9487375279983796E-2</v>
      </c>
      <c r="H221" s="13"/>
    </row>
    <row r="222" spans="2:8" x14ac:dyDescent="0.3">
      <c r="B222" s="28">
        <v>44248</v>
      </c>
      <c r="C222" s="6">
        <v>146.36000000000001</v>
      </c>
      <c r="D222" s="30">
        <f t="shared" si="6"/>
        <v>-3.1754432389520915E-2</v>
      </c>
      <c r="E222" s="6"/>
      <c r="F222" s="29">
        <v>15010.5</v>
      </c>
      <c r="G222" s="13">
        <f t="shared" si="7"/>
        <v>-1.5821083413105286E-2</v>
      </c>
      <c r="H222" s="13"/>
    </row>
    <row r="223" spans="2:8" x14ac:dyDescent="0.3">
      <c r="B223" s="28">
        <v>44241</v>
      </c>
      <c r="C223" s="6">
        <v>147.6</v>
      </c>
      <c r="D223" s="30">
        <f t="shared" si="6"/>
        <v>8.4722601803770559E-3</v>
      </c>
      <c r="E223" s="6"/>
      <c r="F223" s="29">
        <v>15362.7</v>
      </c>
      <c r="G223" s="13">
        <f t="shared" si="7"/>
        <v>2.3463575497151945E-2</v>
      </c>
      <c r="H223" s="13"/>
    </row>
    <row r="224" spans="2:8" x14ac:dyDescent="0.3">
      <c r="B224" s="28">
        <v>44234</v>
      </c>
      <c r="C224" s="6">
        <v>149.41</v>
      </c>
      <c r="D224" s="30">
        <f t="shared" si="6"/>
        <v>1.2262872628726385E-2</v>
      </c>
      <c r="E224" s="6"/>
      <c r="F224" s="29">
        <v>15369.6</v>
      </c>
      <c r="G224" s="13">
        <f t="shared" si="7"/>
        <v>4.491397996446711E-4</v>
      </c>
      <c r="H224" s="13"/>
    </row>
    <row r="225" spans="2:8" x14ac:dyDescent="0.3">
      <c r="B225" s="28">
        <v>44227</v>
      </c>
      <c r="C225" s="6">
        <v>149.66999999999999</v>
      </c>
      <c r="D225" s="30">
        <f t="shared" si="6"/>
        <v>1.7401780335988271E-3</v>
      </c>
      <c r="E225" s="6"/>
      <c r="F225" s="29">
        <v>15069.6</v>
      </c>
      <c r="G225" s="13">
        <f t="shared" si="7"/>
        <v>-1.9519050593379106E-2</v>
      </c>
      <c r="H225" s="13"/>
    </row>
    <row r="226" spans="2:8" x14ac:dyDescent="0.3">
      <c r="B226" s="28">
        <v>44220</v>
      </c>
      <c r="C226" s="6">
        <v>146.86000000000001</v>
      </c>
      <c r="D226" s="30">
        <f t="shared" si="6"/>
        <v>-1.8774637535912131E-2</v>
      </c>
      <c r="E226" s="6"/>
      <c r="F226" s="29">
        <v>14397.2</v>
      </c>
      <c r="G226" s="13">
        <f t="shared" si="7"/>
        <v>-4.461963157615334E-2</v>
      </c>
      <c r="H226" s="13"/>
    </row>
    <row r="227" spans="2:8" x14ac:dyDescent="0.3">
      <c r="B227" s="28">
        <v>44213</v>
      </c>
      <c r="C227" s="6">
        <v>141.33000000000001</v>
      </c>
      <c r="D227" s="30">
        <f t="shared" si="6"/>
        <v>-3.7654909437559558E-2</v>
      </c>
      <c r="E227" s="6"/>
      <c r="F227" s="29">
        <v>14951.8</v>
      </c>
      <c r="G227" s="13">
        <f t="shared" si="7"/>
        <v>3.8521379157058222E-2</v>
      </c>
      <c r="H227" s="13"/>
    </row>
    <row r="228" spans="2:8" x14ac:dyDescent="0.3">
      <c r="B228" s="28">
        <v>44206</v>
      </c>
      <c r="C228" s="6">
        <v>138.41</v>
      </c>
      <c r="D228" s="30">
        <f t="shared" si="6"/>
        <v>-2.0660864643034182E-2</v>
      </c>
      <c r="E228" s="6"/>
      <c r="F228" s="29">
        <v>14894.2</v>
      </c>
      <c r="G228" s="13">
        <f t="shared" si="7"/>
        <v>-3.8523789777817896E-3</v>
      </c>
      <c r="H228" s="13"/>
    </row>
    <row r="229" spans="2:8" x14ac:dyDescent="0.3">
      <c r="B229" s="28">
        <v>44199</v>
      </c>
      <c r="C229" s="6">
        <v>139.31</v>
      </c>
      <c r="D229" s="30">
        <f t="shared" si="6"/>
        <v>6.5024203453507567E-3</v>
      </c>
      <c r="E229" s="6"/>
      <c r="F229" s="29">
        <v>14966.8</v>
      </c>
      <c r="G229" s="13">
        <f t="shared" si="7"/>
        <v>4.8743806313866767E-3</v>
      </c>
      <c r="H229" s="13"/>
    </row>
    <row r="230" spans="2:8" x14ac:dyDescent="0.3">
      <c r="H230" s="13"/>
    </row>
    <row r="231" spans="2:8" x14ac:dyDescent="0.3">
      <c r="H231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42921-4C9F-4E98-AEA6-F573A7000064}">
  <sheetPr>
    <tabColor rgb="FF00B0F0"/>
  </sheetPr>
  <dimension ref="B1:O38"/>
  <sheetViews>
    <sheetView showGridLines="0" workbookViewId="0">
      <selection activeCell="K21" sqref="K21"/>
    </sheetView>
  </sheetViews>
  <sheetFormatPr defaultRowHeight="14.4" x14ac:dyDescent="0.3"/>
  <cols>
    <col min="1" max="1" width="2.88671875" customWidth="1"/>
    <col min="3" max="3" width="9.88671875" bestFit="1" customWidth="1"/>
    <col min="4" max="4" width="11.33203125" customWidth="1"/>
    <col min="5" max="5" width="9.88671875" bestFit="1" customWidth="1"/>
    <col min="6" max="6" width="17.5546875" customWidth="1"/>
  </cols>
  <sheetData>
    <row r="1" spans="2:15" x14ac:dyDescent="0.3">
      <c r="B1" s="5" t="s">
        <v>17</v>
      </c>
      <c r="F1" s="136" t="s">
        <v>18</v>
      </c>
      <c r="G1" s="136"/>
      <c r="H1" s="136"/>
      <c r="I1" s="136"/>
      <c r="J1" s="136"/>
      <c r="K1" s="137" t="s">
        <v>19</v>
      </c>
      <c r="L1" s="137"/>
      <c r="M1" s="137"/>
      <c r="N1" s="137"/>
      <c r="O1" s="137"/>
    </row>
    <row r="2" spans="2:15" x14ac:dyDescent="0.3">
      <c r="B2" s="2" t="s">
        <v>43</v>
      </c>
      <c r="C2" s="1"/>
      <c r="D2" s="1"/>
      <c r="E2" s="1">
        <v>2017</v>
      </c>
      <c r="F2" s="1">
        <v>2018</v>
      </c>
      <c r="G2" s="1">
        <f>F2+1</f>
        <v>2019</v>
      </c>
      <c r="H2" s="1">
        <f t="shared" ref="H2:O2" si="0">G2+1</f>
        <v>2020</v>
      </c>
      <c r="I2" s="1">
        <f t="shared" si="0"/>
        <v>2021</v>
      </c>
      <c r="J2" s="1">
        <f t="shared" si="0"/>
        <v>2022</v>
      </c>
      <c r="K2" s="1">
        <f t="shared" si="0"/>
        <v>2023</v>
      </c>
      <c r="L2" s="1">
        <f t="shared" si="0"/>
        <v>2024</v>
      </c>
      <c r="M2" s="1">
        <f t="shared" si="0"/>
        <v>2025</v>
      </c>
      <c r="N2" s="1">
        <f t="shared" si="0"/>
        <v>2026</v>
      </c>
      <c r="O2" s="1">
        <f t="shared" si="0"/>
        <v>2027</v>
      </c>
    </row>
    <row r="3" spans="2:15" x14ac:dyDescent="0.3">
      <c r="B3" t="s">
        <v>114</v>
      </c>
      <c r="E3" s="12">
        <f>'Income Statement'!K23</f>
        <v>0.18100584682725457</v>
      </c>
      <c r="K3">
        <v>1</v>
      </c>
      <c r="L3">
        <v>2</v>
      </c>
      <c r="M3">
        <v>3</v>
      </c>
      <c r="N3">
        <v>4</v>
      </c>
      <c r="O3">
        <v>5</v>
      </c>
    </row>
    <row r="4" spans="2:15" x14ac:dyDescent="0.3">
      <c r="B4" t="s">
        <v>113</v>
      </c>
      <c r="F4" s="33">
        <f>'Income Statement'!F16*(1-$E$3)</f>
        <v>5902.490861915976</v>
      </c>
      <c r="G4" s="33">
        <f>'Income Statement'!G16*(1-$E$3)</f>
        <v>5056.4699016885297</v>
      </c>
      <c r="H4" s="33">
        <f>'Income Statement'!H16*(1-$E$3)</f>
        <v>5864.8171308700294</v>
      </c>
      <c r="I4" s="33">
        <f>'Income Statement'!I16*(1-$E$3)</f>
        <v>6035.167914729961</v>
      </c>
      <c r="J4" s="33">
        <f>'Income Statement'!J16*(1-$E$3)</f>
        <v>5355.4027675965817</v>
      </c>
      <c r="K4" s="8">
        <f>'Income Statement'!K16*(1-$E$3)</f>
        <v>5868.5548456304923</v>
      </c>
      <c r="L4" s="8">
        <f>'Income Statement'!L16*(1-$E$3)</f>
        <v>5940.4082008373871</v>
      </c>
      <c r="M4" s="8">
        <f>'Income Statement'!M16*(1-$E$3)</f>
        <v>6013.1413134616187</v>
      </c>
      <c r="N4" s="8">
        <f>'Income Statement'!N16*(1-$E$3)</f>
        <v>6086.7649550685655</v>
      </c>
      <c r="O4" s="8">
        <f>'Income Statement'!O16*(1-$E$3)</f>
        <v>6161.2900291083961</v>
      </c>
    </row>
    <row r="5" spans="2:15" x14ac:dyDescent="0.3">
      <c r="B5" t="s">
        <v>96</v>
      </c>
      <c r="F5" s="34">
        <f>'Income Statement'!F13</f>
        <v>1239</v>
      </c>
      <c r="G5" s="34">
        <f>'Income Statement'!G13</f>
        <v>1252</v>
      </c>
      <c r="H5" s="34">
        <f>'Income Statement'!H13</f>
        <v>1374</v>
      </c>
      <c r="I5" s="34">
        <f>'Income Statement'!I13</f>
        <v>1386</v>
      </c>
      <c r="J5" s="34">
        <f>'Income Statement'!J13</f>
        <v>1333</v>
      </c>
      <c r="K5" s="8">
        <f>'Income Statement'!K13</f>
        <v>1353.2183964184903</v>
      </c>
      <c r="L5" s="8">
        <f>'Income Statement'!L13</f>
        <v>1369.7869187665021</v>
      </c>
      <c r="M5" s="8">
        <f>'Income Statement'!M13</f>
        <v>1386.5583026286074</v>
      </c>
      <c r="N5" s="8">
        <f>'Income Statement'!N13</f>
        <v>1403.5350317986556</v>
      </c>
      <c r="O5" s="8">
        <f>'Income Statement'!O13</f>
        <v>1420.7196204815473</v>
      </c>
    </row>
    <row r="6" spans="2:15" x14ac:dyDescent="0.3">
      <c r="B6" t="s">
        <v>97</v>
      </c>
      <c r="F6" s="33">
        <f>-'Fixed Asset Schdule'!F5</f>
        <v>-1577</v>
      </c>
      <c r="G6" s="33">
        <f>-'Fixed Asset Schdule'!G5</f>
        <v>-1699</v>
      </c>
      <c r="H6" s="33">
        <f>-'Fixed Asset Schdule'!H5</f>
        <v>-1501</v>
      </c>
      <c r="I6" s="33">
        <f>-'Fixed Asset Schdule'!I5</f>
        <v>-1603</v>
      </c>
      <c r="J6" s="33">
        <f>-'Fixed Asset Schdule'!J5</f>
        <v>-1749</v>
      </c>
      <c r="K6" s="8">
        <f>-'Fixed Asset Schdule'!K5</f>
        <v>-1906.6369987619019</v>
      </c>
      <c r="L6" s="8">
        <f>-'Fixed Asset Schdule'!L5</f>
        <v>-1488.9363679740491</v>
      </c>
      <c r="M6" s="8">
        <f>-'Fixed Asset Schdule'!M5</f>
        <v>-1507.166592712967</v>
      </c>
      <c r="N6" s="8">
        <f>-'Fixed Asset Schdule'!N5</f>
        <v>-1525.6200245016826</v>
      </c>
      <c r="O6" s="8">
        <f>-'Fixed Asset Schdule'!O5</f>
        <v>-1544.299396240518</v>
      </c>
    </row>
    <row r="7" spans="2:15" x14ac:dyDescent="0.3">
      <c r="B7" t="s">
        <v>98</v>
      </c>
      <c r="F7" s="33">
        <f>'Working Capital Schdule'!F20</f>
        <v>0</v>
      </c>
      <c r="G7" s="33">
        <f>'Working Capital Schdule'!G20</f>
        <v>-350</v>
      </c>
      <c r="H7" s="33">
        <f>'Working Capital Schdule'!H20</f>
        <v>-1291</v>
      </c>
      <c r="I7" s="33">
        <f>'Working Capital Schdule'!I20</f>
        <v>108</v>
      </c>
      <c r="J7" s="33">
        <f>'Working Capital Schdule'!J20</f>
        <v>300</v>
      </c>
      <c r="K7" s="8">
        <f>'Working Capital Schdule'!K20</f>
        <v>343.45741391856063</v>
      </c>
      <c r="L7" s="8">
        <f>'Working Capital Schdule'!L20</f>
        <v>53.524160307736565</v>
      </c>
      <c r="M7" s="8">
        <f>'Working Capital Schdule'!M20</f>
        <v>55.01698603389832</v>
      </c>
      <c r="N7" s="8">
        <f>'Working Capital Schdule'!N20</f>
        <v>54.960212034936376</v>
      </c>
      <c r="O7" s="8">
        <f>'Working Capital Schdule'!O20</f>
        <v>56.070313690756848</v>
      </c>
    </row>
    <row r="8" spans="2:15" x14ac:dyDescent="0.3">
      <c r="B8" s="35" t="s">
        <v>99</v>
      </c>
      <c r="C8" s="36"/>
      <c r="D8" s="36"/>
      <c r="E8" s="36"/>
      <c r="F8" s="37">
        <f>SUM(F4:F7)</f>
        <v>5564.490861915976</v>
      </c>
      <c r="G8" s="37">
        <f t="shared" ref="G8:O8" si="1">SUM(G4:G7)</f>
        <v>4259.4699016885297</v>
      </c>
      <c r="H8" s="37">
        <f t="shared" si="1"/>
        <v>4446.8171308700294</v>
      </c>
      <c r="I8" s="37">
        <f t="shared" si="1"/>
        <v>5926.167914729961</v>
      </c>
      <c r="J8" s="37">
        <f t="shared" si="1"/>
        <v>5239.4027675965817</v>
      </c>
      <c r="K8" s="38">
        <f t="shared" si="1"/>
        <v>5658.5936572056416</v>
      </c>
      <c r="L8" s="38">
        <f t="shared" si="1"/>
        <v>5874.7829119375765</v>
      </c>
      <c r="M8" s="38">
        <f t="shared" si="1"/>
        <v>5947.5500094111576</v>
      </c>
      <c r="N8" s="38">
        <f t="shared" si="1"/>
        <v>6019.6401744004752</v>
      </c>
      <c r="O8" s="38">
        <f t="shared" si="1"/>
        <v>6093.7805670401822</v>
      </c>
    </row>
    <row r="9" spans="2:15" x14ac:dyDescent="0.3">
      <c r="B9" s="109" t="s">
        <v>100</v>
      </c>
      <c r="C9" s="97"/>
      <c r="D9" s="97"/>
      <c r="E9" s="110">
        <f>'Discount Rate'!P7</f>
        <v>6.1808674893458482E-2</v>
      </c>
      <c r="K9" s="9">
        <f>1/(1+$E$9)^(K3-0.5)</f>
        <v>0.97045827018517594</v>
      </c>
      <c r="L9" s="9">
        <f t="shared" ref="L9:O9" si="2">1/(1+$E$9)^(L3-0.5)</f>
        <v>0.91396717048158538</v>
      </c>
      <c r="M9" s="9">
        <f t="shared" si="2"/>
        <v>0.86076445982445249</v>
      </c>
      <c r="N9" s="9">
        <f t="shared" si="2"/>
        <v>0.81065871863480599</v>
      </c>
      <c r="O9" s="9">
        <f t="shared" si="2"/>
        <v>0.76346967001013355</v>
      </c>
    </row>
    <row r="10" spans="2:15" x14ac:dyDescent="0.3">
      <c r="B10" s="101"/>
      <c r="E10" s="100"/>
    </row>
    <row r="11" spans="2:15" x14ac:dyDescent="0.3">
      <c r="B11" s="101" t="s">
        <v>101</v>
      </c>
      <c r="E11" s="107">
        <f>SUMPRODUCT(K8:O8,K9:O9)</f>
        <v>25512.517827653886</v>
      </c>
    </row>
    <row r="12" spans="2:15" x14ac:dyDescent="0.3">
      <c r="B12" s="101" t="s">
        <v>102</v>
      </c>
      <c r="E12" s="107">
        <f>E19</f>
        <v>54423.546381205546</v>
      </c>
    </row>
    <row r="13" spans="2:15" x14ac:dyDescent="0.3">
      <c r="B13" s="103" t="s">
        <v>115</v>
      </c>
      <c r="C13" s="104"/>
      <c r="D13" s="104"/>
      <c r="E13" s="108">
        <f>SUM(E11:E12)</f>
        <v>79936.064208859432</v>
      </c>
    </row>
    <row r="15" spans="2:15" x14ac:dyDescent="0.3">
      <c r="B15" s="94" t="s">
        <v>103</v>
      </c>
      <c r="C15" s="95"/>
      <c r="D15" s="97"/>
      <c r="E15" s="98"/>
    </row>
    <row r="16" spans="2:15" x14ac:dyDescent="0.3">
      <c r="B16" s="101" t="s">
        <v>104</v>
      </c>
      <c r="E16" s="100">
        <v>12.6</v>
      </c>
    </row>
    <row r="17" spans="2:7" x14ac:dyDescent="0.3">
      <c r="B17" s="101" t="s">
        <v>105</v>
      </c>
      <c r="E17" s="107">
        <f>'Income Statement'!O16-'Income Statement'!O12</f>
        <v>5829.7192304386754</v>
      </c>
    </row>
    <row r="18" spans="2:7" x14ac:dyDescent="0.3">
      <c r="B18" s="101" t="s">
        <v>106</v>
      </c>
      <c r="E18" s="107">
        <f>E16*E17</f>
        <v>73454.462303527311</v>
      </c>
      <c r="G18" t="s">
        <v>111</v>
      </c>
    </row>
    <row r="19" spans="2:7" x14ac:dyDescent="0.3">
      <c r="B19" s="103" t="s">
        <v>102</v>
      </c>
      <c r="C19" s="104"/>
      <c r="D19" s="104"/>
      <c r="E19" s="108">
        <f>E18/(1+E9)^O3</f>
        <v>54423.546381205546</v>
      </c>
      <c r="F19" s="40"/>
    </row>
    <row r="20" spans="2:7" x14ac:dyDescent="0.3">
      <c r="E20" s="40"/>
    </row>
    <row r="22" spans="2:7" x14ac:dyDescent="0.3">
      <c r="B22" s="94" t="s">
        <v>108</v>
      </c>
      <c r="C22" s="95"/>
      <c r="D22" s="96">
        <v>3.7999999999999999E-2</v>
      </c>
      <c r="E22" s="97" t="s">
        <v>109</v>
      </c>
      <c r="F22" s="98"/>
    </row>
    <row r="23" spans="2:7" x14ac:dyDescent="0.3">
      <c r="B23" s="99">
        <f>O8*(1+D22)/E9-D22</f>
        <v>102337.44520103771</v>
      </c>
      <c r="F23" s="100"/>
    </row>
    <row r="24" spans="2:7" x14ac:dyDescent="0.3">
      <c r="B24" s="101" t="s">
        <v>110</v>
      </c>
      <c r="C24" s="102">
        <f>B23/(1+E9)^O3</f>
        <v>75823.394805046511</v>
      </c>
      <c r="F24" s="100"/>
    </row>
    <row r="25" spans="2:7" x14ac:dyDescent="0.3">
      <c r="B25" s="101"/>
      <c r="C25" s="102"/>
      <c r="F25" s="100"/>
    </row>
    <row r="26" spans="2:7" x14ac:dyDescent="0.3">
      <c r="B26" s="103" t="s">
        <v>119</v>
      </c>
      <c r="C26" s="104"/>
      <c r="D26" s="104"/>
      <c r="E26" s="105">
        <f>C24+E11</f>
        <v>101335.91263270041</v>
      </c>
      <c r="F26" s="106"/>
    </row>
    <row r="27" spans="2:7" x14ac:dyDescent="0.3">
      <c r="C27" s="39"/>
    </row>
    <row r="29" spans="2:7" x14ac:dyDescent="0.3">
      <c r="B29" s="111" t="s">
        <v>121</v>
      </c>
      <c r="C29" s="112"/>
      <c r="D29" s="112"/>
      <c r="E29" s="112"/>
      <c r="F29" s="113"/>
    </row>
    <row r="30" spans="2:7" ht="3" customHeight="1" x14ac:dyDescent="0.3">
      <c r="B30" s="114"/>
      <c r="C30" s="42"/>
      <c r="D30" s="42"/>
      <c r="E30" s="42"/>
      <c r="F30" s="115"/>
    </row>
    <row r="31" spans="2:7" x14ac:dyDescent="0.3">
      <c r="B31" s="131" t="s">
        <v>112</v>
      </c>
      <c r="C31" s="132"/>
      <c r="D31" s="132"/>
      <c r="E31" s="132"/>
      <c r="F31" s="133">
        <f>E13</f>
        <v>79936.064208859432</v>
      </c>
    </row>
    <row r="32" spans="2:7" x14ac:dyDescent="0.3">
      <c r="B32" s="114" t="s">
        <v>120</v>
      </c>
      <c r="C32" s="42"/>
      <c r="D32" s="42"/>
      <c r="E32" s="42"/>
      <c r="F32" s="115">
        <f>3655+238+162</f>
        <v>4055</v>
      </c>
    </row>
    <row r="33" spans="2:6" x14ac:dyDescent="0.3">
      <c r="B33" s="121" t="s">
        <v>116</v>
      </c>
      <c r="C33" s="122"/>
      <c r="D33" s="122"/>
      <c r="E33" s="122"/>
      <c r="F33" s="123">
        <f>F31+F32</f>
        <v>83991.064208859432</v>
      </c>
    </row>
    <row r="34" spans="2:6" x14ac:dyDescent="0.3">
      <c r="B34" s="124" t="s">
        <v>122</v>
      </c>
      <c r="C34" s="125"/>
      <c r="D34" s="125"/>
      <c r="E34" s="125"/>
      <c r="F34" s="126">
        <f>-'Debt Schdule'!J5</f>
        <v>-15939</v>
      </c>
    </row>
    <row r="35" spans="2:6" x14ac:dyDescent="0.3">
      <c r="B35" s="128" t="s">
        <v>123</v>
      </c>
      <c r="C35" s="129"/>
      <c r="D35" s="129"/>
      <c r="E35" s="129"/>
      <c r="F35" s="130">
        <f>-48</f>
        <v>-48</v>
      </c>
    </row>
    <row r="36" spans="2:6" x14ac:dyDescent="0.3">
      <c r="B36" s="119" t="s">
        <v>107</v>
      </c>
      <c r="C36" s="120"/>
      <c r="D36" s="120"/>
      <c r="E36" s="120"/>
      <c r="F36" s="127">
        <f>SUM(F33:F35)</f>
        <v>68004.064208859432</v>
      </c>
    </row>
    <row r="37" spans="2:6" x14ac:dyDescent="0.3">
      <c r="B37" s="114" t="s">
        <v>117</v>
      </c>
      <c r="C37" s="42"/>
      <c r="D37" s="42"/>
      <c r="E37" s="42"/>
      <c r="F37" s="116">
        <f>'Discount Rate'!M8</f>
        <v>848.56267800000001</v>
      </c>
    </row>
    <row r="38" spans="2:6" x14ac:dyDescent="0.3">
      <c r="B38" s="117" t="s">
        <v>118</v>
      </c>
      <c r="C38" s="118"/>
      <c r="D38" s="118"/>
      <c r="E38" s="118"/>
      <c r="F38" s="134">
        <f>F36/F37</f>
        <v>80.14029602284657</v>
      </c>
    </row>
  </sheetData>
  <mergeCells count="2">
    <mergeCell ref="F1:J1"/>
    <mergeCell ref="K1:O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C602C-7C29-4FB5-A39D-D466CD8D4648}">
  <sheetPr>
    <tabColor rgb="FFFF0000"/>
  </sheetPr>
  <dimension ref="A1:V36"/>
  <sheetViews>
    <sheetView showGridLines="0" workbookViewId="0">
      <selection activeCell="S11" sqref="S11"/>
    </sheetView>
  </sheetViews>
  <sheetFormatPr defaultRowHeight="14.4" x14ac:dyDescent="0.3"/>
  <cols>
    <col min="1" max="1" width="1.5546875" customWidth="1"/>
    <col min="2" max="2" width="12.5546875" customWidth="1"/>
    <col min="3" max="3" width="11.5546875" customWidth="1"/>
    <col min="4" max="4" width="11.33203125" customWidth="1"/>
    <col min="5" max="5" width="14.88671875" customWidth="1"/>
    <col min="6" max="6" width="14.44140625" customWidth="1"/>
    <col min="7" max="8" width="12.33203125" customWidth="1"/>
    <col min="9" max="9" width="11.5546875" customWidth="1"/>
    <col min="10" max="10" width="2.6640625" customWidth="1"/>
    <col min="11" max="11" width="10.21875" customWidth="1"/>
    <col min="13" max="13" width="11.33203125" customWidth="1"/>
    <col min="14" max="14" width="2.21875" customWidth="1"/>
    <col min="15" max="15" width="11.44140625" bestFit="1" customWidth="1"/>
    <col min="16" max="16" width="11.5546875" customWidth="1"/>
    <col min="17" max="17" width="11.6640625" customWidth="1"/>
  </cols>
  <sheetData>
    <row r="1" spans="1:22" x14ac:dyDescent="0.3">
      <c r="V1" t="s">
        <v>124</v>
      </c>
    </row>
    <row r="2" spans="1:22" x14ac:dyDescent="0.3">
      <c r="A2" s="150"/>
      <c r="B2" s="151" t="s">
        <v>125</v>
      </c>
      <c r="C2" s="152"/>
      <c r="D2" s="152"/>
      <c r="E2" s="152"/>
      <c r="F2" s="152"/>
      <c r="G2" s="152"/>
      <c r="H2" s="152"/>
      <c r="I2" s="152"/>
    </row>
    <row r="3" spans="1:22" ht="4.2" customHeight="1" x14ac:dyDescent="0.3">
      <c r="B3" s="152"/>
      <c r="C3" s="152"/>
      <c r="D3" s="152"/>
      <c r="E3" s="152"/>
      <c r="F3" s="152"/>
      <c r="G3" s="152"/>
      <c r="H3" s="152"/>
      <c r="I3" s="152"/>
    </row>
    <row r="4" spans="1:22" x14ac:dyDescent="0.3">
      <c r="B4" s="2"/>
      <c r="C4" s="2"/>
      <c r="D4" s="153" t="s">
        <v>126</v>
      </c>
      <c r="E4" s="153"/>
      <c r="F4" s="153"/>
      <c r="G4" s="153"/>
      <c r="H4" s="153"/>
      <c r="I4" s="153"/>
      <c r="J4" s="2"/>
      <c r="K4" s="153" t="s">
        <v>126</v>
      </c>
      <c r="L4" s="153"/>
      <c r="M4" s="153"/>
      <c r="N4" s="2"/>
      <c r="O4" s="153" t="s">
        <v>127</v>
      </c>
      <c r="P4" s="153"/>
      <c r="Q4" s="153"/>
    </row>
    <row r="5" spans="1:22" ht="28.8" x14ac:dyDescent="0.3">
      <c r="B5" s="2" t="s">
        <v>128</v>
      </c>
      <c r="C5" s="2" t="s">
        <v>129</v>
      </c>
      <c r="D5" s="2" t="s">
        <v>130</v>
      </c>
      <c r="E5" s="154" t="s">
        <v>117</v>
      </c>
      <c r="F5" s="2" t="s">
        <v>131</v>
      </c>
      <c r="G5" s="2" t="s">
        <v>132</v>
      </c>
      <c r="H5" s="154" t="s">
        <v>133</v>
      </c>
      <c r="I5" s="154" t="s">
        <v>106</v>
      </c>
      <c r="J5" s="2"/>
      <c r="K5" s="2" t="s">
        <v>134</v>
      </c>
      <c r="L5" s="2" t="s">
        <v>105</v>
      </c>
      <c r="M5" s="2" t="s">
        <v>135</v>
      </c>
      <c r="N5" s="2"/>
      <c r="O5" s="155" t="s">
        <v>136</v>
      </c>
      <c r="P5" s="155" t="s">
        <v>137</v>
      </c>
      <c r="Q5" s="155" t="s">
        <v>138</v>
      </c>
    </row>
    <row r="6" spans="1:22" ht="5.4" customHeight="1" x14ac:dyDescent="0.3">
      <c r="B6" s="156"/>
      <c r="C6" s="156"/>
      <c r="D6" s="156"/>
      <c r="E6" s="157"/>
      <c r="F6" s="156"/>
      <c r="G6" s="156"/>
      <c r="H6" s="157"/>
      <c r="I6" s="157"/>
      <c r="J6" s="156"/>
      <c r="K6" s="156"/>
      <c r="L6" s="156"/>
      <c r="M6" s="156"/>
      <c r="N6" s="156"/>
      <c r="O6" s="156"/>
      <c r="P6" s="156"/>
      <c r="Q6" s="156"/>
    </row>
    <row r="7" spans="1:22" x14ac:dyDescent="0.3">
      <c r="B7" s="158" t="s">
        <v>139</v>
      </c>
      <c r="C7" s="158"/>
      <c r="D7" s="159">
        <v>1827.65</v>
      </c>
      <c r="E7" s="159">
        <v>239.93</v>
      </c>
      <c r="F7" s="159">
        <f>D7*E7</f>
        <v>438508.06450000004</v>
      </c>
      <c r="G7" s="159">
        <v>2571.9499999999998</v>
      </c>
      <c r="H7" s="159">
        <v>10520.68</v>
      </c>
      <c r="I7" s="160">
        <f>F7+G7-H7</f>
        <v>430559.33450000006</v>
      </c>
      <c r="J7" s="159"/>
      <c r="K7" s="159">
        <v>50307.74</v>
      </c>
      <c r="L7" s="159">
        <v>15801.25</v>
      </c>
      <c r="M7" s="159">
        <v>11117.12</v>
      </c>
      <c r="N7" s="158"/>
      <c r="O7" s="161">
        <f>I7/K7</f>
        <v>8.5585107679255739</v>
      </c>
      <c r="P7" s="161">
        <f>I7/L7</f>
        <v>27.248435060517366</v>
      </c>
      <c r="Q7" s="161">
        <f>F7/M7</f>
        <v>39.444394276575231</v>
      </c>
    </row>
    <row r="8" spans="1:22" x14ac:dyDescent="0.3">
      <c r="B8" s="158" t="s">
        <v>140</v>
      </c>
      <c r="C8" s="158"/>
      <c r="D8" s="159">
        <v>1454.8</v>
      </c>
      <c r="E8" s="159">
        <v>80.760000000000005</v>
      </c>
      <c r="F8" s="159">
        <f t="shared" ref="F8:F20" si="0">D8*E8</f>
        <v>117489.648</v>
      </c>
      <c r="G8" s="159">
        <v>461.38</v>
      </c>
      <c r="H8" s="159">
        <v>874.97</v>
      </c>
      <c r="I8" s="160">
        <f t="shared" ref="I8:I20" si="1">F8+G8-H8</f>
        <v>117076.058</v>
      </c>
      <c r="J8" s="159"/>
      <c r="K8" s="159">
        <v>26512.01</v>
      </c>
      <c r="L8" s="159">
        <v>7449.5400000000009</v>
      </c>
      <c r="M8" s="159">
        <v>4480.75</v>
      </c>
      <c r="N8" s="158"/>
      <c r="O8" s="161">
        <f t="shared" ref="O8:O20" si="2">I8/K8</f>
        <v>4.4159631050229695</v>
      </c>
      <c r="P8" s="161">
        <f t="shared" ref="P8:P20" si="3">I8/L8</f>
        <v>15.715877490422226</v>
      </c>
      <c r="Q8" s="161">
        <f t="shared" ref="Q8:Q20" si="4">F8/M8</f>
        <v>26.220978184455728</v>
      </c>
    </row>
    <row r="9" spans="1:22" x14ac:dyDescent="0.3">
      <c r="B9" s="158" t="s">
        <v>141</v>
      </c>
      <c r="C9" s="158"/>
      <c r="D9" s="159">
        <v>2604.65</v>
      </c>
      <c r="E9" s="159">
        <v>41.26</v>
      </c>
      <c r="F9" s="159">
        <f t="shared" si="0"/>
        <v>107467.859</v>
      </c>
      <c r="G9" s="159">
        <v>207.46</v>
      </c>
      <c r="H9" s="159">
        <v>761.01</v>
      </c>
      <c r="I9" s="160">
        <f t="shared" si="1"/>
        <v>106914.30900000001</v>
      </c>
      <c r="J9" s="159"/>
      <c r="K9" s="159">
        <v>9288.1200000000008</v>
      </c>
      <c r="L9" s="159">
        <v>2794.1800000000003</v>
      </c>
      <c r="M9" s="159">
        <v>2089.16</v>
      </c>
      <c r="N9" s="158"/>
      <c r="O9" s="161">
        <f t="shared" si="2"/>
        <v>11.510866461673622</v>
      </c>
      <c r="P9" s="161">
        <f t="shared" si="3"/>
        <v>38.263214610368692</v>
      </c>
      <c r="Q9" s="161">
        <f t="shared" si="4"/>
        <v>51.440702961956006</v>
      </c>
    </row>
    <row r="10" spans="1:22" x14ac:dyDescent="0.3">
      <c r="B10" s="158" t="s">
        <v>142</v>
      </c>
      <c r="C10" s="158"/>
      <c r="D10" s="159">
        <v>1279.8499999999999</v>
      </c>
      <c r="E10" s="159">
        <v>83.44</v>
      </c>
      <c r="F10" s="159">
        <f t="shared" si="0"/>
        <v>106790.68399999999</v>
      </c>
      <c r="G10" s="159">
        <v>4854.1000000000004</v>
      </c>
      <c r="H10" s="159">
        <v>1727.7</v>
      </c>
      <c r="I10" s="160">
        <f t="shared" si="1"/>
        <v>109917.084</v>
      </c>
      <c r="J10" s="159"/>
      <c r="K10" s="159">
        <v>30084.9</v>
      </c>
      <c r="L10" s="159">
        <v>8987.2999999999993</v>
      </c>
      <c r="M10" s="159">
        <v>5425</v>
      </c>
      <c r="N10" s="158"/>
      <c r="O10" s="161">
        <f t="shared" si="2"/>
        <v>3.6535632160984415</v>
      </c>
      <c r="P10" s="161">
        <f t="shared" si="3"/>
        <v>12.230267599835324</v>
      </c>
      <c r="Q10" s="161">
        <f t="shared" si="4"/>
        <v>19.684918709677419</v>
      </c>
    </row>
    <row r="11" spans="1:22" x14ac:dyDescent="0.3">
      <c r="B11" s="158" t="s">
        <v>143</v>
      </c>
      <c r="C11" s="158"/>
      <c r="D11" s="159">
        <v>988.7</v>
      </c>
      <c r="E11" s="159">
        <v>100.62</v>
      </c>
      <c r="F11" s="159">
        <f t="shared" si="0"/>
        <v>99482.994000000006</v>
      </c>
      <c r="G11" s="159">
        <v>190.5</v>
      </c>
      <c r="H11" s="159">
        <v>1105.0999999999999</v>
      </c>
      <c r="I11" s="160">
        <f t="shared" si="1"/>
        <v>98568.394</v>
      </c>
      <c r="J11" s="159"/>
      <c r="K11" s="159">
        <v>21483.5</v>
      </c>
      <c r="L11" s="159">
        <v>6603.8</v>
      </c>
      <c r="M11" s="159">
        <v>4438.7</v>
      </c>
      <c r="N11" s="158"/>
      <c r="O11" s="161">
        <f t="shared" si="2"/>
        <v>4.5880975632462127</v>
      </c>
      <c r="P11" s="161">
        <f t="shared" si="3"/>
        <v>14.926011387383021</v>
      </c>
      <c r="Q11" s="161">
        <f t="shared" si="4"/>
        <v>22.412641989771782</v>
      </c>
    </row>
    <row r="12" spans="1:22" x14ac:dyDescent="0.3">
      <c r="B12" s="158" t="s">
        <v>144</v>
      </c>
      <c r="C12" s="158"/>
      <c r="D12" s="159">
        <v>2134.5</v>
      </c>
      <c r="E12" s="159">
        <v>45.62</v>
      </c>
      <c r="F12" s="159">
        <f t="shared" si="0"/>
        <v>97375.89</v>
      </c>
      <c r="G12" s="159">
        <v>3442.5</v>
      </c>
      <c r="H12" s="159">
        <v>1202.54</v>
      </c>
      <c r="I12" s="160">
        <f t="shared" si="1"/>
        <v>99615.85</v>
      </c>
      <c r="J12" s="159"/>
      <c r="K12" s="159">
        <v>21431.26</v>
      </c>
      <c r="L12" s="159">
        <v>4784.8100000000004</v>
      </c>
      <c r="M12" s="159">
        <v>2651.94</v>
      </c>
      <c r="N12" s="158"/>
      <c r="O12" s="161">
        <f t="shared" si="2"/>
        <v>4.6481564779672313</v>
      </c>
      <c r="P12" s="161">
        <f t="shared" si="3"/>
        <v>20.819186132782701</v>
      </c>
      <c r="Q12" s="161">
        <f t="shared" si="4"/>
        <v>36.718737980497295</v>
      </c>
    </row>
    <row r="13" spans="1:22" x14ac:dyDescent="0.3">
      <c r="B13" s="158" t="s">
        <v>145</v>
      </c>
      <c r="C13" s="158"/>
      <c r="D13" s="159">
        <v>1238.95</v>
      </c>
      <c r="E13" s="159">
        <v>58.59</v>
      </c>
      <c r="F13" s="159">
        <f t="shared" si="0"/>
        <v>72590.080500000011</v>
      </c>
      <c r="G13" s="159">
        <v>8427.25</v>
      </c>
      <c r="H13" s="159">
        <v>6278.3</v>
      </c>
      <c r="I13" s="160">
        <f t="shared" si="1"/>
        <v>74739.030500000008</v>
      </c>
      <c r="J13" s="159"/>
      <c r="K13" s="159">
        <v>30295.02</v>
      </c>
      <c r="L13" s="159">
        <v>7098.5599999999995</v>
      </c>
      <c r="M13" s="159">
        <v>3582.49</v>
      </c>
      <c r="N13" s="158"/>
      <c r="O13" s="161">
        <f t="shared" si="2"/>
        <v>2.4670401438916367</v>
      </c>
      <c r="P13" s="161">
        <f t="shared" si="3"/>
        <v>10.528759424446649</v>
      </c>
      <c r="Q13" s="161">
        <f t="shared" si="4"/>
        <v>20.26246563144629</v>
      </c>
    </row>
    <row r="14" spans="1:22" x14ac:dyDescent="0.3">
      <c r="B14" s="158" t="s">
        <v>146</v>
      </c>
      <c r="C14" s="158"/>
      <c r="D14" s="159">
        <v>5209.95</v>
      </c>
      <c r="E14" s="159">
        <v>11.96</v>
      </c>
      <c r="F14" s="159">
        <f t="shared" si="0"/>
        <v>62311.002</v>
      </c>
      <c r="G14" s="159">
        <v>1477.9</v>
      </c>
      <c r="H14" s="159">
        <v>1579.35</v>
      </c>
      <c r="I14" s="160">
        <f t="shared" si="1"/>
        <v>62209.552000000003</v>
      </c>
      <c r="J14" s="159"/>
      <c r="K14" s="159">
        <v>12706.18</v>
      </c>
      <c r="L14" s="159">
        <v>2907.6400000000003</v>
      </c>
      <c r="M14" s="159">
        <v>2160.96</v>
      </c>
      <c r="N14" s="158"/>
      <c r="O14" s="161">
        <f t="shared" si="2"/>
        <v>4.8960074546401833</v>
      </c>
      <c r="P14" s="161">
        <f t="shared" si="3"/>
        <v>21.395204358173636</v>
      </c>
      <c r="Q14" s="161">
        <f t="shared" si="4"/>
        <v>28.834870613060861</v>
      </c>
    </row>
    <row r="15" spans="1:22" x14ac:dyDescent="0.3">
      <c r="B15" s="162" t="s">
        <v>147</v>
      </c>
      <c r="C15" s="162"/>
      <c r="D15" s="163">
        <v>395.35</v>
      </c>
      <c r="E15" s="163">
        <v>120.06</v>
      </c>
      <c r="F15" s="163">
        <f t="shared" si="0"/>
        <v>47465.721000000005</v>
      </c>
      <c r="G15" s="163">
        <v>16770.8</v>
      </c>
      <c r="H15" s="163">
        <v>2258.6999999999998</v>
      </c>
      <c r="I15" s="164">
        <f t="shared" si="1"/>
        <v>61977.821000000011</v>
      </c>
      <c r="J15" s="163"/>
      <c r="K15" s="163">
        <v>14894.1</v>
      </c>
      <c r="L15" s="163">
        <v>4902.8</v>
      </c>
      <c r="M15" s="163">
        <v>1865.1</v>
      </c>
      <c r="N15" s="162"/>
      <c r="O15" s="165">
        <f t="shared" si="2"/>
        <v>4.161233038585749</v>
      </c>
      <c r="P15" s="165">
        <f t="shared" si="3"/>
        <v>12.641311291506895</v>
      </c>
      <c r="Q15" s="165">
        <f t="shared" si="4"/>
        <v>25.449424159562493</v>
      </c>
    </row>
    <row r="16" spans="1:22" x14ac:dyDescent="0.3">
      <c r="B16" s="158" t="s">
        <v>148</v>
      </c>
      <c r="C16" s="158"/>
      <c r="D16" s="159">
        <v>1512.9</v>
      </c>
      <c r="E16" s="159">
        <v>28.22</v>
      </c>
      <c r="F16" s="159">
        <f t="shared" si="0"/>
        <v>42694.038</v>
      </c>
      <c r="G16" s="159">
        <v>1710.85</v>
      </c>
      <c r="H16" s="159">
        <v>1659.46</v>
      </c>
      <c r="I16" s="160">
        <f t="shared" si="1"/>
        <v>42745.428</v>
      </c>
      <c r="J16" s="159"/>
      <c r="K16" s="159">
        <v>12247.64</v>
      </c>
      <c r="L16" s="159">
        <v>2375.3000000000002</v>
      </c>
      <c r="M16" s="159">
        <v>-850.36</v>
      </c>
      <c r="N16" s="158"/>
      <c r="O16" s="161">
        <f t="shared" si="2"/>
        <v>3.4900950713770165</v>
      </c>
      <c r="P16" s="161">
        <f t="shared" si="3"/>
        <v>17.995801793457666</v>
      </c>
      <c r="Q16" s="161">
        <f t="shared" si="4"/>
        <v>-50.207015852109691</v>
      </c>
    </row>
    <row r="17" spans="2:17" x14ac:dyDescent="0.3">
      <c r="B17" s="158" t="s">
        <v>149</v>
      </c>
      <c r="C17" s="158"/>
      <c r="D17" s="159">
        <v>1589.4</v>
      </c>
      <c r="E17" s="159">
        <v>25.37</v>
      </c>
      <c r="F17" s="159">
        <f t="shared" si="0"/>
        <v>40323.078000000001</v>
      </c>
      <c r="G17" s="159">
        <v>1202.18</v>
      </c>
      <c r="H17" s="159">
        <v>296.83999999999997</v>
      </c>
      <c r="I17" s="160">
        <f t="shared" si="1"/>
        <v>41228.418000000005</v>
      </c>
      <c r="J17" s="159"/>
      <c r="K17" s="159">
        <v>8533.42</v>
      </c>
      <c r="L17" s="159">
        <v>1575.2199999999998</v>
      </c>
      <c r="M17" s="159">
        <v>667.22</v>
      </c>
      <c r="N17" s="158"/>
      <c r="O17" s="161">
        <f t="shared" si="2"/>
        <v>4.8314061654061335</v>
      </c>
      <c r="P17" s="161">
        <f t="shared" si="3"/>
        <v>26.173117405822687</v>
      </c>
      <c r="Q17" s="161">
        <f t="shared" si="4"/>
        <v>60.434456401187013</v>
      </c>
    </row>
    <row r="18" spans="2:17" x14ac:dyDescent="0.3">
      <c r="B18" s="158" t="s">
        <v>150</v>
      </c>
      <c r="C18" s="158"/>
      <c r="D18" s="159">
        <v>251.7</v>
      </c>
      <c r="E18" s="159">
        <v>132.57</v>
      </c>
      <c r="F18" s="159">
        <f t="shared" si="0"/>
        <v>33367.868999999999</v>
      </c>
      <c r="G18" s="159">
        <v>4786.41</v>
      </c>
      <c r="H18" s="159">
        <v>482.56</v>
      </c>
      <c r="I18" s="160">
        <f t="shared" si="1"/>
        <v>37671.718999999997</v>
      </c>
      <c r="J18" s="159"/>
      <c r="K18" s="159">
        <v>8703.82</v>
      </c>
      <c r="L18" s="159">
        <v>1578.5900000000001</v>
      </c>
      <c r="M18" s="159">
        <v>45.33</v>
      </c>
      <c r="N18" s="158"/>
      <c r="O18" s="161">
        <f t="shared" si="2"/>
        <v>4.3281822234375253</v>
      </c>
      <c r="P18" s="161">
        <f t="shared" si="3"/>
        <v>23.864156620781834</v>
      </c>
      <c r="Q18" s="161">
        <f t="shared" si="4"/>
        <v>736.11005956320321</v>
      </c>
    </row>
    <row r="19" spans="2:17" x14ac:dyDescent="0.3">
      <c r="B19" s="158" t="s">
        <v>151</v>
      </c>
      <c r="C19" s="158"/>
      <c r="D19" s="159">
        <v>577.6</v>
      </c>
      <c r="E19" s="159">
        <v>53.92</v>
      </c>
      <c r="F19" s="159">
        <f t="shared" si="0"/>
        <v>31144.192000000003</v>
      </c>
      <c r="G19" s="159">
        <v>2789.03</v>
      </c>
      <c r="H19" s="159">
        <v>141.65</v>
      </c>
      <c r="I19" s="160">
        <f t="shared" si="1"/>
        <v>33791.572</v>
      </c>
      <c r="J19" s="159"/>
      <c r="K19" s="159">
        <v>5053.2</v>
      </c>
      <c r="L19" s="159">
        <v>800.51</v>
      </c>
      <c r="M19" s="159">
        <v>130.99</v>
      </c>
      <c r="N19" s="158"/>
      <c r="O19" s="161">
        <f t="shared" si="2"/>
        <v>6.6871629858307609</v>
      </c>
      <c r="P19" s="161">
        <f t="shared" si="3"/>
        <v>42.212554496508474</v>
      </c>
      <c r="Q19" s="161">
        <f t="shared" si="4"/>
        <v>237.76007328803726</v>
      </c>
    </row>
    <row r="20" spans="2:17" x14ac:dyDescent="0.3">
      <c r="B20" s="158" t="s">
        <v>152</v>
      </c>
      <c r="C20" s="158"/>
      <c r="D20" s="159">
        <v>1798.45</v>
      </c>
      <c r="E20" s="159">
        <v>15.55</v>
      </c>
      <c r="F20" s="159">
        <f t="shared" si="0"/>
        <v>27965.897500000003</v>
      </c>
      <c r="G20" s="159">
        <v>92.75</v>
      </c>
      <c r="H20" s="159">
        <v>95.54</v>
      </c>
      <c r="I20" s="160">
        <f t="shared" si="1"/>
        <v>27963.107500000002</v>
      </c>
      <c r="J20" s="159"/>
      <c r="K20" s="159">
        <v>3711.26</v>
      </c>
      <c r="L20" s="159">
        <v>1011.95</v>
      </c>
      <c r="M20" s="159">
        <v>611.13</v>
      </c>
      <c r="N20" s="158"/>
      <c r="O20" s="161">
        <f t="shared" si="2"/>
        <v>7.5346667977991304</v>
      </c>
      <c r="P20" s="161">
        <f t="shared" si="3"/>
        <v>27.63289441177924</v>
      </c>
      <c r="Q20" s="161">
        <f t="shared" si="4"/>
        <v>45.76096329749808</v>
      </c>
    </row>
    <row r="22" spans="2:17" x14ac:dyDescent="0.3">
      <c r="B22" s="166" t="s">
        <v>153</v>
      </c>
      <c r="C22" s="166"/>
      <c r="D22" s="166"/>
      <c r="E22" s="166"/>
      <c r="F22" s="166"/>
      <c r="G22" s="166"/>
      <c r="H22" s="166"/>
      <c r="I22" s="166"/>
      <c r="J22" s="166"/>
      <c r="K22" s="166"/>
      <c r="L22" s="166"/>
      <c r="M22" s="166"/>
      <c r="N22" s="166"/>
      <c r="O22" s="167">
        <f>MAX(O7:O20)</f>
        <v>11.510866461673622</v>
      </c>
      <c r="P22" s="167">
        <f t="shared" ref="P22:Q22" si="5">MAX(P7:P20)</f>
        <v>42.212554496508474</v>
      </c>
      <c r="Q22" s="167">
        <f t="shared" si="5"/>
        <v>736.11005956320321</v>
      </c>
    </row>
    <row r="23" spans="2:17" x14ac:dyDescent="0.3">
      <c r="B23" s="166" t="s">
        <v>154</v>
      </c>
      <c r="C23" s="166"/>
      <c r="D23" s="166"/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167">
        <f>QUARTILE(O7:O20,)</f>
        <v>2.4670401438916367</v>
      </c>
      <c r="P23" s="167">
        <f t="shared" ref="P23:Q23" si="6">QUARTILE(P7:P20,)</f>
        <v>10.528759424446649</v>
      </c>
      <c r="Q23" s="167">
        <f t="shared" si="6"/>
        <v>-50.207015852109691</v>
      </c>
    </row>
    <row r="24" spans="2:17" x14ac:dyDescent="0.3">
      <c r="B24" s="168" t="s">
        <v>155</v>
      </c>
      <c r="C24" s="168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168"/>
      <c r="O24" s="169">
        <f>AVERAGE(O7:O20)</f>
        <v>5.4122108194930139</v>
      </c>
      <c r="P24" s="169">
        <f t="shared" ref="P24:Q24" si="7">AVERAGE(P7:P20)</f>
        <v>22.260485148841891</v>
      </c>
      <c r="Q24" s="169">
        <f t="shared" si="7"/>
        <v>92.880547943201364</v>
      </c>
    </row>
    <row r="25" spans="2:17" x14ac:dyDescent="0.3">
      <c r="B25" s="168" t="s">
        <v>156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9">
        <f>MEDIAN(O7:O20)</f>
        <v>4.618127020606722</v>
      </c>
      <c r="P25" s="169">
        <f t="shared" ref="P25:Q25" si="8">MEDIAN(P7:P20)</f>
        <v>21.107195245478167</v>
      </c>
      <c r="Q25" s="169">
        <f t="shared" si="8"/>
        <v>32.776804296779076</v>
      </c>
    </row>
    <row r="26" spans="2:17" x14ac:dyDescent="0.3">
      <c r="B26" s="166" t="s">
        <v>157</v>
      </c>
      <c r="C26" s="166"/>
      <c r="D26" s="166"/>
      <c r="E26" s="166"/>
      <c r="F26" s="166"/>
      <c r="G26" s="166"/>
      <c r="H26" s="166"/>
      <c r="I26" s="166"/>
      <c r="J26" s="166"/>
      <c r="K26" s="166"/>
      <c r="L26" s="166"/>
      <c r="M26" s="166"/>
      <c r="N26" s="166"/>
      <c r="O26" s="167">
        <f>QUARTILE(O7:O20,)</f>
        <v>2.4670401438916367</v>
      </c>
      <c r="P26" s="167">
        <f t="shared" ref="P26:Q26" si="9">QUARTILE(P7:P20,)</f>
        <v>10.528759424446649</v>
      </c>
      <c r="Q26" s="167">
        <f t="shared" si="9"/>
        <v>-50.207015852109691</v>
      </c>
    </row>
    <row r="27" spans="2:17" x14ac:dyDescent="0.3">
      <c r="B27" s="166" t="s">
        <v>158</v>
      </c>
      <c r="C27" s="166"/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7">
        <f>MIN(O7:O20)</f>
        <v>2.4670401438916367</v>
      </c>
      <c r="P27" s="167">
        <f t="shared" ref="P27:Q27" si="10">MIN(P7:P20)</f>
        <v>10.528759424446649</v>
      </c>
      <c r="Q27" s="167">
        <f t="shared" si="10"/>
        <v>-50.207015852109691</v>
      </c>
    </row>
    <row r="29" spans="2:17" x14ac:dyDescent="0.3">
      <c r="B29" s="2" t="s">
        <v>159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70" t="s">
        <v>136</v>
      </c>
      <c r="P29" s="170" t="s">
        <v>137</v>
      </c>
      <c r="Q29" s="170" t="s">
        <v>138</v>
      </c>
    </row>
    <row r="30" spans="2:17" ht="3.6" customHeight="1" x14ac:dyDescent="0.3"/>
    <row r="31" spans="2:17" x14ac:dyDescent="0.3">
      <c r="B31" s="171" t="s">
        <v>160</v>
      </c>
      <c r="C31" s="171"/>
      <c r="D31" s="171"/>
      <c r="E31" s="171"/>
      <c r="F31" s="171"/>
      <c r="G31" s="171"/>
      <c r="H31" s="171"/>
      <c r="I31" s="171"/>
      <c r="J31" s="171"/>
      <c r="K31" s="171"/>
      <c r="L31" s="171"/>
      <c r="M31" s="171"/>
      <c r="N31" s="171"/>
      <c r="O31" s="172">
        <f>O25*K15</f>
        <v>68782.845657618585</v>
      </c>
      <c r="P31" s="172">
        <f>P25*L15</f>
        <v>103484.35684953036</v>
      </c>
      <c r="Q31" s="172">
        <f>Q34+Q33+Q32</f>
        <v>80161.517693922651</v>
      </c>
    </row>
    <row r="32" spans="2:17" x14ac:dyDescent="0.3">
      <c r="B32" s="171" t="s">
        <v>161</v>
      </c>
      <c r="C32" s="171"/>
      <c r="D32" s="171"/>
      <c r="E32" s="171"/>
      <c r="F32" s="171"/>
      <c r="G32" s="171"/>
      <c r="H32" s="171"/>
      <c r="I32" s="171"/>
      <c r="J32" s="171"/>
      <c r="K32" s="171"/>
      <c r="L32" s="171"/>
      <c r="M32" s="171"/>
      <c r="N32" s="171"/>
      <c r="O32" s="172">
        <f>G15</f>
        <v>16770.8</v>
      </c>
      <c r="P32" s="172">
        <v>16770.8</v>
      </c>
      <c r="Q32" s="172">
        <v>16770.8</v>
      </c>
    </row>
    <row r="33" spans="2:18" x14ac:dyDescent="0.3">
      <c r="B33" s="171" t="s">
        <v>162</v>
      </c>
      <c r="C33" s="171"/>
      <c r="D33" s="171"/>
      <c r="E33" s="171"/>
      <c r="F33" s="171"/>
      <c r="G33" s="171"/>
      <c r="H33" s="171"/>
      <c r="I33" s="171"/>
      <c r="J33" s="171"/>
      <c r="K33" s="171"/>
      <c r="L33" s="171"/>
      <c r="M33" s="171"/>
      <c r="N33" s="171"/>
      <c r="O33" s="172">
        <f>H15</f>
        <v>2258.6999999999998</v>
      </c>
      <c r="P33" s="171">
        <v>2258.6999999999998</v>
      </c>
      <c r="Q33" s="171">
        <v>2258.6999999999998</v>
      </c>
    </row>
    <row r="34" spans="2:18" x14ac:dyDescent="0.3">
      <c r="B34" s="173" t="s">
        <v>163</v>
      </c>
      <c r="C34" s="173"/>
      <c r="D34" s="173"/>
      <c r="E34" s="173"/>
      <c r="F34" s="173"/>
      <c r="G34" s="173"/>
      <c r="H34" s="173"/>
      <c r="I34" s="173"/>
      <c r="J34" s="173"/>
      <c r="K34" s="173"/>
      <c r="L34" s="173"/>
      <c r="M34" s="173"/>
      <c r="N34" s="173"/>
      <c r="O34" s="174">
        <f>O31-O32-O33</f>
        <v>49753.345657618585</v>
      </c>
      <c r="P34" s="174">
        <f>P31-P32-P33</f>
        <v>84454.856849530363</v>
      </c>
      <c r="Q34" s="174">
        <f>Q25*M15</f>
        <v>61132.017693922651</v>
      </c>
    </row>
    <row r="35" spans="2:18" ht="15" thickBot="1" x14ac:dyDescent="0.35">
      <c r="B35" s="175" t="s">
        <v>164</v>
      </c>
      <c r="C35" s="175"/>
      <c r="D35" s="175"/>
      <c r="E35" s="175"/>
      <c r="F35" s="175"/>
      <c r="G35" s="175"/>
      <c r="H35" s="175"/>
      <c r="I35" s="175"/>
      <c r="J35" s="175"/>
      <c r="K35" s="175"/>
      <c r="L35" s="175"/>
      <c r="M35" s="175"/>
      <c r="N35" s="175"/>
      <c r="O35" s="176">
        <f>E15</f>
        <v>120.06</v>
      </c>
      <c r="P35" s="175">
        <v>120.06</v>
      </c>
      <c r="Q35" s="175">
        <v>120.06</v>
      </c>
    </row>
    <row r="36" spans="2:18" ht="15" thickTop="1" x14ac:dyDescent="0.3">
      <c r="B36" s="177" t="s">
        <v>165</v>
      </c>
      <c r="C36" s="177"/>
      <c r="D36" s="177"/>
      <c r="E36" s="177"/>
      <c r="F36" s="177"/>
      <c r="G36" s="177"/>
      <c r="H36" s="177"/>
      <c r="I36" s="177"/>
      <c r="J36" s="177"/>
      <c r="K36" s="177"/>
      <c r="L36" s="177"/>
      <c r="M36" s="177"/>
      <c r="N36" s="177"/>
      <c r="O36" s="178">
        <f>O34/O35</f>
        <v>414.40401180758442</v>
      </c>
      <c r="P36" s="178">
        <f t="shared" ref="P36:Q36" si="11">P34/P35</f>
        <v>703.43875436890187</v>
      </c>
      <c r="Q36" s="178">
        <f t="shared" si="11"/>
        <v>509.17889133702022</v>
      </c>
      <c r="R36" s="179"/>
    </row>
  </sheetData>
  <mergeCells count="3">
    <mergeCell ref="D4:I4"/>
    <mergeCell ref="K4:M4"/>
    <mergeCell ref="O4:Q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0A47F-0323-451B-BD58-C1DC2990662B}">
  <dimension ref="A2:H25"/>
  <sheetViews>
    <sheetView showGridLines="0" workbookViewId="0">
      <selection activeCell="G25" sqref="G25"/>
    </sheetView>
  </sheetViews>
  <sheetFormatPr defaultRowHeight="14.4" x14ac:dyDescent="0.3"/>
  <cols>
    <col min="1" max="1" width="2.44140625" customWidth="1"/>
    <col min="2" max="2" width="31.21875" customWidth="1"/>
    <col min="3" max="3" width="18" customWidth="1"/>
    <col min="4" max="4" width="13.6640625" customWidth="1"/>
    <col min="5" max="6" width="13.21875" bestFit="1" customWidth="1"/>
    <col min="7" max="7" width="12" bestFit="1" customWidth="1"/>
  </cols>
  <sheetData>
    <row r="2" spans="1:8" x14ac:dyDescent="0.3">
      <c r="B2" s="155" t="s">
        <v>166</v>
      </c>
      <c r="C2" s="155" t="s">
        <v>106</v>
      </c>
      <c r="D2" s="155" t="s">
        <v>134</v>
      </c>
      <c r="E2" s="155" t="s">
        <v>105</v>
      </c>
      <c r="F2" s="155" t="s">
        <v>136</v>
      </c>
      <c r="G2" s="155" t="s">
        <v>137</v>
      </c>
    </row>
    <row r="3" spans="1:8" x14ac:dyDescent="0.3">
      <c r="A3" s="180"/>
      <c r="B3" s="181" t="str">
        <f>'[1]Comparable Val'!B7</f>
        <v xml:space="preserve">Sun Pharma.Inds. </v>
      </c>
      <c r="C3" s="181">
        <f>'[1]Comparable Val'!I7</f>
        <v>430559.33450000006</v>
      </c>
      <c r="D3" s="182">
        <f>'[1]Comparable Val'!K7</f>
        <v>50307.74</v>
      </c>
      <c r="E3" s="181">
        <f>'[1]Comparable Val'!L7</f>
        <v>15801.25</v>
      </c>
      <c r="F3" s="183">
        <f>C3/D3</f>
        <v>8.5585107679255739</v>
      </c>
      <c r="G3" s="183">
        <f>C3/E3</f>
        <v>27.248435060517366</v>
      </c>
      <c r="H3" s="180"/>
    </row>
    <row r="4" spans="1:8" x14ac:dyDescent="0.3">
      <c r="A4" s="180"/>
      <c r="B4" s="181" t="str">
        <f>'[1]Comparable Val'!B8</f>
        <v xml:space="preserve">Cipla </v>
      </c>
      <c r="C4" s="181">
        <f>'[1]Comparable Val'!I8</f>
        <v>117076.058</v>
      </c>
      <c r="D4" s="182">
        <f>'[1]Comparable Val'!K8</f>
        <v>26512.01</v>
      </c>
      <c r="E4" s="181">
        <f>'[1]Comparable Val'!L8</f>
        <v>7449.5400000000009</v>
      </c>
      <c r="F4" s="183">
        <f t="shared" ref="F4:F10" si="0">C4/D4</f>
        <v>4.4159631050229695</v>
      </c>
      <c r="G4" s="183">
        <f t="shared" ref="G4:G10" si="1">C4/E4</f>
        <v>15.715877490422226</v>
      </c>
      <c r="H4" s="180"/>
    </row>
    <row r="5" spans="1:8" x14ac:dyDescent="0.3">
      <c r="A5" s="180"/>
      <c r="B5" s="181" t="str">
        <f>'[1]Comparable Val'!B9</f>
        <v xml:space="preserve">Mankind Pharma </v>
      </c>
      <c r="C5" s="181">
        <f>'[1]Comparable Val'!I9</f>
        <v>106914.30900000001</v>
      </c>
      <c r="D5" s="182">
        <f>'[1]Comparable Val'!K9</f>
        <v>9288.1200000000008</v>
      </c>
      <c r="E5" s="181">
        <f>'[1]Comparable Val'!L9</f>
        <v>2794.1800000000003</v>
      </c>
      <c r="F5" s="183">
        <f t="shared" si="0"/>
        <v>11.510866461673622</v>
      </c>
      <c r="G5" s="183">
        <f t="shared" si="1"/>
        <v>38.263214610368692</v>
      </c>
      <c r="H5" s="180"/>
    </row>
    <row r="6" spans="1:8" x14ac:dyDescent="0.3">
      <c r="A6" s="180"/>
      <c r="B6" s="181" t="str">
        <f>'[1]Comparable Val'!B10</f>
        <v xml:space="preserve">Dr Reddy's Labs </v>
      </c>
      <c r="C6" s="181">
        <f>'[1]Comparable Val'!I10</f>
        <v>109917.084</v>
      </c>
      <c r="D6" s="182">
        <f>'[1]Comparable Val'!K10</f>
        <v>30084.9</v>
      </c>
      <c r="E6" s="181">
        <f>'[1]Comparable Val'!L10</f>
        <v>8987.2999999999993</v>
      </c>
      <c r="F6" s="183">
        <f t="shared" si="0"/>
        <v>3.6535632160984415</v>
      </c>
      <c r="G6" s="183">
        <f t="shared" si="1"/>
        <v>12.230267599835324</v>
      </c>
      <c r="H6" s="180"/>
    </row>
    <row r="7" spans="1:8" x14ac:dyDescent="0.3">
      <c r="A7" s="180"/>
      <c r="B7" s="181" t="str">
        <f>'[1]Comparable Val'!B11</f>
        <v xml:space="preserve">Zydus Lifesci. </v>
      </c>
      <c r="C7" s="181">
        <f>'[1]Comparable Val'!I11</f>
        <v>98568.394</v>
      </c>
      <c r="D7" s="182">
        <f>'[1]Comparable Val'!K11</f>
        <v>21483.5</v>
      </c>
      <c r="E7" s="181">
        <f>'[1]Comparable Val'!L11</f>
        <v>6603.8</v>
      </c>
      <c r="F7" s="183">
        <f t="shared" si="0"/>
        <v>4.5880975632462127</v>
      </c>
      <c r="G7" s="183">
        <f t="shared" si="1"/>
        <v>14.926011387383021</v>
      </c>
      <c r="H7" s="180"/>
    </row>
    <row r="8" spans="1:8" x14ac:dyDescent="0.3">
      <c r="A8" s="180"/>
      <c r="B8" s="181" t="str">
        <f>'[1]Comparable Val'!B12</f>
        <v xml:space="preserve">Lupin </v>
      </c>
      <c r="C8" s="181">
        <f>'[1]Comparable Val'!I12</f>
        <v>99615.85</v>
      </c>
      <c r="D8" s="182">
        <f>'[1]Comparable Val'!K12</f>
        <v>21431.26</v>
      </c>
      <c r="E8" s="181">
        <f>'[1]Comparable Val'!L12</f>
        <v>4784.8100000000004</v>
      </c>
      <c r="F8" s="183">
        <f t="shared" si="0"/>
        <v>4.6481564779672313</v>
      </c>
      <c r="G8" s="183">
        <f t="shared" si="1"/>
        <v>20.819186132782701</v>
      </c>
      <c r="H8" s="180"/>
    </row>
    <row r="9" spans="1:8" x14ac:dyDescent="0.3">
      <c r="A9" s="180"/>
      <c r="B9" s="181" t="str">
        <f>'[1]Comparable Val'!B13</f>
        <v xml:space="preserve">Aurobindo Pharma </v>
      </c>
      <c r="C9" s="181">
        <f>'[1]Comparable Val'!I13</f>
        <v>74739.030500000008</v>
      </c>
      <c r="D9" s="182">
        <f>'[1]Comparable Val'!K13</f>
        <v>30295.02</v>
      </c>
      <c r="E9" s="181">
        <f>'[1]Comparable Val'!L13</f>
        <v>7098.5599999999995</v>
      </c>
      <c r="F9" s="183">
        <f t="shared" si="0"/>
        <v>2.4670401438916367</v>
      </c>
      <c r="G9" s="183">
        <f t="shared" si="1"/>
        <v>10.528759424446649</v>
      </c>
      <c r="H9" s="180"/>
    </row>
    <row r="10" spans="1:8" x14ac:dyDescent="0.3">
      <c r="A10" s="180"/>
      <c r="B10" s="181" t="str">
        <f>'[1]Comparable Val'!B14</f>
        <v xml:space="preserve">Alkem Lab </v>
      </c>
      <c r="C10" s="181">
        <f>'[1]Comparable Val'!I14</f>
        <v>62209.552000000003</v>
      </c>
      <c r="D10" s="182">
        <f>'[1]Comparable Val'!K14</f>
        <v>12706.18</v>
      </c>
      <c r="E10" s="181">
        <f>'[1]Comparable Val'!L14</f>
        <v>2907.6400000000003</v>
      </c>
      <c r="F10" s="183">
        <f t="shared" si="0"/>
        <v>4.8960074546401833</v>
      </c>
      <c r="G10" s="183">
        <f t="shared" si="1"/>
        <v>21.395204358173636</v>
      </c>
      <c r="H10" s="180"/>
    </row>
    <row r="11" spans="1:8" x14ac:dyDescent="0.3">
      <c r="A11" s="180"/>
      <c r="B11" s="180"/>
      <c r="C11" s="180"/>
      <c r="E11" s="180"/>
      <c r="G11" s="180"/>
      <c r="H11" s="180"/>
    </row>
    <row r="12" spans="1:8" x14ac:dyDescent="0.3">
      <c r="A12" s="180"/>
      <c r="B12" s="184" t="s">
        <v>167</v>
      </c>
      <c r="C12" s="180"/>
      <c r="E12" s="180"/>
      <c r="G12" s="180"/>
      <c r="H12" s="180"/>
    </row>
    <row r="13" spans="1:8" ht="2.4" customHeight="1" x14ac:dyDescent="0.3">
      <c r="A13" s="180"/>
      <c r="B13" s="180"/>
      <c r="C13" s="180"/>
      <c r="E13" s="180"/>
      <c r="G13" s="180"/>
      <c r="H13" s="180"/>
    </row>
    <row r="14" spans="1:8" x14ac:dyDescent="0.3">
      <c r="A14" s="180"/>
      <c r="B14" s="185" t="s">
        <v>168</v>
      </c>
      <c r="C14" s="186">
        <f>10000</f>
        <v>10000</v>
      </c>
      <c r="E14" s="180"/>
      <c r="G14" s="180"/>
      <c r="H14" s="180"/>
    </row>
    <row r="15" spans="1:8" x14ac:dyDescent="0.3">
      <c r="A15" s="180"/>
      <c r="B15" s="185" t="s">
        <v>169</v>
      </c>
      <c r="C15" s="186">
        <v>5500</v>
      </c>
      <c r="E15" s="180"/>
      <c r="G15" s="180"/>
      <c r="H15" s="180"/>
    </row>
    <row r="16" spans="1:8" x14ac:dyDescent="0.3">
      <c r="A16" s="180"/>
      <c r="B16" s="180"/>
      <c r="C16" s="180"/>
      <c r="E16" s="180"/>
      <c r="G16" s="180"/>
      <c r="H16" s="180"/>
    </row>
    <row r="17" spans="1:8" x14ac:dyDescent="0.3">
      <c r="A17" s="180"/>
      <c r="B17" s="187" t="s">
        <v>170</v>
      </c>
      <c r="C17" s="188" t="s">
        <v>136</v>
      </c>
      <c r="D17" s="188" t="s">
        <v>137</v>
      </c>
      <c r="E17" s="180"/>
      <c r="G17" s="180"/>
      <c r="H17" s="180"/>
    </row>
    <row r="18" spans="1:8" x14ac:dyDescent="0.3">
      <c r="A18" s="180"/>
      <c r="B18" s="180" t="s">
        <v>155</v>
      </c>
      <c r="C18" s="189">
        <f>AVERAGE(F3:F10)</f>
        <v>5.5922756488082346</v>
      </c>
      <c r="D18" s="189">
        <f>AVERAGE(G3:G10)</f>
        <v>20.140869507991205</v>
      </c>
      <c r="E18" s="180"/>
      <c r="G18" s="180"/>
      <c r="H18" s="180"/>
    </row>
    <row r="19" spans="1:8" x14ac:dyDescent="0.3">
      <c r="A19" s="180"/>
      <c r="B19" s="190" t="s">
        <v>156</v>
      </c>
      <c r="C19" s="191">
        <f>MEDIAN(F3:F10)</f>
        <v>4.618127020606722</v>
      </c>
      <c r="D19" s="191">
        <f>MEDIAN(G3:G10)</f>
        <v>18.267531811602463</v>
      </c>
      <c r="E19" s="180"/>
      <c r="G19" s="180"/>
      <c r="H19" s="180"/>
    </row>
    <row r="20" spans="1:8" x14ac:dyDescent="0.3">
      <c r="A20" s="180"/>
      <c r="B20" s="180"/>
      <c r="C20" s="180"/>
      <c r="E20" s="180"/>
      <c r="G20" s="180"/>
      <c r="H20" s="180"/>
    </row>
    <row r="21" spans="1:8" x14ac:dyDescent="0.3">
      <c r="A21" s="180"/>
      <c r="B21" s="192" t="s">
        <v>171</v>
      </c>
      <c r="C21" s="193">
        <f>C14*C19</f>
        <v>46181.270206067216</v>
      </c>
      <c r="E21" s="180"/>
      <c r="G21" s="180"/>
      <c r="H21" s="180"/>
    </row>
    <row r="22" spans="1:8" x14ac:dyDescent="0.3">
      <c r="A22" s="180"/>
      <c r="B22" s="192" t="s">
        <v>172</v>
      </c>
      <c r="C22" s="193">
        <f>C19*C15</f>
        <v>25399.698613336972</v>
      </c>
      <c r="E22" s="180"/>
      <c r="G22" s="180"/>
      <c r="H22" s="180"/>
    </row>
    <row r="23" spans="1:8" x14ac:dyDescent="0.3">
      <c r="A23" s="180"/>
      <c r="B23" s="180"/>
      <c r="C23" s="180"/>
      <c r="E23" s="180"/>
      <c r="G23" s="180"/>
      <c r="H23" s="180"/>
    </row>
    <row r="24" spans="1:8" x14ac:dyDescent="0.3">
      <c r="A24" s="180"/>
      <c r="B24" s="180"/>
      <c r="C24" s="180"/>
      <c r="E24" s="180"/>
      <c r="G24" s="180"/>
      <c r="H24" s="180"/>
    </row>
    <row r="25" spans="1:8" x14ac:dyDescent="0.3">
      <c r="B25" s="180"/>
      <c r="H25" s="18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Income Statement</vt:lpstr>
      <vt:lpstr>Fixed Asset Schdule</vt:lpstr>
      <vt:lpstr>Debt Schdule</vt:lpstr>
      <vt:lpstr>Working Capital Schdule</vt:lpstr>
      <vt:lpstr>Discount Rate</vt:lpstr>
      <vt:lpstr>DCF</vt:lpstr>
      <vt:lpstr>Comparable Val</vt:lpstr>
      <vt:lpstr>Precendtal Transection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Mayur Sejpal</dc:creator>
  <cp:lastModifiedBy>Mayur Sejpal</cp:lastModifiedBy>
  <dcterms:created xsi:type="dcterms:W3CDTF">2025-01-22T03:40:44Z</dcterms:created>
  <dcterms:modified xsi:type="dcterms:W3CDTF">2025-01-25T10:53:04Z</dcterms:modified>
</cp:coreProperties>
</file>