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20.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21.xml" ContentType="application/vnd.openxmlformats-officedocument.drawing+xml"/>
  <Override PartName="/xl/charts/chartEx1.xml" ContentType="application/vnd.ms-office.chartex+xml"/>
  <Override PartName="/xl/charts/style34.xml" ContentType="application/vnd.ms-office.chartstyle+xml"/>
  <Override PartName="/xl/charts/colors34.xml" ContentType="application/vnd.ms-office.chartcolorstyle+xml"/>
  <Override PartName="/xl/charts/chart34.xml" ContentType="application/vnd.openxmlformats-officedocument.drawingml.chart+xml"/>
  <Override PartName="/xl/charts/style35.xml" ContentType="application/vnd.ms-office.chartstyle+xml"/>
  <Override PartName="/xl/charts/colors35.xml" ContentType="application/vnd.ms-office.chartcolorstyle+xml"/>
  <Override PartName="/xl/charts/chart35.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22.xml" ContentType="application/vnd.openxmlformats-officedocument.drawing+xml"/>
  <Override PartName="/xl/charts/chart36.xml" ContentType="application/vnd.openxmlformats-officedocument.drawingml.chart+xml"/>
  <Override PartName="/xl/charts/style37.xml" ContentType="application/vnd.ms-office.chartstyle+xml"/>
  <Override PartName="/xl/charts/colors37.xml" ContentType="application/vnd.ms-office.chartcolorstyle+xml"/>
  <Override PartName="/xl/charts/chart37.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23.xml" ContentType="application/vnd.openxmlformats-officedocument.drawing+xml"/>
  <Override PartName="/xl/charts/chart38.xml" ContentType="application/vnd.openxmlformats-officedocument.drawingml.chart+xml"/>
  <Override PartName="/xl/charts/style39.xml" ContentType="application/vnd.ms-office.chartstyle+xml"/>
  <Override PartName="/xl/charts/colors39.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updateLinks="always" codeName="ThisWorkbook"/>
  <mc:AlternateContent xmlns:mc="http://schemas.openxmlformats.org/markup-compatibility/2006">
    <mc:Choice Requires="x15">
      <x15ac:absPath xmlns:x15ac="http://schemas.microsoft.com/office/spreadsheetml/2010/11/ac" url="https://livemercer-my.sharepoint.com/personal/11054744_live_mercer_edu/Documents/Financial Analytics Project/Submission File/"/>
    </mc:Choice>
  </mc:AlternateContent>
  <xr:revisionPtr revIDLastSave="6401" documentId="13_ncr:1_{875E158E-4AF2-4847-BEEF-78CA7273CF21}" xr6:coauthVersionLast="47" xr6:coauthVersionMax="47" xr10:uidLastSave="{EFDD3D6B-2A70-1D41-9109-F8FC52C6A190}"/>
  <bookViews>
    <workbookView xWindow="0" yWindow="680" windowWidth="29920" windowHeight="17340" activeTab="3" xr2:uid="{00000000-000D-0000-FFFF-FFFF00000000}"/>
  </bookViews>
  <sheets>
    <sheet name="DCF Model" sheetId="28" r:id="rId1"/>
    <sheet name="Relative Val" sheetId="29" r:id="rId2"/>
    <sheet name="Balance Sheet" sheetId="6" r:id="rId3"/>
    <sheet name="Projected BS" sheetId="22" r:id="rId4"/>
    <sheet name="Projected BS Graphs" sheetId="27" r:id="rId5"/>
    <sheet name="Quarterly BS" sheetId="25" r:id="rId6"/>
    <sheet name="BS CS Vertical" sheetId="7" r:id="rId7"/>
    <sheet name="BS CS Horizontal" sheetId="8" r:id="rId8"/>
    <sheet name="BS Graphs" sheetId="9" r:id="rId9"/>
    <sheet name="Cash Flows" sheetId="10" r:id="rId10"/>
    <sheet name="Income Statement" sheetId="1" r:id="rId11"/>
    <sheet name="Projected IS" sheetId="23" r:id="rId12"/>
    <sheet name="Quarterly IS" sheetId="24" r:id="rId13"/>
    <sheet name="Projected IS Graph" sheetId="26" r:id="rId14"/>
    <sheet name="IS CS Vertical" sheetId="2" r:id="rId15"/>
    <sheet name="IS CS Horizontal" sheetId="16" r:id="rId16"/>
    <sheet name="IS Size Graph" sheetId="5" r:id="rId17"/>
    <sheet name="IS Graphs" sheetId="3" r:id="rId18"/>
    <sheet name="Fin Ratio Graph" sheetId="12" r:id="rId19"/>
    <sheet name="Retained Earnings" sheetId="14" r:id="rId20"/>
    <sheet name="Market Share" sheetId="15" r:id="rId21"/>
    <sheet name="Revenue BreakDown" sheetId="17" r:id="rId22"/>
    <sheet name="BOD" sheetId="18" r:id="rId23"/>
    <sheet name="SWOT &amp; Porter" sheetId="19" r:id="rId24"/>
    <sheet name="Quick facts chart" sheetId="20" r:id="rId25"/>
  </sheets>
  <externalReferences>
    <externalReference r:id="rId26"/>
    <externalReference r:id="rId27"/>
    <externalReference r:id="rId28"/>
  </externalReferences>
  <definedNames>
    <definedName name="_xlnm._FilterDatabase" localSheetId="20" hidden="1">'Market Share'!$H$4:$L$4</definedName>
    <definedName name="_xlchart.v1.0" hidden="1">BOD!$A$2:$B$14</definedName>
    <definedName name="_xlchart.v1.1" hidden="1">BOD!$C$1</definedName>
    <definedName name="_xlchart.v1.2" hidden="1">BOD!$C$28:$C$40</definedName>
  </definedName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7" l="1"/>
  <c r="F6" i="17"/>
  <c r="I111" i="28"/>
  <c r="H111" i="28"/>
  <c r="C111" i="28"/>
  <c r="B111" i="28"/>
  <c r="D32" i="28"/>
  <c r="E32" i="28" s="1"/>
  <c r="F32" i="28" s="1"/>
  <c r="G32" i="28" s="1"/>
  <c r="H32" i="28" s="1"/>
  <c r="I32" i="28" s="1"/>
  <c r="D11" i="28"/>
  <c r="E11" i="28" s="1"/>
  <c r="F11" i="28" s="1"/>
  <c r="G11" i="28" s="1"/>
  <c r="H11" i="28" s="1"/>
  <c r="I11" i="28" s="1"/>
  <c r="D13" i="28" s="1"/>
  <c r="C135" i="28" s="1"/>
  <c r="O18" i="22"/>
  <c r="P18" i="22"/>
  <c r="Q18" i="22"/>
  <c r="N18" i="22"/>
  <c r="N20" i="22"/>
  <c r="O20" i="22"/>
  <c r="P20" i="22"/>
  <c r="Q20" i="22"/>
  <c r="M20" i="22"/>
  <c r="L20" i="22"/>
  <c r="I112" i="28"/>
  <c r="M10" i="25"/>
  <c r="N10" i="25"/>
  <c r="O10" i="25"/>
  <c r="P10" i="25"/>
  <c r="Q10" i="25"/>
  <c r="P87" i="22"/>
  <c r="Q87" i="22" s="1"/>
  <c r="M86" i="22"/>
  <c r="B112" i="28"/>
  <c r="Q31" i="22"/>
  <c r="P31" i="22"/>
  <c r="O31" i="22"/>
  <c r="N31" i="22"/>
  <c r="F73" i="28" s="1"/>
  <c r="M31" i="22"/>
  <c r="M89" i="22"/>
  <c r="N89" i="22" s="1"/>
  <c r="L90" i="22"/>
  <c r="L88" i="22"/>
  <c r="L85" i="22"/>
  <c r="D25" i="28" s="1"/>
  <c r="D55" i="28" s="1"/>
  <c r="C76" i="28"/>
  <c r="B76" i="28"/>
  <c r="C75" i="28"/>
  <c r="B75" i="28"/>
  <c r="C73" i="28"/>
  <c r="B73" i="28"/>
  <c r="C71" i="28"/>
  <c r="D71" i="28"/>
  <c r="E71" i="28"/>
  <c r="F71" i="28"/>
  <c r="G71" i="28"/>
  <c r="H71" i="28"/>
  <c r="I71" i="28"/>
  <c r="B71" i="28"/>
  <c r="C70" i="28"/>
  <c r="D70" i="28"/>
  <c r="E70" i="28"/>
  <c r="F70" i="28"/>
  <c r="G70" i="28"/>
  <c r="H70" i="28"/>
  <c r="I70" i="28"/>
  <c r="B70" i="28"/>
  <c r="O27" i="22"/>
  <c r="C59" i="28"/>
  <c r="C60" i="28"/>
  <c r="E60" i="28"/>
  <c r="F60" i="28"/>
  <c r="G60" i="28"/>
  <c r="H60" i="28"/>
  <c r="I60" i="28"/>
  <c r="C61" i="28"/>
  <c r="C63" i="28"/>
  <c r="D63" i="28"/>
  <c r="C64" i="28"/>
  <c r="C65" i="28"/>
  <c r="C66" i="28"/>
  <c r="B66" i="28"/>
  <c r="B65" i="28"/>
  <c r="B64" i="28"/>
  <c r="B63" i="28"/>
  <c r="M34" i="22"/>
  <c r="N34" i="22"/>
  <c r="O34" i="22"/>
  <c r="P34" i="22"/>
  <c r="Q34" i="22"/>
  <c r="M32" i="22"/>
  <c r="N32" i="22"/>
  <c r="O32" i="22"/>
  <c r="P32" i="22"/>
  <c r="Q32" i="22"/>
  <c r="G73" i="28"/>
  <c r="H73" i="28"/>
  <c r="I73" i="28"/>
  <c r="L34" i="22"/>
  <c r="L32" i="22"/>
  <c r="L31" i="22"/>
  <c r="D73" i="28" s="1"/>
  <c r="B61" i="28"/>
  <c r="L29" i="22"/>
  <c r="B60" i="28"/>
  <c r="B59" i="28"/>
  <c r="M29" i="22"/>
  <c r="N29" i="22"/>
  <c r="O29" i="22"/>
  <c r="P29" i="22"/>
  <c r="Q29" i="22"/>
  <c r="L28" i="22"/>
  <c r="M27" i="22"/>
  <c r="N27" i="22"/>
  <c r="P27" i="22"/>
  <c r="Q27" i="22"/>
  <c r="L27" i="22"/>
  <c r="L26" i="22"/>
  <c r="M26" i="22"/>
  <c r="N26" i="22"/>
  <c r="O26" i="22"/>
  <c r="P26" i="22"/>
  <c r="Q26" i="22"/>
  <c r="M100" i="22"/>
  <c r="N100" i="22" s="1"/>
  <c r="O100" i="22" s="1"/>
  <c r="P100" i="22" s="1"/>
  <c r="Q100" i="22" s="1"/>
  <c r="M99" i="22"/>
  <c r="N99" i="22" s="1"/>
  <c r="O99" i="22" s="1"/>
  <c r="P99" i="22" s="1"/>
  <c r="Q99" i="22" s="1"/>
  <c r="M96" i="22"/>
  <c r="N96" i="22"/>
  <c r="O96" i="22"/>
  <c r="P96" i="22"/>
  <c r="Q96" i="22"/>
  <c r="M97" i="22"/>
  <c r="N97" i="22"/>
  <c r="O97" i="22"/>
  <c r="P97" i="22"/>
  <c r="Q97" i="22"/>
  <c r="M95" i="22"/>
  <c r="N95" i="22" s="1"/>
  <c r="O95" i="22" s="1"/>
  <c r="P95" i="22" s="1"/>
  <c r="Q95" i="22" s="1"/>
  <c r="M22" i="22"/>
  <c r="L22" i="22"/>
  <c r="T9" i="25"/>
  <c r="M13" i="25"/>
  <c r="N13" i="25"/>
  <c r="O13" i="25"/>
  <c r="S9" i="25"/>
  <c r="S10" i="25"/>
  <c r="S11" i="25"/>
  <c r="S12" i="25"/>
  <c r="S13" i="25"/>
  <c r="S14" i="25"/>
  <c r="S15" i="25"/>
  <c r="S16" i="25"/>
  <c r="S17" i="25"/>
  <c r="S18" i="25"/>
  <c r="S19" i="25"/>
  <c r="S20" i="25"/>
  <c r="S21" i="25"/>
  <c r="S22" i="25"/>
  <c r="S23" i="25"/>
  <c r="S24" i="25"/>
  <c r="S25" i="25"/>
  <c r="S26" i="25"/>
  <c r="S27" i="25"/>
  <c r="S28" i="25"/>
  <c r="S29" i="25"/>
  <c r="S30" i="25"/>
  <c r="S31" i="25"/>
  <c r="S32" i="25"/>
  <c r="S33" i="25"/>
  <c r="S34" i="25"/>
  <c r="S35" i="25"/>
  <c r="S36" i="25"/>
  <c r="S37" i="25"/>
  <c r="S38" i="25"/>
  <c r="S39" i="25"/>
  <c r="S40" i="25"/>
  <c r="S41" i="25"/>
  <c r="S42" i="25"/>
  <c r="S43" i="25"/>
  <c r="S44" i="25"/>
  <c r="S8" i="25"/>
  <c r="L92" i="22"/>
  <c r="L21" i="22"/>
  <c r="D66" i="28" s="1"/>
  <c r="L19" i="22"/>
  <c r="M92" i="22"/>
  <c r="N92" i="22" s="1"/>
  <c r="O92" i="22" s="1"/>
  <c r="P92" i="22" s="1"/>
  <c r="Q92" i="22" s="1"/>
  <c r="L94" i="22"/>
  <c r="C92" i="22"/>
  <c r="D92" i="22"/>
  <c r="E92" i="22"/>
  <c r="F92" i="22"/>
  <c r="G92" i="22"/>
  <c r="H92" i="22"/>
  <c r="I92" i="22"/>
  <c r="J92" i="22"/>
  <c r="K92" i="22"/>
  <c r="C93" i="22"/>
  <c r="D93" i="22"/>
  <c r="E93" i="22"/>
  <c r="F93" i="22"/>
  <c r="G93" i="22"/>
  <c r="H93" i="22"/>
  <c r="I93" i="22"/>
  <c r="J93" i="22"/>
  <c r="K93" i="22"/>
  <c r="C94" i="22"/>
  <c r="D94" i="22"/>
  <c r="E94" i="22"/>
  <c r="F94" i="22"/>
  <c r="G94" i="22"/>
  <c r="H94" i="22"/>
  <c r="I94" i="22"/>
  <c r="J94" i="22"/>
  <c r="K94" i="22"/>
  <c r="B94" i="22"/>
  <c r="B93" i="22"/>
  <c r="B92" i="22"/>
  <c r="A94" i="22"/>
  <c r="A93" i="22"/>
  <c r="A92" i="22"/>
  <c r="M15" i="22"/>
  <c r="E63" i="28" s="1"/>
  <c r="N15" i="22"/>
  <c r="F63" i="28" s="1"/>
  <c r="P15" i="22"/>
  <c r="H63" i="28" s="1"/>
  <c r="Q15" i="22"/>
  <c r="I63" i="28" s="1"/>
  <c r="O11" i="22"/>
  <c r="P11" i="22"/>
  <c r="Q11" i="22"/>
  <c r="M10" i="22"/>
  <c r="N10" i="22"/>
  <c r="O10" i="22"/>
  <c r="P10" i="22"/>
  <c r="Q10" i="22"/>
  <c r="L40" i="22"/>
  <c r="M40" i="22" s="1"/>
  <c r="N40" i="22" s="1"/>
  <c r="O40" i="22" s="1"/>
  <c r="P40" i="22" s="1"/>
  <c r="Q40" i="22" s="1"/>
  <c r="I75" i="28" s="1"/>
  <c r="O8" i="22"/>
  <c r="P8" i="22"/>
  <c r="Q8" i="22"/>
  <c r="E9" i="29"/>
  <c r="E8" i="29"/>
  <c r="F9" i="29"/>
  <c r="F8" i="29"/>
  <c r="G9" i="29"/>
  <c r="G8" i="29"/>
  <c r="H9" i="29"/>
  <c r="H8" i="29"/>
  <c r="H7" i="29"/>
  <c r="G7" i="29"/>
  <c r="E7" i="29"/>
  <c r="E13" i="29" s="1"/>
  <c r="F7" i="29"/>
  <c r="C7" i="29"/>
  <c r="E3" i="29"/>
  <c r="H3" i="29"/>
  <c r="G3" i="29"/>
  <c r="F3" i="29"/>
  <c r="H5" i="29"/>
  <c r="H6" i="29" s="1"/>
  <c r="G5" i="29"/>
  <c r="G6" i="29" s="1"/>
  <c r="F5" i="29"/>
  <c r="F6" i="29" s="1"/>
  <c r="E5" i="29"/>
  <c r="E6" i="29" s="1"/>
  <c r="F75" i="28" l="1"/>
  <c r="E75" i="28"/>
  <c r="D75" i="28"/>
  <c r="H75" i="28"/>
  <c r="G75" i="28"/>
  <c r="N22" i="22"/>
  <c r="M21" i="22"/>
  <c r="E66" i="28" s="1"/>
  <c r="E73" i="28"/>
  <c r="C98" i="22"/>
  <c r="D98" i="22"/>
  <c r="E98" i="22"/>
  <c r="F98" i="22"/>
  <c r="G98" i="22"/>
  <c r="H98" i="22"/>
  <c r="I98" i="22"/>
  <c r="J98" i="22"/>
  <c r="K98" i="22"/>
  <c r="C99" i="22"/>
  <c r="D99" i="22"/>
  <c r="E99" i="22"/>
  <c r="F99" i="22"/>
  <c r="G99" i="22"/>
  <c r="H99" i="22"/>
  <c r="I99" i="22"/>
  <c r="J99" i="22"/>
  <c r="K99" i="22"/>
  <c r="C100" i="22"/>
  <c r="D100" i="22"/>
  <c r="E100" i="22"/>
  <c r="F100" i="22"/>
  <c r="G100" i="22"/>
  <c r="H100" i="22"/>
  <c r="I100" i="22"/>
  <c r="J100" i="22"/>
  <c r="K100" i="22"/>
  <c r="B99" i="22"/>
  <c r="B100" i="22"/>
  <c r="B98" i="22"/>
  <c r="C96" i="22"/>
  <c r="D96" i="22"/>
  <c r="E96" i="22"/>
  <c r="F96" i="22"/>
  <c r="G96" i="22"/>
  <c r="H96" i="22"/>
  <c r="I96" i="22"/>
  <c r="J96" i="22"/>
  <c r="K96" i="22"/>
  <c r="C97" i="22"/>
  <c r="D97" i="22"/>
  <c r="E97" i="22"/>
  <c r="F97" i="22"/>
  <c r="G97" i="22"/>
  <c r="H97" i="22"/>
  <c r="I97" i="22"/>
  <c r="J97" i="22"/>
  <c r="K97" i="22"/>
  <c r="B97" i="22"/>
  <c r="B96" i="22"/>
  <c r="L96" i="22" s="1"/>
  <c r="K95" i="22"/>
  <c r="C95" i="22"/>
  <c r="D95" i="22"/>
  <c r="E95" i="22"/>
  <c r="F95" i="22"/>
  <c r="G95" i="22"/>
  <c r="H95" i="22"/>
  <c r="I95" i="22"/>
  <c r="J95" i="22"/>
  <c r="B95" i="22"/>
  <c r="L95" i="22" s="1"/>
  <c r="C6" i="29"/>
  <c r="C91" i="22"/>
  <c r="D91" i="22"/>
  <c r="E91" i="22"/>
  <c r="F91" i="22"/>
  <c r="G91" i="22"/>
  <c r="H91" i="22"/>
  <c r="I91" i="22"/>
  <c r="J91" i="22"/>
  <c r="K91" i="22"/>
  <c r="B91" i="22"/>
  <c r="D33" i="28"/>
  <c r="D34" i="28" s="1"/>
  <c r="C3" i="29" s="1"/>
  <c r="C5" i="29"/>
  <c r="C9" i="29"/>
  <c r="C8" i="29"/>
  <c r="O22" i="22" l="1"/>
  <c r="N21" i="22"/>
  <c r="F66" i="28" s="1"/>
  <c r="L97" i="22"/>
  <c r="L91" i="22"/>
  <c r="O15" i="22" s="1"/>
  <c r="G63" i="28" s="1"/>
  <c r="L100" i="22"/>
  <c r="L99" i="22"/>
  <c r="L15" i="22"/>
  <c r="C13" i="29"/>
  <c r="C4" i="29"/>
  <c r="C12" i="29"/>
  <c r="Q22" i="22" l="1"/>
  <c r="P22" i="22"/>
  <c r="O21" i="22"/>
  <c r="G66" i="28" s="1"/>
  <c r="C90" i="22"/>
  <c r="D90" i="22"/>
  <c r="E90" i="22"/>
  <c r="F90" i="22"/>
  <c r="G90" i="22"/>
  <c r="H90" i="22"/>
  <c r="I90" i="22"/>
  <c r="J90" i="22"/>
  <c r="K90" i="22"/>
  <c r="B90" i="22"/>
  <c r="B89" i="22"/>
  <c r="C89" i="22"/>
  <c r="D89" i="22"/>
  <c r="E89" i="22"/>
  <c r="F89" i="22"/>
  <c r="G89" i="22"/>
  <c r="H89" i="22"/>
  <c r="I89" i="22"/>
  <c r="J89" i="22"/>
  <c r="K89" i="22"/>
  <c r="Q21" i="22" l="1"/>
  <c r="I66" i="28" s="1"/>
  <c r="P21" i="22"/>
  <c r="H66" i="28" s="1"/>
  <c r="L89" i="22"/>
  <c r="B88" i="22"/>
  <c r="C88" i="22"/>
  <c r="D88" i="22"/>
  <c r="E88" i="22"/>
  <c r="F88" i="22"/>
  <c r="G88" i="22"/>
  <c r="H88" i="22"/>
  <c r="I88" i="22"/>
  <c r="J88" i="22"/>
  <c r="K88" i="22"/>
  <c r="B87" i="22"/>
  <c r="C87" i="22"/>
  <c r="D87" i="22"/>
  <c r="E87" i="22"/>
  <c r="F87" i="22"/>
  <c r="G87" i="22"/>
  <c r="H87" i="22"/>
  <c r="I87" i="22"/>
  <c r="J87" i="22"/>
  <c r="K87" i="22"/>
  <c r="C86" i="22"/>
  <c r="D86" i="22"/>
  <c r="E86" i="22"/>
  <c r="F86" i="22"/>
  <c r="G86" i="22"/>
  <c r="H86" i="22"/>
  <c r="I86" i="22"/>
  <c r="J86" i="22"/>
  <c r="K86" i="22"/>
  <c r="B86" i="22"/>
  <c r="L10" i="22" l="1"/>
  <c r="D60" i="28" s="1"/>
  <c r="M90" i="22"/>
  <c r="L13" i="22"/>
  <c r="D61" i="28" s="1"/>
  <c r="L11" i="22"/>
  <c r="D85" i="22"/>
  <c r="E85" i="22"/>
  <c r="F85" i="22"/>
  <c r="G85" i="22"/>
  <c r="H85" i="22"/>
  <c r="I85" i="22"/>
  <c r="J85" i="22"/>
  <c r="K85" i="22"/>
  <c r="C85" i="22"/>
  <c r="A86" i="22"/>
  <c r="A88" i="22"/>
  <c r="A90" i="22"/>
  <c r="A91" i="22"/>
  <c r="A85" i="22"/>
  <c r="C55" i="28"/>
  <c r="C86" i="28" s="1"/>
  <c r="B55" i="28"/>
  <c r="C50" i="28"/>
  <c r="D50" i="28"/>
  <c r="E50" i="28"/>
  <c r="F50" i="28"/>
  <c r="G50" i="28"/>
  <c r="H50" i="28"/>
  <c r="I50" i="28"/>
  <c r="B50" i="28"/>
  <c r="C42" i="28"/>
  <c r="D42" i="28"/>
  <c r="E42" i="28"/>
  <c r="F42" i="28"/>
  <c r="G42" i="28"/>
  <c r="H42" i="28"/>
  <c r="I42" i="28"/>
  <c r="B42" i="28"/>
  <c r="M18" i="23"/>
  <c r="N18" i="23"/>
  <c r="O18" i="23"/>
  <c r="P18" i="23"/>
  <c r="Q18" i="23"/>
  <c r="M17" i="23"/>
  <c r="N17" i="23"/>
  <c r="O17" i="23"/>
  <c r="P17" i="23"/>
  <c r="Q17" i="23"/>
  <c r="I46" i="28" s="1"/>
  <c r="L18" i="23"/>
  <c r="L17" i="23"/>
  <c r="C46" i="28"/>
  <c r="C48" i="28" s="1"/>
  <c r="D46" i="28"/>
  <c r="D48" i="28" s="1"/>
  <c r="E46" i="28"/>
  <c r="E48" i="28" s="1"/>
  <c r="F46" i="28"/>
  <c r="F48" i="28" s="1"/>
  <c r="G46" i="28"/>
  <c r="G48" i="28" s="1"/>
  <c r="H46" i="28"/>
  <c r="C47" i="28"/>
  <c r="D47" i="28"/>
  <c r="E47" i="28"/>
  <c r="F47" i="28"/>
  <c r="G47" i="28"/>
  <c r="H47" i="28"/>
  <c r="I47" i="28"/>
  <c r="B47" i="28"/>
  <c r="B46" i="28"/>
  <c r="B48" i="28" s="1"/>
  <c r="C43" i="28"/>
  <c r="D43" i="28"/>
  <c r="E43" i="28"/>
  <c r="F43" i="28"/>
  <c r="G43" i="28"/>
  <c r="H43" i="28"/>
  <c r="I43" i="28"/>
  <c r="B43" i="28"/>
  <c r="A43" i="28"/>
  <c r="B41" i="28"/>
  <c r="B44" i="28" s="1"/>
  <c r="C41" i="28"/>
  <c r="D41" i="28"/>
  <c r="E41" i="28"/>
  <c r="F41" i="28"/>
  <c r="G41" i="28"/>
  <c r="H41" i="28"/>
  <c r="I41" i="28"/>
  <c r="C39" i="28"/>
  <c r="D39" i="28"/>
  <c r="E39" i="28"/>
  <c r="F39" i="28"/>
  <c r="G39" i="28"/>
  <c r="H39" i="28"/>
  <c r="I39" i="28"/>
  <c r="B39" i="28"/>
  <c r="C38" i="28"/>
  <c r="D38" i="28"/>
  <c r="E38" i="28"/>
  <c r="F38" i="28"/>
  <c r="G38" i="28"/>
  <c r="H38" i="28"/>
  <c r="I38" i="28"/>
  <c r="B38" i="28"/>
  <c r="G12" i="29"/>
  <c r="E12" i="29"/>
  <c r="C72" i="28"/>
  <c r="B85" i="28"/>
  <c r="I36" i="28"/>
  <c r="I57" i="28" s="1"/>
  <c r="I82" i="28" s="1"/>
  <c r="I107" i="28" s="1"/>
  <c r="H36" i="28"/>
  <c r="H57" i="28" s="1"/>
  <c r="H82" i="28" s="1"/>
  <c r="H107" i="28" s="1"/>
  <c r="G36" i="28"/>
  <c r="G57" i="28" s="1"/>
  <c r="G82" i="28" s="1"/>
  <c r="G107" i="28" s="1"/>
  <c r="F36" i="28"/>
  <c r="F57" i="28" s="1"/>
  <c r="F82" i="28" s="1"/>
  <c r="F107" i="28" s="1"/>
  <c r="E36" i="28"/>
  <c r="E57" i="28" s="1"/>
  <c r="E82" i="28" s="1"/>
  <c r="E107" i="28" s="1"/>
  <c r="D36" i="28"/>
  <c r="D57" i="28" s="1"/>
  <c r="D82" i="28" s="1"/>
  <c r="D107" i="28" s="1"/>
  <c r="C36" i="28"/>
  <c r="C57" i="28" s="1"/>
  <c r="C82" i="28" s="1"/>
  <c r="C107" i="28" s="1"/>
  <c r="B36" i="28"/>
  <c r="B57" i="28" s="1"/>
  <c r="B82" i="28" s="1"/>
  <c r="B107" i="28" s="1"/>
  <c r="I9" i="28"/>
  <c r="H9" i="28"/>
  <c r="G9" i="28"/>
  <c r="F9" i="28"/>
  <c r="E9" i="28"/>
  <c r="D9" i="28"/>
  <c r="L8" i="22" l="1"/>
  <c r="M11" i="22"/>
  <c r="N11" i="22"/>
  <c r="P7" i="22"/>
  <c r="L7" i="22"/>
  <c r="M7" i="22"/>
  <c r="N7" i="22"/>
  <c r="D27" i="28"/>
  <c r="E27" i="28" s="1"/>
  <c r="F27" i="28" s="1"/>
  <c r="G27" i="28" s="1"/>
  <c r="H27" i="28" s="1"/>
  <c r="I27" i="28" s="1"/>
  <c r="O7" i="22"/>
  <c r="Q7" i="22"/>
  <c r="N86" i="22"/>
  <c r="O86" i="22" s="1"/>
  <c r="P86" i="22" s="1"/>
  <c r="Q86" i="22" s="1"/>
  <c r="N90" i="22"/>
  <c r="M13" i="22"/>
  <c r="I48" i="28"/>
  <c r="C44" i="28"/>
  <c r="H48" i="28"/>
  <c r="B27" i="28"/>
  <c r="C74" i="28"/>
  <c r="C77" i="28" s="1"/>
  <c r="B84" i="28"/>
  <c r="B72" i="28"/>
  <c r="B74" i="28" s="1"/>
  <c r="B77" i="28" s="1"/>
  <c r="C27" i="28"/>
  <c r="C84" i="28"/>
  <c r="B40" i="28"/>
  <c r="B45" i="28" s="1"/>
  <c r="B49" i="28" s="1"/>
  <c r="C14" i="29"/>
  <c r="D44" i="28"/>
  <c r="D40" i="28"/>
  <c r="C67" i="28"/>
  <c r="C85" i="28"/>
  <c r="C87" i="28" s="1"/>
  <c r="F12" i="29"/>
  <c r="F13" i="29"/>
  <c r="F14" i="29"/>
  <c r="F15" i="29"/>
  <c r="B62" i="28"/>
  <c r="C62" i="28"/>
  <c r="C40" i="28"/>
  <c r="C132" i="28"/>
  <c r="H12" i="29"/>
  <c r="H13" i="29"/>
  <c r="H14" i="29"/>
  <c r="H15" i="29"/>
  <c r="B95" i="28"/>
  <c r="B86" i="28"/>
  <c r="B87" i="28" s="1"/>
  <c r="B67" i="28"/>
  <c r="C95" i="28"/>
  <c r="B130" i="28"/>
  <c r="C130" i="28"/>
  <c r="B131" i="28"/>
  <c r="C131" i="28"/>
  <c r="E15" i="29"/>
  <c r="E14" i="29"/>
  <c r="G15" i="29"/>
  <c r="G14" i="29"/>
  <c r="G13" i="29"/>
  <c r="M13" i="29" l="1"/>
  <c r="M12" i="29"/>
  <c r="C19" i="29" s="1"/>
  <c r="E61" i="28"/>
  <c r="C99" i="28"/>
  <c r="B132" i="28"/>
  <c r="M85" i="22"/>
  <c r="E25" i="28" s="1"/>
  <c r="E55" i="28" s="1"/>
  <c r="L16" i="22"/>
  <c r="O90" i="22"/>
  <c r="N13" i="22"/>
  <c r="F61" i="28" s="1"/>
  <c r="M8" i="22"/>
  <c r="N8" i="22"/>
  <c r="C88" i="28"/>
  <c r="C92" i="28" s="1"/>
  <c r="M14" i="29"/>
  <c r="C21" i="29" s="1"/>
  <c r="M15" i="29"/>
  <c r="B51" i="28"/>
  <c r="B88" i="28"/>
  <c r="B92" i="28" s="1"/>
  <c r="D72" i="28"/>
  <c r="D99" i="28" s="1"/>
  <c r="B110" i="28"/>
  <c r="D84" i="28"/>
  <c r="C45" i="28"/>
  <c r="B68" i="28"/>
  <c r="B79" i="28" s="1"/>
  <c r="E84" i="28"/>
  <c r="E40" i="28"/>
  <c r="E72" i="28"/>
  <c r="E99" i="28" s="1"/>
  <c r="E44" i="28"/>
  <c r="D45" i="28"/>
  <c r="D49" i="28" s="1"/>
  <c r="D85" i="28"/>
  <c r="D130" i="28"/>
  <c r="C112" i="28"/>
  <c r="C68" i="28"/>
  <c r="C79" i="28" s="1"/>
  <c r="B53" i="28"/>
  <c r="B94" i="28"/>
  <c r="B96" i="28" s="1"/>
  <c r="B97" i="28"/>
  <c r="D21" i="29" l="1"/>
  <c r="C35" i="29"/>
  <c r="D35" i="29" s="1"/>
  <c r="D19" i="29"/>
  <c r="C33" i="29"/>
  <c r="D33" i="29" s="1"/>
  <c r="L17" i="22"/>
  <c r="D65" i="28" s="1"/>
  <c r="D64" i="28"/>
  <c r="P90" i="22"/>
  <c r="O13" i="22"/>
  <c r="G61" i="28" s="1"/>
  <c r="M16" i="22"/>
  <c r="N85" i="22"/>
  <c r="F25" i="28" s="1"/>
  <c r="F55" i="28" s="1"/>
  <c r="C110" i="28"/>
  <c r="C49" i="28"/>
  <c r="C51" i="28" s="1"/>
  <c r="C97" i="28" s="1"/>
  <c r="B114" i="28"/>
  <c r="E45" i="28"/>
  <c r="E49" i="28" s="1"/>
  <c r="B98" i="28"/>
  <c r="B100" i="28" s="1"/>
  <c r="E85" i="28"/>
  <c r="F72" i="28"/>
  <c r="F99" i="28" s="1"/>
  <c r="F40" i="28"/>
  <c r="F44" i="28"/>
  <c r="F84" i="28"/>
  <c r="D86" i="28"/>
  <c r="D87" i="28" s="1"/>
  <c r="D88" i="28" s="1"/>
  <c r="D92" i="28" s="1"/>
  <c r="D95" i="28"/>
  <c r="D111" i="28" s="1"/>
  <c r="C94" i="28"/>
  <c r="C96" i="28" s="1"/>
  <c r="C11" i="29"/>
  <c r="C53" i="28"/>
  <c r="C114" i="28"/>
  <c r="M17" i="22" l="1"/>
  <c r="E65" i="28" s="1"/>
  <c r="E64" i="28"/>
  <c r="O85" i="22"/>
  <c r="G25" i="28" s="1"/>
  <c r="G55" i="28" s="1"/>
  <c r="N16" i="22"/>
  <c r="Q90" i="22"/>
  <c r="Q13" i="22" s="1"/>
  <c r="I61" i="28" s="1"/>
  <c r="P13" i="22"/>
  <c r="H61" i="28" s="1"/>
  <c r="C98" i="28"/>
  <c r="C100" i="28" s="1"/>
  <c r="C101" i="28" s="1"/>
  <c r="D67" i="28"/>
  <c r="F45" i="28"/>
  <c r="F49" i="28" s="1"/>
  <c r="B101" i="28"/>
  <c r="G84" i="28"/>
  <c r="G40" i="28"/>
  <c r="G72" i="28"/>
  <c r="G99" i="28" s="1"/>
  <c r="G44" i="28"/>
  <c r="F85" i="28"/>
  <c r="D110" i="28"/>
  <c r="C20" i="29"/>
  <c r="E95" i="28"/>
  <c r="E111" i="28" s="1"/>
  <c r="E86" i="28"/>
  <c r="E87" i="28" s="1"/>
  <c r="E88" i="28" s="1"/>
  <c r="E92" i="28" s="1"/>
  <c r="D20" i="29" l="1"/>
  <c r="C34" i="29"/>
  <c r="D34" i="29" s="1"/>
  <c r="N17" i="22"/>
  <c r="F65" i="28" s="1"/>
  <c r="F64" i="28"/>
  <c r="P85" i="22"/>
  <c r="H25" i="28" s="1"/>
  <c r="H55" i="28" s="1"/>
  <c r="O16" i="22"/>
  <c r="D51" i="28"/>
  <c r="D53" i="28" s="1"/>
  <c r="G85" i="28"/>
  <c r="B102" i="28"/>
  <c r="B103" i="28" s="1"/>
  <c r="F86" i="28"/>
  <c r="F87" i="28" s="1"/>
  <c r="F88" i="28" s="1"/>
  <c r="F92" i="28" s="1"/>
  <c r="F95" i="28"/>
  <c r="F111" i="28" s="1"/>
  <c r="G45" i="28"/>
  <c r="G49" i="28" s="1"/>
  <c r="E67" i="28"/>
  <c r="C102" i="28"/>
  <c r="H84" i="28"/>
  <c r="H72" i="28"/>
  <c r="H99" i="28" s="1"/>
  <c r="H44" i="28"/>
  <c r="H40" i="28"/>
  <c r="O17" i="22" l="1"/>
  <c r="G65" i="28" s="1"/>
  <c r="G64" i="28"/>
  <c r="Q85" i="22"/>
  <c r="P16" i="22"/>
  <c r="D97" i="28"/>
  <c r="D94" i="28"/>
  <c r="D96" i="28" s="1"/>
  <c r="D98" i="28" s="1"/>
  <c r="D100" i="28" s="1"/>
  <c r="H45" i="28"/>
  <c r="H49" i="28" s="1"/>
  <c r="C103" i="28"/>
  <c r="C104" i="28" s="1"/>
  <c r="C105" i="28" s="1"/>
  <c r="I72" i="28"/>
  <c r="I99" i="28" s="1"/>
  <c r="I44" i="28"/>
  <c r="I84" i="28"/>
  <c r="I40" i="28"/>
  <c r="H85" i="28"/>
  <c r="B104" i="28"/>
  <c r="B105" i="28" s="1"/>
  <c r="F67" i="28"/>
  <c r="G86" i="28"/>
  <c r="G87" i="28" s="1"/>
  <c r="G88" i="28" s="1"/>
  <c r="G92" i="28" s="1"/>
  <c r="G95" i="28"/>
  <c r="G111" i="28" s="1"/>
  <c r="P17" i="22" l="1"/>
  <c r="H65" i="28" s="1"/>
  <c r="H64" i="28"/>
  <c r="Q16" i="22"/>
  <c r="I25" i="28"/>
  <c r="I55" i="28" s="1"/>
  <c r="D101" i="28"/>
  <c r="I45" i="28"/>
  <c r="I49" i="28" s="1"/>
  <c r="I85" i="28"/>
  <c r="H95" i="28"/>
  <c r="H86" i="28"/>
  <c r="H87" i="28" s="1"/>
  <c r="H88" i="28" s="1"/>
  <c r="H92" i="28" s="1"/>
  <c r="G67" i="28"/>
  <c r="Q17" i="22" l="1"/>
  <c r="I65" i="28" s="1"/>
  <c r="I64" i="28"/>
  <c r="H67" i="28"/>
  <c r="D102" i="28"/>
  <c r="I95" i="28"/>
  <c r="I86" i="28"/>
  <c r="I87" i="28" s="1"/>
  <c r="I88" i="28" s="1"/>
  <c r="I92" i="28" s="1"/>
  <c r="D131" i="28" l="1"/>
  <c r="I67" i="28"/>
  <c r="D103" i="28"/>
  <c r="D104" i="28" s="1"/>
  <c r="D105" i="28" s="1"/>
  <c r="E130" i="28" l="1"/>
  <c r="E110" i="28" l="1"/>
  <c r="D74" i="28"/>
  <c r="D132" i="28"/>
  <c r="D10" i="28"/>
  <c r="E51" i="28" l="1"/>
  <c r="E10" i="28"/>
  <c r="E97" i="28" l="1"/>
  <c r="E94" i="28"/>
  <c r="E96" i="28" s="1"/>
  <c r="E98" i="28" s="1"/>
  <c r="E100" i="28" s="1"/>
  <c r="E53" i="28"/>
  <c r="C15" i="29"/>
  <c r="C22" i="29"/>
  <c r="F10" i="28"/>
  <c r="D22" i="29" l="1"/>
  <c r="D24" i="29" s="1"/>
  <c r="C36" i="29"/>
  <c r="D36" i="29" s="1"/>
  <c r="D37" i="29" s="1"/>
  <c r="G10" i="28"/>
  <c r="E101" i="28"/>
  <c r="E102" i="28" l="1"/>
  <c r="E103" i="28" s="1"/>
  <c r="H10" i="28"/>
  <c r="I10" i="28" l="1"/>
  <c r="E104" i="28"/>
  <c r="E105" i="28" s="1"/>
  <c r="E131" i="28"/>
  <c r="E74" i="28" l="1"/>
  <c r="E132" i="28"/>
  <c r="F130" i="28"/>
  <c r="F110" i="28" l="1"/>
  <c r="F51" i="28"/>
  <c r="F97" i="28" l="1"/>
  <c r="F94" i="28"/>
  <c r="F96" i="28" s="1"/>
  <c r="F98" i="28" s="1"/>
  <c r="F100" i="28" s="1"/>
  <c r="F53" i="28"/>
  <c r="F101" i="28" l="1"/>
  <c r="F102" i="28" l="1"/>
  <c r="F131" i="28" l="1"/>
  <c r="F103" i="28"/>
  <c r="F104" i="28" s="1"/>
  <c r="F105" i="28" s="1"/>
  <c r="G130" i="28" l="1"/>
  <c r="F74" i="28"/>
  <c r="F132" i="28"/>
  <c r="G110" i="28" l="1"/>
  <c r="G51" i="28" l="1"/>
  <c r="G94" i="28" s="1"/>
  <c r="G96" i="28" s="1"/>
  <c r="G53" i="28" l="1"/>
  <c r="G97" i="28"/>
  <c r="G98" i="28" s="1"/>
  <c r="G100" i="28" s="1"/>
  <c r="G101" i="28" s="1"/>
  <c r="G102" i="28" l="1"/>
  <c r="G131" i="28" l="1"/>
  <c r="G103" i="28"/>
  <c r="G104" i="28" s="1"/>
  <c r="G105" i="28" s="1"/>
  <c r="G132" i="28" l="1"/>
  <c r="G74" i="28"/>
  <c r="H130" i="28"/>
  <c r="H110" i="28" l="1"/>
  <c r="H51" i="28" l="1"/>
  <c r="H53" i="28" l="1"/>
  <c r="H97" i="28"/>
  <c r="H94" i="28"/>
  <c r="H96" i="28" s="1"/>
  <c r="H98" i="28" s="1"/>
  <c r="H100" i="28" s="1"/>
  <c r="H101" i="28" l="1"/>
  <c r="H102" i="28" l="1"/>
  <c r="H131" i="28" l="1"/>
  <c r="H103" i="28"/>
  <c r="H104" i="28" s="1"/>
  <c r="H105" i="28" s="1"/>
  <c r="I130" i="28" l="1"/>
  <c r="H132" i="28"/>
  <c r="H74" i="28"/>
  <c r="I110" i="28" l="1"/>
  <c r="I51" i="28" l="1"/>
  <c r="I94" i="28" s="1"/>
  <c r="I96" i="28" s="1"/>
  <c r="I53" i="28"/>
  <c r="I97" i="28" l="1"/>
  <c r="I98" i="28" s="1"/>
  <c r="I100" i="28" s="1"/>
  <c r="I101" i="28" s="1"/>
  <c r="I102" i="28" l="1"/>
  <c r="I131" i="28" l="1"/>
  <c r="I103" i="28"/>
  <c r="I104" i="28" s="1"/>
  <c r="I105" i="28" s="1"/>
  <c r="I132" i="28" l="1"/>
  <c r="I74" i="28"/>
  <c r="D57" i="1" l="1"/>
  <c r="K99" i="27"/>
  <c r="B49" i="27"/>
  <c r="C49" i="27"/>
  <c r="D49" i="27"/>
  <c r="E49" i="27"/>
  <c r="F49" i="27"/>
  <c r="G49" i="27"/>
  <c r="H49" i="27"/>
  <c r="I49" i="27"/>
  <c r="J49" i="27"/>
  <c r="K49" i="27"/>
  <c r="B50" i="27"/>
  <c r="C50" i="27"/>
  <c r="D50" i="27"/>
  <c r="E50" i="27"/>
  <c r="F50" i="27"/>
  <c r="G50" i="27"/>
  <c r="H50" i="27"/>
  <c r="I50" i="27"/>
  <c r="J50" i="27"/>
  <c r="K50" i="27"/>
  <c r="L50" i="27"/>
  <c r="C52" i="27"/>
  <c r="D52" i="27"/>
  <c r="E52" i="27"/>
  <c r="F52" i="27"/>
  <c r="G52" i="27"/>
  <c r="H52" i="27"/>
  <c r="I52" i="27"/>
  <c r="J52" i="27"/>
  <c r="K52" i="27"/>
  <c r="B53" i="27"/>
  <c r="C53" i="27"/>
  <c r="D53" i="27"/>
  <c r="E53" i="27"/>
  <c r="F53" i="27"/>
  <c r="G53" i="27"/>
  <c r="H53" i="27"/>
  <c r="I53" i="27"/>
  <c r="J53" i="27"/>
  <c r="K53" i="27"/>
  <c r="B54" i="27"/>
  <c r="C54" i="27"/>
  <c r="D54" i="27"/>
  <c r="E54" i="27"/>
  <c r="F54" i="27"/>
  <c r="G54" i="27"/>
  <c r="H54" i="27"/>
  <c r="I54" i="27"/>
  <c r="J54" i="27"/>
  <c r="K54" i="27"/>
  <c r="B55" i="27"/>
  <c r="C55" i="27"/>
  <c r="D55" i="27"/>
  <c r="E55" i="27"/>
  <c r="F55" i="27"/>
  <c r="G55" i="27"/>
  <c r="H55" i="27"/>
  <c r="I55" i="27"/>
  <c r="J55" i="27"/>
  <c r="K55" i="27"/>
  <c r="B56" i="27"/>
  <c r="C56" i="27"/>
  <c r="D56" i="27"/>
  <c r="E56" i="27"/>
  <c r="F56" i="27"/>
  <c r="G56" i="27"/>
  <c r="H56" i="27"/>
  <c r="I56" i="27"/>
  <c r="J56" i="27"/>
  <c r="K56" i="27"/>
  <c r="M56" i="27"/>
  <c r="B57" i="27"/>
  <c r="C57" i="27"/>
  <c r="D57" i="27"/>
  <c r="E57" i="27"/>
  <c r="F57" i="27"/>
  <c r="G57" i="27"/>
  <c r="H57" i="27"/>
  <c r="I57" i="27"/>
  <c r="J57" i="27"/>
  <c r="K57" i="27"/>
  <c r="B58" i="27"/>
  <c r="C58" i="27"/>
  <c r="D58" i="27"/>
  <c r="E58" i="27"/>
  <c r="F58" i="27"/>
  <c r="G58" i="27"/>
  <c r="H58" i="27"/>
  <c r="I58" i="27"/>
  <c r="J58" i="27"/>
  <c r="K58" i="27"/>
  <c r="B59" i="27"/>
  <c r="C59" i="27"/>
  <c r="D59" i="27"/>
  <c r="E59" i="27"/>
  <c r="F59" i="27"/>
  <c r="G59" i="27"/>
  <c r="H59" i="27"/>
  <c r="I59" i="27"/>
  <c r="J59" i="27"/>
  <c r="K59" i="27"/>
  <c r="B60" i="27"/>
  <c r="C60" i="27"/>
  <c r="D60" i="27"/>
  <c r="E60" i="27"/>
  <c r="F60" i="27"/>
  <c r="G60" i="27"/>
  <c r="H60" i="27"/>
  <c r="I60" i="27"/>
  <c r="J60" i="27"/>
  <c r="K60" i="27"/>
  <c r="B61" i="27"/>
  <c r="C61" i="27"/>
  <c r="D61" i="27"/>
  <c r="E61" i="27"/>
  <c r="F61" i="27"/>
  <c r="G61" i="27"/>
  <c r="H61" i="27"/>
  <c r="I61" i="27"/>
  <c r="J61" i="27"/>
  <c r="K61" i="27"/>
  <c r="L2" i="27"/>
  <c r="M2" i="27"/>
  <c r="N2" i="27" s="1"/>
  <c r="O2" i="27" s="1"/>
  <c r="P2" i="27" s="1"/>
  <c r="Q2" i="27" s="1"/>
  <c r="L7" i="27"/>
  <c r="L9" i="27" s="1"/>
  <c r="L14" i="27" s="1"/>
  <c r="M7" i="27"/>
  <c r="N7" i="27"/>
  <c r="O7" i="27"/>
  <c r="P7" i="27"/>
  <c r="Q7" i="27"/>
  <c r="L8" i="27"/>
  <c r="M8" i="27"/>
  <c r="N8" i="27" s="1"/>
  <c r="O8" i="27" s="1"/>
  <c r="L10" i="27"/>
  <c r="M10" i="27" s="1"/>
  <c r="N10" i="27" s="1"/>
  <c r="O10" i="27" s="1"/>
  <c r="P10" i="27" s="1"/>
  <c r="Q10" i="27" s="1"/>
  <c r="L11" i="27"/>
  <c r="M11" i="27"/>
  <c r="N11" i="27" s="1"/>
  <c r="O11" i="27" s="1"/>
  <c r="P11" i="27" s="1"/>
  <c r="Q11" i="27" s="1"/>
  <c r="L13" i="27"/>
  <c r="M13" i="27"/>
  <c r="N13" i="27"/>
  <c r="O13" i="27" s="1"/>
  <c r="P13" i="27" s="1"/>
  <c r="Q13" i="27" s="1"/>
  <c r="L15" i="27"/>
  <c r="L49" i="27" s="1"/>
  <c r="L17" i="27"/>
  <c r="L52" i="27" s="1"/>
  <c r="M17" i="27"/>
  <c r="N17" i="27" s="1"/>
  <c r="L19" i="27"/>
  <c r="M19" i="27"/>
  <c r="N19" i="27"/>
  <c r="O19" i="27" s="1"/>
  <c r="P19" i="27" s="1"/>
  <c r="Q19" i="27" s="1"/>
  <c r="L21" i="27"/>
  <c r="L56" i="27" s="1"/>
  <c r="M21" i="27"/>
  <c r="N21" i="27"/>
  <c r="N56" i="27" s="1"/>
  <c r="O21" i="27"/>
  <c r="O56" i="27" s="1"/>
  <c r="P21" i="27"/>
  <c r="P56" i="27" s="1"/>
  <c r="Q21" i="27"/>
  <c r="Q56" i="27" s="1"/>
  <c r="L22" i="27"/>
  <c r="M22" i="27" s="1"/>
  <c r="N22" i="27" s="1"/>
  <c r="O22" i="27" s="1"/>
  <c r="P22" i="27" s="1"/>
  <c r="Q22" i="27" s="1"/>
  <c r="R23" i="27"/>
  <c r="L26" i="27"/>
  <c r="L25" i="27" s="1"/>
  <c r="M26" i="27"/>
  <c r="M25" i="27" s="1"/>
  <c r="N26" i="27"/>
  <c r="O26" i="27" s="1"/>
  <c r="L27" i="27"/>
  <c r="M27" i="27"/>
  <c r="N27" i="27"/>
  <c r="O27" i="27"/>
  <c r="P27" i="27" s="1"/>
  <c r="Q27" i="27" s="1"/>
  <c r="L28" i="27"/>
  <c r="M28" i="27" s="1"/>
  <c r="N28" i="27" s="1"/>
  <c r="O28" i="27" s="1"/>
  <c r="P28" i="27" s="1"/>
  <c r="Q28" i="27" s="1"/>
  <c r="L29" i="27"/>
  <c r="M29" i="27"/>
  <c r="N29" i="27" s="1"/>
  <c r="O29" i="27" s="1"/>
  <c r="P29" i="27" s="1"/>
  <c r="Q29" i="27" s="1"/>
  <c r="L31" i="27"/>
  <c r="M31" i="27"/>
  <c r="N31" i="27"/>
  <c r="O31" i="27" s="1"/>
  <c r="P31" i="27" s="1"/>
  <c r="Q31" i="27" s="1"/>
  <c r="L32" i="27"/>
  <c r="M32" i="27"/>
  <c r="N32" i="27"/>
  <c r="O32" i="27"/>
  <c r="P32" i="27" s="1"/>
  <c r="Q32" i="27" s="1"/>
  <c r="L34" i="27"/>
  <c r="M34" i="27" s="1"/>
  <c r="N34" i="27" s="1"/>
  <c r="O34" i="27" s="1"/>
  <c r="P34" i="27" s="1"/>
  <c r="Q34" i="27" s="1"/>
  <c r="R35" i="27"/>
  <c r="K36" i="27"/>
  <c r="L38" i="27"/>
  <c r="M38" i="27" s="1"/>
  <c r="L39" i="27"/>
  <c r="M39" i="27"/>
  <c r="N39" i="27" s="1"/>
  <c r="O39" i="27" s="1"/>
  <c r="P39" i="27" s="1"/>
  <c r="Q39" i="27" s="1"/>
  <c r="L41" i="27"/>
  <c r="M41" i="27"/>
  <c r="N41" i="27"/>
  <c r="O41" i="27" s="1"/>
  <c r="P41" i="27" s="1"/>
  <c r="Q41" i="27" s="1"/>
  <c r="P42" i="27"/>
  <c r="Q42" i="27" s="1"/>
  <c r="R44" i="27"/>
  <c r="K36" i="22"/>
  <c r="B16" i="7"/>
  <c r="B34" i="7"/>
  <c r="L21" i="26"/>
  <c r="K19" i="26"/>
  <c r="J19" i="26"/>
  <c r="I19" i="26"/>
  <c r="H19" i="26"/>
  <c r="G19" i="26"/>
  <c r="F19" i="26"/>
  <c r="E19" i="26"/>
  <c r="D19" i="26"/>
  <c r="C19" i="26"/>
  <c r="L4" i="26"/>
  <c r="L16" i="26" s="1"/>
  <c r="K53" i="7"/>
  <c r="J53" i="7"/>
  <c r="I53" i="7"/>
  <c r="H53" i="7"/>
  <c r="G53" i="7"/>
  <c r="F53" i="7"/>
  <c r="E53" i="7"/>
  <c r="D53" i="7"/>
  <c r="C53" i="7"/>
  <c r="B53" i="7"/>
  <c r="K52" i="7"/>
  <c r="J52" i="7"/>
  <c r="I52" i="7"/>
  <c r="H52" i="7"/>
  <c r="G52" i="7"/>
  <c r="F52" i="7"/>
  <c r="E52" i="7"/>
  <c r="D52" i="7"/>
  <c r="C52" i="7"/>
  <c r="B52" i="7"/>
  <c r="K51" i="7"/>
  <c r="J51" i="7"/>
  <c r="I51" i="7"/>
  <c r="H51" i="7"/>
  <c r="G51" i="7"/>
  <c r="F51" i="7"/>
  <c r="E51" i="7"/>
  <c r="D51" i="7"/>
  <c r="C51" i="7"/>
  <c r="B51" i="7"/>
  <c r="B47" i="7"/>
  <c r="C47" i="7"/>
  <c r="D47" i="7"/>
  <c r="E47" i="7"/>
  <c r="F47" i="7"/>
  <c r="G47" i="7"/>
  <c r="H47" i="7"/>
  <c r="I47" i="7"/>
  <c r="J47" i="7"/>
  <c r="K47" i="7"/>
  <c r="B48" i="7"/>
  <c r="C48" i="7"/>
  <c r="D48" i="7"/>
  <c r="E48" i="7"/>
  <c r="F48" i="7"/>
  <c r="G48" i="7"/>
  <c r="H48" i="7"/>
  <c r="I48" i="7"/>
  <c r="J48" i="7"/>
  <c r="K48" i="7"/>
  <c r="B49" i="7"/>
  <c r="C49" i="7"/>
  <c r="D49" i="7"/>
  <c r="E49" i="7"/>
  <c r="F49" i="7"/>
  <c r="G49" i="7"/>
  <c r="H49" i="7"/>
  <c r="I49" i="7"/>
  <c r="J49" i="7"/>
  <c r="K49" i="7"/>
  <c r="B50" i="7"/>
  <c r="C50" i="7"/>
  <c r="D50" i="7"/>
  <c r="E50" i="7"/>
  <c r="F50" i="7"/>
  <c r="G50" i="7"/>
  <c r="H50" i="7"/>
  <c r="I50" i="7"/>
  <c r="J50" i="7"/>
  <c r="K50" i="7"/>
  <c r="C46" i="7"/>
  <c r="D46" i="7"/>
  <c r="E46" i="7"/>
  <c r="F46" i="7"/>
  <c r="G46" i="7"/>
  <c r="H46" i="7"/>
  <c r="I46" i="7"/>
  <c r="J46" i="7"/>
  <c r="K46" i="7"/>
  <c r="B46" i="7"/>
  <c r="K44" i="7"/>
  <c r="J44" i="7"/>
  <c r="I44" i="7"/>
  <c r="H44" i="7"/>
  <c r="G44" i="7"/>
  <c r="F44" i="7"/>
  <c r="E44" i="7"/>
  <c r="D44" i="7"/>
  <c r="C44" i="7"/>
  <c r="B44" i="7"/>
  <c r="K43" i="7"/>
  <c r="J43" i="7"/>
  <c r="I43" i="7"/>
  <c r="H43" i="7"/>
  <c r="G43" i="7"/>
  <c r="F43" i="7"/>
  <c r="E43" i="7"/>
  <c r="D43" i="7"/>
  <c r="C43" i="7"/>
  <c r="B43" i="7"/>
  <c r="K42" i="7"/>
  <c r="J42" i="7"/>
  <c r="I42" i="7"/>
  <c r="H42" i="7"/>
  <c r="G42" i="7"/>
  <c r="F42" i="7"/>
  <c r="E42" i="7"/>
  <c r="D42" i="7"/>
  <c r="C42" i="7"/>
  <c r="B42" i="7"/>
  <c r="K41" i="7"/>
  <c r="J41" i="7"/>
  <c r="I41" i="7"/>
  <c r="H41" i="7"/>
  <c r="G41" i="7"/>
  <c r="F41" i="7"/>
  <c r="E41" i="7"/>
  <c r="D41" i="7"/>
  <c r="C41" i="7"/>
  <c r="B41" i="7"/>
  <c r="K40" i="7"/>
  <c r="J40" i="7"/>
  <c r="I40" i="7"/>
  <c r="H40" i="7"/>
  <c r="G40" i="7"/>
  <c r="F40" i="7"/>
  <c r="E40" i="7"/>
  <c r="D40" i="7"/>
  <c r="C40" i="7"/>
  <c r="B40" i="7"/>
  <c r="K39" i="7"/>
  <c r="J39" i="7"/>
  <c r="I39" i="7"/>
  <c r="H39" i="7"/>
  <c r="G39" i="7"/>
  <c r="F39" i="7"/>
  <c r="E39" i="7"/>
  <c r="D39" i="7"/>
  <c r="C39" i="7"/>
  <c r="B39" i="7"/>
  <c r="K38" i="7"/>
  <c r="J38" i="7"/>
  <c r="I38" i="7"/>
  <c r="H38" i="7"/>
  <c r="G38" i="7"/>
  <c r="F38" i="7"/>
  <c r="E38" i="7"/>
  <c r="D38" i="7"/>
  <c r="C38" i="7"/>
  <c r="B38" i="7"/>
  <c r="K37" i="7"/>
  <c r="J37" i="7"/>
  <c r="I37" i="7"/>
  <c r="H37" i="7"/>
  <c r="G37" i="7"/>
  <c r="F37" i="7"/>
  <c r="E37" i="7"/>
  <c r="D37" i="7"/>
  <c r="C37" i="7"/>
  <c r="B37" i="7"/>
  <c r="K36" i="7"/>
  <c r="J36" i="7"/>
  <c r="I36" i="7"/>
  <c r="H36" i="7"/>
  <c r="G36" i="7"/>
  <c r="F36" i="7"/>
  <c r="E36" i="7"/>
  <c r="D36" i="7"/>
  <c r="C36" i="7"/>
  <c r="B36" i="7"/>
  <c r="K35" i="7"/>
  <c r="J35" i="7"/>
  <c r="I35" i="7"/>
  <c r="H35" i="7"/>
  <c r="G35" i="7"/>
  <c r="F35" i="7"/>
  <c r="E35" i="7"/>
  <c r="D35" i="7"/>
  <c r="C35" i="7"/>
  <c r="B35" i="7"/>
  <c r="K34" i="7"/>
  <c r="J34" i="7"/>
  <c r="I34" i="7"/>
  <c r="H34" i="7"/>
  <c r="G34" i="7"/>
  <c r="F34" i="7"/>
  <c r="E34" i="7"/>
  <c r="D34" i="7"/>
  <c r="C34" i="7"/>
  <c r="K32" i="7"/>
  <c r="J32" i="7"/>
  <c r="I32" i="7"/>
  <c r="H32" i="7"/>
  <c r="G32" i="7"/>
  <c r="F32" i="7"/>
  <c r="E32" i="7"/>
  <c r="D32" i="7"/>
  <c r="C32" i="7"/>
  <c r="B32" i="7"/>
  <c r="K31" i="7"/>
  <c r="J31" i="7"/>
  <c r="I31" i="7"/>
  <c r="H31" i="7"/>
  <c r="G31" i="7"/>
  <c r="F31" i="7"/>
  <c r="E31" i="7"/>
  <c r="D31" i="7"/>
  <c r="C31" i="7"/>
  <c r="B31" i="7"/>
  <c r="K30" i="7"/>
  <c r="J30" i="7"/>
  <c r="I30" i="7"/>
  <c r="H30" i="7"/>
  <c r="G30" i="7"/>
  <c r="F30" i="7"/>
  <c r="E30" i="7"/>
  <c r="D30" i="7"/>
  <c r="C30" i="7"/>
  <c r="B30" i="7"/>
  <c r="K29" i="7"/>
  <c r="J29" i="7"/>
  <c r="I29" i="7"/>
  <c r="H29" i="7"/>
  <c r="G29" i="7"/>
  <c r="F29" i="7"/>
  <c r="E29" i="7"/>
  <c r="D29" i="7"/>
  <c r="C29" i="7"/>
  <c r="B29" i="7"/>
  <c r="K28" i="7"/>
  <c r="J28" i="7"/>
  <c r="I28" i="7"/>
  <c r="H28" i="7"/>
  <c r="G28" i="7"/>
  <c r="F28" i="7"/>
  <c r="E28" i="7"/>
  <c r="D28" i="7"/>
  <c r="C28" i="7"/>
  <c r="B28" i="7"/>
  <c r="K27" i="7"/>
  <c r="J27" i="7"/>
  <c r="I27" i="7"/>
  <c r="H27" i="7"/>
  <c r="G27" i="7"/>
  <c r="F27" i="7"/>
  <c r="E27" i="7"/>
  <c r="D27" i="7"/>
  <c r="C27" i="7"/>
  <c r="B27" i="7"/>
  <c r="K26" i="7"/>
  <c r="J26" i="7"/>
  <c r="I26" i="7"/>
  <c r="H26" i="7"/>
  <c r="G26" i="7"/>
  <c r="F26" i="7"/>
  <c r="E26" i="7"/>
  <c r="D26" i="7"/>
  <c r="C26" i="7"/>
  <c r="B26" i="7"/>
  <c r="K25" i="7"/>
  <c r="J25" i="7"/>
  <c r="I25" i="7"/>
  <c r="H25" i="7"/>
  <c r="G25" i="7"/>
  <c r="F25" i="7"/>
  <c r="E25" i="7"/>
  <c r="D25" i="7"/>
  <c r="C25" i="7"/>
  <c r="B25" i="7"/>
  <c r="K24" i="7"/>
  <c r="J24" i="7"/>
  <c r="I24" i="7"/>
  <c r="H24" i="7"/>
  <c r="G24" i="7"/>
  <c r="F24" i="7"/>
  <c r="E24" i="7"/>
  <c r="D24" i="7"/>
  <c r="C24" i="7"/>
  <c r="B24" i="7"/>
  <c r="K23" i="7"/>
  <c r="J23" i="7"/>
  <c r="I23" i="7"/>
  <c r="H23" i="7"/>
  <c r="G23" i="7"/>
  <c r="F23" i="7"/>
  <c r="E23" i="7"/>
  <c r="D23" i="7"/>
  <c r="C23" i="7"/>
  <c r="B23" i="7"/>
  <c r="K22" i="7"/>
  <c r="J22" i="7"/>
  <c r="I22" i="7"/>
  <c r="H22" i="7"/>
  <c r="G22" i="7"/>
  <c r="F22" i="7"/>
  <c r="E22" i="7"/>
  <c r="D22" i="7"/>
  <c r="C22" i="7"/>
  <c r="B22" i="7"/>
  <c r="K21" i="7"/>
  <c r="J21" i="7"/>
  <c r="I21" i="7"/>
  <c r="H21" i="7"/>
  <c r="G21" i="7"/>
  <c r="F21" i="7"/>
  <c r="E21" i="7"/>
  <c r="D21" i="7"/>
  <c r="C21" i="7"/>
  <c r="B21" i="7"/>
  <c r="K20" i="7"/>
  <c r="J20" i="7"/>
  <c r="I20" i="7"/>
  <c r="H20" i="7"/>
  <c r="G20" i="7"/>
  <c r="F20" i="7"/>
  <c r="E20" i="7"/>
  <c r="D20" i="7"/>
  <c r="C20" i="7"/>
  <c r="B20" i="7"/>
  <c r="K19" i="7"/>
  <c r="J19" i="7"/>
  <c r="I19" i="7"/>
  <c r="H19" i="7"/>
  <c r="G19" i="7"/>
  <c r="F19" i="7"/>
  <c r="E19" i="7"/>
  <c r="D19" i="7"/>
  <c r="C19" i="7"/>
  <c r="B19" i="7"/>
  <c r="K18" i="7"/>
  <c r="J18" i="7"/>
  <c r="I18" i="7"/>
  <c r="H18" i="7"/>
  <c r="G18" i="7"/>
  <c r="F18" i="7"/>
  <c r="E18" i="7"/>
  <c r="D18" i="7"/>
  <c r="C18" i="7"/>
  <c r="B18" i="7"/>
  <c r="K17" i="7"/>
  <c r="J17" i="7"/>
  <c r="I17" i="7"/>
  <c r="H17" i="7"/>
  <c r="G17" i="7"/>
  <c r="F17" i="7"/>
  <c r="E17" i="7"/>
  <c r="D17" i="7"/>
  <c r="C17" i="7"/>
  <c r="B17" i="7"/>
  <c r="K16" i="7"/>
  <c r="J16" i="7"/>
  <c r="I16" i="7"/>
  <c r="H16" i="7"/>
  <c r="G16" i="7"/>
  <c r="F16" i="7"/>
  <c r="E16" i="7"/>
  <c r="D16" i="7"/>
  <c r="C16" i="7"/>
  <c r="M40" i="25"/>
  <c r="N40" i="25"/>
  <c r="O40" i="25"/>
  <c r="Q40" i="25"/>
  <c r="R40" i="25"/>
  <c r="M21" i="25"/>
  <c r="N21" i="25"/>
  <c r="O21" i="25"/>
  <c r="P21" i="25"/>
  <c r="Q21" i="25"/>
  <c r="R21" i="25"/>
  <c r="M22" i="25"/>
  <c r="N22" i="25"/>
  <c r="O22" i="25"/>
  <c r="Q22" i="25"/>
  <c r="R22" i="25"/>
  <c r="M23" i="25"/>
  <c r="N23" i="25"/>
  <c r="O23" i="25"/>
  <c r="Q23" i="25"/>
  <c r="R23" i="25"/>
  <c r="M24" i="25"/>
  <c r="N24" i="25"/>
  <c r="O24" i="25"/>
  <c r="Q24" i="25"/>
  <c r="R24" i="25"/>
  <c r="M26" i="25"/>
  <c r="N26" i="25"/>
  <c r="O26" i="25"/>
  <c r="Q26" i="25"/>
  <c r="R26" i="25"/>
  <c r="M27" i="25"/>
  <c r="N27" i="25"/>
  <c r="O27" i="25"/>
  <c r="Q27" i="25"/>
  <c r="R27" i="25"/>
  <c r="M28" i="25"/>
  <c r="N28" i="25"/>
  <c r="O28" i="25"/>
  <c r="Q28" i="25"/>
  <c r="R28" i="25"/>
  <c r="M29" i="25"/>
  <c r="N29" i="25"/>
  <c r="O29" i="25"/>
  <c r="Q29" i="25"/>
  <c r="R29" i="25"/>
  <c r="M30" i="25"/>
  <c r="N30" i="25"/>
  <c r="O30" i="25"/>
  <c r="Q30" i="25"/>
  <c r="R30" i="25"/>
  <c r="C60" i="22"/>
  <c r="D60" i="22"/>
  <c r="E60" i="22"/>
  <c r="F60" i="22"/>
  <c r="G60" i="22"/>
  <c r="H60" i="22"/>
  <c r="I60" i="22"/>
  <c r="J60" i="22"/>
  <c r="K60" i="22"/>
  <c r="C61" i="22"/>
  <c r="D61" i="22"/>
  <c r="E61" i="22"/>
  <c r="F61" i="22"/>
  <c r="G61" i="22"/>
  <c r="H61" i="22"/>
  <c r="I61" i="22"/>
  <c r="J61" i="22"/>
  <c r="K61" i="22"/>
  <c r="B61" i="22"/>
  <c r="B60" i="22"/>
  <c r="R22" i="23"/>
  <c r="R9" i="23"/>
  <c r="X9" i="23"/>
  <c r="W9" i="23"/>
  <c r="V9" i="23"/>
  <c r="U9" i="23"/>
  <c r="T9" i="23"/>
  <c r="S9" i="23"/>
  <c r="C58" i="22"/>
  <c r="D58" i="22"/>
  <c r="E58" i="22"/>
  <c r="F58" i="22"/>
  <c r="G58" i="22"/>
  <c r="H58" i="22"/>
  <c r="I58" i="22"/>
  <c r="J58" i="22"/>
  <c r="K58" i="22"/>
  <c r="C59" i="22"/>
  <c r="D59" i="22"/>
  <c r="E59" i="22"/>
  <c r="F59" i="22"/>
  <c r="G59" i="22"/>
  <c r="H59" i="22"/>
  <c r="I59" i="22"/>
  <c r="J59" i="22"/>
  <c r="K59" i="22"/>
  <c r="B59" i="22"/>
  <c r="B58" i="22"/>
  <c r="R44" i="22"/>
  <c r="R35" i="22"/>
  <c r="R23" i="22"/>
  <c r="P33" i="25"/>
  <c r="L39" i="22"/>
  <c r="M39" i="22" s="1"/>
  <c r="N39" i="22" s="1"/>
  <c r="O39" i="22" s="1"/>
  <c r="P39" i="22" s="1"/>
  <c r="Q39" i="22" s="1"/>
  <c r="L41" i="22"/>
  <c r="M41" i="22" s="1"/>
  <c r="N41" i="22" s="1"/>
  <c r="O41" i="22" s="1"/>
  <c r="P41" i="22" s="1"/>
  <c r="Q41" i="22" s="1"/>
  <c r="P42" i="22"/>
  <c r="Q42" i="22" s="1"/>
  <c r="M33" i="25"/>
  <c r="N33" i="25"/>
  <c r="O33" i="25"/>
  <c r="Q33" i="25"/>
  <c r="R33" i="25"/>
  <c r="M34" i="25"/>
  <c r="N34" i="25"/>
  <c r="O34" i="25"/>
  <c r="P34" i="25"/>
  <c r="Q34" i="25"/>
  <c r="R34" i="25"/>
  <c r="M35" i="25"/>
  <c r="N35" i="25"/>
  <c r="O35" i="25"/>
  <c r="Q35" i="25"/>
  <c r="R35" i="25"/>
  <c r="L38" i="22"/>
  <c r="M38" i="22" s="1"/>
  <c r="N38" i="22" s="1"/>
  <c r="O38" i="22" s="1"/>
  <c r="P38" i="22" s="1"/>
  <c r="Q38" i="22" s="1"/>
  <c r="P32" i="25"/>
  <c r="R32" i="25"/>
  <c r="Q32" i="25"/>
  <c r="O32" i="25"/>
  <c r="N32" i="25"/>
  <c r="M32" i="25"/>
  <c r="P22" i="25"/>
  <c r="C57" i="22"/>
  <c r="D57" i="22"/>
  <c r="E57" i="22"/>
  <c r="F57" i="22"/>
  <c r="G57" i="22"/>
  <c r="H57" i="22"/>
  <c r="I57" i="22"/>
  <c r="J57" i="22"/>
  <c r="K57" i="22"/>
  <c r="B57" i="22"/>
  <c r="P23" i="25" l="1"/>
  <c r="P40" i="25"/>
  <c r="P35" i="25"/>
  <c r="P8" i="27"/>
  <c r="O9" i="27"/>
  <c r="M52" i="27"/>
  <c r="R53" i="27"/>
  <c r="L23" i="27"/>
  <c r="P26" i="27"/>
  <c r="O25" i="27"/>
  <c r="O30" i="27"/>
  <c r="L54" i="27"/>
  <c r="N38" i="27"/>
  <c r="O17" i="27"/>
  <c r="N50" i="27"/>
  <c r="O14" i="27"/>
  <c r="N9" i="27"/>
  <c r="M15" i="27"/>
  <c r="M9" i="27"/>
  <c r="M50" i="27"/>
  <c r="L55" i="27"/>
  <c r="M61" i="27"/>
  <c r="L16" i="27"/>
  <c r="L60" i="27" s="1"/>
  <c r="L61" i="27"/>
  <c r="L30" i="27"/>
  <c r="L35" i="27" s="1"/>
  <c r="N30" i="27"/>
  <c r="N35" i="27" s="1"/>
  <c r="N25" i="27"/>
  <c r="M30" i="27"/>
  <c r="M35" i="27" s="1"/>
  <c r="L60" i="22"/>
  <c r="L61" i="22"/>
  <c r="L19" i="26"/>
  <c r="M4" i="26"/>
  <c r="L9" i="26"/>
  <c r="L7" i="26"/>
  <c r="L5" i="26"/>
  <c r="L6" i="26" s="1"/>
  <c r="L13" i="26"/>
  <c r="L8" i="26"/>
  <c r="L12" i="26"/>
  <c r="L14" i="26" s="1"/>
  <c r="P56" i="22"/>
  <c r="Q56" i="22"/>
  <c r="O56" i="22"/>
  <c r="M56" i="22"/>
  <c r="N56" i="22"/>
  <c r="C56" i="22"/>
  <c r="D56" i="22"/>
  <c r="E56" i="22"/>
  <c r="F56" i="22"/>
  <c r="G56" i="22"/>
  <c r="H56" i="22"/>
  <c r="I56" i="22"/>
  <c r="J56" i="22"/>
  <c r="K56" i="22"/>
  <c r="L56" i="22"/>
  <c r="B56" i="22"/>
  <c r="M19" i="22"/>
  <c r="N19" i="22" s="1"/>
  <c r="O19" i="22" s="1"/>
  <c r="P19" i="22" s="1"/>
  <c r="Q19" i="22" s="1"/>
  <c r="R20" i="25"/>
  <c r="Q20" i="25"/>
  <c r="O20" i="25"/>
  <c r="N20" i="25"/>
  <c r="M20" i="25"/>
  <c r="C55" i="22"/>
  <c r="D55" i="22"/>
  <c r="E55" i="22"/>
  <c r="F55" i="22"/>
  <c r="G55" i="22"/>
  <c r="H55" i="22"/>
  <c r="I55" i="22"/>
  <c r="J55" i="22"/>
  <c r="K55" i="22"/>
  <c r="B55" i="22"/>
  <c r="P12" i="25"/>
  <c r="L20" i="8"/>
  <c r="M12" i="25"/>
  <c r="N12" i="25"/>
  <c r="O12" i="25"/>
  <c r="Q12" i="25"/>
  <c r="R12" i="25"/>
  <c r="R11" i="25"/>
  <c r="Q11" i="25"/>
  <c r="O11" i="25"/>
  <c r="N11" i="25"/>
  <c r="M11" i="25"/>
  <c r="P8" i="25"/>
  <c r="Q8" i="25"/>
  <c r="C54" i="22"/>
  <c r="D54" i="22"/>
  <c r="E54" i="22"/>
  <c r="F54" i="22"/>
  <c r="G54" i="22"/>
  <c r="H54" i="22"/>
  <c r="I54" i="22"/>
  <c r="J54" i="22"/>
  <c r="K54" i="22"/>
  <c r="B54" i="22"/>
  <c r="R8" i="25"/>
  <c r="M8" i="25"/>
  <c r="N8" i="25"/>
  <c r="O8" i="25"/>
  <c r="Q9" i="25"/>
  <c r="M9" i="25"/>
  <c r="O9" i="25"/>
  <c r="N9" i="25"/>
  <c r="K54" i="6"/>
  <c r="K53" i="6"/>
  <c r="K52" i="6"/>
  <c r="K51" i="6"/>
  <c r="K50" i="6"/>
  <c r="D49" i="6"/>
  <c r="E49" i="6"/>
  <c r="F49" i="6"/>
  <c r="G49" i="6"/>
  <c r="H49" i="6"/>
  <c r="I49" i="6"/>
  <c r="J49" i="6"/>
  <c r="K49" i="6"/>
  <c r="C49" i="6"/>
  <c r="K34" i="8"/>
  <c r="C53" i="22"/>
  <c r="D53" i="22"/>
  <c r="E53" i="22"/>
  <c r="F53" i="22"/>
  <c r="G53" i="22"/>
  <c r="H53" i="22"/>
  <c r="I53" i="22"/>
  <c r="J53" i="22"/>
  <c r="K53" i="22"/>
  <c r="B53" i="22"/>
  <c r="K24" i="8"/>
  <c r="J24" i="8"/>
  <c r="F24" i="8"/>
  <c r="L49" i="22"/>
  <c r="C50" i="22"/>
  <c r="D50" i="22"/>
  <c r="E50" i="22"/>
  <c r="F50" i="22"/>
  <c r="G50" i="22"/>
  <c r="H50" i="22"/>
  <c r="I50" i="22"/>
  <c r="J50" i="22"/>
  <c r="K50" i="22"/>
  <c r="B50" i="22"/>
  <c r="C49" i="22"/>
  <c r="D49" i="22"/>
  <c r="E49" i="22"/>
  <c r="F49" i="22"/>
  <c r="G49" i="22"/>
  <c r="H49" i="22"/>
  <c r="I49" i="22"/>
  <c r="J49" i="22"/>
  <c r="K49" i="22"/>
  <c r="B49" i="22"/>
  <c r="P18" i="25"/>
  <c r="Q18" i="25" s="1"/>
  <c r="L50" i="22" s="1"/>
  <c r="N18" i="25"/>
  <c r="N17" i="25"/>
  <c r="C52" i="22"/>
  <c r="D52" i="22"/>
  <c r="E52" i="22"/>
  <c r="F52" i="22"/>
  <c r="G52" i="22"/>
  <c r="H52" i="22"/>
  <c r="J52" i="22"/>
  <c r="K52" i="22"/>
  <c r="I52" i="22"/>
  <c r="O18" i="25"/>
  <c r="L2" i="22"/>
  <c r="M2" i="22" s="1"/>
  <c r="N2" i="22" s="1"/>
  <c r="O2" i="22" s="1"/>
  <c r="P2" i="22" s="1"/>
  <c r="Q2" i="22" s="1"/>
  <c r="O21" i="23"/>
  <c r="N21" i="23"/>
  <c r="L21" i="23"/>
  <c r="M19" i="23"/>
  <c r="M20" i="23" s="1"/>
  <c r="M22" i="23" s="1"/>
  <c r="N19" i="23"/>
  <c r="N20" i="23" s="1"/>
  <c r="O19" i="23"/>
  <c r="O20" i="23" s="1"/>
  <c r="O22" i="23" s="1"/>
  <c r="P19" i="23"/>
  <c r="P20" i="23" s="1"/>
  <c r="P22" i="23" s="1"/>
  <c r="W22" i="23" s="1"/>
  <c r="Q19" i="23"/>
  <c r="Q20" i="23" s="1"/>
  <c r="Q22" i="23" s="1"/>
  <c r="X22" i="23" s="1"/>
  <c r="Q21" i="23"/>
  <c r="P21" i="23"/>
  <c r="M21" i="23"/>
  <c r="L19" i="23"/>
  <c r="L20" i="23" s="1"/>
  <c r="L22" i="23" s="1"/>
  <c r="L14" i="23"/>
  <c r="L15" i="23"/>
  <c r="L16" i="23" s="1"/>
  <c r="N13" i="24"/>
  <c r="O13" i="24"/>
  <c r="P13" i="24"/>
  <c r="N14" i="24"/>
  <c r="O14" i="24"/>
  <c r="P14" i="24"/>
  <c r="N15" i="24"/>
  <c r="O15" i="24"/>
  <c r="P15" i="24"/>
  <c r="N16" i="24"/>
  <c r="O16" i="24"/>
  <c r="P16" i="24"/>
  <c r="N17" i="24"/>
  <c r="O17" i="24"/>
  <c r="P17" i="24"/>
  <c r="N18" i="24"/>
  <c r="O18" i="24"/>
  <c r="P18" i="24"/>
  <c r="N19" i="24"/>
  <c r="O19" i="24"/>
  <c r="P19" i="24"/>
  <c r="N20" i="24"/>
  <c r="O20" i="24"/>
  <c r="P20" i="24"/>
  <c r="N21" i="24"/>
  <c r="O21" i="24"/>
  <c r="P21" i="24"/>
  <c r="N22" i="24"/>
  <c r="O22" i="24"/>
  <c r="P22" i="24"/>
  <c r="N23" i="24"/>
  <c r="O23" i="24"/>
  <c r="P23" i="24"/>
  <c r="M16" i="23"/>
  <c r="N16" i="23"/>
  <c r="O16" i="23"/>
  <c r="P16" i="23"/>
  <c r="Q16" i="23"/>
  <c r="M15" i="23"/>
  <c r="N15" i="23"/>
  <c r="O15" i="23"/>
  <c r="P15" i="23"/>
  <c r="Q15" i="23"/>
  <c r="M14" i="23"/>
  <c r="N14" i="23"/>
  <c r="O14" i="23"/>
  <c r="P14" i="23"/>
  <c r="Q14" i="23"/>
  <c r="Q13" i="23"/>
  <c r="P13" i="23"/>
  <c r="O13" i="23"/>
  <c r="M13" i="23"/>
  <c r="N13" i="23"/>
  <c r="L13" i="23"/>
  <c r="Q12" i="23"/>
  <c r="P12" i="23"/>
  <c r="O12" i="23"/>
  <c r="N12" i="23"/>
  <c r="M12" i="23"/>
  <c r="L12" i="23"/>
  <c r="N10" i="24"/>
  <c r="O10" i="24"/>
  <c r="P10" i="24"/>
  <c r="N11" i="24"/>
  <c r="O11" i="24"/>
  <c r="P11" i="24"/>
  <c r="N12" i="24"/>
  <c r="O12" i="24"/>
  <c r="P12" i="24"/>
  <c r="O9" i="24"/>
  <c r="P9" i="24"/>
  <c r="N9" i="24"/>
  <c r="L10" i="23"/>
  <c r="L11" i="23"/>
  <c r="M11" i="23"/>
  <c r="N11" i="23"/>
  <c r="O11" i="23"/>
  <c r="P11" i="23"/>
  <c r="Q11" i="23"/>
  <c r="Q10" i="23"/>
  <c r="P10" i="23"/>
  <c r="O10" i="23"/>
  <c r="M10" i="23"/>
  <c r="N10" i="23"/>
  <c r="Q9" i="23"/>
  <c r="P9" i="23"/>
  <c r="O9" i="23"/>
  <c r="N9" i="23"/>
  <c r="M9" i="23"/>
  <c r="L9" i="23"/>
  <c r="L26" i="23"/>
  <c r="L24" i="23"/>
  <c r="F35" i="24"/>
  <c r="G35" i="24"/>
  <c r="H35" i="24"/>
  <c r="I35" i="24"/>
  <c r="M35" i="24"/>
  <c r="K35" i="24"/>
  <c r="L35" i="24"/>
  <c r="J35" i="24"/>
  <c r="D24" i="23"/>
  <c r="E24" i="23"/>
  <c r="F24" i="23"/>
  <c r="G24" i="23"/>
  <c r="H24" i="23"/>
  <c r="I24" i="23"/>
  <c r="J24" i="23"/>
  <c r="K24" i="23"/>
  <c r="C24" i="23"/>
  <c r="E7" i="17"/>
  <c r="E8" i="17"/>
  <c r="E9" i="17"/>
  <c r="E10" i="17"/>
  <c r="E11" i="17"/>
  <c r="E6" i="17"/>
  <c r="F32" i="17"/>
  <c r="F33" i="17"/>
  <c r="F34" i="17"/>
  <c r="F31" i="17"/>
  <c r="P20" i="25" l="1"/>
  <c r="M60" i="22"/>
  <c r="M61" i="22"/>
  <c r="R53" i="22"/>
  <c r="P11" i="25"/>
  <c r="N60" i="22"/>
  <c r="N61" i="22"/>
  <c r="M28" i="22"/>
  <c r="N28" i="22" s="1"/>
  <c r="P29" i="25"/>
  <c r="O61" i="22"/>
  <c r="P30" i="25"/>
  <c r="L25" i="22"/>
  <c r="P26" i="25" s="1"/>
  <c r="P27" i="25"/>
  <c r="P28" i="25"/>
  <c r="N22" i="23"/>
  <c r="U22" i="23" s="1"/>
  <c r="T22" i="23"/>
  <c r="S22" i="23"/>
  <c r="L40" i="27"/>
  <c r="N54" i="27"/>
  <c r="P9" i="27"/>
  <c r="P14" i="27" s="1"/>
  <c r="Q8" i="27"/>
  <c r="Q9" i="27" s="1"/>
  <c r="Q14" i="27" s="1"/>
  <c r="M54" i="27"/>
  <c r="O23" i="27"/>
  <c r="O53" i="27"/>
  <c r="O38" i="27"/>
  <c r="N14" i="27"/>
  <c r="N55" i="27"/>
  <c r="O54" i="27"/>
  <c r="O35" i="27"/>
  <c r="M14" i="27"/>
  <c r="M55" i="27"/>
  <c r="M49" i="27"/>
  <c r="M16" i="27"/>
  <c r="M60" i="27" s="1"/>
  <c r="N15" i="27"/>
  <c r="U35" i="27"/>
  <c r="L53" i="27"/>
  <c r="P17" i="27"/>
  <c r="O50" i="27"/>
  <c r="T35" i="27"/>
  <c r="L58" i="27"/>
  <c r="S35" i="27"/>
  <c r="O55" i="27"/>
  <c r="Q26" i="27"/>
  <c r="P25" i="27"/>
  <c r="P30" i="27"/>
  <c r="P53" i="27" s="1"/>
  <c r="S23" i="27"/>
  <c r="L10" i="26"/>
  <c r="L11" i="26" s="1"/>
  <c r="L15" i="26" s="1"/>
  <c r="L17" i="26" s="1"/>
  <c r="M16" i="26"/>
  <c r="M12" i="26"/>
  <c r="M8" i="26"/>
  <c r="M13" i="26"/>
  <c r="M9" i="26"/>
  <c r="M7" i="26"/>
  <c r="M10" i="26" s="1"/>
  <c r="M5" i="26"/>
  <c r="M6" i="26" s="1"/>
  <c r="N4" i="26"/>
  <c r="P9" i="25"/>
  <c r="L9" i="22"/>
  <c r="N9" i="22"/>
  <c r="F59" i="28" s="1"/>
  <c r="F62" i="28" s="1"/>
  <c r="M9" i="22"/>
  <c r="E59" i="28" s="1"/>
  <c r="E62" i="28" s="1"/>
  <c r="L30" i="22"/>
  <c r="M50" i="22"/>
  <c r="L52" i="22"/>
  <c r="M52" i="22" s="1"/>
  <c r="C17" i="8"/>
  <c r="D17" i="8"/>
  <c r="E17" i="8"/>
  <c r="F17" i="8"/>
  <c r="G17" i="8"/>
  <c r="H17" i="8"/>
  <c r="I17" i="8"/>
  <c r="J17" i="8"/>
  <c r="K17" i="8"/>
  <c r="C18" i="8"/>
  <c r="D18" i="8"/>
  <c r="E18" i="8"/>
  <c r="F18" i="8"/>
  <c r="G18" i="8"/>
  <c r="H18" i="8"/>
  <c r="I18" i="8"/>
  <c r="J18" i="8"/>
  <c r="K18" i="8"/>
  <c r="C19" i="8"/>
  <c r="D19" i="8"/>
  <c r="E19" i="8"/>
  <c r="F19" i="8"/>
  <c r="G19" i="8"/>
  <c r="H19" i="8"/>
  <c r="I19" i="8"/>
  <c r="J19" i="8"/>
  <c r="K19" i="8"/>
  <c r="C20" i="8"/>
  <c r="D20" i="8"/>
  <c r="E20" i="8"/>
  <c r="F20" i="8"/>
  <c r="G20" i="8"/>
  <c r="H20" i="8"/>
  <c r="I20" i="8"/>
  <c r="J20" i="8"/>
  <c r="K20" i="8"/>
  <c r="C21" i="8"/>
  <c r="D21" i="8"/>
  <c r="E21" i="8"/>
  <c r="F21" i="8"/>
  <c r="G21" i="8"/>
  <c r="H21" i="8"/>
  <c r="I21" i="8"/>
  <c r="J21" i="8"/>
  <c r="K21" i="8"/>
  <c r="C22" i="8"/>
  <c r="D22" i="8"/>
  <c r="E22" i="8"/>
  <c r="F22" i="8"/>
  <c r="G22" i="8"/>
  <c r="H22" i="8"/>
  <c r="I22" i="8"/>
  <c r="J22" i="8"/>
  <c r="K22" i="8"/>
  <c r="C23" i="8"/>
  <c r="D23" i="8"/>
  <c r="E23" i="8"/>
  <c r="F23" i="8"/>
  <c r="G23" i="8"/>
  <c r="H23" i="8"/>
  <c r="I23" i="8"/>
  <c r="J23" i="8"/>
  <c r="K23" i="8"/>
  <c r="C24" i="8"/>
  <c r="D24" i="8"/>
  <c r="E24" i="8"/>
  <c r="G24" i="8"/>
  <c r="H24" i="8"/>
  <c r="I24" i="8"/>
  <c r="C25" i="8"/>
  <c r="D25" i="8"/>
  <c r="E25" i="8"/>
  <c r="F25" i="8"/>
  <c r="G25" i="8"/>
  <c r="H25" i="8"/>
  <c r="I25" i="8"/>
  <c r="J25" i="8"/>
  <c r="K25" i="8"/>
  <c r="C26" i="8"/>
  <c r="D26" i="8"/>
  <c r="E26" i="8"/>
  <c r="F26" i="8"/>
  <c r="G26" i="8"/>
  <c r="H26" i="8"/>
  <c r="I26" i="8"/>
  <c r="J26" i="8"/>
  <c r="K26" i="8"/>
  <c r="C27" i="8"/>
  <c r="D27" i="8"/>
  <c r="E27" i="8"/>
  <c r="F27" i="8"/>
  <c r="G27" i="8"/>
  <c r="H27" i="8"/>
  <c r="I27" i="8"/>
  <c r="J27" i="8"/>
  <c r="K27" i="8"/>
  <c r="C28" i="8"/>
  <c r="D28" i="8"/>
  <c r="E28" i="8"/>
  <c r="F28" i="8"/>
  <c r="G28" i="8"/>
  <c r="H28" i="8"/>
  <c r="I28" i="8"/>
  <c r="J28" i="8"/>
  <c r="K28" i="8"/>
  <c r="C29" i="8"/>
  <c r="D29" i="8"/>
  <c r="E29" i="8"/>
  <c r="F29" i="8"/>
  <c r="G29" i="8"/>
  <c r="H29" i="8"/>
  <c r="I29" i="8"/>
  <c r="J29" i="8"/>
  <c r="K29" i="8"/>
  <c r="C30" i="8"/>
  <c r="D30" i="8"/>
  <c r="E30" i="8"/>
  <c r="F30" i="8"/>
  <c r="G30" i="8"/>
  <c r="H30" i="8"/>
  <c r="I30" i="8"/>
  <c r="J30" i="8"/>
  <c r="K30" i="8"/>
  <c r="C31" i="8"/>
  <c r="D31" i="8"/>
  <c r="E31" i="8"/>
  <c r="F31" i="8"/>
  <c r="G31" i="8"/>
  <c r="H31" i="8"/>
  <c r="I31" i="8"/>
  <c r="J31" i="8"/>
  <c r="K31" i="8"/>
  <c r="C32" i="8"/>
  <c r="D32" i="8"/>
  <c r="E32" i="8"/>
  <c r="F32" i="8"/>
  <c r="G32" i="8"/>
  <c r="H32" i="8"/>
  <c r="I32" i="8"/>
  <c r="J32" i="8"/>
  <c r="K32" i="8"/>
  <c r="C34" i="8"/>
  <c r="D34" i="8"/>
  <c r="E34" i="8"/>
  <c r="F34" i="8"/>
  <c r="G34" i="8"/>
  <c r="H34" i="8"/>
  <c r="I34" i="8"/>
  <c r="J34" i="8"/>
  <c r="C35" i="8"/>
  <c r="D35" i="8"/>
  <c r="E35" i="8"/>
  <c r="F35" i="8"/>
  <c r="G35" i="8"/>
  <c r="H35" i="8"/>
  <c r="I35" i="8"/>
  <c r="J35" i="8"/>
  <c r="K35" i="8"/>
  <c r="C36" i="8"/>
  <c r="D36" i="8"/>
  <c r="E36" i="8"/>
  <c r="F36" i="8"/>
  <c r="G36" i="8"/>
  <c r="H36" i="8"/>
  <c r="I36" i="8"/>
  <c r="J36" i="8"/>
  <c r="K36" i="8"/>
  <c r="C37" i="8"/>
  <c r="D37" i="8"/>
  <c r="E37" i="8"/>
  <c r="F37" i="8"/>
  <c r="G37" i="8"/>
  <c r="H37" i="8"/>
  <c r="I37" i="8"/>
  <c r="J37" i="8"/>
  <c r="K37" i="8"/>
  <c r="C38" i="8"/>
  <c r="D38" i="8"/>
  <c r="E38" i="8"/>
  <c r="F38" i="8"/>
  <c r="G38" i="8"/>
  <c r="H38" i="8"/>
  <c r="I38" i="8"/>
  <c r="J38" i="8"/>
  <c r="K38" i="8"/>
  <c r="C39" i="8"/>
  <c r="D39" i="8"/>
  <c r="E39" i="8"/>
  <c r="F39" i="8"/>
  <c r="G39" i="8"/>
  <c r="H39" i="8"/>
  <c r="I39" i="8"/>
  <c r="J39" i="8"/>
  <c r="K39" i="8"/>
  <c r="C40" i="8"/>
  <c r="D40" i="8"/>
  <c r="E40" i="8"/>
  <c r="F40" i="8"/>
  <c r="G40" i="8"/>
  <c r="H40" i="8"/>
  <c r="I40" i="8"/>
  <c r="J40" i="8"/>
  <c r="K40" i="8"/>
  <c r="C41" i="8"/>
  <c r="D41" i="8"/>
  <c r="E41" i="8"/>
  <c r="F41" i="8"/>
  <c r="G41" i="8"/>
  <c r="H41" i="8"/>
  <c r="I41" i="8"/>
  <c r="J41" i="8"/>
  <c r="K41" i="8"/>
  <c r="C42" i="8"/>
  <c r="D42" i="8"/>
  <c r="E42" i="8"/>
  <c r="F42" i="8"/>
  <c r="G42" i="8"/>
  <c r="H42" i="8"/>
  <c r="I42" i="8"/>
  <c r="J42" i="8"/>
  <c r="K42" i="8"/>
  <c r="C43" i="8"/>
  <c r="D43" i="8"/>
  <c r="E43" i="8"/>
  <c r="F43" i="8"/>
  <c r="G43" i="8"/>
  <c r="H43" i="8"/>
  <c r="I43" i="8"/>
  <c r="J43" i="8"/>
  <c r="K43" i="8"/>
  <c r="C44" i="8"/>
  <c r="D44" i="8"/>
  <c r="E44" i="8"/>
  <c r="F44" i="8"/>
  <c r="G44" i="8"/>
  <c r="H44" i="8"/>
  <c r="I44" i="8"/>
  <c r="J44" i="8"/>
  <c r="K44" i="8"/>
  <c r="C46" i="8"/>
  <c r="D46" i="8"/>
  <c r="E46" i="8"/>
  <c r="F46" i="8"/>
  <c r="G46" i="8"/>
  <c r="H46" i="8"/>
  <c r="I46" i="8"/>
  <c r="J46" i="8"/>
  <c r="K46" i="8"/>
  <c r="C47" i="8"/>
  <c r="D47" i="8"/>
  <c r="E47" i="8"/>
  <c r="F47" i="8"/>
  <c r="G47" i="8"/>
  <c r="H47" i="8"/>
  <c r="I47" i="8"/>
  <c r="J47" i="8"/>
  <c r="K47" i="8"/>
  <c r="C48" i="8"/>
  <c r="D48" i="8"/>
  <c r="E48" i="8"/>
  <c r="F48" i="8"/>
  <c r="G48" i="8"/>
  <c r="H48" i="8"/>
  <c r="I48" i="8"/>
  <c r="J48" i="8"/>
  <c r="K48" i="8"/>
  <c r="C49" i="8"/>
  <c r="D49" i="8"/>
  <c r="E49" i="8"/>
  <c r="F49" i="8"/>
  <c r="G49" i="8"/>
  <c r="H49" i="8"/>
  <c r="I49" i="8"/>
  <c r="J49" i="8"/>
  <c r="K49" i="8"/>
  <c r="C50" i="8"/>
  <c r="D50" i="8"/>
  <c r="E50" i="8"/>
  <c r="F50" i="8"/>
  <c r="G50" i="8"/>
  <c r="H50" i="8"/>
  <c r="I50" i="8"/>
  <c r="J50" i="8"/>
  <c r="K50" i="8"/>
  <c r="C51" i="8"/>
  <c r="D51" i="8"/>
  <c r="E51" i="8"/>
  <c r="F51" i="8"/>
  <c r="G51" i="8"/>
  <c r="H51" i="8"/>
  <c r="I51" i="8"/>
  <c r="J51" i="8"/>
  <c r="K51" i="8"/>
  <c r="C52" i="8"/>
  <c r="D52" i="8"/>
  <c r="E52" i="8"/>
  <c r="F52" i="8"/>
  <c r="G52" i="8"/>
  <c r="H52" i="8"/>
  <c r="I52" i="8"/>
  <c r="J52" i="8"/>
  <c r="K52" i="8"/>
  <c r="C53" i="8"/>
  <c r="D53" i="8"/>
  <c r="E53" i="8"/>
  <c r="F53" i="8"/>
  <c r="G53" i="8"/>
  <c r="H53" i="8"/>
  <c r="I53" i="8"/>
  <c r="J53" i="8"/>
  <c r="K53" i="8"/>
  <c r="C54" i="8"/>
  <c r="D54" i="8"/>
  <c r="E54" i="8"/>
  <c r="F54" i="8"/>
  <c r="G54" i="8"/>
  <c r="H54" i="8"/>
  <c r="I54" i="8"/>
  <c r="J54" i="8"/>
  <c r="K54" i="8"/>
  <c r="D16" i="8"/>
  <c r="E16" i="8"/>
  <c r="F16" i="8"/>
  <c r="G16" i="8"/>
  <c r="H16" i="8"/>
  <c r="I16" i="8"/>
  <c r="J16" i="8"/>
  <c r="K16" i="8"/>
  <c r="C16" i="8"/>
  <c r="K60" i="1"/>
  <c r="J60" i="1"/>
  <c r="I60" i="1"/>
  <c r="H60" i="1"/>
  <c r="G60" i="1"/>
  <c r="F60" i="1"/>
  <c r="E60" i="1"/>
  <c r="D60" i="1"/>
  <c r="C60" i="1"/>
  <c r="B60" i="1"/>
  <c r="K59" i="1"/>
  <c r="J59" i="1"/>
  <c r="I59" i="1"/>
  <c r="H59" i="1"/>
  <c r="G59" i="1"/>
  <c r="F59" i="1"/>
  <c r="E59" i="1"/>
  <c r="D59" i="1"/>
  <c r="C59" i="1"/>
  <c r="B59" i="1"/>
  <c r="K56" i="1"/>
  <c r="J56" i="1"/>
  <c r="I56" i="1"/>
  <c r="H56" i="1"/>
  <c r="G56" i="1"/>
  <c r="F56" i="1"/>
  <c r="E56" i="1"/>
  <c r="D56" i="1"/>
  <c r="C56" i="1"/>
  <c r="B56" i="1"/>
  <c r="I33" i="15"/>
  <c r="B32" i="15"/>
  <c r="C33" i="15"/>
  <c r="J34" i="15"/>
  <c r="I34" i="15"/>
  <c r="B33" i="15"/>
  <c r="D9" i="16"/>
  <c r="E9" i="16"/>
  <c r="F9" i="16"/>
  <c r="G9" i="16"/>
  <c r="H9" i="16"/>
  <c r="I9" i="16"/>
  <c r="J9" i="16"/>
  <c r="K9" i="16"/>
  <c r="L9" i="16"/>
  <c r="D10" i="16"/>
  <c r="E10" i="16"/>
  <c r="F10" i="16"/>
  <c r="G10" i="16"/>
  <c r="H10" i="16"/>
  <c r="I10" i="16"/>
  <c r="J10" i="16"/>
  <c r="K10" i="16"/>
  <c r="L10" i="16"/>
  <c r="D11" i="16"/>
  <c r="E11" i="16"/>
  <c r="F11" i="16"/>
  <c r="G11" i="16"/>
  <c r="H11" i="16"/>
  <c r="I11" i="16"/>
  <c r="J11" i="16"/>
  <c r="K11" i="16"/>
  <c r="L11" i="16"/>
  <c r="D12" i="16"/>
  <c r="E12" i="16"/>
  <c r="F12" i="16"/>
  <c r="G12" i="16"/>
  <c r="H12" i="16"/>
  <c r="I12" i="16"/>
  <c r="J12" i="16"/>
  <c r="K12" i="16"/>
  <c r="L12" i="16"/>
  <c r="E13" i="16"/>
  <c r="F13" i="16"/>
  <c r="L13" i="16"/>
  <c r="D14" i="16"/>
  <c r="E14" i="16"/>
  <c r="F14" i="16"/>
  <c r="G14" i="16"/>
  <c r="H14" i="16"/>
  <c r="I14" i="16"/>
  <c r="J14" i="16"/>
  <c r="K14" i="16"/>
  <c r="L14" i="16"/>
  <c r="D15" i="16"/>
  <c r="E15" i="16"/>
  <c r="F15" i="16"/>
  <c r="G15" i="16"/>
  <c r="H15" i="16"/>
  <c r="I15" i="16"/>
  <c r="J15" i="16"/>
  <c r="K15" i="16"/>
  <c r="L15" i="16"/>
  <c r="D16" i="16"/>
  <c r="E16" i="16"/>
  <c r="F16" i="16"/>
  <c r="G16" i="16"/>
  <c r="H16" i="16"/>
  <c r="I16" i="16"/>
  <c r="J16" i="16"/>
  <c r="K16" i="16"/>
  <c r="L16" i="16"/>
  <c r="D17" i="16"/>
  <c r="E17" i="16"/>
  <c r="F17" i="16"/>
  <c r="G17" i="16"/>
  <c r="H17" i="16"/>
  <c r="I17" i="16"/>
  <c r="J17" i="16"/>
  <c r="K17" i="16"/>
  <c r="L17" i="16"/>
  <c r="D18" i="16"/>
  <c r="E18" i="16"/>
  <c r="F18" i="16"/>
  <c r="G18" i="16"/>
  <c r="H18" i="16"/>
  <c r="I18" i="16"/>
  <c r="J18" i="16"/>
  <c r="K18" i="16"/>
  <c r="L18" i="16"/>
  <c r="D19" i="16"/>
  <c r="E19" i="16"/>
  <c r="F19" i="16"/>
  <c r="G19" i="16"/>
  <c r="H19" i="16"/>
  <c r="I19" i="16"/>
  <c r="J19" i="16"/>
  <c r="K19" i="16"/>
  <c r="L19" i="16"/>
  <c r="D20" i="16"/>
  <c r="E20" i="16"/>
  <c r="F20" i="16"/>
  <c r="G20" i="16"/>
  <c r="H20" i="16"/>
  <c r="I20" i="16"/>
  <c r="J20" i="16"/>
  <c r="K20" i="16"/>
  <c r="L20" i="16"/>
  <c r="D21" i="16"/>
  <c r="E21" i="16"/>
  <c r="F21" i="16"/>
  <c r="G21" i="16"/>
  <c r="H21" i="16"/>
  <c r="I21" i="16"/>
  <c r="J21" i="16"/>
  <c r="K21" i="16"/>
  <c r="L21" i="16"/>
  <c r="E8" i="16"/>
  <c r="F8" i="16"/>
  <c r="G8" i="16"/>
  <c r="H8" i="16"/>
  <c r="I8" i="16"/>
  <c r="J8" i="16"/>
  <c r="K8" i="16"/>
  <c r="L8" i="16"/>
  <c r="D8" i="16"/>
  <c r="B33" i="12"/>
  <c r="C33" i="12"/>
  <c r="D33" i="12"/>
  <c r="E33" i="12"/>
  <c r="F33" i="12"/>
  <c r="G33" i="12"/>
  <c r="H33" i="12"/>
  <c r="I33" i="12"/>
  <c r="J33" i="12"/>
  <c r="K33" i="12"/>
  <c r="C31" i="12"/>
  <c r="D31" i="12"/>
  <c r="E31" i="12"/>
  <c r="F31" i="12"/>
  <c r="G31" i="12"/>
  <c r="H31" i="12"/>
  <c r="I31" i="12"/>
  <c r="J31" i="12"/>
  <c r="K31" i="12"/>
  <c r="B31" i="12"/>
  <c r="J46" i="1"/>
  <c r="K26" i="5"/>
  <c r="J26" i="5"/>
  <c r="I26" i="5"/>
  <c r="H26" i="5"/>
  <c r="G26" i="5"/>
  <c r="F26" i="5"/>
  <c r="E26" i="5"/>
  <c r="D26" i="5"/>
  <c r="C26" i="5"/>
  <c r="B26" i="5"/>
  <c r="K25" i="5"/>
  <c r="J25" i="5"/>
  <c r="I25" i="5"/>
  <c r="H25" i="5"/>
  <c r="G25" i="5"/>
  <c r="F25" i="5"/>
  <c r="E25" i="5"/>
  <c r="D25" i="5"/>
  <c r="C25" i="5"/>
  <c r="B25" i="5"/>
  <c r="K24" i="5"/>
  <c r="J24" i="5"/>
  <c r="I24" i="5"/>
  <c r="H24" i="5"/>
  <c r="G24" i="5"/>
  <c r="F24" i="5"/>
  <c r="E24" i="5"/>
  <c r="D24" i="5"/>
  <c r="C24" i="5"/>
  <c r="B24" i="5"/>
  <c r="K23" i="5"/>
  <c r="J23" i="5"/>
  <c r="I23" i="5"/>
  <c r="H23" i="5"/>
  <c r="G23" i="5"/>
  <c r="F23" i="5"/>
  <c r="E23" i="5"/>
  <c r="D23" i="5"/>
  <c r="C23" i="5"/>
  <c r="B23" i="5"/>
  <c r="K22" i="5"/>
  <c r="J22" i="5"/>
  <c r="I22" i="5"/>
  <c r="H22" i="5"/>
  <c r="G22" i="5"/>
  <c r="F22" i="5"/>
  <c r="E22" i="5"/>
  <c r="D22" i="5"/>
  <c r="C22" i="5"/>
  <c r="B22" i="5"/>
  <c r="K21" i="5"/>
  <c r="J21" i="5"/>
  <c r="I21" i="5"/>
  <c r="H21" i="5"/>
  <c r="G21" i="5"/>
  <c r="F21" i="5"/>
  <c r="E21" i="5"/>
  <c r="D21" i="5"/>
  <c r="C21" i="5"/>
  <c r="B21" i="5"/>
  <c r="K20" i="5"/>
  <c r="J20" i="5"/>
  <c r="I20" i="5"/>
  <c r="H20" i="5"/>
  <c r="G20" i="5"/>
  <c r="F20" i="5"/>
  <c r="E20" i="5"/>
  <c r="D20" i="5"/>
  <c r="C20" i="5"/>
  <c r="B20" i="5"/>
  <c r="K19" i="5"/>
  <c r="J19" i="5"/>
  <c r="I19" i="5"/>
  <c r="H19" i="5"/>
  <c r="G19" i="5"/>
  <c r="F19" i="5"/>
  <c r="E19" i="5"/>
  <c r="D19" i="5"/>
  <c r="C19" i="5"/>
  <c r="B19" i="5"/>
  <c r="K18" i="5"/>
  <c r="J18" i="5"/>
  <c r="I18" i="5"/>
  <c r="H18" i="5"/>
  <c r="G18" i="5"/>
  <c r="F18" i="5"/>
  <c r="E18" i="5"/>
  <c r="D18" i="5"/>
  <c r="C18" i="5"/>
  <c r="B18" i="5"/>
  <c r="K17" i="5"/>
  <c r="J17" i="5"/>
  <c r="I17" i="5"/>
  <c r="H17" i="5"/>
  <c r="G17" i="5"/>
  <c r="F17" i="5"/>
  <c r="E17" i="5"/>
  <c r="D17" i="5"/>
  <c r="C17" i="5"/>
  <c r="B17" i="5"/>
  <c r="K16" i="5"/>
  <c r="J16" i="5"/>
  <c r="I16" i="5"/>
  <c r="H16" i="5"/>
  <c r="G16" i="5"/>
  <c r="F16" i="5"/>
  <c r="E16" i="5"/>
  <c r="D16" i="5"/>
  <c r="C16" i="5"/>
  <c r="B16" i="5"/>
  <c r="K15" i="5"/>
  <c r="J15" i="5"/>
  <c r="I15" i="5"/>
  <c r="H15" i="5"/>
  <c r="G15" i="5"/>
  <c r="F15" i="5"/>
  <c r="E15" i="5"/>
  <c r="D15" i="5"/>
  <c r="C15" i="5"/>
  <c r="B15" i="5"/>
  <c r="K14" i="5"/>
  <c r="J14" i="5"/>
  <c r="I14" i="5"/>
  <c r="H14" i="5"/>
  <c r="G14" i="5"/>
  <c r="F14" i="5"/>
  <c r="E14" i="5"/>
  <c r="D14" i="5"/>
  <c r="C14" i="5"/>
  <c r="B14" i="5"/>
  <c r="K13" i="5"/>
  <c r="J13" i="5"/>
  <c r="I13" i="5"/>
  <c r="H13" i="5"/>
  <c r="G13" i="5"/>
  <c r="F13" i="5"/>
  <c r="E13" i="5"/>
  <c r="D13" i="5"/>
  <c r="C13" i="5"/>
  <c r="B13" i="5"/>
  <c r="D87" i="1"/>
  <c r="E87" i="1"/>
  <c r="F87" i="1"/>
  <c r="G87" i="1"/>
  <c r="H87" i="1"/>
  <c r="I87" i="1"/>
  <c r="J87" i="1"/>
  <c r="K87" i="1"/>
  <c r="D88" i="1"/>
  <c r="E88" i="1"/>
  <c r="F88" i="1"/>
  <c r="G88" i="1"/>
  <c r="H88" i="1"/>
  <c r="I88" i="1"/>
  <c r="J88" i="1"/>
  <c r="K88" i="1"/>
  <c r="C88" i="1"/>
  <c r="C87" i="1"/>
  <c r="C68" i="1"/>
  <c r="D68" i="1"/>
  <c r="E68" i="1"/>
  <c r="F68" i="1"/>
  <c r="G68" i="1"/>
  <c r="H68" i="1"/>
  <c r="I68" i="1"/>
  <c r="J68" i="1"/>
  <c r="K68" i="1"/>
  <c r="D67" i="1"/>
  <c r="E67" i="1"/>
  <c r="F67" i="1"/>
  <c r="G67" i="1"/>
  <c r="H67" i="1"/>
  <c r="I67" i="1"/>
  <c r="J67" i="1"/>
  <c r="K67" i="1"/>
  <c r="C67" i="1"/>
  <c r="K57" i="1"/>
  <c r="C57" i="1"/>
  <c r="E57" i="1"/>
  <c r="F57" i="1"/>
  <c r="G57" i="1"/>
  <c r="H57" i="1"/>
  <c r="I57" i="1"/>
  <c r="J57" i="1"/>
  <c r="B57" i="1"/>
  <c r="F112" i="28" l="1"/>
  <c r="F114" i="28" s="1"/>
  <c r="F118" i="28" s="1"/>
  <c r="F68" i="28"/>
  <c r="E68" i="28"/>
  <c r="L14" i="22"/>
  <c r="L23" i="22" s="1"/>
  <c r="P24" i="25" s="1"/>
  <c r="D59" i="28"/>
  <c r="P60" i="22"/>
  <c r="L54" i="22"/>
  <c r="L35" i="22"/>
  <c r="S35" i="22" s="1"/>
  <c r="O28" i="22"/>
  <c r="P28" i="22" s="1"/>
  <c r="Q28" i="22" s="1"/>
  <c r="V22" i="23"/>
  <c r="M40" i="27"/>
  <c r="L44" i="27"/>
  <c r="L44" i="22"/>
  <c r="D76" i="28" s="1"/>
  <c r="D77" i="28" s="1"/>
  <c r="P38" i="27"/>
  <c r="M23" i="27"/>
  <c r="M53" i="27"/>
  <c r="Q25" i="27"/>
  <c r="Q30" i="27"/>
  <c r="P50" i="27"/>
  <c r="Q17" i="27"/>
  <c r="P54" i="27"/>
  <c r="P35" i="27"/>
  <c r="P55" i="27"/>
  <c r="P23" i="27"/>
  <c r="V35" i="27"/>
  <c r="O58" i="27"/>
  <c r="N49" i="27"/>
  <c r="O15" i="27"/>
  <c r="N16" i="27"/>
  <c r="N60" i="27" s="1"/>
  <c r="N61" i="27"/>
  <c r="N23" i="27"/>
  <c r="N53" i="27"/>
  <c r="O60" i="22"/>
  <c r="M11" i="26"/>
  <c r="N16" i="26"/>
  <c r="N12" i="26"/>
  <c r="N8" i="26"/>
  <c r="N13" i="26"/>
  <c r="N9" i="26"/>
  <c r="N7" i="26"/>
  <c r="N5" i="26"/>
  <c r="N6" i="26" s="1"/>
  <c r="O4" i="26"/>
  <c r="M14" i="26"/>
  <c r="M14" i="22"/>
  <c r="M23" i="22" s="1"/>
  <c r="L55" i="22"/>
  <c r="N14" i="22"/>
  <c r="O9" i="22"/>
  <c r="M30" i="22"/>
  <c r="M55" i="22" s="1"/>
  <c r="M25" i="22"/>
  <c r="M49" i="22"/>
  <c r="L24" i="8"/>
  <c r="L25" i="8"/>
  <c r="L67" i="1"/>
  <c r="L68" i="1"/>
  <c r="L87" i="1"/>
  <c r="L88" i="1"/>
  <c r="C52" i="1"/>
  <c r="D52" i="1"/>
  <c r="E52" i="1"/>
  <c r="F52" i="1"/>
  <c r="G52" i="1"/>
  <c r="H52" i="1"/>
  <c r="I52" i="1"/>
  <c r="J52" i="1"/>
  <c r="K52" i="1"/>
  <c r="B52" i="1"/>
  <c r="C48" i="1"/>
  <c r="D48" i="1"/>
  <c r="E48" i="1"/>
  <c r="F48" i="1"/>
  <c r="G48" i="1"/>
  <c r="H48" i="1"/>
  <c r="I48" i="1"/>
  <c r="J48" i="1"/>
  <c r="K48" i="1"/>
  <c r="B48" i="1"/>
  <c r="C47" i="1"/>
  <c r="D47" i="1"/>
  <c r="E47" i="1"/>
  <c r="F47" i="1"/>
  <c r="G47" i="1"/>
  <c r="H47" i="1"/>
  <c r="I47" i="1"/>
  <c r="J47" i="1"/>
  <c r="K47" i="1"/>
  <c r="B47" i="1"/>
  <c r="C46" i="1"/>
  <c r="D46" i="1"/>
  <c r="E46" i="1"/>
  <c r="F46" i="1"/>
  <c r="G46" i="1"/>
  <c r="H46" i="1"/>
  <c r="I46" i="1"/>
  <c r="K46" i="1"/>
  <c r="B46" i="1"/>
  <c r="C36" i="1"/>
  <c r="C55" i="1" s="1"/>
  <c r="D36" i="1"/>
  <c r="D55" i="1" s="1"/>
  <c r="E36" i="1"/>
  <c r="E55" i="1" s="1"/>
  <c r="F36" i="1"/>
  <c r="F55" i="1" s="1"/>
  <c r="G36" i="1"/>
  <c r="G55" i="1" s="1"/>
  <c r="H36" i="1"/>
  <c r="H55" i="1" s="1"/>
  <c r="I36" i="1"/>
  <c r="I55" i="1" s="1"/>
  <c r="J36" i="1"/>
  <c r="J55" i="1" s="1"/>
  <c r="K36" i="1"/>
  <c r="K55" i="1" s="1"/>
  <c r="B36" i="1"/>
  <c r="B55" i="1" s="1"/>
  <c r="C41" i="1"/>
  <c r="D41" i="1"/>
  <c r="E41" i="1"/>
  <c r="F41" i="1"/>
  <c r="G41" i="1"/>
  <c r="H41" i="1"/>
  <c r="I41" i="1"/>
  <c r="J41" i="1"/>
  <c r="K41" i="1"/>
  <c r="C42" i="1"/>
  <c r="D42" i="1"/>
  <c r="E42" i="1"/>
  <c r="F42" i="1"/>
  <c r="G42" i="1"/>
  <c r="H42" i="1"/>
  <c r="I42" i="1"/>
  <c r="J42" i="1"/>
  <c r="K42" i="1"/>
  <c r="C43" i="1"/>
  <c r="D43" i="1"/>
  <c r="J43" i="1"/>
  <c r="B42" i="1"/>
  <c r="B41" i="1"/>
  <c r="C38" i="1"/>
  <c r="D38" i="1"/>
  <c r="E38" i="1"/>
  <c r="F38" i="1"/>
  <c r="G38" i="1"/>
  <c r="H38" i="1"/>
  <c r="I38" i="1"/>
  <c r="J38" i="1"/>
  <c r="K38" i="1"/>
  <c r="B38" i="1"/>
  <c r="C37" i="1"/>
  <c r="D37" i="1"/>
  <c r="E37" i="1"/>
  <c r="F37" i="1"/>
  <c r="G37" i="1"/>
  <c r="H37" i="1"/>
  <c r="I37" i="1"/>
  <c r="J37" i="1"/>
  <c r="K37" i="1"/>
  <c r="B37" i="1"/>
  <c r="B16" i="2"/>
  <c r="C14" i="2"/>
  <c r="D14" i="2"/>
  <c r="E14" i="2"/>
  <c r="F14" i="2"/>
  <c r="G14" i="2"/>
  <c r="H14" i="2"/>
  <c r="I14" i="2"/>
  <c r="J14" i="2"/>
  <c r="K14" i="2"/>
  <c r="B14" i="2"/>
  <c r="B10" i="2"/>
  <c r="C10" i="2"/>
  <c r="D10" i="2"/>
  <c r="E10" i="2"/>
  <c r="F10" i="2"/>
  <c r="G10" i="2"/>
  <c r="H10" i="2"/>
  <c r="I10" i="2"/>
  <c r="J10" i="2"/>
  <c r="K10" i="2"/>
  <c r="B11" i="2"/>
  <c r="C11" i="2"/>
  <c r="D11" i="2"/>
  <c r="E11" i="2"/>
  <c r="F11" i="2"/>
  <c r="G11" i="2"/>
  <c r="H11" i="2"/>
  <c r="I11" i="2"/>
  <c r="J11" i="2"/>
  <c r="K11" i="2"/>
  <c r="B12" i="2"/>
  <c r="C12" i="2"/>
  <c r="D12" i="2"/>
  <c r="E12" i="2"/>
  <c r="F12" i="2"/>
  <c r="G12" i="2"/>
  <c r="H12" i="2"/>
  <c r="I12" i="2"/>
  <c r="J12" i="2"/>
  <c r="K12" i="2"/>
  <c r="B13" i="2"/>
  <c r="C13" i="2"/>
  <c r="D13" i="2"/>
  <c r="E13" i="2"/>
  <c r="F13" i="2"/>
  <c r="G13" i="2"/>
  <c r="H13" i="2"/>
  <c r="I13" i="2"/>
  <c r="J13" i="2"/>
  <c r="K13" i="2"/>
  <c r="B15" i="2"/>
  <c r="C15" i="2"/>
  <c r="D15" i="2"/>
  <c r="E15" i="2"/>
  <c r="F15" i="2"/>
  <c r="G15" i="2"/>
  <c r="H15" i="2"/>
  <c r="I15" i="2"/>
  <c r="J15" i="2"/>
  <c r="K15" i="2"/>
  <c r="C16" i="2"/>
  <c r="D16" i="2"/>
  <c r="E16" i="2"/>
  <c r="F16" i="2"/>
  <c r="G16" i="2"/>
  <c r="H16" i="2"/>
  <c r="I16" i="2"/>
  <c r="J16" i="2"/>
  <c r="K16" i="2"/>
  <c r="B17" i="2"/>
  <c r="C17" i="2"/>
  <c r="D17" i="2"/>
  <c r="E17" i="2"/>
  <c r="F17" i="2"/>
  <c r="G17" i="2"/>
  <c r="H17" i="2"/>
  <c r="I17" i="2"/>
  <c r="J17" i="2"/>
  <c r="K17" i="2"/>
  <c r="B18" i="2"/>
  <c r="C18" i="2"/>
  <c r="D18" i="2"/>
  <c r="E18" i="2"/>
  <c r="F18" i="2"/>
  <c r="G18" i="2"/>
  <c r="H18" i="2"/>
  <c r="I18" i="2"/>
  <c r="J18" i="2"/>
  <c r="K18" i="2"/>
  <c r="B19" i="2"/>
  <c r="C19" i="2"/>
  <c r="D19" i="2"/>
  <c r="E19" i="2"/>
  <c r="F19" i="2"/>
  <c r="G19" i="2"/>
  <c r="H19" i="2"/>
  <c r="I19" i="2"/>
  <c r="J19" i="2"/>
  <c r="K19" i="2"/>
  <c r="B20" i="2"/>
  <c r="C20" i="2"/>
  <c r="D20" i="2"/>
  <c r="E20" i="2"/>
  <c r="F20" i="2"/>
  <c r="G20" i="2"/>
  <c r="H20" i="2"/>
  <c r="I20" i="2"/>
  <c r="J20" i="2"/>
  <c r="K20" i="2"/>
  <c r="B21" i="2"/>
  <c r="C21" i="2"/>
  <c r="D21" i="2"/>
  <c r="E21" i="2"/>
  <c r="F21" i="2"/>
  <c r="G21" i="2"/>
  <c r="H21" i="2"/>
  <c r="I21" i="2"/>
  <c r="J21" i="2"/>
  <c r="K21" i="2"/>
  <c r="B22" i="2"/>
  <c r="C22" i="2"/>
  <c r="D22" i="2"/>
  <c r="E22" i="2"/>
  <c r="F22" i="2"/>
  <c r="G22" i="2"/>
  <c r="H22" i="2"/>
  <c r="I22" i="2"/>
  <c r="J22" i="2"/>
  <c r="K22" i="2"/>
  <c r="C9" i="2"/>
  <c r="D9" i="2"/>
  <c r="E9" i="2"/>
  <c r="F9" i="2"/>
  <c r="G9" i="2"/>
  <c r="H9" i="2"/>
  <c r="I9" i="2"/>
  <c r="J9" i="2"/>
  <c r="K9" i="2"/>
  <c r="B9" i="2"/>
  <c r="D62" i="28" l="1"/>
  <c r="B122" i="28"/>
  <c r="O14" i="22"/>
  <c r="G59" i="28"/>
  <c r="G62" i="28" s="1"/>
  <c r="P61" i="22"/>
  <c r="M44" i="22"/>
  <c r="S44" i="27"/>
  <c r="L45" i="27"/>
  <c r="L57" i="27"/>
  <c r="L24" i="27"/>
  <c r="L59" i="27"/>
  <c r="L45" i="22"/>
  <c r="S44" i="22"/>
  <c r="L57" i="22"/>
  <c r="N40" i="27"/>
  <c r="M44" i="27"/>
  <c r="M24" i="27" s="1"/>
  <c r="L13" i="2"/>
  <c r="L17" i="2"/>
  <c r="L12" i="2"/>
  <c r="L20" i="2"/>
  <c r="L14" i="2"/>
  <c r="L19" i="2"/>
  <c r="L16" i="2"/>
  <c r="L11" i="2"/>
  <c r="L22" i="2"/>
  <c r="L10" i="2"/>
  <c r="L21" i="2"/>
  <c r="L15" i="2"/>
  <c r="L18" i="2"/>
  <c r="U23" i="27"/>
  <c r="N58" i="27"/>
  <c r="P15" i="27"/>
  <c r="O49" i="27"/>
  <c r="O16" i="27"/>
  <c r="O60" i="27" s="1"/>
  <c r="O61" i="27"/>
  <c r="Q35" i="27"/>
  <c r="Q55" i="27"/>
  <c r="Q54" i="27"/>
  <c r="Q53" i="27"/>
  <c r="T23" i="27"/>
  <c r="M58" i="27"/>
  <c r="Q38" i="27"/>
  <c r="W23" i="27"/>
  <c r="W35" i="27"/>
  <c r="P58" i="27"/>
  <c r="V23" i="27"/>
  <c r="Q50" i="27"/>
  <c r="Q23" i="27"/>
  <c r="M35" i="22"/>
  <c r="M54" i="22"/>
  <c r="L53" i="22"/>
  <c r="N10" i="26"/>
  <c r="M15" i="26"/>
  <c r="M17" i="26" s="1"/>
  <c r="N11" i="26"/>
  <c r="Q60" i="22"/>
  <c r="O16" i="26"/>
  <c r="O12" i="26"/>
  <c r="O8" i="26"/>
  <c r="O13" i="26"/>
  <c r="O9" i="26"/>
  <c r="O7" i="26"/>
  <c r="O10" i="26" s="1"/>
  <c r="O5" i="26"/>
  <c r="O6" i="26" s="1"/>
  <c r="P4" i="26"/>
  <c r="N14" i="26"/>
  <c r="N15" i="26" s="1"/>
  <c r="N17" i="26" s="1"/>
  <c r="M53" i="22"/>
  <c r="Q61" i="22"/>
  <c r="T23" i="22"/>
  <c r="L24" i="22"/>
  <c r="L58" i="22"/>
  <c r="S23" i="22"/>
  <c r="L59" i="22"/>
  <c r="O23" i="22"/>
  <c r="N23" i="22"/>
  <c r="Q9" i="22"/>
  <c r="P9" i="22"/>
  <c r="N49" i="22"/>
  <c r="N50" i="22"/>
  <c r="N30" i="22"/>
  <c r="N25" i="22"/>
  <c r="O50" i="22"/>
  <c r="L42" i="1"/>
  <c r="L41" i="1"/>
  <c r="L52" i="1"/>
  <c r="T44" i="22" l="1"/>
  <c r="E76" i="28"/>
  <c r="E77" i="28" s="1"/>
  <c r="E79" i="28" s="1"/>
  <c r="G112" i="28"/>
  <c r="G114" i="28" s="1"/>
  <c r="G118" i="28" s="1"/>
  <c r="G68" i="28"/>
  <c r="P14" i="22"/>
  <c r="H59" i="28"/>
  <c r="H62" i="28" s="1"/>
  <c r="Q14" i="22"/>
  <c r="I59" i="28"/>
  <c r="I62" i="28" s="1"/>
  <c r="D112" i="28"/>
  <c r="D114" i="28" s="1"/>
  <c r="D118" i="28" s="1"/>
  <c r="D68" i="28"/>
  <c r="D79" i="28" s="1"/>
  <c r="E112" i="28"/>
  <c r="E114" i="28" s="1"/>
  <c r="E118" i="28" s="1"/>
  <c r="M59" i="22"/>
  <c r="M59" i="27"/>
  <c r="M24" i="22"/>
  <c r="T44" i="27"/>
  <c r="M45" i="27"/>
  <c r="M57" i="27"/>
  <c r="O40" i="27"/>
  <c r="N44" i="27"/>
  <c r="N44" i="22"/>
  <c r="X35" i="27"/>
  <c r="Q58" i="27"/>
  <c r="P49" i="27"/>
  <c r="Q15" i="27"/>
  <c r="P16" i="27"/>
  <c r="P60" i="27" s="1"/>
  <c r="P61" i="27"/>
  <c r="X23" i="27"/>
  <c r="M58" i="22"/>
  <c r="N53" i="22"/>
  <c r="N35" i="22"/>
  <c r="N58" i="22" s="1"/>
  <c r="N54" i="22"/>
  <c r="N55" i="22"/>
  <c r="T35" i="22"/>
  <c r="M57" i="22"/>
  <c r="M45" i="22"/>
  <c r="O11" i="26"/>
  <c r="P16" i="26"/>
  <c r="P12" i="26"/>
  <c r="P8" i="26"/>
  <c r="W4" i="26"/>
  <c r="P13" i="26"/>
  <c r="P9" i="26"/>
  <c r="P7" i="26"/>
  <c r="P10" i="26" s="1"/>
  <c r="P5" i="26"/>
  <c r="P6" i="26" s="1"/>
  <c r="Q4" i="26"/>
  <c r="O14" i="26"/>
  <c r="O15" i="26" s="1"/>
  <c r="O17" i="26" s="1"/>
  <c r="V23" i="22"/>
  <c r="U23" i="22"/>
  <c r="P23" i="22"/>
  <c r="O30" i="22"/>
  <c r="O25" i="22"/>
  <c r="O49" i="22"/>
  <c r="Q50" i="22"/>
  <c r="P50" i="22"/>
  <c r="U44" i="22" l="1"/>
  <c r="F76" i="28"/>
  <c r="F77" i="28" s="1"/>
  <c r="F79" i="28" s="1"/>
  <c r="I114" i="28"/>
  <c r="I115" i="28" s="1"/>
  <c r="I116" i="28" s="1"/>
  <c r="I118" i="28" s="1"/>
  <c r="I68" i="28"/>
  <c r="H112" i="28"/>
  <c r="H114" i="28" s="1"/>
  <c r="H118" i="28" s="1"/>
  <c r="H68" i="28"/>
  <c r="N24" i="22"/>
  <c r="N59" i="22"/>
  <c r="O44" i="22"/>
  <c r="G76" i="28" s="1"/>
  <c r="G77" i="28" s="1"/>
  <c r="G79" i="28" s="1"/>
  <c r="N57" i="27"/>
  <c r="N45" i="27"/>
  <c r="U44" i="27"/>
  <c r="N24" i="27"/>
  <c r="N59" i="27"/>
  <c r="P40" i="27"/>
  <c r="O44" i="27"/>
  <c r="Q49" i="27"/>
  <c r="Q16" i="27"/>
  <c r="Q60" i="27" s="1"/>
  <c r="Q61" i="27"/>
  <c r="U35" i="22"/>
  <c r="N57" i="22"/>
  <c r="N45" i="22"/>
  <c r="P11" i="26"/>
  <c r="Q7" i="26"/>
  <c r="Q13" i="26"/>
  <c r="Q5" i="26"/>
  <c r="Q6" i="26" s="1"/>
  <c r="Q12" i="26"/>
  <c r="Q14" i="26" s="1"/>
  <c r="Q8" i="26"/>
  <c r="Q9" i="26"/>
  <c r="Q16" i="26"/>
  <c r="X4" i="26"/>
  <c r="P14" i="26"/>
  <c r="P15" i="26" s="1"/>
  <c r="P17" i="26" s="1"/>
  <c r="W17" i="26" s="1"/>
  <c r="W23" i="22"/>
  <c r="O53" i="22"/>
  <c r="O35" i="22"/>
  <c r="O54" i="22"/>
  <c r="O55" i="22"/>
  <c r="Q23" i="22"/>
  <c r="P49" i="22"/>
  <c r="P30" i="22"/>
  <c r="P25" i="22"/>
  <c r="B118" i="28" l="1"/>
  <c r="O57" i="27"/>
  <c r="O59" i="27"/>
  <c r="O24" i="27"/>
  <c r="O45" i="27"/>
  <c r="V44" i="27"/>
  <c r="Q40" i="27"/>
  <c r="Q44" i="27" s="1"/>
  <c r="P44" i="27"/>
  <c r="V44" i="22"/>
  <c r="O59" i="22"/>
  <c r="Q44" i="22"/>
  <c r="I76" i="28" s="1"/>
  <c r="I77" i="28" s="1"/>
  <c r="I79" i="28" s="1"/>
  <c r="P44" i="22"/>
  <c r="H76" i="28" s="1"/>
  <c r="H77" i="28" s="1"/>
  <c r="H79" i="28" s="1"/>
  <c r="V35" i="22"/>
  <c r="O58" i="22"/>
  <c r="Q10" i="26"/>
  <c r="Q11" i="26" s="1"/>
  <c r="Q15" i="26" s="1"/>
  <c r="Q17" i="26" s="1"/>
  <c r="X17" i="26" s="1"/>
  <c r="X23" i="22"/>
  <c r="P53" i="22"/>
  <c r="P55" i="22"/>
  <c r="P35" i="22"/>
  <c r="P54" i="22"/>
  <c r="O57" i="22"/>
  <c r="O45" i="22"/>
  <c r="O24" i="22"/>
  <c r="Q25" i="22"/>
  <c r="Q30" i="22"/>
  <c r="Q49" i="22"/>
  <c r="E122" i="28" l="1"/>
  <c r="E121" i="28"/>
  <c r="B124" i="28"/>
  <c r="B126" i="28" s="1"/>
  <c r="B120" i="28"/>
  <c r="X44" i="22"/>
  <c r="W44" i="27"/>
  <c r="P57" i="27"/>
  <c r="P45" i="27"/>
  <c r="P24" i="27"/>
  <c r="P59" i="27"/>
  <c r="Q57" i="27"/>
  <c r="X44" i="27"/>
  <c r="Q24" i="27"/>
  <c r="Q45" i="27"/>
  <c r="Q59" i="27"/>
  <c r="Q59" i="22"/>
  <c r="W44" i="22"/>
  <c r="P59" i="22"/>
  <c r="W35" i="22"/>
  <c r="P58" i="22"/>
  <c r="Q53" i="22"/>
  <c r="Q55" i="22"/>
  <c r="Q35" i="22"/>
  <c r="Q54" i="22"/>
  <c r="P57" i="22"/>
  <c r="P45" i="22"/>
  <c r="P24" i="22"/>
  <c r="X35" i="22" l="1"/>
  <c r="Q58" i="22"/>
  <c r="Q57" i="22"/>
  <c r="Q45" i="22"/>
  <c r="Q24"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5" authorId="0" shapeId="0" xr:uid="{1C4C0B1A-1084-A849-B701-271797744F44}">
      <text>
        <r>
          <rPr>
            <sz val="9"/>
            <color indexed="81"/>
            <rFont val="Tahoma"/>
            <family val="2"/>
          </rPr>
          <t>Nikanor:
separated because it is lumped together with other expenses on the IS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tc={6B0FAEB7-97CC-4D9C-80FA-04AECFBD4298}</author>
  </authors>
  <commentList>
    <comment ref="M1" authorId="0" shapeId="0" xr:uid="{6B0FAEB7-97CC-4D9C-80FA-04AECFBD4298}">
      <text>
        <t>[Threaded comment]
Your version of Excel allows you to read this threaded comment; however, any edits to it will get removed if the file is opened in a newer version of Excel. Learn more: https://go.microsoft.com/fwlink/?linkid=870924
Comment:
    https://nvidianews.nvidia.com/news/nvidia-announces-financial-results-for-third-quarter-fiscal-2025</t>
      </text>
    </comment>
  </commentList>
</comments>
</file>

<file path=xl/sharedStrings.xml><?xml version="1.0" encoding="utf-8"?>
<sst xmlns="http://schemas.openxmlformats.org/spreadsheetml/2006/main" count="2029" uniqueCount="491">
  <si>
    <t>External Factors</t>
  </si>
  <si>
    <t>Risk Free Rate</t>
  </si>
  <si>
    <t>Market risk premium</t>
  </si>
  <si>
    <t>Interest rate on debt (cost of debt)</t>
  </si>
  <si>
    <t>Annual sales growth</t>
  </si>
  <si>
    <t>Cost of equity</t>
  </si>
  <si>
    <t>Capital Structure (% debt)</t>
  </si>
  <si>
    <t>WACC (discount rate)</t>
  </si>
  <si>
    <t>Perpetual CF growth</t>
  </si>
  <si>
    <t>Perpetual discount</t>
  </si>
  <si>
    <t>Payout and financing</t>
  </si>
  <si>
    <t>Debt portion to fin operations</t>
  </si>
  <si>
    <t>Payout ratio</t>
  </si>
  <si>
    <t>Parameter Estimates</t>
  </si>
  <si>
    <t>COGS/Sales</t>
  </si>
  <si>
    <t>RD/Sales</t>
  </si>
  <si>
    <t>SGA/Sales</t>
  </si>
  <si>
    <t>Depreciation/Fixed Assets</t>
  </si>
  <si>
    <t>Tax rate</t>
  </si>
  <si>
    <t>Cash/Sales</t>
  </si>
  <si>
    <t>AR/Sales</t>
  </si>
  <si>
    <t>Other Assets/Sales</t>
  </si>
  <si>
    <t>Fixed Assets/Sales</t>
  </si>
  <si>
    <t>AP. Acr Exp etc/Sales</t>
  </si>
  <si>
    <t>Beta</t>
  </si>
  <si>
    <t>Number of shares</t>
  </si>
  <si>
    <t>Market Cap</t>
  </si>
  <si>
    <t>Income Statement</t>
  </si>
  <si>
    <t>Total Revenue</t>
  </si>
  <si>
    <t>Direct Costs</t>
  </si>
  <si>
    <t>Gross Profit</t>
  </si>
  <si>
    <t>Selling General &amp; Admin</t>
  </si>
  <si>
    <t>Research &amp; Development</t>
  </si>
  <si>
    <t>Total Indirect Operating Costs</t>
  </si>
  <si>
    <t>Operating Income (EBIT)</t>
  </si>
  <si>
    <t>Interest Expense</t>
  </si>
  <si>
    <t>Other Non-Operating Exp</t>
  </si>
  <si>
    <t>Total Non-Operating Exp</t>
  </si>
  <si>
    <t>Earnings Before Tax (EBT)</t>
  </si>
  <si>
    <t>Taxation</t>
  </si>
  <si>
    <t>Net Income</t>
  </si>
  <si>
    <t>Profit margin</t>
  </si>
  <si>
    <t>Depreciation</t>
  </si>
  <si>
    <t>Balance Sheet</t>
  </si>
  <si>
    <t>Cash &amp; Equivs &amp; ST Investments</t>
  </si>
  <si>
    <t>Receivables (ST)</t>
  </si>
  <si>
    <t>Other Cur Asstets</t>
  </si>
  <si>
    <t>Total Current Assets</t>
  </si>
  <si>
    <t>Gross Property Plant &amp; Equip</t>
  </si>
  <si>
    <t>Accumulated Depreciation</t>
  </si>
  <si>
    <t>Net Property Plant &amp; Equip</t>
  </si>
  <si>
    <t>Other Assets</t>
  </si>
  <si>
    <t>Total LT Assets</t>
  </si>
  <si>
    <t>Total Assets</t>
  </si>
  <si>
    <t>AP, Accr Exp, etc</t>
  </si>
  <si>
    <t>Other Curr L (customers)</t>
  </si>
  <si>
    <t>Total Current Liabilities</t>
  </si>
  <si>
    <t>LT Debt &amp; Leases &amp; Other long</t>
  </si>
  <si>
    <t>Total Liabilities</t>
  </si>
  <si>
    <t>Retained Earnings</t>
  </si>
  <si>
    <t>Total Equity</t>
  </si>
  <si>
    <t>Total Liabilities &amp; Equity</t>
  </si>
  <si>
    <t>check</t>
  </si>
  <si>
    <t>Investment Module</t>
  </si>
  <si>
    <t>Current Asset Investment</t>
  </si>
  <si>
    <t>Investment in new Fixed Assets</t>
  </si>
  <si>
    <t>Replacement of Depreciated Assets</t>
  </si>
  <si>
    <t>Fixed Asset Investment</t>
  </si>
  <si>
    <t>Total Investment</t>
  </si>
  <si>
    <t>Financiang Module</t>
  </si>
  <si>
    <t>Required financing</t>
  </si>
  <si>
    <t>Sources of funds:</t>
  </si>
  <si>
    <t>Net income</t>
  </si>
  <si>
    <t>Earnings CF</t>
  </si>
  <si>
    <t>Minimum Dividend</t>
  </si>
  <si>
    <t>Internal Financing</t>
  </si>
  <si>
    <t>Spontaneous Financiang (CL)</t>
  </si>
  <si>
    <t>Total int and spont financing</t>
  </si>
  <si>
    <t>Required external financing</t>
  </si>
  <si>
    <t>Debt issued</t>
  </si>
  <si>
    <t>Equity issued</t>
  </si>
  <si>
    <t>Total discretionary financing</t>
  </si>
  <si>
    <t>Total financing</t>
  </si>
  <si>
    <t>Cash flow</t>
  </si>
  <si>
    <t>Operating CF</t>
  </si>
  <si>
    <t>Net CAPEX</t>
  </si>
  <si>
    <t>Net NWC</t>
  </si>
  <si>
    <t>Terminal Value</t>
  </si>
  <si>
    <t>Enterprise Value</t>
  </si>
  <si>
    <t>EV/share</t>
  </si>
  <si>
    <t>Net Debt</t>
  </si>
  <si>
    <t>Equity Value</t>
  </si>
  <si>
    <t>Proj Stock Price</t>
  </si>
  <si>
    <t>Interest and Debt Service</t>
  </si>
  <si>
    <t>Interest expense</t>
  </si>
  <si>
    <t>Total Interest bearing debt</t>
  </si>
  <si>
    <t>Total debt</t>
  </si>
  <si>
    <t>in thousand as of 11.12.15</t>
  </si>
  <si>
    <t>NVDA</t>
  </si>
  <si>
    <t>AMD</t>
  </si>
  <si>
    <t>Intel</t>
  </si>
  <si>
    <t>Qualcomm</t>
  </si>
  <si>
    <t>Broadcom</t>
  </si>
  <si>
    <t>Market Cap Jan 2024</t>
  </si>
  <si>
    <t>Shares outstanding</t>
  </si>
  <si>
    <t>NET INCOME 2024</t>
  </si>
  <si>
    <t>NET INCOME (projected)</t>
  </si>
  <si>
    <t xml:space="preserve">EBITDA </t>
  </si>
  <si>
    <t>SALES</t>
  </si>
  <si>
    <t>BOOK VALUE (EQUITY)</t>
  </si>
  <si>
    <t xml:space="preserve">P/E </t>
  </si>
  <si>
    <t>Average</t>
  </si>
  <si>
    <t>P/E (forward or last earnings)</t>
  </si>
  <si>
    <t>EBITDA multiplier</t>
  </si>
  <si>
    <t>Sales multiplier</t>
  </si>
  <si>
    <t>Book Value multiplier</t>
  </si>
  <si>
    <t>ULTI</t>
  </si>
  <si>
    <t>Cap Based on AVG</t>
  </si>
  <si>
    <t>Price per share</t>
  </si>
  <si>
    <t>P/E</t>
  </si>
  <si>
    <t xml:space="preserve">Standardized Annual Balance Sheet </t>
  </si>
  <si>
    <t>Jan-15</t>
  </si>
  <si>
    <t>Jan-16</t>
  </si>
  <si>
    <t>Jan-17</t>
  </si>
  <si>
    <t>Jan-18</t>
  </si>
  <si>
    <t>Jan-19</t>
  </si>
  <si>
    <t>Jan-20</t>
  </si>
  <si>
    <t>Jan-21</t>
  </si>
  <si>
    <t>Jan-22</t>
  </si>
  <si>
    <t>Jan-23</t>
  </si>
  <si>
    <t>Jan-24</t>
  </si>
  <si>
    <t>Report Date</t>
  </si>
  <si>
    <t>01/25/2015</t>
  </si>
  <si>
    <t>01/31/2016</t>
  </si>
  <si>
    <t>01/29/2017</t>
  </si>
  <si>
    <t>01/28/2018</t>
  </si>
  <si>
    <t>01/27/2019</t>
  </si>
  <si>
    <t>01/26/2020</t>
  </si>
  <si>
    <t>01/31/2021</t>
  </si>
  <si>
    <t>01/30/2022</t>
  </si>
  <si>
    <t>01/29/2023</t>
  </si>
  <si>
    <t>01/28/2024</t>
  </si>
  <si>
    <t>Currency</t>
  </si>
  <si>
    <t>USD</t>
  </si>
  <si>
    <t>Audit Status</t>
  </si>
  <si>
    <t>Not Qualified</t>
  </si>
  <si>
    <t>Consolidated</t>
  </si>
  <si>
    <t>Yes</t>
  </si>
  <si>
    <t>Scale</t>
  </si>
  <si>
    <t>Thousands</t>
  </si>
  <si>
    <t>Cash &amp; Equivalents</t>
  </si>
  <si>
    <t>Short Term Investments</t>
  </si>
  <si>
    <t>Inventories</t>
  </si>
  <si>
    <t>Current Tax Assets</t>
  </si>
  <si>
    <t>-</t>
  </si>
  <si>
    <t>Other Current Assets</t>
  </si>
  <si>
    <t>Long Term Investments</t>
  </si>
  <si>
    <t>Intangible Assets</t>
  </si>
  <si>
    <t>Prepayments (LT)</t>
  </si>
  <si>
    <t>Deferred LT Assets</t>
  </si>
  <si>
    <t>Accounts Payable &amp; Accrued Exps</t>
  </si>
  <si>
    <t>Accounts Payable</t>
  </si>
  <si>
    <t>Accrued Expenses</t>
  </si>
  <si>
    <t>Current Debt</t>
  </si>
  <si>
    <t>Other Current Liabilities</t>
  </si>
  <si>
    <t>LT Debt &amp; Leases</t>
  </si>
  <si>
    <t>Deferred LT Liabilities</t>
  </si>
  <si>
    <t>Minority Interests</t>
  </si>
  <si>
    <t>Other Liabilities</t>
  </si>
  <si>
    <t>Temporary Equity</t>
  </si>
  <si>
    <t>Common Share Capital</t>
  </si>
  <si>
    <t>Additional Paid-In Capital</t>
  </si>
  <si>
    <t>Accum Other Comprehensive Income</t>
  </si>
  <si>
    <t>Treasury Stock</t>
  </si>
  <si>
    <t>Other Equity</t>
  </si>
  <si>
    <t>Weighted Average Shares Outstanding</t>
  </si>
  <si>
    <t>Working Capital</t>
  </si>
  <si>
    <t>Projected Jan-25</t>
  </si>
  <si>
    <t>Projected Jan-26</t>
  </si>
  <si>
    <t>Projected Jan-27</t>
  </si>
  <si>
    <t>Projected Jan-28</t>
  </si>
  <si>
    <t>Projected Jan-29</t>
  </si>
  <si>
    <t>Projected Jan-30</t>
  </si>
  <si>
    <t>Sales/Gross PPE</t>
  </si>
  <si>
    <t>Sales/Net PPE</t>
  </si>
  <si>
    <t>average</t>
  </si>
  <si>
    <t>Growth</t>
  </si>
  <si>
    <t>Current Ratio</t>
  </si>
  <si>
    <t>Cash Ratio</t>
  </si>
  <si>
    <t>Quick Ratio</t>
  </si>
  <si>
    <t>Deferred Assets (Taxes)/Revenue</t>
  </si>
  <si>
    <t>D/E</t>
  </si>
  <si>
    <t>TL/TA</t>
  </si>
  <si>
    <t>TE/TA</t>
  </si>
  <si>
    <t>DCF Model</t>
  </si>
  <si>
    <t>Short Term Inv/Sales</t>
  </si>
  <si>
    <t>Inventory/Sales</t>
  </si>
  <si>
    <t xml:space="preserve">Standardized Quarterly Balance Sheet </t>
  </si>
  <si>
    <t>05/01/2022</t>
  </si>
  <si>
    <t>07/31/2022</t>
  </si>
  <si>
    <t>10/30/2022</t>
  </si>
  <si>
    <t>04/30/2023</t>
  </si>
  <si>
    <t>07/30/2023</t>
  </si>
  <si>
    <t>10/29/2023</t>
  </si>
  <si>
    <t>04/28/2024</t>
  </si>
  <si>
    <t>07/28/2024</t>
  </si>
  <si>
    <t>10/27/2024</t>
  </si>
  <si>
    <t>1st Quarter</t>
  </si>
  <si>
    <t>2nd Quarter</t>
  </si>
  <si>
    <t>3rd Quarter</t>
  </si>
  <si>
    <t>4th Quarter</t>
  </si>
  <si>
    <t>Prepayments (ST)</t>
  </si>
  <si>
    <t>Powered by Clearbit</t>
  </si>
  <si>
    <t>NVIDIA Corp (NMS: NVDA)</t>
  </si>
  <si>
    <t xml:space="preserve">Exchange rate used is that of the Year End reported date </t>
  </si>
  <si>
    <t xml:space="preserve">Standardized Annual CS Balance Sheet </t>
  </si>
  <si>
    <t xml:space="preserve">Cash &amp; Equivalents </t>
  </si>
  <si>
    <t xml:space="preserve">Short Term Investments </t>
  </si>
  <si>
    <t xml:space="preserve">Cash &amp; Equivs &amp; ST Investments </t>
  </si>
  <si>
    <t xml:space="preserve">Receivables (ST) </t>
  </si>
  <si>
    <t xml:space="preserve">Inventories </t>
  </si>
  <si>
    <t xml:space="preserve">Current Tax Assets </t>
  </si>
  <si>
    <t xml:space="preserve">Other Current Assets </t>
  </si>
  <si>
    <t xml:space="preserve">Total Current Assets </t>
  </si>
  <si>
    <t xml:space="preserve">Gross Property Plant &amp; Equip </t>
  </si>
  <si>
    <t xml:space="preserve">Accumulated Depreciation </t>
  </si>
  <si>
    <t xml:space="preserve">Net Property Plant &amp; Equip </t>
  </si>
  <si>
    <t xml:space="preserve">LT Investments </t>
  </si>
  <si>
    <t xml:space="preserve">Intangible Assets </t>
  </si>
  <si>
    <t xml:space="preserve">Prepayments LT </t>
  </si>
  <si>
    <t xml:space="preserve">Deferred LT Assets </t>
  </si>
  <si>
    <t xml:space="preserve">Other Assets </t>
  </si>
  <si>
    <t>Total Assets as 100%</t>
  </si>
  <si>
    <t xml:space="preserve">Accounts Payable &amp; Accrued Exps </t>
  </si>
  <si>
    <t xml:space="preserve">Accounts Payable </t>
  </si>
  <si>
    <t xml:space="preserve">Accrued Expenses </t>
  </si>
  <si>
    <t xml:space="preserve">Current Debt </t>
  </si>
  <si>
    <t xml:space="preserve">Other Current Liabilities </t>
  </si>
  <si>
    <t xml:space="preserve">Total Current Liabilities </t>
  </si>
  <si>
    <t xml:space="preserve">LT Debt &amp; Lease </t>
  </si>
  <si>
    <t xml:space="preserve">Deferred LT Liabilities </t>
  </si>
  <si>
    <t xml:space="preserve">Minority Interests </t>
  </si>
  <si>
    <t xml:space="preserve">Other Liabilities </t>
  </si>
  <si>
    <t xml:space="preserve">Total Liabilities </t>
  </si>
  <si>
    <t xml:space="preserve">Temporary Equity </t>
  </si>
  <si>
    <t xml:space="preserve">Common Share Capital </t>
  </si>
  <si>
    <t xml:space="preserve">Additional Paid-In Capital </t>
  </si>
  <si>
    <t xml:space="preserve">Retained Earnings </t>
  </si>
  <si>
    <t xml:space="preserve">Accum Other Comprehens Income </t>
  </si>
  <si>
    <t xml:space="preserve">Other Equity </t>
  </si>
  <si>
    <t xml:space="preserve">Total Equity </t>
  </si>
  <si>
    <t xml:space="preserve">Total Liabilities &amp; Equity </t>
  </si>
  <si>
    <t xml:space="preserve">Standardized Annual Cash Flows </t>
  </si>
  <si>
    <t>Adjustments from Inc to Cash</t>
  </si>
  <si>
    <t>Change in Working Capital</t>
  </si>
  <si>
    <t>Cash Flow from Operations</t>
  </si>
  <si>
    <t>Purchase of Pty Plant &amp; Equip</t>
  </si>
  <si>
    <t>Purchase of Investments</t>
  </si>
  <si>
    <t>Disposal of Investments</t>
  </si>
  <si>
    <t>Change in Business Activities</t>
  </si>
  <si>
    <t>Other Investing Cash Flows</t>
  </si>
  <si>
    <t>Cash Flow from Investing</t>
  </si>
  <si>
    <t>Change in LT Debt</t>
  </si>
  <si>
    <t>Change in Equity</t>
  </si>
  <si>
    <t>Payment of Dividends</t>
  </si>
  <si>
    <t>Other Financing Cash Flows</t>
  </si>
  <si>
    <t>Cash Flow from Financing</t>
  </si>
  <si>
    <t>Change in Cash</t>
  </si>
  <si>
    <t>Opening Cash</t>
  </si>
  <si>
    <t>Closing Cash</t>
  </si>
  <si>
    <t>Depn &amp; Amortn (CF)</t>
  </si>
  <si>
    <t>Net Purch of Pty Plant &amp; Equip</t>
  </si>
  <si>
    <t xml:space="preserve">Standardized Annual Income Statement </t>
  </si>
  <si>
    <t>Cost of revenue consists primarily of the
cost of semiconductors, including wafer fabrication, assembly, testing and packaging, board and device costs,
manufacturing support costs, including labor and overhead associated with such purchases, final test yield fallout,
inventory and warranty provisions, memory and component costs, tariffs, and shipping costs. Cost of revenue also
includes acquisition-related costs, development costs for license and service arrangements, IP-related costs, and stock-
based compensation related to personnel associated with manufacturing operations.</t>
  </si>
  <si>
    <t>Other Operating Expense</t>
  </si>
  <si>
    <t>Operating Income</t>
  </si>
  <si>
    <t>Interest Income</t>
  </si>
  <si>
    <t>Interest income consists of interest earned on cash, cash equivalents and marketable securities. The increase in interest income was due to higher yields on higher cash balances. Interest expense is comprised of coupon interest and debt discount amortization related to our notes.</t>
  </si>
  <si>
    <t>Other Non-Operating Income</t>
  </si>
  <si>
    <t>In Nvidia's 2024 Annual Report, non-operating income is detailed as interest income, interest expense, and other income/expense, which is captured under the Other Income (Expense), Net section. Specifically, interest income was $866 million, driven by higher yields on cash, cash equivalents, and marketable securities, a sharp rise from $267 million the previous year. Interest expense was $257 million, primarily related to coupon interest and debt discount amortization. The "Other, net" category consists of realized or unrealized gains and losses from investments in non-affiliated entities and the impact of changes in foreign currency rates. This component saw a significant change, from a loss of $48 million in the prior fiscal year to a gain of $237 million, which was driven by fluctuations in the value of Nvidia's non-affiliated investments</t>
  </si>
  <si>
    <t>Total Non-Operating Income</t>
  </si>
  <si>
    <t>Earnings Before Tax</t>
  </si>
  <si>
    <t>When Nvidia's income tax expense is reported as positive, it means that the company will owe taxes based on its income, and it is not considered a "benefit" in the sense that it reduces overall expenses. Rather, it is an expense that reflects the company's obligation to pay taxes on its pre-tax income.</t>
  </si>
  <si>
    <t>Direct Chip makers Competitors</t>
  </si>
  <si>
    <t>Potential competitors</t>
  </si>
  <si>
    <t>Google</t>
  </si>
  <si>
    <t>Meta</t>
  </si>
  <si>
    <t>Net Income to Common</t>
  </si>
  <si>
    <t>IBM</t>
  </si>
  <si>
    <t>Tesla</t>
  </si>
  <si>
    <t>Not a direct competitor because they apply the same technology in different industries</t>
  </si>
  <si>
    <t>Average Shares Basic</t>
  </si>
  <si>
    <t>Microsoft</t>
  </si>
  <si>
    <t>EPS Net Basic</t>
  </si>
  <si>
    <t>Huawei</t>
  </si>
  <si>
    <t>EPS Continuing Basic</t>
  </si>
  <si>
    <t>ARM Holdings</t>
  </si>
  <si>
    <t>Average Shares Diluted</t>
  </si>
  <si>
    <t>Amazon</t>
  </si>
  <si>
    <t>EPS Net Diluted</t>
  </si>
  <si>
    <t>EPS Continuing Diluted</t>
  </si>
  <si>
    <t>Core Competition</t>
  </si>
  <si>
    <t>Shares Outstanding</t>
  </si>
  <si>
    <t>Stock Price</t>
  </si>
  <si>
    <t>Created Entries</t>
  </si>
  <si>
    <t>Broadcom Inc</t>
  </si>
  <si>
    <t>Dates</t>
  </si>
  <si>
    <t>Indirect Costs</t>
  </si>
  <si>
    <t>Indirect Costs Distribution</t>
  </si>
  <si>
    <t>Profitability</t>
  </si>
  <si>
    <t>Gross Profit Margin</t>
  </si>
  <si>
    <t>Operating Profit margin</t>
  </si>
  <si>
    <t>Net Profit Margin</t>
  </si>
  <si>
    <t>Industry Metrics</t>
  </si>
  <si>
    <t>R&amp;D to Revenue</t>
  </si>
  <si>
    <t>Have a comparison with competitors as well</t>
  </si>
  <si>
    <t>Valuation Ratios</t>
  </si>
  <si>
    <t>BV</t>
  </si>
  <si>
    <t>EPS</t>
  </si>
  <si>
    <t>P/BV</t>
  </si>
  <si>
    <t>P/CF</t>
  </si>
  <si>
    <t>Growth:</t>
  </si>
  <si>
    <t>Revenue Growth</t>
  </si>
  <si>
    <t>Net Income Growth</t>
  </si>
  <si>
    <t>Average Growth</t>
  </si>
  <si>
    <t>Sales Growth</t>
  </si>
  <si>
    <t>CAGR</t>
  </si>
  <si>
    <t xml:space="preserve">Standardized Quarterly Income Statement </t>
  </si>
  <si>
    <t>Projection</t>
  </si>
  <si>
    <t>Restruct Remediation &amp; Impair</t>
  </si>
  <si>
    <t>Earnings After Tax</t>
  </si>
  <si>
    <t>Preference Dividends &amp; Similar</t>
  </si>
  <si>
    <t>Q1</t>
  </si>
  <si>
    <t>Q2</t>
  </si>
  <si>
    <t>Q3</t>
  </si>
  <si>
    <t>Q4</t>
  </si>
  <si>
    <t>Revenues:</t>
  </si>
  <si>
    <t xml:space="preserve">  </t>
  </si>
  <si>
    <t>Nia's below</t>
  </si>
  <si>
    <t>Profitability Ratios</t>
  </si>
  <si>
    <t>ROA % (Net)</t>
  </si>
  <si>
    <t>ROE % (Net)</t>
  </si>
  <si>
    <t>ROI % (Operating)</t>
  </si>
  <si>
    <t>EBITDA Margin %</t>
  </si>
  <si>
    <t>Calculated Tax Rate %</t>
  </si>
  <si>
    <t>Revenue per Employee</t>
  </si>
  <si>
    <t>Liquidity Ratios</t>
  </si>
  <si>
    <t>Net Current Assets % TA</t>
  </si>
  <si>
    <t>Debt Management</t>
  </si>
  <si>
    <t>LT Debt to Equity</t>
  </si>
  <si>
    <t>Total Debt to Equity</t>
  </si>
  <si>
    <t>Interest Coverage</t>
  </si>
  <si>
    <t>Asset Management</t>
  </si>
  <si>
    <t>Total Asset Turnover</t>
  </si>
  <si>
    <t>Receivables Turnover</t>
  </si>
  <si>
    <t>Days in Receivables</t>
  </si>
  <si>
    <t>Inventory Turnover</t>
  </si>
  <si>
    <t>Days in Inventory</t>
  </si>
  <si>
    <t>Accounts Payable Turnover</t>
  </si>
  <si>
    <t>Accrued Expenses Turnover</t>
  </si>
  <si>
    <t>Property Plant &amp; Equip Turnover</t>
  </si>
  <si>
    <t>Cash &amp; Equivalents Turnover</t>
  </si>
  <si>
    <t>Per Share</t>
  </si>
  <si>
    <t>Cash Flow per Share</t>
  </si>
  <si>
    <t>Book Value per Share</t>
  </si>
  <si>
    <t>test here</t>
  </si>
  <si>
    <t xml:space="preserve">As Reported Annual Retained Earnings </t>
  </si>
  <si>
    <t>Previous retained earnings (accumulated deficit)</t>
  </si>
  <si>
    <t>Retained earnings adjustment due to adoption of an accounting standard related to income tax consequences of an intra-entity transfer of an asset</t>
  </si>
  <si>
    <t>Retained earnings adjustment due to adoption of an accounting standard related to stock-based compensation</t>
  </si>
  <si>
    <t>Cash dividends declared &amp; paid</t>
  </si>
  <si>
    <t>Share repurchase</t>
  </si>
  <si>
    <t>Retirement of treasury stock</t>
  </si>
  <si>
    <t>Retained earnings (accumulated deficit)</t>
  </si>
  <si>
    <t xml:space="preserve"> Semiconductors Industry</t>
  </si>
  <si>
    <t>Technology Sector</t>
  </si>
  <si>
    <t>COMPANY NAME</t>
  </si>
  <si>
    <t>MARKET SHARE</t>
  </si>
  <si>
    <t>12 Months Ending</t>
  </si>
  <si>
    <t>MRQ</t>
  </si>
  <si>
    <t>Company name</t>
  </si>
  <si>
    <t>Q3 2024</t>
  </si>
  <si>
    <t>Q2 2024</t>
  </si>
  <si>
    <t>SUBTOTAL</t>
  </si>
  <si>
    <t>Nvidia Corp</t>
  </si>
  <si>
    <t>Intel Corporation</t>
  </si>
  <si>
    <t>Cisco Systems Inc</t>
  </si>
  <si>
    <t>Advanced Micro Devices Inc</t>
  </si>
  <si>
    <t>Nxp Semiconductors N v</t>
  </si>
  <si>
    <t>Qualcomm Inc</t>
  </si>
  <si>
    <t>Marvell Technology Inc</t>
  </si>
  <si>
    <t>Skyworks Solutions Inc</t>
  </si>
  <si>
    <t>Qorvo Inc</t>
  </si>
  <si>
    <t>Arista Networks inc</t>
  </si>
  <si>
    <t>Wolfspeed Inc</t>
  </si>
  <si>
    <t>Macom Technology Solutions Holdings Inc</t>
  </si>
  <si>
    <t>Juniper Networks Inc</t>
  </si>
  <si>
    <t>Ambarella Inc</t>
  </si>
  <si>
    <t>Pixelworks Inc</t>
  </si>
  <si>
    <t>Nve Corp</t>
  </si>
  <si>
    <t>Gsi Technology Inc</t>
  </si>
  <si>
    <t>Silicom Ltd</t>
  </si>
  <si>
    <t>Akoustis Technologies Inc</t>
  </si>
  <si>
    <t>Other</t>
  </si>
  <si>
    <t>Subtotal</t>
  </si>
  <si>
    <t>Data Center</t>
  </si>
  <si>
    <t>Gaming</t>
  </si>
  <si>
    <t>Professional Visualization</t>
  </si>
  <si>
    <t>Automotive</t>
  </si>
  <si>
    <t>OEM and Other</t>
  </si>
  <si>
    <t>Total revenue</t>
  </si>
  <si>
    <t>Total</t>
  </si>
  <si>
    <t>Revenue</t>
  </si>
  <si>
    <t>United States</t>
  </si>
  <si>
    <t>Taiwan</t>
  </si>
  <si>
    <t>China (including Hong Kong)</t>
  </si>
  <si>
    <t>Other countries</t>
  </si>
  <si>
    <t>Board of Directors</t>
  </si>
  <si>
    <t>Speciality</t>
  </si>
  <si>
    <t>Rob Burgess</t>
  </si>
  <si>
    <t>Multimedia Technologist</t>
  </si>
  <si>
    <t>Tench Coxe</t>
  </si>
  <si>
    <t>Venture Capitalist</t>
  </si>
  <si>
    <t>John.O.Dabiri</t>
  </si>
  <si>
    <t>Aeronautical Engineer</t>
  </si>
  <si>
    <t>Persis S. Drell</t>
  </si>
  <si>
    <t>Physicist</t>
  </si>
  <si>
    <t>Jensen Huang</t>
  </si>
  <si>
    <t>Graphics Processing and AI Specialist</t>
  </si>
  <si>
    <t>Dawn Hudson</t>
  </si>
  <si>
    <t>Marketing</t>
  </si>
  <si>
    <t>Harvey C. Jones</t>
  </si>
  <si>
    <t>Semiconductors Specialist</t>
  </si>
  <si>
    <t>Melissa B. Lora</t>
  </si>
  <si>
    <t>Executive </t>
  </si>
  <si>
    <t>Stephen C. Neal</t>
  </si>
  <si>
    <t>Attorney </t>
  </si>
  <si>
    <t>Ellen Ochoa</t>
  </si>
  <si>
    <t>Aerospace Engineer</t>
  </si>
  <si>
    <t>A. Brooke Seawell</t>
  </si>
  <si>
    <t>Executive and Venture Capitalist</t>
  </si>
  <si>
    <t>Aarti Shah</t>
  </si>
  <si>
    <t>Mark A. Stevens</t>
  </si>
  <si>
    <t>Venture Capitalist </t>
  </si>
  <si>
    <t>Multimedia</t>
  </si>
  <si>
    <t>Software Systems</t>
  </si>
  <si>
    <t>Aeronautical</t>
  </si>
  <si>
    <t>Physics</t>
  </si>
  <si>
    <t>Graphics and AI</t>
  </si>
  <si>
    <t>Semiconductors</t>
  </si>
  <si>
    <t>Consumer Goods</t>
  </si>
  <si>
    <t>Law</t>
  </si>
  <si>
    <t>Space Exploration</t>
  </si>
  <si>
    <t>Internet Investments</t>
  </si>
  <si>
    <t>Data Analytics</t>
  </si>
  <si>
    <t>Syetem-related Investments</t>
  </si>
  <si>
    <t>Porter's Five Forces</t>
  </si>
  <si>
    <t>Rating</t>
  </si>
  <si>
    <t>Threat of Competitive Rivalry</t>
  </si>
  <si>
    <t>Threat of New Entrants</t>
  </si>
  <si>
    <t>Bargaining Power of Buyers</t>
  </si>
  <si>
    <t>Bargaining Power of Suppliers</t>
  </si>
  <si>
    <t>Threat of Substitutes</t>
  </si>
  <si>
    <t>SWOT Analysis</t>
  </si>
  <si>
    <t>Strengths</t>
  </si>
  <si>
    <t>Weaknesses</t>
  </si>
  <si>
    <t>Opportunities</t>
  </si>
  <si>
    <t>Threats</t>
  </si>
  <si>
    <t>29,600 Employees</t>
  </si>
  <si>
    <t>Controls 90% of GPU Market</t>
  </si>
  <si>
    <t>$3 Trillion Market Cap</t>
  </si>
  <si>
    <t>Rank 1 in Forbe's Best Companys</t>
  </si>
  <si>
    <t>$61 Billion in sales in 2024</t>
  </si>
  <si>
    <t>Free cash flow</t>
  </si>
  <si>
    <t>EV/Revenue</t>
  </si>
  <si>
    <t>EV/EBITDA</t>
  </si>
  <si>
    <t>Closing Price (01/31/2024)</t>
  </si>
  <si>
    <t>52 Week High / Low</t>
  </si>
  <si>
    <t>$61.53 / $19.54</t>
  </si>
  <si>
    <t>Stock Return (Y to Y)</t>
  </si>
  <si>
    <t>2.15x</t>
  </si>
  <si>
    <t>Average Volume (1 Year)</t>
  </si>
  <si>
    <t>$1.5T</t>
  </si>
  <si>
    <t>Dividend Yield</t>
  </si>
  <si>
    <t>Dividend Payout Ratio</t>
  </si>
  <si>
    <t>EV / Revenue</t>
  </si>
  <si>
    <t>17.1x</t>
  </si>
  <si>
    <t>EV / EBITDA</t>
  </si>
  <si>
    <t>30.9x</t>
  </si>
  <si>
    <t>Market Profile (Jan-24)</t>
  </si>
  <si>
    <t>Fig (15): Value using Peer Averages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</si>
</sst>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8" formatCode="&quot;$&quot;#,##0.00_);[Red]\(&quot;$&quot;#,##0.00\)"/>
    <numFmt numFmtId="44" formatCode="_(&quot;$&quot;* #,##0.00_);_(&quot;$&quot;* \(#,##0.00\);_(&quot;$&quot;* &quot;-&quot;??_);_(@_)"/>
    <numFmt numFmtId="43" formatCode="_(* #,##0.00_);_(* \(#,##0.00\);_(* &quot;-&quot;??_);_(@_)"/>
    <numFmt numFmtId="164" formatCode="_(* #,##0_);_(* \(#,##0\);_(* &quot;-&quot;??_);_(@_)"/>
    <numFmt numFmtId="165" formatCode="[$-409]mmmm\-yy;@"/>
    <numFmt numFmtId="166" formatCode="0%;\-0%;\-;"/>
    <numFmt numFmtId="167" formatCode="0.0%;\-0.0%;\-"/>
    <numFmt numFmtId="168" formatCode="0.0%"/>
    <numFmt numFmtId="169" formatCode="0.00%;\-0.00%;\-"/>
    <numFmt numFmtId="170" formatCode="0\ &quot;Days&quot;"/>
    <numFmt numFmtId="171" formatCode="_(&quot;$&quot;* #,##0_);_(&quot;$&quot;* \(#,##0\);_(&quot;$&quot;* &quot;-&quot;??_);_(@_)"/>
    <numFmt numFmtId="172" formatCode="[$-409]mmm\-yy;@"/>
    <numFmt numFmtId="173" formatCode="mm/d/yyyy;@"/>
    <numFmt numFmtId="174" formatCode="_(* #,##0_);_(* \(#,##0\);_(* &quot;-&quot;?_);_(@_)"/>
    <numFmt numFmtId="175" formatCode="mm/d/yyyy"/>
  </numFmts>
  <fonts count="34" x14ac:knownFonts="1">
    <font>
      <sz val="10"/>
      <color rgb="FF000000"/>
      <name val="Arial"/>
    </font>
    <font>
      <sz val="8"/>
      <color rgb="FF000000"/>
      <name val="Arial"/>
      <family val="2"/>
    </font>
    <font>
      <b/>
      <sz val="16"/>
      <color rgb="FF000000"/>
      <name val="Arial"/>
      <family val="2"/>
    </font>
    <font>
      <b/>
      <sz val="10"/>
      <color rgb="FF000000"/>
      <name val="Arial"/>
      <family val="2"/>
    </font>
    <font>
      <sz val="10"/>
      <color rgb="FF000000"/>
      <name val="Arial"/>
      <family val="2"/>
    </font>
    <font>
      <sz val="10"/>
      <color rgb="FF000000"/>
      <name val="Arial"/>
      <family val="2"/>
    </font>
    <font>
      <b/>
      <sz val="9"/>
      <color rgb="FF000000"/>
      <name val="Arial"/>
      <family val="2"/>
    </font>
    <font>
      <b/>
      <sz val="10"/>
      <color theme="0"/>
      <name val="Arial"/>
      <family val="2"/>
    </font>
    <font>
      <sz val="10"/>
      <color rgb="FF00B050"/>
      <name val="Arial"/>
      <family val="2"/>
    </font>
    <font>
      <b/>
      <sz val="12"/>
      <color rgb="FF000000"/>
      <name val="Aptos Narrow"/>
      <family val="2"/>
    </font>
    <font>
      <sz val="13"/>
      <color rgb="FF000000"/>
      <name val="Helvetica Neue"/>
      <family val="2"/>
      <charset val="1"/>
    </font>
    <font>
      <sz val="12"/>
      <color rgb="FF000000"/>
      <name val="Aptos Narrow"/>
      <family val="2"/>
    </font>
    <font>
      <sz val="12"/>
      <color rgb="FF000000"/>
      <name val="Aptos Narrow"/>
      <family val="2"/>
      <charset val="1"/>
    </font>
    <font>
      <sz val="10"/>
      <color rgb="FF000000"/>
      <name val="Helvetica"/>
      <family val="2"/>
    </font>
    <font>
      <sz val="8"/>
      <name val="Arial"/>
      <family val="2"/>
    </font>
    <font>
      <sz val="10"/>
      <color theme="0"/>
      <name val="Arial"/>
      <family val="2"/>
    </font>
    <font>
      <sz val="10"/>
      <color theme="6" tint="0.79998168889431442"/>
      <name val="Arial"/>
      <family val="2"/>
    </font>
    <font>
      <sz val="10"/>
      <color theme="6" tint="0.59999389629810485"/>
      <name val="Arial"/>
      <family val="2"/>
    </font>
    <font>
      <sz val="10"/>
      <name val="Arial"/>
      <family val="2"/>
    </font>
    <font>
      <sz val="10"/>
      <name val="Arial"/>
      <family val="2"/>
    </font>
    <font>
      <b/>
      <sz val="10"/>
      <name val="Arial"/>
      <family val="2"/>
    </font>
    <font>
      <b/>
      <sz val="10"/>
      <color indexed="57"/>
      <name val="Arial"/>
      <family val="2"/>
    </font>
    <font>
      <b/>
      <sz val="10"/>
      <color theme="5" tint="-0.249977111117893"/>
      <name val="Arial"/>
      <family val="2"/>
    </font>
    <font>
      <sz val="10"/>
      <color indexed="8"/>
      <name val="Arial"/>
      <family val="2"/>
    </font>
    <font>
      <b/>
      <sz val="10"/>
      <color indexed="8"/>
      <name val="Arial"/>
      <family val="2"/>
    </font>
    <font>
      <b/>
      <sz val="11"/>
      <name val="Arial"/>
      <family val="2"/>
    </font>
    <font>
      <b/>
      <i/>
      <sz val="10"/>
      <name val="Arial"/>
      <family val="2"/>
    </font>
    <font>
      <i/>
      <sz val="10"/>
      <name val="Arial"/>
      <family val="2"/>
    </font>
    <font>
      <sz val="9"/>
      <color indexed="81"/>
      <name val="Tahoma"/>
      <family val="2"/>
    </font>
    <font>
      <b/>
      <sz val="12"/>
      <name val="Arial"/>
      <family val="2"/>
    </font>
    <font>
      <b/>
      <sz val="10"/>
      <color indexed="10"/>
      <name val="Arial"/>
      <family val="2"/>
    </font>
    <font>
      <b/>
      <sz val="10"/>
      <color theme="1"/>
      <name val="Arial"/>
      <family val="2"/>
    </font>
    <font>
      <b/>
      <sz val="10"/>
      <color rgb="FFFF0000"/>
      <name val="Arial"/>
      <family val="2"/>
    </font>
    <font>
      <sz val="11"/>
      <color theme="1"/>
      <name val="Aptos Narrow"/>
      <family val="2"/>
    </font>
  </fonts>
  <fills count="1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theme="6" tint="0.59999389629810485"/>
        <bgColor indexed="64"/>
      </patternFill>
    </fill>
    <fill>
      <patternFill patternType="solid">
        <fgColor indexed="13"/>
        <bgColor indexed="64"/>
      </patternFill>
    </fill>
    <fill>
      <patternFill patternType="solid">
        <fgColor theme="6" tint="0.39997558519241921"/>
        <bgColor indexed="64"/>
      </patternFill>
    </fill>
    <fill>
      <patternFill patternType="solid">
        <fgColor rgb="FFBEFAC8"/>
        <bgColor indexed="64"/>
      </patternFill>
    </fill>
    <fill>
      <patternFill patternType="solid">
        <fgColor theme="6"/>
        <bgColor theme="6"/>
      </patternFill>
    </fill>
    <fill>
      <patternFill patternType="solid">
        <fgColor theme="6" tint="0.59999389629810485"/>
        <bgColor theme="6" tint="0.59999389629810485"/>
      </patternFill>
    </fill>
    <fill>
      <patternFill patternType="solid">
        <fgColor theme="6" tint="0.79998168889431442"/>
        <bgColor theme="6" tint="0.79998168889431442"/>
      </patternFill>
    </fill>
    <fill>
      <patternFill patternType="solid">
        <fgColor rgb="FF8ECE83"/>
        <bgColor indexed="64"/>
      </patternFill>
    </fill>
  </fills>
  <borders count="52">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rgb="FF000000"/>
      </top>
      <bottom style="thin">
        <color rgb="FF000000"/>
      </bottom>
      <diagonal/>
    </border>
    <border>
      <left/>
      <right/>
      <top/>
      <bottom style="thin">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2">
    <xf numFmtId="0" fontId="0" fillId="0" borderId="0"/>
    <xf numFmtId="43" fontId="4" fillId="0" borderId="0" applyFont="0" applyFill="0" applyBorder="0" applyAlignment="0" applyProtection="0"/>
    <xf numFmtId="9" fontId="4" fillId="0" borderId="0" applyFont="0" applyFill="0" applyBorder="0" applyAlignment="0" applyProtection="0"/>
    <xf numFmtId="44" fontId="5" fillId="0" borderId="0" applyFont="0" applyFill="0" applyBorder="0" applyAlignment="0" applyProtection="0"/>
    <xf numFmtId="0" fontId="4" fillId="0" borderId="0"/>
    <xf numFmtId="44" fontId="4" fillId="0" borderId="0" applyFont="0" applyFill="0" applyBorder="0" applyAlignment="0" applyProtection="0"/>
    <xf numFmtId="0" fontId="18" fillId="0" borderId="0" applyFill="0"/>
    <xf numFmtId="44" fontId="19" fillId="0" borderId="0" applyFont="0" applyFill="0" applyBorder="0" applyAlignment="0" applyProtection="0"/>
    <xf numFmtId="43" fontId="19" fillId="0" borderId="0" applyFont="0" applyFill="0" applyBorder="0" applyAlignment="0" applyProtection="0"/>
    <xf numFmtId="9"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cellStyleXfs>
  <cellXfs count="523">
    <xf numFmtId="0" fontId="0" fillId="0" borderId="0" xfId="0"/>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vertical="top" wrapText="1"/>
    </xf>
    <xf numFmtId="0" fontId="3" fillId="0" borderId="0" xfId="0" applyFont="1" applyAlignment="1">
      <alignment vertical="top" wrapText="1"/>
    </xf>
    <xf numFmtId="0" fontId="3" fillId="0" borderId="0" xfId="0" applyFont="1" applyAlignment="1">
      <alignment horizontal="left" vertical="top"/>
    </xf>
    <xf numFmtId="0" fontId="3" fillId="0" borderId="0" xfId="0" applyFont="1" applyAlignment="1">
      <alignment horizontal="right" vertical="top" wrapText="1"/>
    </xf>
    <xf numFmtId="0" fontId="0" fillId="0" borderId="0" xfId="0" applyAlignment="1">
      <alignment horizontal="left"/>
    </xf>
    <xf numFmtId="164" fontId="0" fillId="0" borderId="0" xfId="1" applyNumberFormat="1" applyFont="1"/>
    <xf numFmtId="164" fontId="0" fillId="0" borderId="0" xfId="1" applyNumberFormat="1" applyFont="1" applyAlignment="1">
      <alignment horizontal="right"/>
    </xf>
    <xf numFmtId="0" fontId="3" fillId="0" borderId="0" xfId="0" applyFont="1" applyAlignment="1">
      <alignment horizontal="left"/>
    </xf>
    <xf numFmtId="164" fontId="3" fillId="0" borderId="0" xfId="1" applyNumberFormat="1" applyFont="1"/>
    <xf numFmtId="0" fontId="3" fillId="0" borderId="1" xfId="0" applyFont="1" applyBorder="1" applyAlignment="1">
      <alignment horizontal="left"/>
    </xf>
    <xf numFmtId="164" fontId="3" fillId="0" borderId="1" xfId="1" applyNumberFormat="1" applyFont="1" applyBorder="1"/>
    <xf numFmtId="43" fontId="0" fillId="0" borderId="0" xfId="1" applyFont="1"/>
    <xf numFmtId="164" fontId="3" fillId="0" borderId="0" xfId="1" applyNumberFormat="1" applyFont="1" applyBorder="1"/>
    <xf numFmtId="0" fontId="4" fillId="0" borderId="0" xfId="0" applyFont="1"/>
    <xf numFmtId="0" fontId="4" fillId="0" borderId="0" xfId="0" applyFont="1" applyAlignment="1">
      <alignment horizontal="left" vertical="top" wrapText="1"/>
    </xf>
    <xf numFmtId="164" fontId="0" fillId="0" borderId="0" xfId="0" applyNumberFormat="1"/>
    <xf numFmtId="0" fontId="3" fillId="0" borderId="0" xfId="0" applyFont="1"/>
    <xf numFmtId="0" fontId="4" fillId="0" borderId="0" xfId="0" applyFont="1" applyAlignment="1">
      <alignment horizontal="left"/>
    </xf>
    <xf numFmtId="165" fontId="3" fillId="0" borderId="0" xfId="0" applyNumberFormat="1" applyFont="1" applyAlignment="1">
      <alignment horizontal="right" vertical="top" wrapText="1"/>
    </xf>
    <xf numFmtId="166" fontId="0" fillId="0" borderId="0" xfId="2" applyNumberFormat="1" applyFont="1" applyAlignment="1">
      <alignment horizontal="center"/>
    </xf>
    <xf numFmtId="0" fontId="3" fillId="0" borderId="0" xfId="0" applyFont="1" applyAlignment="1">
      <alignment horizontal="center"/>
    </xf>
    <xf numFmtId="164" fontId="4" fillId="0" borderId="0" xfId="1" applyNumberFormat="1" applyFont="1" applyBorder="1"/>
    <xf numFmtId="10" fontId="0" fillId="0" borderId="0" xfId="2" applyNumberFormat="1" applyFont="1"/>
    <xf numFmtId="10" fontId="0" fillId="0" borderId="0" xfId="0" applyNumberFormat="1"/>
    <xf numFmtId="44" fontId="0" fillId="0" borderId="0" xfId="3" applyFont="1"/>
    <xf numFmtId="10" fontId="3" fillId="0" borderId="0" xfId="0" applyNumberFormat="1" applyFont="1"/>
    <xf numFmtId="10" fontId="4" fillId="0" borderId="0" xfId="0" applyNumberFormat="1" applyFont="1"/>
    <xf numFmtId="164" fontId="4" fillId="0" borderId="0" xfId="1" applyNumberFormat="1" applyFont="1"/>
    <xf numFmtId="167" fontId="0" fillId="0" borderId="0" xfId="2" applyNumberFormat="1" applyFont="1" applyAlignment="1">
      <alignment horizontal="center"/>
    </xf>
    <xf numFmtId="166" fontId="3" fillId="0" borderId="0" xfId="0" applyNumberFormat="1" applyFont="1"/>
    <xf numFmtId="0" fontId="3" fillId="0" borderId="3" xfId="0" applyFont="1" applyBorder="1" applyAlignment="1">
      <alignment horizontal="right" vertical="top" wrapText="1"/>
    </xf>
    <xf numFmtId="9" fontId="0" fillId="0" borderId="3" xfId="2" applyFont="1" applyBorder="1" applyAlignment="1">
      <alignment horizontal="right"/>
    </xf>
    <xf numFmtId="168" fontId="0" fillId="0" borderId="3" xfId="2" applyNumberFormat="1" applyFont="1" applyBorder="1" applyAlignment="1">
      <alignment horizontal="right"/>
    </xf>
    <xf numFmtId="0" fontId="3" fillId="0" borderId="4" xfId="0" applyFont="1" applyBorder="1" applyAlignment="1">
      <alignment horizontal="left" vertical="top"/>
    </xf>
    <xf numFmtId="0" fontId="3" fillId="0" borderId="7" xfId="0" applyFont="1" applyBorder="1" applyAlignment="1">
      <alignment horizontal="left" vertical="top"/>
    </xf>
    <xf numFmtId="0" fontId="3" fillId="0" borderId="8" xfId="0" applyFont="1" applyBorder="1" applyAlignment="1">
      <alignment horizontal="right" vertical="top" wrapText="1"/>
    </xf>
    <xf numFmtId="0" fontId="0" fillId="0" borderId="7" xfId="0" applyBorder="1" applyAlignment="1">
      <alignment horizontal="left"/>
    </xf>
    <xf numFmtId="9" fontId="0" fillId="0" borderId="8" xfId="2" applyFont="1" applyBorder="1" applyAlignment="1">
      <alignment horizontal="right"/>
    </xf>
    <xf numFmtId="168" fontId="0" fillId="0" borderId="8" xfId="2" applyNumberFormat="1" applyFont="1" applyBorder="1" applyAlignment="1">
      <alignment horizontal="right"/>
    </xf>
    <xf numFmtId="0" fontId="3" fillId="2" borderId="7" xfId="0" applyFont="1" applyFill="1" applyBorder="1" applyAlignment="1">
      <alignment horizontal="left"/>
    </xf>
    <xf numFmtId="168" fontId="3" fillId="2" borderId="3" xfId="2" applyNumberFormat="1" applyFont="1" applyFill="1" applyBorder="1" applyAlignment="1">
      <alignment horizontal="right"/>
    </xf>
    <xf numFmtId="168" fontId="3" fillId="2" borderId="8" xfId="2" applyNumberFormat="1" applyFont="1" applyFill="1" applyBorder="1" applyAlignment="1">
      <alignment horizontal="right"/>
    </xf>
    <xf numFmtId="0" fontId="3" fillId="2" borderId="9" xfId="0" applyFont="1" applyFill="1" applyBorder="1" applyAlignment="1">
      <alignment horizontal="left"/>
    </xf>
    <xf numFmtId="168" fontId="3" fillId="2" borderId="10" xfId="2" applyNumberFormat="1" applyFont="1" applyFill="1" applyBorder="1" applyAlignment="1">
      <alignment horizontal="right"/>
    </xf>
    <xf numFmtId="168" fontId="3" fillId="2" borderId="11" xfId="2" applyNumberFormat="1" applyFont="1" applyFill="1" applyBorder="1" applyAlignment="1">
      <alignment horizontal="right"/>
    </xf>
    <xf numFmtId="0" fontId="6" fillId="0" borderId="5" xfId="0" applyFont="1" applyBorder="1" applyAlignment="1">
      <alignment horizontal="right" vertical="top" wrapText="1"/>
    </xf>
    <xf numFmtId="0" fontId="6" fillId="0" borderId="6" xfId="0" applyFont="1" applyBorder="1" applyAlignment="1">
      <alignment horizontal="right" vertical="top" wrapText="1"/>
    </xf>
    <xf numFmtId="3" fontId="0" fillId="0" borderId="0" xfId="0" applyNumberFormat="1"/>
    <xf numFmtId="0" fontId="1" fillId="0" borderId="0" xfId="4" applyFont="1" applyAlignment="1">
      <alignment horizontal="left"/>
    </xf>
    <xf numFmtId="0" fontId="4" fillId="0" borderId="0" xfId="4"/>
    <xf numFmtId="0" fontId="2" fillId="0" borderId="0" xfId="4" applyFont="1" applyAlignment="1">
      <alignment horizontal="left"/>
    </xf>
    <xf numFmtId="0" fontId="4" fillId="0" borderId="0" xfId="4" applyAlignment="1">
      <alignment horizontal="left" vertical="top" wrapText="1"/>
    </xf>
    <xf numFmtId="0" fontId="3" fillId="0" borderId="0" xfId="4" applyFont="1" applyAlignment="1">
      <alignment vertical="top" wrapText="1"/>
    </xf>
    <xf numFmtId="0" fontId="3" fillId="0" borderId="0" xfId="4" applyFont="1" applyAlignment="1">
      <alignment horizontal="center"/>
    </xf>
    <xf numFmtId="0" fontId="3" fillId="0" borderId="0" xfId="4" applyFont="1" applyAlignment="1">
      <alignment horizontal="left" vertical="top"/>
    </xf>
    <xf numFmtId="0" fontId="3" fillId="0" borderId="0" xfId="4" applyFont="1" applyAlignment="1">
      <alignment horizontal="right" vertical="top" wrapText="1"/>
    </xf>
    <xf numFmtId="0" fontId="4" fillId="0" borderId="0" xfId="4" applyAlignment="1">
      <alignment horizontal="left"/>
    </xf>
    <xf numFmtId="0" fontId="3" fillId="0" borderId="1" xfId="4" applyFont="1" applyBorder="1" applyAlignment="1">
      <alignment horizontal="left"/>
    </xf>
    <xf numFmtId="0" fontId="3" fillId="0" borderId="0" xfId="4" applyFont="1" applyAlignment="1">
      <alignment horizontal="left"/>
    </xf>
    <xf numFmtId="164" fontId="4" fillId="0" borderId="0" xfId="4" applyNumberFormat="1" applyAlignment="1">
      <alignment horizontal="left"/>
    </xf>
    <xf numFmtId="164" fontId="4" fillId="0" borderId="0" xfId="4" applyNumberFormat="1"/>
    <xf numFmtId="0" fontId="3" fillId="0" borderId="2" xfId="4" applyFont="1" applyBorder="1" applyAlignment="1">
      <alignment horizontal="left"/>
    </xf>
    <xf numFmtId="164" fontId="3" fillId="0" borderId="2" xfId="1" applyNumberFormat="1" applyFont="1" applyBorder="1"/>
    <xf numFmtId="0" fontId="3" fillId="0" borderId="0" xfId="4" applyFont="1"/>
    <xf numFmtId="14" fontId="3" fillId="0" borderId="0" xfId="4" applyNumberFormat="1" applyFont="1" applyAlignment="1">
      <alignment horizontal="left" vertical="top"/>
    </xf>
    <xf numFmtId="14" fontId="3" fillId="0" borderId="0" xfId="4" applyNumberFormat="1" applyFont="1" applyAlignment="1">
      <alignment horizontal="right" vertical="top" wrapText="1"/>
    </xf>
    <xf numFmtId="10" fontId="4" fillId="0" borderId="0" xfId="2" applyNumberFormat="1" applyFont="1"/>
    <xf numFmtId="10" fontId="4" fillId="0" borderId="0" xfId="2" applyNumberFormat="1" applyFont="1" applyFill="1"/>
    <xf numFmtId="10" fontId="4" fillId="3" borderId="0" xfId="2" applyNumberFormat="1" applyFont="1" applyFill="1"/>
    <xf numFmtId="10" fontId="4" fillId="0" borderId="0" xfId="2" applyNumberFormat="1" applyFont="1" applyAlignment="1">
      <alignment horizontal="right"/>
    </xf>
    <xf numFmtId="0" fontId="3" fillId="0" borderId="12" xfId="4" applyFont="1" applyBorder="1" applyAlignment="1">
      <alignment horizontal="left"/>
    </xf>
    <xf numFmtId="10" fontId="3" fillId="0" borderId="12" xfId="2" applyNumberFormat="1" applyFont="1" applyBorder="1"/>
    <xf numFmtId="10" fontId="3" fillId="3" borderId="12" xfId="2" applyNumberFormat="1" applyFont="1" applyFill="1" applyBorder="1"/>
    <xf numFmtId="10" fontId="4" fillId="4" borderId="0" xfId="2" applyNumberFormat="1" applyFont="1" applyFill="1"/>
    <xf numFmtId="0" fontId="3" fillId="0" borderId="13" xfId="4" applyFont="1" applyBorder="1" applyAlignment="1">
      <alignment horizontal="left"/>
    </xf>
    <xf numFmtId="10" fontId="3" fillId="0" borderId="13" xfId="2" applyNumberFormat="1" applyFont="1" applyBorder="1"/>
    <xf numFmtId="0" fontId="4" fillId="0" borderId="15" xfId="4" applyBorder="1" applyAlignment="1">
      <alignment horizontal="left"/>
    </xf>
    <xf numFmtId="43" fontId="4" fillId="0" borderId="0" xfId="4" applyNumberFormat="1"/>
    <xf numFmtId="9" fontId="0" fillId="0" borderId="0" xfId="2" applyFont="1"/>
    <xf numFmtId="169" fontId="4" fillId="0" borderId="0" xfId="4" applyNumberFormat="1" applyAlignment="1">
      <alignment horizontal="left"/>
    </xf>
    <xf numFmtId="0" fontId="4" fillId="0" borderId="17" xfId="4" applyBorder="1"/>
    <xf numFmtId="168" fontId="0" fillId="0" borderId="23" xfId="2" applyNumberFormat="1" applyFont="1" applyBorder="1"/>
    <xf numFmtId="164" fontId="0" fillId="0" borderId="23" xfId="1" applyNumberFormat="1" applyFont="1" applyBorder="1"/>
    <xf numFmtId="0" fontId="4" fillId="0" borderId="15" xfId="4" applyBorder="1"/>
    <xf numFmtId="0" fontId="4" fillId="0" borderId="23" xfId="4" applyBorder="1"/>
    <xf numFmtId="167" fontId="0" fillId="0" borderId="23" xfId="2" applyNumberFormat="1" applyFont="1" applyBorder="1"/>
    <xf numFmtId="167" fontId="0" fillId="0" borderId="23" xfId="2" applyNumberFormat="1" applyFont="1" applyBorder="1" applyAlignment="1">
      <alignment horizontal="right"/>
    </xf>
    <xf numFmtId="2" fontId="0" fillId="0" borderId="23" xfId="2" applyNumberFormat="1" applyFont="1" applyBorder="1"/>
    <xf numFmtId="44" fontId="0" fillId="0" borderId="23" xfId="5" applyFont="1" applyBorder="1"/>
    <xf numFmtId="0" fontId="4" fillId="0" borderId="16" xfId="4" applyBorder="1" applyAlignment="1">
      <alignment horizontal="left"/>
    </xf>
    <xf numFmtId="9" fontId="0" fillId="0" borderId="0" xfId="0" applyNumberFormat="1"/>
    <xf numFmtId="0" fontId="0" fillId="0" borderId="0" xfId="4" applyFont="1"/>
    <xf numFmtId="170" fontId="0" fillId="0" borderId="23" xfId="2" applyNumberFormat="1" applyFont="1" applyBorder="1"/>
    <xf numFmtId="44" fontId="0" fillId="0" borderId="0" xfId="0" applyNumberFormat="1"/>
    <xf numFmtId="44" fontId="0" fillId="0" borderId="0" xfId="3" applyFont="1" applyBorder="1"/>
    <xf numFmtId="2" fontId="0" fillId="0" borderId="0" xfId="0" applyNumberFormat="1"/>
    <xf numFmtId="43" fontId="0" fillId="0" borderId="0" xfId="1" applyFont="1" applyBorder="1"/>
    <xf numFmtId="0" fontId="7" fillId="5" borderId="0" xfId="0" applyFont="1" applyFill="1" applyAlignment="1">
      <alignment horizontal="center"/>
    </xf>
    <xf numFmtId="0" fontId="8" fillId="0" borderId="0" xfId="0" applyFont="1"/>
    <xf numFmtId="0" fontId="3" fillId="0" borderId="3" xfId="4" applyFont="1" applyBorder="1" applyAlignment="1">
      <alignment horizontal="center"/>
    </xf>
    <xf numFmtId="10" fontId="4" fillId="0" borderId="3" xfId="2" applyNumberFormat="1" applyFont="1" applyFill="1" applyBorder="1"/>
    <xf numFmtId="10" fontId="0" fillId="0" borderId="3" xfId="2" applyNumberFormat="1" applyFont="1" applyBorder="1"/>
    <xf numFmtId="0" fontId="0" fillId="0" borderId="0" xfId="4" applyFont="1" applyAlignment="1">
      <alignment horizontal="left"/>
    </xf>
    <xf numFmtId="10" fontId="4" fillId="0" borderId="24" xfId="2" applyNumberFormat="1" applyFont="1" applyFill="1" applyBorder="1"/>
    <xf numFmtId="10" fontId="4" fillId="0" borderId="25" xfId="2" applyNumberFormat="1" applyFont="1" applyFill="1" applyBorder="1"/>
    <xf numFmtId="10" fontId="0" fillId="0" borderId="0" xfId="2" applyNumberFormat="1" applyFont="1" applyBorder="1"/>
    <xf numFmtId="10" fontId="4" fillId="0" borderId="3" xfId="2" applyNumberFormat="1" applyBorder="1"/>
    <xf numFmtId="10" fontId="4" fillId="0" borderId="8" xfId="2" applyNumberFormat="1" applyBorder="1"/>
    <xf numFmtId="10" fontId="4" fillId="0" borderId="26" xfId="2" applyNumberFormat="1" applyBorder="1"/>
    <xf numFmtId="0" fontId="4" fillId="0" borderId="27" xfId="4" applyBorder="1"/>
    <xf numFmtId="10" fontId="4" fillId="0" borderId="28" xfId="2" applyNumberFormat="1" applyBorder="1"/>
    <xf numFmtId="10" fontId="4" fillId="0" borderId="24" xfId="2" applyNumberFormat="1" applyBorder="1"/>
    <xf numFmtId="10" fontId="4" fillId="0" borderId="29" xfId="2" applyNumberFormat="1" applyBorder="1"/>
    <xf numFmtId="0" fontId="4" fillId="0" borderId="30" xfId="4" applyBorder="1"/>
    <xf numFmtId="10" fontId="4" fillId="0" borderId="31" xfId="2" applyNumberFormat="1" applyBorder="1"/>
    <xf numFmtId="10" fontId="4" fillId="0" borderId="25" xfId="2" applyNumberFormat="1" applyBorder="1"/>
    <xf numFmtId="10" fontId="4" fillId="0" borderId="32" xfId="2" applyNumberFormat="1" applyBorder="1"/>
    <xf numFmtId="10" fontId="0" fillId="0" borderId="26" xfId="2" applyNumberFormat="1" applyFont="1" applyBorder="1"/>
    <xf numFmtId="0" fontId="3" fillId="6" borderId="23" xfId="4" applyFont="1" applyFill="1" applyBorder="1"/>
    <xf numFmtId="10" fontId="3" fillId="6" borderId="33" xfId="2" applyNumberFormat="1" applyFont="1" applyFill="1" applyBorder="1"/>
    <xf numFmtId="10" fontId="3" fillId="6" borderId="18" xfId="2" applyNumberFormat="1" applyFont="1" applyFill="1" applyBorder="1"/>
    <xf numFmtId="10" fontId="3" fillId="6" borderId="19" xfId="2" applyNumberFormat="1" applyFont="1" applyFill="1" applyBorder="1"/>
    <xf numFmtId="0" fontId="3" fillId="6" borderId="34" xfId="4" applyFont="1" applyFill="1" applyBorder="1"/>
    <xf numFmtId="10" fontId="3" fillId="6" borderId="35" xfId="2" applyNumberFormat="1" applyFont="1" applyFill="1" applyBorder="1"/>
    <xf numFmtId="10" fontId="3" fillId="6" borderId="36" xfId="2" applyNumberFormat="1" applyFont="1" applyFill="1" applyBorder="1"/>
    <xf numFmtId="10" fontId="3" fillId="6" borderId="37" xfId="2" applyNumberFormat="1" applyFont="1" applyFill="1" applyBorder="1"/>
    <xf numFmtId="0" fontId="3" fillId="6" borderId="33" xfId="4" applyFont="1" applyFill="1" applyBorder="1" applyAlignment="1">
      <alignment horizontal="center"/>
    </xf>
    <xf numFmtId="0" fontId="3" fillId="6" borderId="18" xfId="4" applyFont="1" applyFill="1" applyBorder="1" applyAlignment="1">
      <alignment horizontal="center"/>
    </xf>
    <xf numFmtId="0" fontId="3" fillId="6" borderId="19" xfId="4" applyFont="1" applyFill="1" applyBorder="1" applyAlignment="1">
      <alignment horizontal="center"/>
    </xf>
    <xf numFmtId="171" fontId="0" fillId="0" borderId="0" xfId="3" applyNumberFormat="1" applyFont="1" applyBorder="1"/>
    <xf numFmtId="171" fontId="0" fillId="0" borderId="3" xfId="3" applyNumberFormat="1" applyFont="1" applyBorder="1"/>
    <xf numFmtId="171" fontId="0" fillId="0" borderId="8" xfId="3" applyNumberFormat="1" applyFont="1" applyBorder="1"/>
    <xf numFmtId="171" fontId="0" fillId="0" borderId="10" xfId="3" applyNumberFormat="1" applyFont="1" applyBorder="1"/>
    <xf numFmtId="171" fontId="0" fillId="0" borderId="11" xfId="3" applyNumberFormat="1" applyFont="1" applyBorder="1"/>
    <xf numFmtId="171" fontId="0" fillId="0" borderId="26" xfId="3" applyNumberFormat="1" applyFont="1" applyBorder="1"/>
    <xf numFmtId="171" fontId="0" fillId="0" borderId="40" xfId="3" applyNumberFormat="1" applyFont="1" applyBorder="1"/>
    <xf numFmtId="0" fontId="0" fillId="0" borderId="14" xfId="0" applyBorder="1"/>
    <xf numFmtId="0" fontId="0" fillId="0" borderId="15" xfId="0" applyBorder="1"/>
    <xf numFmtId="0" fontId="0" fillId="0" borderId="16" xfId="0" applyBorder="1"/>
    <xf numFmtId="3" fontId="0" fillId="0" borderId="3" xfId="0" applyNumberFormat="1" applyBorder="1"/>
    <xf numFmtId="3" fontId="0" fillId="0" borderId="8" xfId="0" applyNumberFormat="1" applyBorder="1"/>
    <xf numFmtId="3" fontId="0" fillId="0" borderId="10" xfId="0" applyNumberFormat="1" applyBorder="1"/>
    <xf numFmtId="3" fontId="0" fillId="0" borderId="11" xfId="0" applyNumberFormat="1" applyBorder="1"/>
    <xf numFmtId="3" fontId="0" fillId="0" borderId="26" xfId="0" applyNumberFormat="1" applyBorder="1"/>
    <xf numFmtId="3" fontId="0" fillId="0" borderId="40" xfId="0" applyNumberFormat="1" applyBorder="1"/>
    <xf numFmtId="44" fontId="4" fillId="0" borderId="3" xfId="3" applyFont="1" applyBorder="1" applyAlignment="1">
      <alignment horizontal="right"/>
    </xf>
    <xf numFmtId="44" fontId="4" fillId="0" borderId="8" xfId="3" applyFont="1" applyBorder="1" applyAlignment="1">
      <alignment horizontal="right"/>
    </xf>
    <xf numFmtId="10" fontId="4" fillId="0" borderId="26" xfId="2" applyNumberFormat="1" applyBorder="1" applyAlignment="1">
      <alignment horizontal="right"/>
    </xf>
    <xf numFmtId="10" fontId="4" fillId="0" borderId="3" xfId="2" applyNumberFormat="1" applyBorder="1" applyAlignment="1">
      <alignment horizontal="right"/>
    </xf>
    <xf numFmtId="10" fontId="4" fillId="0" borderId="8" xfId="2" applyNumberFormat="1" applyBorder="1" applyAlignment="1">
      <alignment horizontal="right"/>
    </xf>
    <xf numFmtId="0" fontId="3" fillId="6" borderId="14" xfId="4" applyFont="1" applyFill="1" applyBorder="1" applyAlignment="1">
      <alignment horizontal="left" vertical="top"/>
    </xf>
    <xf numFmtId="0" fontId="4" fillId="6" borderId="20" xfId="4" applyFill="1" applyBorder="1"/>
    <xf numFmtId="0" fontId="4" fillId="6" borderId="21" xfId="4" applyFill="1" applyBorder="1"/>
    <xf numFmtId="0" fontId="4" fillId="6" borderId="22" xfId="4" applyFill="1" applyBorder="1"/>
    <xf numFmtId="0" fontId="3" fillId="6" borderId="15" xfId="4" applyFont="1" applyFill="1" applyBorder="1" applyAlignment="1">
      <alignment horizontal="left" vertical="top"/>
    </xf>
    <xf numFmtId="0" fontId="3" fillId="6" borderId="23" xfId="4" applyFont="1" applyFill="1" applyBorder="1" applyAlignment="1">
      <alignment horizontal="right" vertical="top" wrapText="1"/>
    </xf>
    <xf numFmtId="10" fontId="3" fillId="6" borderId="3" xfId="2" applyNumberFormat="1" applyFont="1" applyFill="1" applyBorder="1"/>
    <xf numFmtId="10" fontId="3" fillId="6" borderId="26" xfId="2" applyNumberFormat="1" applyFont="1" applyFill="1" applyBorder="1"/>
    <xf numFmtId="10" fontId="4" fillId="0" borderId="8" xfId="2" applyNumberFormat="1" applyFont="1" applyFill="1" applyBorder="1"/>
    <xf numFmtId="10" fontId="3" fillId="6" borderId="8" xfId="2" applyNumberFormat="1" applyFont="1" applyFill="1" applyBorder="1"/>
    <xf numFmtId="10" fontId="0" fillId="0" borderId="38" xfId="2" applyNumberFormat="1" applyFont="1" applyBorder="1"/>
    <xf numFmtId="10" fontId="4" fillId="0" borderId="32" xfId="2" applyNumberFormat="1" applyFont="1" applyFill="1" applyBorder="1"/>
    <xf numFmtId="10" fontId="4" fillId="0" borderId="29" xfId="2" applyNumberFormat="1" applyFont="1" applyFill="1" applyBorder="1"/>
    <xf numFmtId="10" fontId="0" fillId="0" borderId="8" xfId="2" applyNumberFormat="1" applyFont="1" applyBorder="1"/>
    <xf numFmtId="10" fontId="3" fillId="6" borderId="40" xfId="2" applyNumberFormat="1" applyFont="1" applyFill="1" applyBorder="1"/>
    <xf numFmtId="10" fontId="3" fillId="6" borderId="10" xfId="2" applyNumberFormat="1" applyFont="1" applyFill="1" applyBorder="1"/>
    <xf numFmtId="10" fontId="3" fillId="6" borderId="11" xfId="2" applyNumberFormat="1" applyFont="1" applyFill="1" applyBorder="1"/>
    <xf numFmtId="10" fontId="4" fillId="0" borderId="26" xfId="2" applyNumberFormat="1" applyFont="1" applyBorder="1"/>
    <xf numFmtId="10" fontId="4" fillId="0" borderId="26" xfId="2" applyNumberFormat="1" applyFont="1" applyBorder="1" applyAlignment="1">
      <alignment horizontal="right"/>
    </xf>
    <xf numFmtId="10" fontId="4" fillId="0" borderId="31" xfId="2" applyNumberFormat="1" applyFont="1" applyBorder="1" applyAlignment="1">
      <alignment horizontal="right"/>
    </xf>
    <xf numFmtId="10" fontId="4" fillId="0" borderId="26" xfId="2" applyNumberFormat="1" applyFont="1" applyFill="1" applyBorder="1"/>
    <xf numFmtId="10" fontId="4" fillId="0" borderId="28" xfId="2" applyNumberFormat="1" applyFont="1" applyBorder="1" applyAlignment="1">
      <alignment horizontal="right"/>
    </xf>
    <xf numFmtId="10" fontId="4" fillId="0" borderId="31" xfId="2" applyNumberFormat="1" applyFont="1" applyBorder="1"/>
    <xf numFmtId="10" fontId="3" fillId="0" borderId="26" xfId="2" applyNumberFormat="1" applyFont="1" applyFill="1" applyBorder="1"/>
    <xf numFmtId="10" fontId="3" fillId="0" borderId="28" xfId="2" applyNumberFormat="1" applyFont="1" applyFill="1" applyBorder="1"/>
    <xf numFmtId="0" fontId="4" fillId="0" borderId="26" xfId="4" applyBorder="1"/>
    <xf numFmtId="0" fontId="3" fillId="6" borderId="26" xfId="4" applyFont="1" applyFill="1" applyBorder="1"/>
    <xf numFmtId="0" fontId="3" fillId="6" borderId="40" xfId="4" applyFont="1" applyFill="1" applyBorder="1"/>
    <xf numFmtId="0" fontId="3" fillId="0" borderId="14" xfId="4" applyFont="1" applyBorder="1" applyAlignment="1">
      <alignment horizontal="left" vertical="top"/>
    </xf>
    <xf numFmtId="0" fontId="3" fillId="6" borderId="15" xfId="4" applyFont="1" applyFill="1" applyBorder="1" applyAlignment="1">
      <alignment horizontal="left"/>
    </xf>
    <xf numFmtId="0" fontId="0" fillId="0" borderId="15" xfId="4" applyFont="1" applyBorder="1" applyAlignment="1">
      <alignment horizontal="left"/>
    </xf>
    <xf numFmtId="0" fontId="3" fillId="6" borderId="15" xfId="4" applyFont="1" applyFill="1" applyBorder="1"/>
    <xf numFmtId="0" fontId="3" fillId="6" borderId="16" xfId="4" applyFont="1" applyFill="1" applyBorder="1"/>
    <xf numFmtId="0" fontId="3" fillId="6" borderId="39" xfId="4" applyFont="1" applyFill="1" applyBorder="1" applyAlignment="1">
      <alignment horizontal="center"/>
    </xf>
    <xf numFmtId="0" fontId="3" fillId="6" borderId="5" xfId="4" applyFont="1" applyFill="1" applyBorder="1" applyAlignment="1">
      <alignment horizontal="center"/>
    </xf>
    <xf numFmtId="0" fontId="3" fillId="6" borderId="6" xfId="4" applyFont="1" applyFill="1" applyBorder="1" applyAlignment="1">
      <alignment horizontal="center"/>
    </xf>
    <xf numFmtId="9" fontId="0" fillId="0" borderId="26" xfId="2" applyFont="1" applyBorder="1"/>
    <xf numFmtId="9" fontId="3" fillId="6" borderId="26" xfId="2" applyFont="1" applyFill="1" applyBorder="1"/>
    <xf numFmtId="9" fontId="3" fillId="6" borderId="40" xfId="2" applyFont="1" applyFill="1" applyBorder="1"/>
    <xf numFmtId="0" fontId="3" fillId="6" borderId="15" xfId="0" applyFont="1" applyFill="1" applyBorder="1"/>
    <xf numFmtId="0" fontId="3" fillId="6" borderId="16" xfId="0" applyFont="1" applyFill="1" applyBorder="1"/>
    <xf numFmtId="9" fontId="0" fillId="0" borderId="3" xfId="2" applyFont="1" applyBorder="1"/>
    <xf numFmtId="9" fontId="0" fillId="0" borderId="8" xfId="2" applyFont="1" applyBorder="1"/>
    <xf numFmtId="9" fontId="3" fillId="6" borderId="3" xfId="2" applyFont="1" applyFill="1" applyBorder="1"/>
    <xf numFmtId="9" fontId="3" fillId="6" borderId="8" xfId="2" applyFont="1" applyFill="1" applyBorder="1"/>
    <xf numFmtId="9" fontId="3" fillId="6" borderId="10" xfId="2" applyFont="1" applyFill="1" applyBorder="1"/>
    <xf numFmtId="9" fontId="3" fillId="6" borderId="11" xfId="2" applyFont="1" applyFill="1" applyBorder="1"/>
    <xf numFmtId="10" fontId="0" fillId="0" borderId="3" xfId="2" applyNumberFormat="1" applyFont="1" applyBorder="1" applyAlignment="1">
      <alignment horizontal="right"/>
    </xf>
    <xf numFmtId="10" fontId="0" fillId="0" borderId="8" xfId="2" applyNumberFormat="1" applyFont="1" applyBorder="1" applyAlignment="1">
      <alignment horizontal="right"/>
    </xf>
    <xf numFmtId="9" fontId="3" fillId="6" borderId="3" xfId="2" applyFont="1" applyFill="1" applyBorder="1" applyAlignment="1">
      <alignment horizontal="right"/>
    </xf>
    <xf numFmtId="9" fontId="3" fillId="6" borderId="8" xfId="2" applyFont="1" applyFill="1" applyBorder="1" applyAlignment="1">
      <alignment horizontal="right"/>
    </xf>
    <xf numFmtId="9" fontId="3" fillId="6" borderId="10" xfId="2" applyFont="1" applyFill="1" applyBorder="1" applyAlignment="1">
      <alignment horizontal="right"/>
    </xf>
    <xf numFmtId="9" fontId="3" fillId="6" borderId="11" xfId="2" applyFont="1" applyFill="1" applyBorder="1" applyAlignment="1">
      <alignment horizontal="right"/>
    </xf>
    <xf numFmtId="164" fontId="3" fillId="6" borderId="5" xfId="1" applyNumberFormat="1" applyFont="1" applyFill="1" applyBorder="1" applyAlignment="1">
      <alignment horizontal="center"/>
    </xf>
    <xf numFmtId="164" fontId="3" fillId="6" borderId="6" xfId="1" applyNumberFormat="1" applyFont="1" applyFill="1" applyBorder="1" applyAlignment="1">
      <alignment horizontal="center"/>
    </xf>
    <xf numFmtId="0" fontId="3" fillId="6" borderId="39" xfId="0" applyFont="1" applyFill="1" applyBorder="1" applyAlignment="1">
      <alignment horizontal="center"/>
    </xf>
    <xf numFmtId="9" fontId="0" fillId="0" borderId="26" xfId="2" applyFont="1" applyBorder="1" applyAlignment="1">
      <alignment horizontal="right"/>
    </xf>
    <xf numFmtId="9" fontId="3" fillId="6" borderId="26" xfId="2" applyFont="1" applyFill="1" applyBorder="1" applyAlignment="1">
      <alignment horizontal="right"/>
    </xf>
    <xf numFmtId="10" fontId="0" fillId="0" borderId="26" xfId="2" applyNumberFormat="1" applyFont="1" applyBorder="1" applyAlignment="1">
      <alignment horizontal="right"/>
    </xf>
    <xf numFmtId="9" fontId="3" fillId="6" borderId="40" xfId="2" applyFont="1" applyFill="1" applyBorder="1" applyAlignment="1">
      <alignment horizontal="right"/>
    </xf>
    <xf numFmtId="0" fontId="0" fillId="0" borderId="14" xfId="0" applyBorder="1" applyAlignment="1">
      <alignment horizontal="left"/>
    </xf>
    <xf numFmtId="0" fontId="0" fillId="0" borderId="15" xfId="0" applyBorder="1" applyAlignment="1">
      <alignment horizontal="left"/>
    </xf>
    <xf numFmtId="0" fontId="3" fillId="6" borderId="15" xfId="0" applyFont="1" applyFill="1" applyBorder="1" applyAlignment="1">
      <alignment horizontal="left"/>
    </xf>
    <xf numFmtId="0" fontId="3" fillId="6" borderId="16" xfId="0" applyFont="1" applyFill="1" applyBorder="1" applyAlignment="1">
      <alignment horizontal="left"/>
    </xf>
    <xf numFmtId="165" fontId="3" fillId="6" borderId="39" xfId="0" applyNumberFormat="1" applyFont="1" applyFill="1" applyBorder="1" applyAlignment="1">
      <alignment horizontal="center" vertical="top" wrapText="1"/>
    </xf>
    <xf numFmtId="165" fontId="3" fillId="6" borderId="5" xfId="0" applyNumberFormat="1" applyFont="1" applyFill="1" applyBorder="1" applyAlignment="1">
      <alignment horizontal="center" vertical="top" wrapText="1"/>
    </xf>
    <xf numFmtId="165" fontId="3" fillId="6" borderId="6" xfId="0" applyNumberFormat="1" applyFont="1" applyFill="1" applyBorder="1" applyAlignment="1">
      <alignment horizontal="center" vertical="top" wrapText="1"/>
    </xf>
    <xf numFmtId="0" fontId="3" fillId="6" borderId="39" xfId="4" applyFont="1" applyFill="1" applyBorder="1" applyAlignment="1">
      <alignment horizontal="center" vertical="center"/>
    </xf>
    <xf numFmtId="0" fontId="3" fillId="6" borderId="5" xfId="4" applyFont="1" applyFill="1" applyBorder="1" applyAlignment="1">
      <alignment horizontal="center" vertical="center"/>
    </xf>
    <xf numFmtId="0" fontId="3" fillId="6" borderId="6" xfId="4" applyFont="1" applyFill="1" applyBorder="1" applyAlignment="1">
      <alignment horizontal="center" vertical="center"/>
    </xf>
    <xf numFmtId="0" fontId="3" fillId="0" borderId="14" xfId="0" applyFont="1" applyBorder="1"/>
    <xf numFmtId="0" fontId="4" fillId="0" borderId="15" xfId="0" applyFont="1" applyBorder="1"/>
    <xf numFmtId="0" fontId="3" fillId="0" borderId="16" xfId="0" applyFont="1" applyBorder="1"/>
    <xf numFmtId="0" fontId="3" fillId="0" borderId="0" xfId="4" applyFont="1" applyAlignment="1">
      <alignment horizontal="center" vertical="center"/>
    </xf>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0" fillId="7" borderId="0" xfId="0" applyFont="1" applyFill="1"/>
    <xf numFmtId="0" fontId="11" fillId="7" borderId="0" xfId="0" applyFont="1" applyFill="1"/>
    <xf numFmtId="164" fontId="3" fillId="0" borderId="41" xfId="1" applyNumberFormat="1" applyFont="1" applyBorder="1"/>
    <xf numFmtId="0" fontId="3" fillId="0" borderId="41" xfId="4" applyFont="1" applyBorder="1" applyAlignment="1">
      <alignment horizontal="left"/>
    </xf>
    <xf numFmtId="10" fontId="4" fillId="0" borderId="0" xfId="2" applyNumberFormat="1"/>
    <xf numFmtId="10" fontId="4" fillId="0" borderId="0" xfId="4" applyNumberFormat="1"/>
    <xf numFmtId="172" fontId="3" fillId="0" borderId="0" xfId="0" applyNumberFormat="1" applyFont="1" applyAlignment="1">
      <alignment horizontal="center"/>
    </xf>
    <xf numFmtId="43" fontId="4" fillId="0" borderId="0" xfId="1"/>
    <xf numFmtId="173" fontId="3" fillId="0" borderId="0" xfId="0" applyNumberFormat="1" applyFont="1" applyAlignment="1">
      <alignment horizontal="right" vertical="top" wrapText="1"/>
    </xf>
    <xf numFmtId="164" fontId="4" fillId="0" borderId="0" xfId="0" applyNumberFormat="1" applyFont="1"/>
    <xf numFmtId="9" fontId="0" fillId="0" borderId="0" xfId="0" applyNumberFormat="1" applyAlignment="1">
      <alignment horizontal="left"/>
    </xf>
    <xf numFmtId="9" fontId="4" fillId="0" borderId="0" xfId="2"/>
    <xf numFmtId="164" fontId="0" fillId="4" borderId="0" xfId="0" applyNumberFormat="1" applyFill="1"/>
    <xf numFmtId="164" fontId="3" fillId="4" borderId="1" xfId="0" applyNumberFormat="1" applyFont="1" applyFill="1" applyBorder="1"/>
    <xf numFmtId="174" fontId="0" fillId="4" borderId="0" xfId="0" applyNumberFormat="1" applyFill="1"/>
    <xf numFmtId="10" fontId="0" fillId="0" borderId="0" xfId="0" applyNumberFormat="1" applyAlignment="1">
      <alignment horizontal="left"/>
    </xf>
    <xf numFmtId="164" fontId="3" fillId="4" borderId="2" xfId="0" applyNumberFormat="1" applyFont="1" applyFill="1" applyBorder="1"/>
    <xf numFmtId="175" fontId="3" fillId="0" borderId="0" xfId="4" applyNumberFormat="1" applyFont="1" applyAlignment="1">
      <alignment horizontal="right" vertical="top"/>
    </xf>
    <xf numFmtId="164" fontId="4" fillId="4" borderId="0" xfId="4" applyNumberFormat="1" applyFill="1" applyAlignment="1">
      <alignment horizontal="left"/>
    </xf>
    <xf numFmtId="10" fontId="4" fillId="0" borderId="0" xfId="2" applyNumberFormat="1" applyAlignment="1">
      <alignment horizontal="left"/>
    </xf>
    <xf numFmtId="10" fontId="3" fillId="0" borderId="0" xfId="4" applyNumberFormat="1" applyFont="1"/>
    <xf numFmtId="10" fontId="4" fillId="0" borderId="0" xfId="4" applyNumberFormat="1" applyAlignment="1">
      <alignment horizontal="left"/>
    </xf>
    <xf numFmtId="174" fontId="4" fillId="4" borderId="0" xfId="4" applyNumberFormat="1" applyFill="1" applyAlignment="1">
      <alignment horizontal="left"/>
    </xf>
    <xf numFmtId="43" fontId="4" fillId="4" borderId="0" xfId="1" applyFill="1"/>
    <xf numFmtId="164" fontId="3" fillId="4" borderId="0" xfId="4" applyNumberFormat="1" applyFont="1" applyFill="1" applyAlignment="1">
      <alignment horizontal="left"/>
    </xf>
    <xf numFmtId="164" fontId="3" fillId="4" borderId="0" xfId="4" applyNumberFormat="1" applyFont="1" applyFill="1"/>
    <xf numFmtId="10" fontId="4" fillId="0" borderId="28" xfId="2" applyNumberFormat="1" applyFont="1" applyFill="1" applyBorder="1"/>
    <xf numFmtId="0" fontId="4" fillId="0" borderId="27" xfId="4" applyBorder="1" applyAlignment="1">
      <alignment horizontal="left"/>
    </xf>
    <xf numFmtId="164" fontId="3" fillId="4" borderId="1" xfId="4" applyNumberFormat="1" applyFont="1" applyFill="1" applyBorder="1" applyAlignment="1">
      <alignment horizontal="left"/>
    </xf>
    <xf numFmtId="164" fontId="4" fillId="0" borderId="0" xfId="1" applyNumberFormat="1" applyAlignment="1">
      <alignment horizontal="left"/>
    </xf>
    <xf numFmtId="43" fontId="4" fillId="4" borderId="0" xfId="1" applyFill="1" applyAlignment="1">
      <alignment horizontal="center"/>
    </xf>
    <xf numFmtId="164" fontId="3" fillId="4" borderId="1" xfId="1" applyNumberFormat="1" applyFont="1" applyFill="1" applyBorder="1" applyAlignment="1">
      <alignment horizontal="left"/>
    </xf>
    <xf numFmtId="164" fontId="4" fillId="4" borderId="0" xfId="1" applyNumberFormat="1" applyFill="1" applyAlignment="1">
      <alignment horizontal="left"/>
    </xf>
    <xf numFmtId="164" fontId="4" fillId="0" borderId="0" xfId="1" applyNumberFormat="1"/>
    <xf numFmtId="164" fontId="4" fillId="4" borderId="0" xfId="1" applyNumberFormat="1" applyFill="1"/>
    <xf numFmtId="174" fontId="0" fillId="4" borderId="0" xfId="4" applyNumberFormat="1" applyFont="1" applyFill="1" applyAlignment="1">
      <alignment horizontal="left"/>
    </xf>
    <xf numFmtId="164" fontId="0" fillId="4" borderId="0" xfId="1" applyNumberFormat="1" applyFont="1" applyFill="1" applyAlignment="1">
      <alignment horizontal="left"/>
    </xf>
    <xf numFmtId="165" fontId="3" fillId="0" borderId="3" xfId="0" applyNumberFormat="1" applyFont="1" applyBorder="1" applyAlignment="1">
      <alignment horizontal="right" vertical="top" wrapText="1"/>
    </xf>
    <xf numFmtId="173" fontId="3" fillId="0" borderId="3" xfId="0" applyNumberFormat="1" applyFont="1" applyBorder="1" applyAlignment="1">
      <alignment horizontal="right" vertical="top" wrapText="1"/>
    </xf>
    <xf numFmtId="0" fontId="0" fillId="0" borderId="3" xfId="0" applyBorder="1"/>
    <xf numFmtId="164" fontId="4" fillId="0" borderId="3" xfId="1" applyNumberFormat="1" applyFont="1" applyBorder="1"/>
    <xf numFmtId="164" fontId="0" fillId="4" borderId="3" xfId="0" applyNumberFormat="1" applyFill="1" applyBorder="1"/>
    <xf numFmtId="164" fontId="0" fillId="0" borderId="3" xfId="1" applyNumberFormat="1" applyFont="1" applyBorder="1"/>
    <xf numFmtId="164" fontId="3" fillId="0" borderId="3" xfId="1" applyNumberFormat="1" applyFont="1" applyBorder="1"/>
    <xf numFmtId="164" fontId="3" fillId="4" borderId="3" xfId="0" applyNumberFormat="1" applyFont="1" applyFill="1" applyBorder="1"/>
    <xf numFmtId="174" fontId="0" fillId="4" borderId="3" xfId="0" applyNumberFormat="1" applyFill="1" applyBorder="1"/>
    <xf numFmtId="164" fontId="0" fillId="0" borderId="3" xfId="1" applyNumberFormat="1" applyFont="1" applyBorder="1" applyAlignment="1">
      <alignment horizontal="right"/>
    </xf>
    <xf numFmtId="172" fontId="3" fillId="0" borderId="4" xfId="0" applyNumberFormat="1" applyFont="1" applyBorder="1" applyAlignment="1">
      <alignment horizontal="center"/>
    </xf>
    <xf numFmtId="172" fontId="3" fillId="0" borderId="5" xfId="0" applyNumberFormat="1" applyFont="1" applyBorder="1" applyAlignment="1">
      <alignment horizontal="center"/>
    </xf>
    <xf numFmtId="172" fontId="3" fillId="0" borderId="6" xfId="0" applyNumberFormat="1" applyFont="1" applyBorder="1" applyAlignment="1">
      <alignment horizontal="center"/>
    </xf>
    <xf numFmtId="165" fontId="3" fillId="0" borderId="7" xfId="0" applyNumberFormat="1" applyFont="1" applyBorder="1" applyAlignment="1">
      <alignment horizontal="right" vertical="top" wrapText="1"/>
    </xf>
    <xf numFmtId="173" fontId="3" fillId="0" borderId="8" xfId="0" applyNumberFormat="1" applyFont="1" applyBorder="1" applyAlignment="1">
      <alignment horizontal="right" vertical="top" wrapText="1"/>
    </xf>
    <xf numFmtId="0" fontId="3" fillId="0" borderId="7" xfId="0" applyFont="1" applyBorder="1" applyAlignment="1">
      <alignment horizontal="right" vertical="top" wrapText="1"/>
    </xf>
    <xf numFmtId="0" fontId="0" fillId="0" borderId="8" xfId="0" applyBorder="1"/>
    <xf numFmtId="164" fontId="4" fillId="0" borderId="7" xfId="1" applyNumberFormat="1" applyFont="1" applyBorder="1"/>
    <xf numFmtId="164" fontId="0" fillId="4" borderId="8" xfId="0" applyNumberFormat="1" applyFill="1" applyBorder="1"/>
    <xf numFmtId="164" fontId="0" fillId="0" borderId="7" xfId="1" applyNumberFormat="1" applyFont="1" applyBorder="1"/>
    <xf numFmtId="164" fontId="3" fillId="0" borderId="7" xfId="1" applyNumberFormat="1" applyFont="1" applyBorder="1"/>
    <xf numFmtId="164" fontId="3" fillId="4" borderId="8" xfId="0" applyNumberFormat="1" applyFont="1" applyFill="1" applyBorder="1"/>
    <xf numFmtId="174" fontId="0" fillId="4" borderId="8" xfId="0" applyNumberFormat="1" applyFill="1" applyBorder="1"/>
    <xf numFmtId="164" fontId="3" fillId="0" borderId="9" xfId="1" applyNumberFormat="1" applyFont="1" applyBorder="1"/>
    <xf numFmtId="164" fontId="3" fillId="0" borderId="10" xfId="1" applyNumberFormat="1" applyFont="1" applyBorder="1"/>
    <xf numFmtId="164" fontId="3" fillId="4" borderId="10" xfId="0" applyNumberFormat="1" applyFont="1" applyFill="1" applyBorder="1"/>
    <xf numFmtId="164" fontId="3" fillId="4" borderId="11" xfId="0" applyNumberFormat="1" applyFont="1" applyFill="1" applyBorder="1"/>
    <xf numFmtId="0" fontId="3" fillId="0" borderId="26" xfId="0" applyFont="1" applyBorder="1" applyAlignment="1">
      <alignment horizontal="right" vertical="top" wrapText="1"/>
    </xf>
    <xf numFmtId="0" fontId="3" fillId="0" borderId="15" xfId="0" applyFont="1" applyBorder="1" applyAlignment="1">
      <alignment horizontal="left" vertical="top"/>
    </xf>
    <xf numFmtId="0" fontId="4" fillId="0" borderId="15" xfId="0" applyFont="1" applyBorder="1" applyAlignment="1">
      <alignment horizontal="left"/>
    </xf>
    <xf numFmtId="0" fontId="3" fillId="0" borderId="42" xfId="0" applyFont="1" applyBorder="1" applyAlignment="1">
      <alignment vertical="top" wrapText="1"/>
    </xf>
    <xf numFmtId="172" fontId="3" fillId="0" borderId="18" xfId="0" applyNumberFormat="1" applyFont="1" applyBorder="1" applyAlignment="1">
      <alignment horizontal="center"/>
    </xf>
    <xf numFmtId="172" fontId="3" fillId="0" borderId="19" xfId="0" applyNumberFormat="1" applyFont="1" applyBorder="1" applyAlignment="1">
      <alignment horizontal="center"/>
    </xf>
    <xf numFmtId="171" fontId="4" fillId="0" borderId="26" xfId="3" applyNumberFormat="1" applyFont="1" applyBorder="1"/>
    <xf numFmtId="171" fontId="4" fillId="0" borderId="3" xfId="3" applyNumberFormat="1" applyFont="1" applyBorder="1"/>
    <xf numFmtId="171" fontId="0" fillId="8" borderId="3" xfId="3" applyNumberFormat="1" applyFont="1" applyFill="1" applyBorder="1"/>
    <xf numFmtId="171" fontId="0" fillId="8" borderId="8" xfId="3" applyNumberFormat="1" applyFont="1" applyFill="1" applyBorder="1"/>
    <xf numFmtId="0" fontId="0" fillId="0" borderId="27" xfId="0" applyBorder="1" applyAlignment="1">
      <alignment horizontal="left"/>
    </xf>
    <xf numFmtId="171" fontId="0" fillId="0" borderId="28" xfId="3" applyNumberFormat="1" applyFont="1" applyBorder="1"/>
    <xf numFmtId="171" fontId="0" fillId="0" borderId="24" xfId="3" applyNumberFormat="1" applyFont="1" applyBorder="1"/>
    <xf numFmtId="171" fontId="0" fillId="8" borderId="24" xfId="3" applyNumberFormat="1" applyFont="1" applyFill="1" applyBorder="1"/>
    <xf numFmtId="171" fontId="0" fillId="8" borderId="29" xfId="3" applyNumberFormat="1" applyFont="1" applyFill="1" applyBorder="1"/>
    <xf numFmtId="171" fontId="0" fillId="0" borderId="24" xfId="3" applyNumberFormat="1" applyFont="1" applyBorder="1" applyAlignment="1">
      <alignment horizontal="right"/>
    </xf>
    <xf numFmtId="0" fontId="0" fillId="0" borderId="30" xfId="0" applyBorder="1" applyAlignment="1">
      <alignment horizontal="left"/>
    </xf>
    <xf numFmtId="171" fontId="0" fillId="0" borderId="31" xfId="3" applyNumberFormat="1" applyFont="1" applyBorder="1"/>
    <xf numFmtId="171" fontId="0" fillId="0" borderId="25" xfId="3" applyNumberFormat="1" applyFont="1" applyBorder="1"/>
    <xf numFmtId="171" fontId="0" fillId="8" borderId="25" xfId="3" applyNumberFormat="1" applyFont="1" applyFill="1" applyBorder="1"/>
    <xf numFmtId="171" fontId="0" fillId="8" borderId="32" xfId="3" applyNumberFormat="1" applyFont="1" applyFill="1" applyBorder="1"/>
    <xf numFmtId="0" fontId="0" fillId="0" borderId="43" xfId="0" applyBorder="1" applyAlignment="1">
      <alignment horizontal="left"/>
    </xf>
    <xf numFmtId="171" fontId="0" fillId="0" borderId="20" xfId="3" applyNumberFormat="1" applyFont="1" applyBorder="1"/>
    <xf numFmtId="171" fontId="0" fillId="0" borderId="21" xfId="3" applyNumberFormat="1" applyFont="1" applyBorder="1"/>
    <xf numFmtId="171" fontId="0" fillId="8" borderId="21" xfId="3" applyNumberFormat="1" applyFont="1" applyFill="1" applyBorder="1"/>
    <xf numFmtId="171" fontId="0" fillId="8" borderId="22" xfId="3" applyNumberFormat="1" applyFont="1" applyFill="1" applyBorder="1"/>
    <xf numFmtId="0" fontId="3" fillId="0" borderId="23" xfId="0" applyFont="1" applyBorder="1" applyAlignment="1">
      <alignment horizontal="left"/>
    </xf>
    <xf numFmtId="171" fontId="3" fillId="0" borderId="33" xfId="3" applyNumberFormat="1" applyFont="1" applyBorder="1"/>
    <xf numFmtId="171" fontId="3" fillId="0" borderId="18" xfId="3" applyNumberFormat="1" applyFont="1" applyBorder="1"/>
    <xf numFmtId="171" fontId="3" fillId="8" borderId="18" xfId="3" applyNumberFormat="1" applyFont="1" applyFill="1" applyBorder="1"/>
    <xf numFmtId="171" fontId="3" fillId="8" borderId="19" xfId="3" applyNumberFormat="1" applyFont="1" applyFill="1" applyBorder="1"/>
    <xf numFmtId="164" fontId="7" fillId="0" borderId="0" xfId="1" applyNumberFormat="1" applyFont="1" applyBorder="1"/>
    <xf numFmtId="3" fontId="16" fillId="4" borderId="0" xfId="4" applyNumberFormat="1" applyFont="1" applyFill="1" applyAlignment="1">
      <alignment horizontal="left"/>
    </xf>
    <xf numFmtId="3" fontId="16" fillId="4" borderId="0" xfId="4" applyNumberFormat="1" applyFont="1" applyFill="1"/>
    <xf numFmtId="3" fontId="15" fillId="0" borderId="0" xfId="4" applyNumberFormat="1" applyFont="1"/>
    <xf numFmtId="164" fontId="16" fillId="4" borderId="0" xfId="1" applyNumberFormat="1" applyFont="1" applyFill="1" applyAlignment="1">
      <alignment horizontal="left"/>
    </xf>
    <xf numFmtId="164" fontId="0" fillId="4" borderId="0" xfId="4" applyNumberFormat="1" applyFont="1" applyFill="1" applyAlignment="1">
      <alignment horizontal="left"/>
    </xf>
    <xf numFmtId="164" fontId="0" fillId="4" borderId="0" xfId="4" applyNumberFormat="1" applyFont="1" applyFill="1"/>
    <xf numFmtId="43" fontId="0" fillId="4" borderId="0" xfId="1" applyFont="1" applyFill="1" applyAlignment="1">
      <alignment horizontal="left"/>
    </xf>
    <xf numFmtId="43" fontId="0" fillId="4" borderId="0" xfId="1" applyFont="1" applyFill="1" applyAlignment="1">
      <alignment horizontal="center"/>
    </xf>
    <xf numFmtId="174" fontId="0" fillId="4" borderId="0" xfId="4" applyNumberFormat="1" applyFont="1" applyFill="1"/>
    <xf numFmtId="164" fontId="7" fillId="0" borderId="0" xfId="1" applyNumberFormat="1" applyFont="1"/>
    <xf numFmtId="164" fontId="0" fillId="4" borderId="0" xfId="1" applyNumberFormat="1" applyFont="1" applyFill="1"/>
    <xf numFmtId="164" fontId="0" fillId="0" borderId="0" xfId="4" applyNumberFormat="1" applyFont="1"/>
    <xf numFmtId="43" fontId="0" fillId="4" borderId="0" xfId="1" applyFont="1" applyFill="1"/>
    <xf numFmtId="43" fontId="0" fillId="0" borderId="0" xfId="4" applyNumberFormat="1" applyFont="1"/>
    <xf numFmtId="164" fontId="0" fillId="0" borderId="26" xfId="1" applyNumberFormat="1" applyFont="1" applyBorder="1"/>
    <xf numFmtId="164" fontId="0" fillId="0" borderId="26" xfId="1" applyNumberFormat="1" applyFont="1" applyBorder="1" applyAlignment="1">
      <alignment horizontal="right"/>
    </xf>
    <xf numFmtId="0" fontId="3" fillId="0" borderId="30" xfId="4" applyFont="1" applyBorder="1" applyAlignment="1">
      <alignment horizontal="left" vertical="top"/>
    </xf>
    <xf numFmtId="0" fontId="3" fillId="0" borderId="31" xfId="4" applyFont="1" applyBorder="1" applyAlignment="1">
      <alignment horizontal="right" vertical="top" wrapText="1"/>
    </xf>
    <xf numFmtId="0" fontId="3" fillId="0" borderId="25" xfId="4" applyFont="1" applyBorder="1" applyAlignment="1">
      <alignment horizontal="right" vertical="top" wrapText="1"/>
    </xf>
    <xf numFmtId="0" fontId="3" fillId="0" borderId="25" xfId="4" applyFont="1" applyBorder="1" applyAlignment="1">
      <alignment horizontal="left" vertical="top"/>
    </xf>
    <xf numFmtId="0" fontId="0" fillId="0" borderId="25" xfId="4" applyFont="1" applyBorder="1"/>
    <xf numFmtId="0" fontId="0" fillId="0" borderId="32" xfId="4" applyFont="1" applyBorder="1"/>
    <xf numFmtId="0" fontId="3" fillId="0" borderId="23" xfId="4" applyFont="1" applyBorder="1" applyAlignment="1">
      <alignment vertical="top" wrapText="1"/>
    </xf>
    <xf numFmtId="0" fontId="3" fillId="0" borderId="33" xfId="4" applyFont="1" applyBorder="1" applyAlignment="1">
      <alignment horizontal="center"/>
    </xf>
    <xf numFmtId="0" fontId="3" fillId="0" borderId="18" xfId="4" applyFont="1" applyBorder="1" applyAlignment="1">
      <alignment horizontal="center"/>
    </xf>
    <xf numFmtId="0" fontId="3" fillId="0" borderId="19" xfId="4" applyFont="1" applyBorder="1" applyAlignment="1">
      <alignment horizontal="center"/>
    </xf>
    <xf numFmtId="0" fontId="0" fillId="0" borderId="27" xfId="4" applyFont="1" applyBorder="1" applyAlignment="1">
      <alignment horizontal="left"/>
    </xf>
    <xf numFmtId="164" fontId="0" fillId="0" borderId="28" xfId="1" applyNumberFormat="1" applyFont="1" applyBorder="1"/>
    <xf numFmtId="164" fontId="0" fillId="0" borderId="24" xfId="1" applyNumberFormat="1" applyFont="1" applyBorder="1"/>
    <xf numFmtId="0" fontId="0" fillId="0" borderId="30" xfId="4" applyFont="1" applyBorder="1" applyAlignment="1">
      <alignment horizontal="left"/>
    </xf>
    <xf numFmtId="164" fontId="0" fillId="0" borderId="31" xfId="1" applyNumberFormat="1" applyFont="1" applyBorder="1"/>
    <xf numFmtId="164" fontId="0" fillId="0" borderId="25" xfId="1" applyNumberFormat="1" applyFont="1" applyBorder="1"/>
    <xf numFmtId="164" fontId="0" fillId="0" borderId="25" xfId="1" applyNumberFormat="1" applyFont="1" applyBorder="1" applyAlignment="1">
      <alignment horizontal="right"/>
    </xf>
    <xf numFmtId="0" fontId="3" fillId="0" borderId="43" xfId="4" applyFont="1" applyBorder="1" applyAlignment="1">
      <alignment horizontal="left"/>
    </xf>
    <xf numFmtId="164" fontId="3" fillId="0" borderId="20" xfId="1" applyNumberFormat="1" applyFont="1" applyBorder="1"/>
    <xf numFmtId="164" fontId="3" fillId="0" borderId="21" xfId="1" applyNumberFormat="1" applyFont="1" applyBorder="1"/>
    <xf numFmtId="0" fontId="3" fillId="0" borderId="30" xfId="4" applyFont="1" applyBorder="1" applyAlignment="1">
      <alignment horizontal="left"/>
    </xf>
    <xf numFmtId="164" fontId="3" fillId="0" borderId="31" xfId="1" applyNumberFormat="1" applyFont="1" applyBorder="1"/>
    <xf numFmtId="164" fontId="7" fillId="0" borderId="25" xfId="1" applyNumberFormat="1" applyFont="1" applyBorder="1"/>
    <xf numFmtId="0" fontId="3" fillId="0" borderId="34" xfId="4" applyFont="1" applyBorder="1" applyAlignment="1">
      <alignment horizontal="left"/>
    </xf>
    <xf numFmtId="164" fontId="3" fillId="0" borderId="35" xfId="1" applyNumberFormat="1" applyFont="1" applyBorder="1"/>
    <xf numFmtId="164" fontId="3" fillId="0" borderId="36" xfId="1" applyNumberFormat="1" applyFont="1" applyBorder="1"/>
    <xf numFmtId="0" fontId="3" fillId="0" borderId="23" xfId="4" applyFont="1" applyBorder="1" applyAlignment="1">
      <alignment horizontal="left"/>
    </xf>
    <xf numFmtId="164" fontId="3" fillId="0" borderId="33" xfId="1" applyNumberFormat="1" applyFont="1" applyBorder="1"/>
    <xf numFmtId="164" fontId="3" fillId="0" borderId="18" xfId="1" applyNumberFormat="1" applyFont="1" applyBorder="1"/>
    <xf numFmtId="174" fontId="0" fillId="8" borderId="3" xfId="4" applyNumberFormat="1" applyFont="1" applyFill="1" applyBorder="1" applyAlignment="1">
      <alignment horizontal="left"/>
    </xf>
    <xf numFmtId="174" fontId="0" fillId="8" borderId="8" xfId="4" applyNumberFormat="1" applyFont="1" applyFill="1" applyBorder="1" applyAlignment="1">
      <alignment horizontal="left"/>
    </xf>
    <xf numFmtId="164" fontId="0" fillId="8" borderId="24" xfId="1" applyNumberFormat="1" applyFont="1" applyFill="1" applyBorder="1" applyAlignment="1">
      <alignment horizontal="left"/>
    </xf>
    <xf numFmtId="164" fontId="0" fillId="8" borderId="29" xfId="1" applyNumberFormat="1" applyFont="1" applyFill="1" applyBorder="1" applyAlignment="1">
      <alignment horizontal="left"/>
    </xf>
    <xf numFmtId="164" fontId="3" fillId="8" borderId="18" xfId="4" applyNumberFormat="1" applyFont="1" applyFill="1" applyBorder="1" applyAlignment="1">
      <alignment horizontal="left"/>
    </xf>
    <xf numFmtId="164" fontId="3" fillId="8" borderId="19" xfId="4" applyNumberFormat="1" applyFont="1" applyFill="1" applyBorder="1" applyAlignment="1">
      <alignment horizontal="left"/>
    </xf>
    <xf numFmtId="164" fontId="0" fillId="8" borderId="25" xfId="4" applyNumberFormat="1" applyFont="1" applyFill="1" applyBorder="1" applyAlignment="1">
      <alignment horizontal="left"/>
    </xf>
    <xf numFmtId="164" fontId="0" fillId="8" borderId="32" xfId="4" applyNumberFormat="1" applyFont="1" applyFill="1" applyBorder="1" applyAlignment="1">
      <alignment horizontal="left"/>
    </xf>
    <xf numFmtId="164" fontId="0" fillId="8" borderId="3" xfId="4" applyNumberFormat="1" applyFont="1" applyFill="1" applyBorder="1" applyAlignment="1">
      <alignment horizontal="left"/>
    </xf>
    <xf numFmtId="164" fontId="0" fillId="8" borderId="3" xfId="4" applyNumberFormat="1" applyFont="1" applyFill="1" applyBorder="1"/>
    <xf numFmtId="164" fontId="0" fillId="8" borderId="8" xfId="4" applyNumberFormat="1" applyFont="1" applyFill="1" applyBorder="1"/>
    <xf numFmtId="43" fontId="0" fillId="8" borderId="3" xfId="1" applyFont="1" applyFill="1" applyBorder="1" applyAlignment="1">
      <alignment horizontal="left"/>
    </xf>
    <xf numFmtId="43" fontId="0" fillId="8" borderId="8" xfId="1" applyFont="1" applyFill="1" applyBorder="1" applyAlignment="1">
      <alignment horizontal="left"/>
    </xf>
    <xf numFmtId="174" fontId="0" fillId="8" borderId="24" xfId="4" applyNumberFormat="1" applyFont="1" applyFill="1" applyBorder="1" applyAlignment="1">
      <alignment horizontal="left"/>
    </xf>
    <xf numFmtId="174" fontId="0" fillId="8" borderId="29" xfId="4" applyNumberFormat="1" applyFont="1" applyFill="1" applyBorder="1" applyAlignment="1">
      <alignment horizontal="left"/>
    </xf>
    <xf numFmtId="164" fontId="3" fillId="8" borderId="18" xfId="1" applyNumberFormat="1" applyFont="1" applyFill="1" applyBorder="1" applyAlignment="1">
      <alignment horizontal="left"/>
    </xf>
    <xf numFmtId="164" fontId="3" fillId="8" borderId="19" xfId="1" applyNumberFormat="1" applyFont="1" applyFill="1" applyBorder="1" applyAlignment="1">
      <alignment horizontal="left"/>
    </xf>
    <xf numFmtId="174" fontId="0" fillId="8" borderId="25" xfId="4" applyNumberFormat="1" applyFont="1" applyFill="1" applyBorder="1" applyAlignment="1">
      <alignment horizontal="left"/>
    </xf>
    <xf numFmtId="174" fontId="0" fillId="8" borderId="32" xfId="4" applyNumberFormat="1" applyFont="1" applyFill="1" applyBorder="1" applyAlignment="1">
      <alignment horizontal="left"/>
    </xf>
    <xf numFmtId="164" fontId="3" fillId="8" borderId="18" xfId="4" applyNumberFormat="1" applyFont="1" applyFill="1" applyBorder="1"/>
    <xf numFmtId="164" fontId="3" fillId="8" borderId="19" xfId="4" applyNumberFormat="1" applyFont="1" applyFill="1" applyBorder="1"/>
    <xf numFmtId="43" fontId="0" fillId="8" borderId="25" xfId="1" applyFont="1" applyFill="1" applyBorder="1" applyAlignment="1">
      <alignment horizontal="center"/>
    </xf>
    <xf numFmtId="43" fontId="0" fillId="8" borderId="32" xfId="1" applyFont="1" applyFill="1" applyBorder="1" applyAlignment="1">
      <alignment horizontal="center"/>
    </xf>
    <xf numFmtId="164" fontId="0" fillId="8" borderId="8" xfId="4" applyNumberFormat="1" applyFont="1" applyFill="1" applyBorder="1" applyAlignment="1">
      <alignment horizontal="left"/>
    </xf>
    <xf numFmtId="43" fontId="0" fillId="8" borderId="3" xfId="1" applyFont="1" applyFill="1" applyBorder="1" applyAlignment="1">
      <alignment horizontal="center"/>
    </xf>
    <xf numFmtId="43" fontId="0" fillId="8" borderId="8" xfId="1" applyFont="1" applyFill="1" applyBorder="1" applyAlignment="1">
      <alignment horizontal="center"/>
    </xf>
    <xf numFmtId="164" fontId="0" fillId="8" borderId="3" xfId="1" applyNumberFormat="1" applyFont="1" applyFill="1" applyBorder="1" applyAlignment="1">
      <alignment horizontal="left"/>
    </xf>
    <xf numFmtId="164" fontId="0" fillId="8" borderId="8" xfId="1" applyNumberFormat="1" applyFont="1" applyFill="1" applyBorder="1" applyAlignment="1">
      <alignment horizontal="left"/>
    </xf>
    <xf numFmtId="174" fontId="0" fillId="8" borderId="25" xfId="4" applyNumberFormat="1" applyFont="1" applyFill="1" applyBorder="1"/>
    <xf numFmtId="174" fontId="0" fillId="8" borderId="32" xfId="4" applyNumberFormat="1" applyFont="1" applyFill="1" applyBorder="1"/>
    <xf numFmtId="164" fontId="0" fillId="8" borderId="24" xfId="4" applyNumberFormat="1" applyFont="1" applyFill="1" applyBorder="1"/>
    <xf numFmtId="164" fontId="0" fillId="8" borderId="29" xfId="4" applyNumberFormat="1" applyFont="1" applyFill="1" applyBorder="1"/>
    <xf numFmtId="164" fontId="0" fillId="8" borderId="3" xfId="1" applyNumberFormat="1" applyFont="1" applyFill="1" applyBorder="1"/>
    <xf numFmtId="164" fontId="0" fillId="8" borderId="8" xfId="1" applyNumberFormat="1" applyFont="1" applyFill="1" applyBorder="1"/>
    <xf numFmtId="43" fontId="0" fillId="8" borderId="24" xfId="1" applyFont="1" applyFill="1" applyBorder="1" applyAlignment="1">
      <alignment horizontal="center"/>
    </xf>
    <xf numFmtId="43" fontId="0" fillId="8" borderId="29" xfId="1" applyFont="1" applyFill="1" applyBorder="1" applyAlignment="1">
      <alignment horizontal="center"/>
    </xf>
    <xf numFmtId="164" fontId="3" fillId="8" borderId="36" xfId="4" applyNumberFormat="1" applyFont="1" applyFill="1" applyBorder="1" applyAlignment="1">
      <alignment horizontal="left"/>
    </xf>
    <xf numFmtId="164" fontId="3" fillId="8" borderId="37" xfId="4" applyNumberFormat="1" applyFont="1" applyFill="1" applyBorder="1" applyAlignment="1">
      <alignment horizontal="left"/>
    </xf>
    <xf numFmtId="3" fontId="17" fillId="8" borderId="25" xfId="4" applyNumberFormat="1" applyFont="1" applyFill="1" applyBorder="1" applyAlignment="1">
      <alignment horizontal="left"/>
    </xf>
    <xf numFmtId="3" fontId="17" fillId="8" borderId="25" xfId="4" applyNumberFormat="1" applyFont="1" applyFill="1" applyBorder="1"/>
    <xf numFmtId="3" fontId="17" fillId="8" borderId="32" xfId="4" applyNumberFormat="1" applyFont="1" applyFill="1" applyBorder="1"/>
    <xf numFmtId="164" fontId="17" fillId="8" borderId="21" xfId="1" applyNumberFormat="1" applyFont="1" applyFill="1" applyBorder="1" applyAlignment="1">
      <alignment horizontal="left"/>
    </xf>
    <xf numFmtId="164" fontId="17" fillId="8" borderId="22" xfId="1" applyNumberFormat="1" applyFont="1" applyFill="1" applyBorder="1" applyAlignment="1">
      <alignment horizontal="left"/>
    </xf>
    <xf numFmtId="0" fontId="18" fillId="0" borderId="0" xfId="6" applyFill="1"/>
    <xf numFmtId="0" fontId="20" fillId="0" borderId="0" xfId="6" applyFont="1" applyFill="1"/>
    <xf numFmtId="0" fontId="21" fillId="0" borderId="0" xfId="6" applyFont="1" applyFill="1"/>
    <xf numFmtId="10" fontId="21" fillId="0" borderId="0" xfId="6" applyNumberFormat="1" applyFont="1" applyFill="1"/>
    <xf numFmtId="9" fontId="21" fillId="0" borderId="0" xfId="6" applyNumberFormat="1" applyFont="1" applyFill="1"/>
    <xf numFmtId="0" fontId="22" fillId="0" borderId="0" xfId="6" applyFont="1" applyFill="1"/>
    <xf numFmtId="9" fontId="22" fillId="0" borderId="0" xfId="9" applyFont="1" applyFill="1"/>
    <xf numFmtId="10" fontId="0" fillId="0" borderId="0" xfId="9" applyNumberFormat="1" applyFont="1" applyFill="1"/>
    <xf numFmtId="0" fontId="23" fillId="0" borderId="0" xfId="6" applyFont="1" applyFill="1"/>
    <xf numFmtId="0" fontId="24" fillId="0" borderId="0" xfId="6" applyFont="1" applyFill="1"/>
    <xf numFmtId="9" fontId="21" fillId="0" borderId="0" xfId="9" applyFont="1" applyFill="1"/>
    <xf numFmtId="10" fontId="21" fillId="0" borderId="0" xfId="9" applyNumberFormat="1" applyFont="1" applyFill="1"/>
    <xf numFmtId="9" fontId="22" fillId="0" borderId="0" xfId="6" applyNumberFormat="1" applyFont="1" applyFill="1"/>
    <xf numFmtId="10" fontId="22" fillId="0" borderId="0" xfId="6" applyNumberFormat="1" applyFont="1" applyFill="1"/>
    <xf numFmtId="168" fontId="22" fillId="0" borderId="0" xfId="9" applyNumberFormat="1" applyFont="1" applyFill="1"/>
    <xf numFmtId="168" fontId="22" fillId="0" borderId="0" xfId="6" applyNumberFormat="1" applyFont="1" applyFill="1"/>
    <xf numFmtId="43" fontId="21" fillId="0" borderId="0" xfId="10" applyFont="1" applyFill="1"/>
    <xf numFmtId="164" fontId="21" fillId="0" borderId="0" xfId="10" applyNumberFormat="1" applyFont="1" applyFill="1"/>
    <xf numFmtId="0" fontId="18" fillId="0" borderId="0" xfId="6" applyFill="1" applyAlignment="1">
      <alignment horizontal="left"/>
    </xf>
    <xf numFmtId="0" fontId="25" fillId="0" borderId="0" xfId="6" applyFont="1" applyFill="1" applyAlignment="1">
      <alignment horizontal="left"/>
    </xf>
    <xf numFmtId="164" fontId="20" fillId="0" borderId="0" xfId="10" applyNumberFormat="1" applyFont="1" applyFill="1"/>
    <xf numFmtId="164" fontId="0" fillId="0" borderId="0" xfId="10" applyNumberFormat="1" applyFont="1" applyFill="1"/>
    <xf numFmtId="164" fontId="18" fillId="0" borderId="0" xfId="6" applyNumberFormat="1" applyFill="1"/>
    <xf numFmtId="164" fontId="20" fillId="0" borderId="0" xfId="6" applyNumberFormat="1" applyFont="1" applyFill="1"/>
    <xf numFmtId="0" fontId="26" fillId="0" borderId="0" xfId="6" applyFont="1" applyFill="1" applyAlignment="1">
      <alignment horizontal="left"/>
    </xf>
    <xf numFmtId="10" fontId="20" fillId="0" borderId="0" xfId="9" applyNumberFormat="1" applyFont="1" applyFill="1"/>
    <xf numFmtId="0" fontId="20" fillId="0" borderId="0" xfId="6" applyFont="1" applyFill="1" applyAlignment="1">
      <alignment horizontal="right"/>
    </xf>
    <xf numFmtId="0" fontId="20" fillId="0" borderId="0" xfId="6" applyFont="1" applyFill="1" applyAlignment="1">
      <alignment horizontal="left"/>
    </xf>
    <xf numFmtId="164" fontId="26" fillId="0" borderId="0" xfId="10" applyNumberFormat="1" applyFont="1" applyFill="1"/>
    <xf numFmtId="164" fontId="25" fillId="0" borderId="0" xfId="10" applyNumberFormat="1" applyFont="1" applyFill="1"/>
    <xf numFmtId="0" fontId="25" fillId="0" borderId="0" xfId="6" applyFont="1" applyFill="1"/>
    <xf numFmtId="0" fontId="27" fillId="0" borderId="0" xfId="6" applyFont="1" applyFill="1"/>
    <xf numFmtId="0" fontId="26" fillId="0" borderId="0" xfId="6" applyFont="1" applyFill="1"/>
    <xf numFmtId="171" fontId="25" fillId="0" borderId="23" xfId="11" applyNumberFormat="1" applyFont="1" applyFill="1" applyBorder="1"/>
    <xf numFmtId="2" fontId="20" fillId="0" borderId="23" xfId="6" applyNumberFormat="1" applyFont="1" applyFill="1" applyBorder="1"/>
    <xf numFmtId="171" fontId="20" fillId="0" borderId="23" xfId="6" applyNumberFormat="1" applyFont="1" applyFill="1" applyBorder="1"/>
    <xf numFmtId="171" fontId="0" fillId="0" borderId="0" xfId="11" applyNumberFormat="1" applyFont="1" applyFill="1"/>
    <xf numFmtId="0" fontId="18" fillId="0" borderId="0" xfId="6" applyFill="1" applyAlignment="1">
      <alignment horizontal="centerContinuous"/>
    </xf>
    <xf numFmtId="0" fontId="20" fillId="0" borderId="0" xfId="6" applyFont="1" applyFill="1" applyAlignment="1">
      <alignment horizontal="center"/>
    </xf>
    <xf numFmtId="44" fontId="0" fillId="0" borderId="0" xfId="11" applyFont="1" applyFill="1"/>
    <xf numFmtId="1" fontId="18" fillId="0" borderId="0" xfId="6" applyNumberFormat="1" applyFill="1"/>
    <xf numFmtId="2" fontId="29" fillId="0" borderId="0" xfId="6" applyNumberFormat="1" applyFont="1" applyFill="1"/>
    <xf numFmtId="2" fontId="20" fillId="0" borderId="0" xfId="6" applyNumberFormat="1" applyFont="1" applyFill="1"/>
    <xf numFmtId="2" fontId="30" fillId="0" borderId="0" xfId="6" applyNumberFormat="1" applyFont="1" applyFill="1"/>
    <xf numFmtId="44" fontId="18" fillId="0" borderId="0" xfId="6" applyNumberFormat="1" applyFill="1"/>
    <xf numFmtId="44" fontId="20" fillId="0" borderId="0" xfId="6" applyNumberFormat="1" applyFont="1" applyFill="1"/>
    <xf numFmtId="44" fontId="20" fillId="0" borderId="23" xfId="6" applyNumberFormat="1" applyFont="1" applyFill="1" applyBorder="1"/>
    <xf numFmtId="0" fontId="25" fillId="0" borderId="1" xfId="6" applyFont="1" applyFill="1" applyBorder="1" applyAlignment="1">
      <alignment horizontal="left"/>
    </xf>
    <xf numFmtId="164" fontId="20" fillId="0" borderId="1" xfId="6" applyNumberFormat="1" applyFont="1" applyFill="1" applyBorder="1"/>
    <xf numFmtId="164" fontId="20" fillId="0" borderId="0" xfId="10" applyNumberFormat="1" applyFont="1" applyFill="1" applyBorder="1"/>
    <xf numFmtId="164" fontId="3" fillId="0" borderId="0" xfId="10" applyNumberFormat="1" applyFont="1" applyFill="1"/>
    <xf numFmtId="164" fontId="18" fillId="0" borderId="0" xfId="1" applyNumberFormat="1" applyFont="1" applyFill="1"/>
    <xf numFmtId="164" fontId="20" fillId="0" borderId="0" xfId="1" applyNumberFormat="1" applyFont="1" applyFill="1"/>
    <xf numFmtId="168" fontId="4" fillId="0" borderId="0" xfId="2" applyNumberFormat="1"/>
    <xf numFmtId="168" fontId="3" fillId="0" borderId="0" xfId="4" applyNumberFormat="1" applyFont="1"/>
    <xf numFmtId="0" fontId="29" fillId="0" borderId="0" xfId="6" applyFont="1" applyFill="1"/>
    <xf numFmtId="171" fontId="18" fillId="0" borderId="0" xfId="3" applyNumberFormat="1" applyFont="1" applyFill="1"/>
    <xf numFmtId="171" fontId="0" fillId="0" borderId="0" xfId="3" applyNumberFormat="1" applyFont="1" applyFill="1"/>
    <xf numFmtId="164" fontId="0" fillId="0" borderId="0" xfId="1" applyNumberFormat="1" applyFont="1" applyFill="1"/>
    <xf numFmtId="0" fontId="18" fillId="0" borderId="26" xfId="6" applyFill="1" applyBorder="1"/>
    <xf numFmtId="44" fontId="18" fillId="0" borderId="31" xfId="3" applyFont="1" applyFill="1" applyBorder="1"/>
    <xf numFmtId="0" fontId="18" fillId="0" borderId="14" xfId="6" applyFill="1" applyBorder="1"/>
    <xf numFmtId="0" fontId="18" fillId="0" borderId="15" xfId="6" applyFill="1" applyBorder="1"/>
    <xf numFmtId="0" fontId="18" fillId="0" borderId="16" xfId="6" applyFill="1" applyBorder="1"/>
    <xf numFmtId="0" fontId="18" fillId="0" borderId="44" xfId="6" applyFill="1" applyBorder="1"/>
    <xf numFmtId="0" fontId="18" fillId="0" borderId="37" xfId="6" applyFill="1" applyBorder="1"/>
    <xf numFmtId="0" fontId="18" fillId="0" borderId="23" xfId="6" applyFill="1" applyBorder="1"/>
    <xf numFmtId="0" fontId="0" fillId="0" borderId="0" xfId="2" applyNumberFormat="1" applyFont="1"/>
    <xf numFmtId="164" fontId="0" fillId="4" borderId="0" xfId="1" applyNumberFormat="1" applyFont="1" applyFill="1" applyAlignment="1">
      <alignment horizontal="right"/>
    </xf>
    <xf numFmtId="164" fontId="0" fillId="0" borderId="0" xfId="10" applyNumberFormat="1" applyFont="1"/>
    <xf numFmtId="168" fontId="22" fillId="0" borderId="0" xfId="6" applyNumberFormat="1" applyFont="1"/>
    <xf numFmtId="164" fontId="20" fillId="0" borderId="0" xfId="10" applyNumberFormat="1" applyFont="1"/>
    <xf numFmtId="2" fontId="31" fillId="0" borderId="0" xfId="6" applyNumberFormat="1" applyFont="1" applyFill="1"/>
    <xf numFmtId="2" fontId="32" fillId="0" borderId="0" xfId="6" applyNumberFormat="1" applyFont="1" applyFill="1"/>
    <xf numFmtId="9" fontId="3" fillId="0" borderId="0" xfId="4" applyNumberFormat="1" applyFont="1"/>
    <xf numFmtId="44" fontId="20" fillId="9" borderId="23" xfId="3" applyFont="1" applyFill="1" applyBorder="1"/>
    <xf numFmtId="43" fontId="18" fillId="0" borderId="0" xfId="1" applyFont="1" applyFill="1"/>
    <xf numFmtId="44" fontId="20" fillId="10" borderId="3" xfId="3" applyFont="1" applyFill="1" applyBorder="1"/>
    <xf numFmtId="0" fontId="18" fillId="0" borderId="23" xfId="6" applyBorder="1"/>
    <xf numFmtId="0" fontId="18" fillId="0" borderId="44" xfId="6" applyBorder="1"/>
    <xf numFmtId="0" fontId="18" fillId="0" borderId="37" xfId="6" applyBorder="1"/>
    <xf numFmtId="0" fontId="18" fillId="0" borderId="14" xfId="6" applyBorder="1"/>
    <xf numFmtId="44" fontId="18" fillId="0" borderId="31" xfId="3" applyFont="1" applyBorder="1"/>
    <xf numFmtId="44" fontId="20" fillId="0" borderId="0" xfId="6" applyNumberFormat="1" applyFont="1"/>
    <xf numFmtId="0" fontId="18" fillId="0" borderId="15" xfId="6" applyBorder="1"/>
    <xf numFmtId="0" fontId="18" fillId="0" borderId="16" xfId="6" applyBorder="1"/>
    <xf numFmtId="0" fontId="18" fillId="0" borderId="26" xfId="6" applyBorder="1"/>
    <xf numFmtId="0" fontId="33" fillId="14" borderId="47" xfId="0" applyFont="1" applyFill="1" applyBorder="1"/>
    <xf numFmtId="0" fontId="33" fillId="13" borderId="47" xfId="0" applyFont="1" applyFill="1" applyBorder="1"/>
    <xf numFmtId="0" fontId="33" fillId="14" borderId="48" xfId="0" applyFont="1" applyFill="1" applyBorder="1"/>
    <xf numFmtId="8" fontId="33" fillId="14" borderId="29" xfId="0" applyNumberFormat="1" applyFont="1" applyFill="1" applyBorder="1" applyAlignment="1">
      <alignment horizontal="right"/>
    </xf>
    <xf numFmtId="0" fontId="33" fillId="13" borderId="29" xfId="0" applyFont="1" applyFill="1" applyBorder="1" applyAlignment="1">
      <alignment horizontal="right"/>
    </xf>
    <xf numFmtId="0" fontId="33" fillId="14" borderId="29" xfId="0" applyFont="1" applyFill="1" applyBorder="1" applyAlignment="1">
      <alignment horizontal="right"/>
    </xf>
    <xf numFmtId="3" fontId="33" fillId="13" borderId="29" xfId="0" applyNumberFormat="1" applyFont="1" applyFill="1" applyBorder="1" applyAlignment="1">
      <alignment horizontal="right"/>
    </xf>
    <xf numFmtId="10" fontId="33" fillId="13" borderId="29" xfId="0" applyNumberFormat="1" applyFont="1" applyFill="1" applyBorder="1" applyAlignment="1">
      <alignment horizontal="right"/>
    </xf>
    <xf numFmtId="10" fontId="33" fillId="14" borderId="29" xfId="0" applyNumberFormat="1" applyFont="1" applyFill="1" applyBorder="1" applyAlignment="1">
      <alignment horizontal="right"/>
    </xf>
    <xf numFmtId="0" fontId="33" fillId="14" borderId="11" xfId="0" applyFont="1" applyFill="1" applyBorder="1" applyAlignment="1">
      <alignment horizontal="right"/>
    </xf>
    <xf numFmtId="44" fontId="20" fillId="15" borderId="3" xfId="3" applyFont="1" applyFill="1" applyBorder="1"/>
    <xf numFmtId="0" fontId="20" fillId="15" borderId="42" xfId="6" applyFont="1" applyFill="1" applyBorder="1" applyAlignment="1">
      <alignment horizontal="center"/>
    </xf>
    <xf numFmtId="0" fontId="18" fillId="15" borderId="18" xfId="6" applyFill="1" applyBorder="1" applyAlignment="1">
      <alignment horizontal="center"/>
    </xf>
    <xf numFmtId="0" fontId="18" fillId="15" borderId="19" xfId="6" applyFill="1" applyBorder="1" applyAlignment="1">
      <alignment horizontal="center"/>
    </xf>
    <xf numFmtId="0" fontId="20" fillId="11" borderId="49" xfId="6" applyFont="1" applyFill="1" applyBorder="1" applyAlignment="1">
      <alignment horizontal="center"/>
    </xf>
    <xf numFmtId="0" fontId="20" fillId="11" borderId="50" xfId="6" applyFont="1" applyFill="1" applyBorder="1" applyAlignment="1">
      <alignment horizontal="center"/>
    </xf>
    <xf numFmtId="0" fontId="20" fillId="11" borderId="51" xfId="6" applyFont="1" applyFill="1" applyBorder="1" applyAlignment="1">
      <alignment horizontal="center"/>
    </xf>
    <xf numFmtId="0" fontId="3" fillId="0" borderId="0" xfId="0" applyFont="1" applyAlignment="1">
      <alignment horizontal="center"/>
    </xf>
    <xf numFmtId="0" fontId="20" fillId="12" borderId="45" xfId="0" applyFont="1" applyFill="1" applyBorder="1" applyAlignment="1">
      <alignment horizontal="center"/>
    </xf>
    <xf numFmtId="0" fontId="20" fillId="12" borderId="46" xfId="0" applyFont="1" applyFill="1" applyBorder="1" applyAlignment="1">
      <alignment horizontal="center"/>
    </xf>
  </cellXfs>
  <cellStyles count="12">
    <cellStyle name="Comma" xfId="1" builtinId="3"/>
    <cellStyle name="Comma 2" xfId="8" xr:uid="{384022C3-4D1A-4E0D-827C-249163685BBB}"/>
    <cellStyle name="Comma 3" xfId="10" xr:uid="{7E26410F-0D0D-A94D-B9D5-AD0C31EA1D5F}"/>
    <cellStyle name="Currency" xfId="3" builtinId="4"/>
    <cellStyle name="Currency 2" xfId="5" xr:uid="{610386BE-6E7D-47FD-9A6F-28CAD4B47775}"/>
    <cellStyle name="Currency 3" xfId="7" xr:uid="{425BA6F4-989E-4A1E-AAEB-C189E0A80E4D}"/>
    <cellStyle name="Currency 4" xfId="11" xr:uid="{7E4AE942-EB02-9D4C-992B-61624C9E2845}"/>
    <cellStyle name="Normal" xfId="0" builtinId="0"/>
    <cellStyle name="Normal 2" xfId="4" xr:uid="{4B136A33-4A13-4A8B-A36B-363652F167A0}"/>
    <cellStyle name="Normal 3" xfId="6" xr:uid="{EA3FB6FC-A6DE-4533-9466-13556F8F3519}"/>
    <cellStyle name="Percent" xfId="2" builtinId="5"/>
    <cellStyle name="Percent 2" xfId="9" xr:uid="{98D234D5-3106-A145-A605-8CEE5E22FF0C}"/>
  </cellStyles>
  <dxfs count="0"/>
  <tableStyles count="0" defaultTableStyle="TableStyleMedium9"/>
  <colors>
    <mruColors>
      <color rgb="FF8ECE83"/>
      <color rgb="FF197E08"/>
      <color rgb="FF1C91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styles" Target="style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5.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6.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7.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8.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Free</a:t>
            </a:r>
            <a:r>
              <a:rPr lang="en-US" b="1" baseline="0"/>
              <a:t> Cash Flow Components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'DCF Model'!$A$110</c:f>
              <c:strCache>
                <c:ptCount val="1"/>
                <c:pt idx="0">
                  <c:v>Operating CF</c:v>
                </c:pt>
              </c:strCache>
            </c:strRef>
          </c:tx>
          <c:spPr>
            <a:ln w="28575" cap="rnd">
              <a:solidFill>
                <a:schemeClr val="accent1"/>
              </a:solidFill>
              <a:round/>
            </a:ln>
            <a:effectLst/>
          </c:spPr>
          <c:marker>
            <c:symbol val="none"/>
          </c:marker>
          <c:cat>
            <c:numRef>
              <c:f>'DCF Model'!$B$107:$I$107</c:f>
              <c:numCache>
                <c:formatCode>General</c:formatCode>
                <c:ptCount val="8"/>
                <c:pt idx="0">
                  <c:v>2023</c:v>
                </c:pt>
                <c:pt idx="1">
                  <c:v>2024</c:v>
                </c:pt>
                <c:pt idx="2">
                  <c:v>2025</c:v>
                </c:pt>
                <c:pt idx="3">
                  <c:v>2026</c:v>
                </c:pt>
                <c:pt idx="4">
                  <c:v>2027</c:v>
                </c:pt>
                <c:pt idx="5">
                  <c:v>2028</c:v>
                </c:pt>
                <c:pt idx="6">
                  <c:v>2029</c:v>
                </c:pt>
                <c:pt idx="7">
                  <c:v>2030</c:v>
                </c:pt>
              </c:numCache>
            </c:numRef>
          </c:cat>
          <c:val>
            <c:numRef>
              <c:f>'DCF Model'!$B$110:$I$110</c:f>
              <c:numCache>
                <c:formatCode>_(* #,##0_);_(* \(#,##0\);_(* "-"??_);_(@_)</c:formatCode>
                <c:ptCount val="8"/>
                <c:pt idx="0">
                  <c:v>5202000</c:v>
                </c:pt>
                <c:pt idx="1">
                  <c:v>29729000</c:v>
                </c:pt>
                <c:pt idx="2">
                  <c:v>68698503.121046662</c:v>
                </c:pt>
                <c:pt idx="3">
                  <c:v>87821204.680520445</c:v>
                </c:pt>
                <c:pt idx="4">
                  <c:v>116360693.59346212</c:v>
                </c:pt>
                <c:pt idx="5">
                  <c:v>111757841.42790203</c:v>
                </c:pt>
                <c:pt idx="6">
                  <c:v>117784594.22348177</c:v>
                </c:pt>
                <c:pt idx="7">
                  <c:v>115923587.05004285</c:v>
                </c:pt>
              </c:numCache>
            </c:numRef>
          </c:val>
          <c:smooth val="0"/>
          <c:extLst>
            <c:ext xmlns:c16="http://schemas.microsoft.com/office/drawing/2014/chart" uri="{C3380CC4-5D6E-409C-BE32-E72D297353CC}">
              <c16:uniqueId val="{00000000-08B4-0C42-9247-62B318BC67A9}"/>
            </c:ext>
          </c:extLst>
        </c:ser>
        <c:ser>
          <c:idx val="1"/>
          <c:order val="1"/>
          <c:tx>
            <c:strRef>
              <c:f>'DCF Model'!$A$111</c:f>
              <c:strCache>
                <c:ptCount val="1"/>
                <c:pt idx="0">
                  <c:v>Net CAPEX</c:v>
                </c:pt>
              </c:strCache>
            </c:strRef>
          </c:tx>
          <c:spPr>
            <a:ln w="28575" cap="rnd">
              <a:solidFill>
                <a:schemeClr val="accent2"/>
              </a:solidFill>
              <a:round/>
            </a:ln>
            <a:effectLst/>
          </c:spPr>
          <c:marker>
            <c:symbol val="none"/>
          </c:marker>
          <c:cat>
            <c:numRef>
              <c:f>'DCF Model'!$B$107:$I$107</c:f>
              <c:numCache>
                <c:formatCode>General</c:formatCode>
                <c:ptCount val="8"/>
                <c:pt idx="0">
                  <c:v>2023</c:v>
                </c:pt>
                <c:pt idx="1">
                  <c:v>2024</c:v>
                </c:pt>
                <c:pt idx="2">
                  <c:v>2025</c:v>
                </c:pt>
                <c:pt idx="3">
                  <c:v>2026</c:v>
                </c:pt>
                <c:pt idx="4">
                  <c:v>2027</c:v>
                </c:pt>
                <c:pt idx="5">
                  <c:v>2028</c:v>
                </c:pt>
                <c:pt idx="6">
                  <c:v>2029</c:v>
                </c:pt>
                <c:pt idx="7">
                  <c:v>2030</c:v>
                </c:pt>
              </c:numCache>
            </c:numRef>
          </c:cat>
          <c:val>
            <c:numRef>
              <c:f>'DCF Model'!$B$111:$I$111</c:f>
              <c:numCache>
                <c:formatCode>_(* #,##0_);_(* \(#,##0\);_(* "-"??_);_(@_)</c:formatCode>
                <c:ptCount val="8"/>
                <c:pt idx="0">
                  <c:v>791000</c:v>
                </c:pt>
                <c:pt idx="1">
                  <c:v>1737000</c:v>
                </c:pt>
                <c:pt idx="2">
                  <c:v>20153192.479697049</c:v>
                </c:pt>
                <c:pt idx="3">
                  <c:v>28549730.486294694</c:v>
                </c:pt>
                <c:pt idx="4">
                  <c:v>44340323.188025139</c:v>
                </c:pt>
                <c:pt idx="5">
                  <c:v>49673221.478336796</c:v>
                </c:pt>
                <c:pt idx="6">
                  <c:v>55882199.431405507</c:v>
                </c:pt>
                <c:pt idx="7">
                  <c:v>35393886.118381009</c:v>
                </c:pt>
              </c:numCache>
            </c:numRef>
          </c:val>
          <c:smooth val="0"/>
          <c:extLst>
            <c:ext xmlns:c16="http://schemas.microsoft.com/office/drawing/2014/chart" uri="{C3380CC4-5D6E-409C-BE32-E72D297353CC}">
              <c16:uniqueId val="{00000001-08B4-0C42-9247-62B318BC67A9}"/>
            </c:ext>
          </c:extLst>
        </c:ser>
        <c:ser>
          <c:idx val="2"/>
          <c:order val="2"/>
          <c:tx>
            <c:strRef>
              <c:f>'DCF Model'!$A$112</c:f>
              <c:strCache>
                <c:ptCount val="1"/>
                <c:pt idx="0">
                  <c:v>Net NWC</c:v>
                </c:pt>
              </c:strCache>
            </c:strRef>
          </c:tx>
          <c:spPr>
            <a:ln w="28575" cap="rnd">
              <a:solidFill>
                <a:schemeClr val="accent3"/>
              </a:solidFill>
              <a:round/>
            </a:ln>
            <a:effectLst/>
          </c:spPr>
          <c:marker>
            <c:symbol val="none"/>
          </c:marker>
          <c:cat>
            <c:numRef>
              <c:f>'DCF Model'!$B$107:$I$107</c:f>
              <c:numCache>
                <c:formatCode>General</c:formatCode>
                <c:ptCount val="8"/>
                <c:pt idx="0">
                  <c:v>2023</c:v>
                </c:pt>
                <c:pt idx="1">
                  <c:v>2024</c:v>
                </c:pt>
                <c:pt idx="2">
                  <c:v>2025</c:v>
                </c:pt>
                <c:pt idx="3">
                  <c:v>2026</c:v>
                </c:pt>
                <c:pt idx="4">
                  <c:v>2027</c:v>
                </c:pt>
                <c:pt idx="5">
                  <c:v>2028</c:v>
                </c:pt>
                <c:pt idx="6">
                  <c:v>2029</c:v>
                </c:pt>
                <c:pt idx="7">
                  <c:v>2030</c:v>
                </c:pt>
              </c:numCache>
            </c:numRef>
          </c:cat>
          <c:val>
            <c:numRef>
              <c:f>'DCF Model'!$B$112:$I$112</c:f>
              <c:numCache>
                <c:formatCode>_(* #,##0_);_(* \(#,##0\);_(* "-"??_);_(@_)</c:formatCode>
                <c:ptCount val="8"/>
                <c:pt idx="0">
                  <c:v>-7984000</c:v>
                </c:pt>
                <c:pt idx="1">
                  <c:v>17204000</c:v>
                </c:pt>
                <c:pt idx="2">
                  <c:v>33934100.779726416</c:v>
                </c:pt>
                <c:pt idx="3">
                  <c:v>28109894.33546415</c:v>
                </c:pt>
                <c:pt idx="4">
                  <c:v>29231719.540958375</c:v>
                </c:pt>
                <c:pt idx="5">
                  <c:v>20483251.665252715</c:v>
                </c:pt>
                <c:pt idx="6">
                  <c:v>23140177.033314705</c:v>
                </c:pt>
                <c:pt idx="7">
                  <c:v>17187351.105708361</c:v>
                </c:pt>
              </c:numCache>
            </c:numRef>
          </c:val>
          <c:smooth val="0"/>
          <c:extLst>
            <c:ext xmlns:c16="http://schemas.microsoft.com/office/drawing/2014/chart" uri="{C3380CC4-5D6E-409C-BE32-E72D297353CC}">
              <c16:uniqueId val="{00000002-08B4-0C42-9247-62B318BC67A9}"/>
            </c:ext>
          </c:extLst>
        </c:ser>
        <c:ser>
          <c:idx val="3"/>
          <c:order val="3"/>
          <c:tx>
            <c:strRef>
              <c:f>'DCF Model'!$A$114</c:f>
              <c:strCache>
                <c:ptCount val="1"/>
                <c:pt idx="0">
                  <c:v>Free cash flow</c:v>
                </c:pt>
              </c:strCache>
            </c:strRef>
          </c:tx>
          <c:spPr>
            <a:ln w="28575" cap="rnd">
              <a:solidFill>
                <a:schemeClr val="accent4"/>
              </a:solidFill>
              <a:round/>
            </a:ln>
            <a:effectLst/>
          </c:spPr>
          <c:marker>
            <c:symbol val="none"/>
          </c:marker>
          <c:cat>
            <c:numRef>
              <c:f>'DCF Model'!$B$107:$I$107</c:f>
              <c:numCache>
                <c:formatCode>General</c:formatCode>
                <c:ptCount val="8"/>
                <c:pt idx="0">
                  <c:v>2023</c:v>
                </c:pt>
                <c:pt idx="1">
                  <c:v>2024</c:v>
                </c:pt>
                <c:pt idx="2">
                  <c:v>2025</c:v>
                </c:pt>
                <c:pt idx="3">
                  <c:v>2026</c:v>
                </c:pt>
                <c:pt idx="4">
                  <c:v>2027</c:v>
                </c:pt>
                <c:pt idx="5">
                  <c:v>2028</c:v>
                </c:pt>
                <c:pt idx="6">
                  <c:v>2029</c:v>
                </c:pt>
                <c:pt idx="7">
                  <c:v>2030</c:v>
                </c:pt>
              </c:numCache>
            </c:numRef>
          </c:cat>
          <c:val>
            <c:numRef>
              <c:f>'DCF Model'!$B$114:$I$114</c:f>
              <c:numCache>
                <c:formatCode>_(* #,##0_);_(* \(#,##0\);_(* "-"??_);_(@_)</c:formatCode>
                <c:ptCount val="8"/>
                <c:pt idx="0">
                  <c:v>12395000</c:v>
                </c:pt>
                <c:pt idx="1">
                  <c:v>10788000</c:v>
                </c:pt>
                <c:pt idx="2">
                  <c:v>14611209.861623198</c:v>
                </c:pt>
                <c:pt idx="3">
                  <c:v>31161579.858761601</c:v>
                </c:pt>
                <c:pt idx="4">
                  <c:v>42788650.864478618</c:v>
                </c:pt>
                <c:pt idx="5">
                  <c:v>41601368.284312516</c:v>
                </c:pt>
                <c:pt idx="6">
                  <c:v>38762217.758761562</c:v>
                </c:pt>
                <c:pt idx="7">
                  <c:v>63342349.825953484</c:v>
                </c:pt>
              </c:numCache>
            </c:numRef>
          </c:val>
          <c:smooth val="0"/>
          <c:extLst>
            <c:ext xmlns:c16="http://schemas.microsoft.com/office/drawing/2014/chart" uri="{C3380CC4-5D6E-409C-BE32-E72D297353CC}">
              <c16:uniqueId val="{00000003-08B4-0C42-9247-62B318BC67A9}"/>
            </c:ext>
          </c:extLst>
        </c:ser>
        <c:dLbls>
          <c:showLegendKey val="0"/>
          <c:showVal val="0"/>
          <c:showCatName val="0"/>
          <c:showSerName val="0"/>
          <c:showPercent val="0"/>
          <c:showBubbleSize val="0"/>
        </c:dLbls>
        <c:smooth val="0"/>
        <c:axId val="1156675056"/>
        <c:axId val="769412687"/>
      </c:lineChart>
      <c:catAx>
        <c:axId val="11566750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9412687"/>
        <c:crosses val="autoZero"/>
        <c:auto val="1"/>
        <c:lblAlgn val="ctr"/>
        <c:lblOffset val="100"/>
        <c:noMultiLvlLbl val="0"/>
      </c:catAx>
      <c:valAx>
        <c:axId val="76941268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675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Debt To Equity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'Balance Sheet'!$A$28</c:f>
              <c:strCache>
                <c:ptCount val="1"/>
                <c:pt idx="0">
                  <c:v>Current Debt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'Balance Sheet'!$B$1:$K$1</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'Balance Sheet'!$B$28:$K$28</c:f>
              <c:numCache>
                <c:formatCode>_(* #,##0_);_(* \(#,##0\);_(* "-"??_);_(@_)</c:formatCode>
                <c:ptCount val="10"/>
                <c:pt idx="0">
                  <c:v>0</c:v>
                </c:pt>
                <c:pt idx="1">
                  <c:v>1413000</c:v>
                </c:pt>
                <c:pt idx="2">
                  <c:v>796000</c:v>
                </c:pt>
                <c:pt idx="3">
                  <c:v>15000</c:v>
                </c:pt>
                <c:pt idx="4">
                  <c:v>0</c:v>
                </c:pt>
                <c:pt idx="5">
                  <c:v>0</c:v>
                </c:pt>
                <c:pt idx="6">
                  <c:v>999000</c:v>
                </c:pt>
                <c:pt idx="7">
                  <c:v>0</c:v>
                </c:pt>
                <c:pt idx="8">
                  <c:v>1250000</c:v>
                </c:pt>
                <c:pt idx="9">
                  <c:v>1250000</c:v>
                </c:pt>
              </c:numCache>
            </c:numRef>
          </c:val>
          <c:smooth val="0"/>
          <c:extLst>
            <c:ext xmlns:c16="http://schemas.microsoft.com/office/drawing/2014/chart" uri="{C3380CC4-5D6E-409C-BE32-E72D297353CC}">
              <c16:uniqueId val="{00000000-FAB6-4859-BCEF-6D3205FCA869}"/>
            </c:ext>
          </c:extLst>
        </c:ser>
        <c:ser>
          <c:idx val="1"/>
          <c:order val="1"/>
          <c:tx>
            <c:strRef>
              <c:f>'Balance Sheet'!$A$44</c:f>
              <c:strCache>
                <c:ptCount val="1"/>
                <c:pt idx="0">
                  <c:v>Total Equity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'Balance Sheet'!$B$1:$K$1</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'Balance Sheet'!$B$44:$K$44</c:f>
              <c:numCache>
                <c:formatCode>_(* #,##0_);_(* \(#,##0\);_(* "-"??_);_(@_)</c:formatCode>
                <c:ptCount val="10"/>
                <c:pt idx="0">
                  <c:v>4417982</c:v>
                </c:pt>
                <c:pt idx="1">
                  <c:v>4556000</c:v>
                </c:pt>
                <c:pt idx="2">
                  <c:v>5793000</c:v>
                </c:pt>
                <c:pt idx="3">
                  <c:v>7471000</c:v>
                </c:pt>
                <c:pt idx="4">
                  <c:v>9342000</c:v>
                </c:pt>
                <c:pt idx="5">
                  <c:v>12204000</c:v>
                </c:pt>
                <c:pt idx="6">
                  <c:v>16893000</c:v>
                </c:pt>
                <c:pt idx="7">
                  <c:v>26612000</c:v>
                </c:pt>
                <c:pt idx="8">
                  <c:v>22101000</c:v>
                </c:pt>
                <c:pt idx="9">
                  <c:v>42978000</c:v>
                </c:pt>
              </c:numCache>
            </c:numRef>
          </c:val>
          <c:smooth val="0"/>
          <c:extLst>
            <c:ext xmlns:c16="http://schemas.microsoft.com/office/drawing/2014/chart" uri="{C3380CC4-5D6E-409C-BE32-E72D297353CC}">
              <c16:uniqueId val="{00000001-FAB6-4859-BCEF-6D3205FCA869}"/>
            </c:ext>
          </c:extLst>
        </c:ser>
        <c:dLbls>
          <c:showLegendKey val="0"/>
          <c:showVal val="0"/>
          <c:showCatName val="0"/>
          <c:showSerName val="0"/>
          <c:showPercent val="0"/>
          <c:showBubbleSize val="0"/>
        </c:dLbls>
        <c:marker val="1"/>
        <c:smooth val="0"/>
        <c:axId val="821343240"/>
        <c:axId val="821345288"/>
      </c:lineChart>
      <c:catAx>
        <c:axId val="82134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345288"/>
        <c:crosses val="autoZero"/>
        <c:auto val="1"/>
        <c:lblAlgn val="ctr"/>
        <c:lblOffset val="100"/>
        <c:noMultiLvlLbl val="0"/>
      </c:catAx>
      <c:valAx>
        <c:axId val="82134528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343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'Balance Sheet'!$A$40</c:f>
              <c:strCache>
                <c:ptCount val="1"/>
                <c:pt idx="0">
                  <c:v>Retained Earnings</c:v>
                </c:pt>
              </c:strCache>
            </c:strRef>
          </c:tx>
          <c:spPr>
            <a:ln w="28575" cap="rnd">
              <a:solidFill>
                <a:schemeClr val="accent1"/>
              </a:solidFill>
              <a:round/>
            </a:ln>
            <a:effectLst/>
          </c:spPr>
          <c:marker>
            <c:symbol val="none"/>
          </c:marker>
          <c:cat>
            <c:strRef>
              <c:f>'Balance Sheet'!$B$1:$K$1</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'Balance Sheet'!$B$40:$K$40</c:f>
              <c:numCache>
                <c:formatCode>_(* #,##0_);_(* \(#,##0\);_(* "-"??_);_(@_)</c:formatCode>
                <c:ptCount val="10"/>
                <c:pt idx="0">
                  <c:v>3948877</c:v>
                </c:pt>
                <c:pt idx="1">
                  <c:v>4350000</c:v>
                </c:pt>
                <c:pt idx="2">
                  <c:v>6108000</c:v>
                </c:pt>
                <c:pt idx="3">
                  <c:v>8787000</c:v>
                </c:pt>
                <c:pt idx="4">
                  <c:v>12565000</c:v>
                </c:pt>
                <c:pt idx="5">
                  <c:v>14971000</c:v>
                </c:pt>
                <c:pt idx="6">
                  <c:v>18908000</c:v>
                </c:pt>
                <c:pt idx="7">
                  <c:v>16235000</c:v>
                </c:pt>
                <c:pt idx="8">
                  <c:v>10171000</c:v>
                </c:pt>
                <c:pt idx="9">
                  <c:v>29817000</c:v>
                </c:pt>
              </c:numCache>
            </c:numRef>
          </c:val>
          <c:smooth val="0"/>
          <c:extLst>
            <c:ext xmlns:c16="http://schemas.microsoft.com/office/drawing/2014/chart" uri="{C3380CC4-5D6E-409C-BE32-E72D297353CC}">
              <c16:uniqueId val="{00000000-3231-461E-B3C9-7CEE4A588CF9}"/>
            </c:ext>
          </c:extLst>
        </c:ser>
        <c:dLbls>
          <c:showLegendKey val="0"/>
          <c:showVal val="0"/>
          <c:showCatName val="0"/>
          <c:showSerName val="0"/>
          <c:showPercent val="0"/>
          <c:showBubbleSize val="0"/>
        </c:dLbls>
        <c:smooth val="0"/>
        <c:axId val="564675079"/>
        <c:axId val="564677127"/>
      </c:lineChart>
      <c:catAx>
        <c:axId val="564675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677127"/>
        <c:crosses val="autoZero"/>
        <c:auto val="1"/>
        <c:lblAlgn val="ctr"/>
        <c:lblOffset val="100"/>
        <c:noMultiLvlLbl val="0"/>
      </c:catAx>
      <c:valAx>
        <c:axId val="564677127"/>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675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&amp; Net Income Growth</a:t>
            </a:r>
            <a:r>
              <a:rPr lang="en-US" b="1" baseline="0"/>
              <a:t>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'Income Statement'!$A$65</c:f>
              <c:strCache>
                <c:ptCount val="1"/>
                <c:pt idx="0">
                  <c:v>Total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Statement'!$B$36:$K$36</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'Income Statement'!$B$65:$K$65</c:f>
              <c:numCache>
                <c:formatCode>_(* #,##0_);_(* \(#,##0\);_(* "-"??_);_(@_)</c:formatCode>
                <c:ptCount val="10"/>
                <c:pt idx="0">
                  <c:v>4681507</c:v>
                </c:pt>
                <c:pt idx="1">
                  <c:v>5010000</c:v>
                </c:pt>
                <c:pt idx="2">
                  <c:v>6910000</c:v>
                </c:pt>
                <c:pt idx="3">
                  <c:v>9714000</c:v>
                </c:pt>
                <c:pt idx="4">
                  <c:v>11716000</c:v>
                </c:pt>
                <c:pt idx="5">
                  <c:v>10918000</c:v>
                </c:pt>
                <c:pt idx="6">
                  <c:v>16675000</c:v>
                </c:pt>
                <c:pt idx="7">
                  <c:v>26914000</c:v>
                </c:pt>
                <c:pt idx="8">
                  <c:v>26974000</c:v>
                </c:pt>
                <c:pt idx="9">
                  <c:v>60922000</c:v>
                </c:pt>
              </c:numCache>
            </c:numRef>
          </c:val>
          <c:extLst>
            <c:ext xmlns:c16="http://schemas.microsoft.com/office/drawing/2014/chart" uri="{C3380CC4-5D6E-409C-BE32-E72D297353CC}">
              <c16:uniqueId val="{00000000-6F4C-8C42-8A85-FFA10015C255}"/>
            </c:ext>
          </c:extLst>
        </c:ser>
        <c:ser>
          <c:idx val="1"/>
          <c:order val="1"/>
          <c:tx>
            <c:strRef>
              <c:f>'Income Statement'!$A$66</c:f>
              <c:strCache>
                <c:ptCount val="1"/>
                <c:pt idx="0">
                  <c:v>Net Income</c:v>
                </c:pt>
              </c:strCache>
            </c:strRef>
          </c:tx>
          <c:spPr>
            <a:solidFill>
              <a:schemeClr val="accent2"/>
            </a:solidFill>
            <a:ln>
              <a:noFill/>
            </a:ln>
            <a:effectLst/>
          </c:spPr>
          <c:invertIfNegative val="0"/>
          <c:dLbls>
            <c:dLbl>
              <c:idx val="8"/>
              <c:layout>
                <c:manualLayout>
                  <c:x val="0"/>
                  <c:y val="2.4801587301587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F4C-8C42-8A85-FFA10015C2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Statement'!$B$36:$K$36</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'Income Statement'!$B$66:$K$66</c:f>
              <c:numCache>
                <c:formatCode>_(* #,##0_);_(* \(#,##0\);_(* "-"??_);_(@_)</c:formatCode>
                <c:ptCount val="10"/>
                <c:pt idx="0">
                  <c:v>630587</c:v>
                </c:pt>
                <c:pt idx="1">
                  <c:v>614000</c:v>
                </c:pt>
                <c:pt idx="2">
                  <c:v>1666000</c:v>
                </c:pt>
                <c:pt idx="3">
                  <c:v>3047000</c:v>
                </c:pt>
                <c:pt idx="4">
                  <c:v>4141000</c:v>
                </c:pt>
                <c:pt idx="5">
                  <c:v>2796000</c:v>
                </c:pt>
                <c:pt idx="6">
                  <c:v>4332000</c:v>
                </c:pt>
                <c:pt idx="7">
                  <c:v>9752000</c:v>
                </c:pt>
                <c:pt idx="8">
                  <c:v>4368000</c:v>
                </c:pt>
                <c:pt idx="9">
                  <c:v>29760000</c:v>
                </c:pt>
              </c:numCache>
            </c:numRef>
          </c:val>
          <c:extLst>
            <c:ext xmlns:c16="http://schemas.microsoft.com/office/drawing/2014/chart" uri="{C3380CC4-5D6E-409C-BE32-E72D297353CC}">
              <c16:uniqueId val="{00000001-6F4C-8C42-8A85-FFA10015C255}"/>
            </c:ext>
          </c:extLst>
        </c:ser>
        <c:dLbls>
          <c:dLblPos val="outEnd"/>
          <c:showLegendKey val="0"/>
          <c:showVal val="1"/>
          <c:showCatName val="0"/>
          <c:showSerName val="0"/>
          <c:showPercent val="0"/>
          <c:showBubbleSize val="0"/>
        </c:dLbls>
        <c:gapWidth val="150"/>
        <c:axId val="1449302543"/>
        <c:axId val="1851694239"/>
      </c:barChart>
      <c:lineChart>
        <c:grouping val="standard"/>
        <c:varyColors val="0"/>
        <c:ser>
          <c:idx val="2"/>
          <c:order val="2"/>
          <c:tx>
            <c:strRef>
              <c:f>'Income Statement'!$A$67</c:f>
              <c:strCache>
                <c:ptCount val="1"/>
                <c:pt idx="0">
                  <c:v>Revenue Growth</c:v>
                </c:pt>
              </c:strCache>
            </c:strRef>
          </c:tx>
          <c:spPr>
            <a:ln w="28575" cap="rnd">
              <a:solidFill>
                <a:schemeClr val="accent3"/>
              </a:solidFill>
              <a:round/>
            </a:ln>
            <a:effectLst/>
          </c:spPr>
          <c:marker>
            <c:symbol val="none"/>
          </c:marker>
          <c:dLbls>
            <c:delete val="1"/>
          </c:dLbls>
          <c:val>
            <c:numRef>
              <c:f>'Income Statement'!$B$67:$K$67</c:f>
              <c:numCache>
                <c:formatCode>0.00%</c:formatCode>
                <c:ptCount val="10"/>
                <c:pt idx="1">
                  <c:v>7.0168217200145211E-2</c:v>
                </c:pt>
                <c:pt idx="2">
                  <c:v>0.37924151696606789</c:v>
                </c:pt>
                <c:pt idx="3">
                  <c:v>0.40578871201157751</c:v>
                </c:pt>
                <c:pt idx="4">
                  <c:v>0.20609429689108505</c:v>
                </c:pt>
                <c:pt idx="5">
                  <c:v>-6.8111983612154314E-2</c:v>
                </c:pt>
                <c:pt idx="6">
                  <c:v>0.52729437625938824</c:v>
                </c:pt>
                <c:pt idx="7">
                  <c:v>0.61403298350824587</c:v>
                </c:pt>
                <c:pt idx="8">
                  <c:v>2.2293230289069932E-3</c:v>
                </c:pt>
                <c:pt idx="9">
                  <c:v>1.2585452658115224</c:v>
                </c:pt>
              </c:numCache>
            </c:numRef>
          </c:val>
          <c:smooth val="0"/>
          <c:extLst>
            <c:ext xmlns:c16="http://schemas.microsoft.com/office/drawing/2014/chart" uri="{C3380CC4-5D6E-409C-BE32-E72D297353CC}">
              <c16:uniqueId val="{00000002-6F4C-8C42-8A85-FFA10015C255}"/>
            </c:ext>
          </c:extLst>
        </c:ser>
        <c:ser>
          <c:idx val="3"/>
          <c:order val="3"/>
          <c:tx>
            <c:strRef>
              <c:f>'Income Statement'!$A$68</c:f>
              <c:strCache>
                <c:ptCount val="1"/>
                <c:pt idx="0">
                  <c:v>Net Income Growth</c:v>
                </c:pt>
              </c:strCache>
            </c:strRef>
          </c:tx>
          <c:spPr>
            <a:ln w="28575" cap="rnd">
              <a:solidFill>
                <a:schemeClr val="accent4"/>
              </a:solidFill>
              <a:round/>
            </a:ln>
            <a:effectLst/>
          </c:spPr>
          <c:marker>
            <c:symbol val="none"/>
          </c:marker>
          <c:dLbls>
            <c:delete val="1"/>
          </c:dLbls>
          <c:val>
            <c:numRef>
              <c:f>'Income Statement'!$B$68:$K$68</c:f>
              <c:numCache>
                <c:formatCode>0.00%</c:formatCode>
                <c:ptCount val="10"/>
                <c:pt idx="1">
                  <c:v>-2.6304062722510957E-2</c:v>
                </c:pt>
                <c:pt idx="2">
                  <c:v>1.7133550488599347</c:v>
                </c:pt>
                <c:pt idx="3">
                  <c:v>0.82893157262905159</c:v>
                </c:pt>
                <c:pt idx="4">
                  <c:v>0.35904168034131922</c:v>
                </c:pt>
                <c:pt idx="5">
                  <c:v>-0.3248007727602028</c:v>
                </c:pt>
                <c:pt idx="6">
                  <c:v>0.54935622317596566</c:v>
                </c:pt>
                <c:pt idx="7">
                  <c:v>1.2511542012927053</c:v>
                </c:pt>
                <c:pt idx="8">
                  <c:v>-0.55209187858900743</c:v>
                </c:pt>
                <c:pt idx="9">
                  <c:v>5.813186813186813</c:v>
                </c:pt>
              </c:numCache>
            </c:numRef>
          </c:val>
          <c:smooth val="0"/>
          <c:extLst>
            <c:ext xmlns:c16="http://schemas.microsoft.com/office/drawing/2014/chart" uri="{C3380CC4-5D6E-409C-BE32-E72D297353CC}">
              <c16:uniqueId val="{00000003-6F4C-8C42-8A85-FFA10015C255}"/>
            </c:ext>
          </c:extLst>
        </c:ser>
        <c:dLbls>
          <c:showLegendKey val="0"/>
          <c:showVal val="1"/>
          <c:showCatName val="0"/>
          <c:showSerName val="0"/>
          <c:showPercent val="0"/>
          <c:showBubbleSize val="0"/>
        </c:dLbls>
        <c:marker val="1"/>
        <c:smooth val="0"/>
        <c:axId val="1820908175"/>
        <c:axId val="1820712463"/>
      </c:lineChart>
      <c:catAx>
        <c:axId val="1449302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51694239"/>
        <c:crosses val="autoZero"/>
        <c:auto val="1"/>
        <c:lblAlgn val="ctr"/>
        <c:lblOffset val="100"/>
        <c:noMultiLvlLbl val="0"/>
      </c:catAx>
      <c:valAx>
        <c:axId val="18516942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49302543"/>
        <c:crosses val="autoZero"/>
        <c:crossBetween val="between"/>
        <c:dispUnits>
          <c:builtInUnit val="millions"/>
          <c:dispUnitsLbl>
            <c:layout>
              <c:manualLayout>
                <c:xMode val="edge"/>
                <c:yMode val="edge"/>
                <c:x val="1.5678449258836945E-2"/>
                <c:y val="0.38735119047619054"/>
              </c:manualLayout>
            </c:layout>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dispUnitsLbl>
        </c:dispUnits>
      </c:valAx>
      <c:valAx>
        <c:axId val="1820712463"/>
        <c:scaling>
          <c:orientation val="minMax"/>
        </c:scaling>
        <c:delete val="0"/>
        <c:axPos val="r"/>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908175"/>
        <c:crosses val="max"/>
        <c:crossBetween val="between"/>
      </c:valAx>
      <c:catAx>
        <c:axId val="1820908175"/>
        <c:scaling>
          <c:orientation val="minMax"/>
        </c:scaling>
        <c:delete val="1"/>
        <c:axPos val="b"/>
        <c:majorTickMark val="none"/>
        <c:minorTickMark val="none"/>
        <c:tickLblPos val="nextTo"/>
        <c:crossAx val="182071246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Profitability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'Income Statement'!$A$46</c:f>
              <c:strCache>
                <c:ptCount val="1"/>
                <c:pt idx="0">
                  <c:v>Gross Profit Margin</c:v>
                </c:pt>
              </c:strCache>
            </c:strRef>
          </c:tx>
          <c:spPr>
            <a:solidFill>
              <a:schemeClr val="accent1"/>
            </a:solidFill>
            <a:ln>
              <a:noFill/>
            </a:ln>
            <a:effectLst/>
          </c:spPr>
          <c:invertIfNegative val="0"/>
          <c:cat>
            <c:strRef>
              <c:f>'Income Statement'!$B$36:$K$36</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'Income Statement'!$B$46:$K$46</c:f>
              <c:numCache>
                <c:formatCode>0.00%</c:formatCode>
                <c:ptCount val="10"/>
                <c:pt idx="0">
                  <c:v>0.55526500334187257</c:v>
                </c:pt>
                <c:pt idx="1">
                  <c:v>0.56107784431137719</c:v>
                </c:pt>
                <c:pt idx="2">
                  <c:v>0.58798842257597683</c:v>
                </c:pt>
                <c:pt idx="3">
                  <c:v>0.59934115709285563</c:v>
                </c:pt>
                <c:pt idx="4">
                  <c:v>0.61206896551724133</c:v>
                </c:pt>
                <c:pt idx="5">
                  <c:v>0.61989375343469499</c:v>
                </c:pt>
                <c:pt idx="6">
                  <c:v>0.62344827586206897</c:v>
                </c:pt>
                <c:pt idx="7">
                  <c:v>0.64929033216913135</c:v>
                </c:pt>
                <c:pt idx="8">
                  <c:v>0.56928894490991322</c:v>
                </c:pt>
                <c:pt idx="9">
                  <c:v>0.72717573290436954</c:v>
                </c:pt>
              </c:numCache>
            </c:numRef>
          </c:val>
          <c:extLst>
            <c:ext xmlns:c16="http://schemas.microsoft.com/office/drawing/2014/chart" uri="{C3380CC4-5D6E-409C-BE32-E72D297353CC}">
              <c16:uniqueId val="{00000000-464A-4793-A9FE-7A341A2D41EC}"/>
            </c:ext>
          </c:extLst>
        </c:ser>
        <c:ser>
          <c:idx val="1"/>
          <c:order val="1"/>
          <c:tx>
            <c:strRef>
              <c:f>'Income Statement'!$A$47</c:f>
              <c:strCache>
                <c:ptCount val="1"/>
                <c:pt idx="0">
                  <c:v>Operating Profit margin</c:v>
                </c:pt>
              </c:strCache>
            </c:strRef>
          </c:tx>
          <c:spPr>
            <a:solidFill>
              <a:schemeClr val="accent2"/>
            </a:solidFill>
            <a:ln>
              <a:noFill/>
            </a:ln>
            <a:effectLst/>
          </c:spPr>
          <c:invertIfNegative val="0"/>
          <c:cat>
            <c:strRef>
              <c:f>'Income Statement'!$B$36:$K$36</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'Income Statement'!$B$47:$K$47</c:f>
              <c:numCache>
                <c:formatCode>0.00%</c:formatCode>
                <c:ptCount val="10"/>
                <c:pt idx="0">
                  <c:v>0.16212493113862694</c:v>
                </c:pt>
                <c:pt idx="1">
                  <c:v>0.14910179640718563</c:v>
                </c:pt>
                <c:pt idx="2">
                  <c:v>0.27988422575976846</c:v>
                </c:pt>
                <c:pt idx="3">
                  <c:v>0.33045089561457691</c:v>
                </c:pt>
                <c:pt idx="4">
                  <c:v>0.32468419255718678</c:v>
                </c:pt>
                <c:pt idx="5">
                  <c:v>0.2606704524638212</c:v>
                </c:pt>
                <c:pt idx="6">
                  <c:v>0.27178410794602698</c:v>
                </c:pt>
                <c:pt idx="7">
                  <c:v>0.37307720888756779</c:v>
                </c:pt>
                <c:pt idx="8">
                  <c:v>0.1565952398606065</c:v>
                </c:pt>
                <c:pt idx="9">
                  <c:v>0.54121663766783756</c:v>
                </c:pt>
              </c:numCache>
            </c:numRef>
          </c:val>
          <c:extLst>
            <c:ext xmlns:c16="http://schemas.microsoft.com/office/drawing/2014/chart" uri="{C3380CC4-5D6E-409C-BE32-E72D297353CC}">
              <c16:uniqueId val="{00000001-464A-4793-A9FE-7A341A2D41EC}"/>
            </c:ext>
          </c:extLst>
        </c:ser>
        <c:ser>
          <c:idx val="2"/>
          <c:order val="2"/>
          <c:tx>
            <c:strRef>
              <c:f>'Income Statement'!$A$48</c:f>
              <c:strCache>
                <c:ptCount val="1"/>
                <c:pt idx="0">
                  <c:v>Net Profit Margin</c:v>
                </c:pt>
              </c:strCache>
            </c:strRef>
          </c:tx>
          <c:spPr>
            <a:solidFill>
              <a:schemeClr val="accent3"/>
            </a:solidFill>
            <a:ln>
              <a:noFill/>
            </a:ln>
            <a:effectLst/>
          </c:spPr>
          <c:invertIfNegative val="0"/>
          <c:cat>
            <c:strRef>
              <c:f>'Income Statement'!$B$36:$K$36</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'Income Statement'!$B$48:$K$48</c:f>
              <c:numCache>
                <c:formatCode>0.00%</c:formatCode>
                <c:ptCount val="10"/>
                <c:pt idx="0">
                  <c:v>0.13469743823943872</c:v>
                </c:pt>
                <c:pt idx="1">
                  <c:v>0.12255489021956088</c:v>
                </c:pt>
                <c:pt idx="2">
                  <c:v>0.24109985528219971</c:v>
                </c:pt>
                <c:pt idx="3">
                  <c:v>0.3136709903232448</c:v>
                </c:pt>
                <c:pt idx="4">
                  <c:v>0.35344827586206895</c:v>
                </c:pt>
                <c:pt idx="5">
                  <c:v>0.25609085913170909</c:v>
                </c:pt>
                <c:pt idx="6">
                  <c:v>0.25979010494752625</c:v>
                </c:pt>
                <c:pt idx="7">
                  <c:v>0.36233930296499961</c:v>
                </c:pt>
                <c:pt idx="8">
                  <c:v>0.16193371394676356</c:v>
                </c:pt>
                <c:pt idx="9">
                  <c:v>0.4884934834706674</c:v>
                </c:pt>
              </c:numCache>
            </c:numRef>
          </c:val>
          <c:extLst>
            <c:ext xmlns:c16="http://schemas.microsoft.com/office/drawing/2014/chart" uri="{C3380CC4-5D6E-409C-BE32-E72D297353CC}">
              <c16:uniqueId val="{00000002-464A-4793-A9FE-7A341A2D41EC}"/>
            </c:ext>
          </c:extLst>
        </c:ser>
        <c:dLbls>
          <c:showLegendKey val="0"/>
          <c:showVal val="0"/>
          <c:showCatName val="0"/>
          <c:showSerName val="0"/>
          <c:showPercent val="0"/>
          <c:showBubbleSize val="0"/>
        </c:dLbls>
        <c:gapWidth val="219"/>
        <c:overlap val="-27"/>
        <c:axId val="1005333424"/>
        <c:axId val="1005335344"/>
      </c:barChart>
      <c:catAx>
        <c:axId val="100533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335344"/>
        <c:crosses val="autoZero"/>
        <c:auto val="1"/>
        <c:lblAlgn val="ctr"/>
        <c:lblOffset val="100"/>
        <c:noMultiLvlLbl val="0"/>
      </c:catAx>
      <c:valAx>
        <c:axId val="10053353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333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BV &amp; EPS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'Income Statement'!$A$56</c:f>
              <c:strCache>
                <c:ptCount val="1"/>
                <c:pt idx="0">
                  <c:v>BV</c:v>
                </c:pt>
              </c:strCache>
            </c:strRef>
          </c:tx>
          <c:spPr>
            <a:solidFill>
              <a:schemeClr val="accent1"/>
            </a:solidFill>
            <a:ln>
              <a:noFill/>
            </a:ln>
            <a:effectLst/>
          </c:spPr>
          <c:invertIfNegative val="0"/>
          <c:cat>
            <c:strRef>
              <c:f>'Income Statement'!$B$55:$K$55</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'Income Statement'!$B$56:$K$56</c:f>
              <c:numCache>
                <c:formatCode>_("$"* #,##0.00_);_("$"* \(#,##0.00\);_("$"* "-"??_);_(@_)</c:formatCode>
                <c:ptCount val="10"/>
                <c:pt idx="0">
                  <c:v>0.2</c:v>
                </c:pt>
                <c:pt idx="1">
                  <c:v>0.21</c:v>
                </c:pt>
                <c:pt idx="2">
                  <c:v>0.25</c:v>
                </c:pt>
                <c:pt idx="3">
                  <c:v>0.31</c:v>
                </c:pt>
                <c:pt idx="4">
                  <c:v>0.39</c:v>
                </c:pt>
                <c:pt idx="5">
                  <c:v>0.5</c:v>
                </c:pt>
                <c:pt idx="6">
                  <c:v>0.68</c:v>
                </c:pt>
                <c:pt idx="7">
                  <c:v>1.06</c:v>
                </c:pt>
                <c:pt idx="8">
                  <c:v>0.9</c:v>
                </c:pt>
                <c:pt idx="9">
                  <c:v>1.74</c:v>
                </c:pt>
              </c:numCache>
            </c:numRef>
          </c:val>
          <c:extLst>
            <c:ext xmlns:c16="http://schemas.microsoft.com/office/drawing/2014/chart" uri="{C3380CC4-5D6E-409C-BE32-E72D297353CC}">
              <c16:uniqueId val="{00000000-5F67-8043-BAA8-D689CA55B931}"/>
            </c:ext>
          </c:extLst>
        </c:ser>
        <c:ser>
          <c:idx val="1"/>
          <c:order val="1"/>
          <c:tx>
            <c:strRef>
              <c:f>'Income Statement'!$A$57</c:f>
              <c:strCache>
                <c:ptCount val="1"/>
                <c:pt idx="0">
                  <c:v>EPS</c:v>
                </c:pt>
              </c:strCache>
            </c:strRef>
          </c:tx>
          <c:spPr>
            <a:solidFill>
              <a:schemeClr val="accent2"/>
            </a:solidFill>
            <a:ln>
              <a:noFill/>
            </a:ln>
            <a:effectLst/>
          </c:spPr>
          <c:invertIfNegative val="0"/>
          <c:cat>
            <c:strRef>
              <c:f>'Income Statement'!$B$55:$K$55</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'Income Statement'!$B$57:$K$57</c:f>
              <c:numCache>
                <c:formatCode>_("$"* #,##0.00_);_("$"* \(#,##0.00\);_("$"* "-"??_);_(@_)</c:formatCode>
                <c:ptCount val="10"/>
                <c:pt idx="0">
                  <c:v>2.8542699056161386E-2</c:v>
                </c:pt>
                <c:pt idx="1">
                  <c:v>2.8268876611418046E-2</c:v>
                </c:pt>
                <c:pt idx="2">
                  <c:v>7.6987060998151571E-2</c:v>
                </c:pt>
                <c:pt idx="3">
                  <c:v>0.1271702838063439</c:v>
                </c:pt>
                <c:pt idx="4">
                  <c:v>0.17027138157894736</c:v>
                </c:pt>
                <c:pt idx="5">
                  <c:v>0.11477832512315271</c:v>
                </c:pt>
                <c:pt idx="6">
                  <c:v>0.17552674230145868</c:v>
                </c:pt>
                <c:pt idx="7">
                  <c:v>0.3907051282051282</c:v>
                </c:pt>
                <c:pt idx="8">
                  <c:v>0.17563329312424608</c:v>
                </c:pt>
                <c:pt idx="9">
                  <c:v>1.2053462940461726</c:v>
                </c:pt>
              </c:numCache>
            </c:numRef>
          </c:val>
          <c:extLst>
            <c:ext xmlns:c16="http://schemas.microsoft.com/office/drawing/2014/chart" uri="{C3380CC4-5D6E-409C-BE32-E72D297353CC}">
              <c16:uniqueId val="{00000001-5F67-8043-BAA8-D689CA55B931}"/>
            </c:ext>
          </c:extLst>
        </c:ser>
        <c:dLbls>
          <c:showLegendKey val="0"/>
          <c:showVal val="0"/>
          <c:showCatName val="0"/>
          <c:showSerName val="0"/>
          <c:showPercent val="0"/>
          <c:showBubbleSize val="0"/>
        </c:dLbls>
        <c:gapWidth val="182"/>
        <c:axId val="23109984"/>
        <c:axId val="871570016"/>
      </c:barChart>
      <c:catAx>
        <c:axId val="23109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71570016"/>
        <c:crosses val="autoZero"/>
        <c:auto val="1"/>
        <c:lblAlgn val="ctr"/>
        <c:lblOffset val="100"/>
        <c:noMultiLvlLbl val="0"/>
      </c:catAx>
      <c:valAx>
        <c:axId val="871570016"/>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09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Valuation Ratios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'Income Statement'!$A$58</c:f>
              <c:strCache>
                <c:ptCount val="1"/>
                <c:pt idx="0">
                  <c:v>P/E</c:v>
                </c:pt>
              </c:strCache>
            </c:strRef>
          </c:tx>
          <c:spPr>
            <a:ln w="28575" cap="rnd">
              <a:solidFill>
                <a:schemeClr val="accent1"/>
              </a:solidFill>
              <a:round/>
            </a:ln>
            <a:effectLst/>
          </c:spPr>
          <c:marker>
            <c:symbol val="none"/>
          </c:marker>
          <c:cat>
            <c:strRef>
              <c:f>'Income Statement'!$B$55:$K$55</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'Income Statement'!$B$58:$K$58</c:f>
              <c:numCache>
                <c:formatCode>General</c:formatCode>
                <c:ptCount val="10"/>
                <c:pt idx="0">
                  <c:v>30.2</c:v>
                </c:pt>
                <c:pt idx="1">
                  <c:v>48.1</c:v>
                </c:pt>
                <c:pt idx="2">
                  <c:v>43.9</c:v>
                </c:pt>
                <c:pt idx="3">
                  <c:v>17.3</c:v>
                </c:pt>
                <c:pt idx="4">
                  <c:v>59.4</c:v>
                </c:pt>
                <c:pt idx="5">
                  <c:v>84.2</c:v>
                </c:pt>
                <c:pt idx="6">
                  <c:v>89.2</c:v>
                </c:pt>
                <c:pt idx="7">
                  <c:v>61.4</c:v>
                </c:pt>
                <c:pt idx="8">
                  <c:v>64.7</c:v>
                </c:pt>
                <c:pt idx="9">
                  <c:v>80.5</c:v>
                </c:pt>
              </c:numCache>
            </c:numRef>
          </c:val>
          <c:smooth val="0"/>
          <c:extLst>
            <c:ext xmlns:c16="http://schemas.microsoft.com/office/drawing/2014/chart" uri="{C3380CC4-5D6E-409C-BE32-E72D297353CC}">
              <c16:uniqueId val="{00000000-2AB8-1248-BD2D-6E9CDB3E0FCA}"/>
            </c:ext>
          </c:extLst>
        </c:ser>
        <c:ser>
          <c:idx val="1"/>
          <c:order val="1"/>
          <c:tx>
            <c:strRef>
              <c:f>'Income Statement'!$A$59</c:f>
              <c:strCache>
                <c:ptCount val="1"/>
                <c:pt idx="0">
                  <c:v>P/BV</c:v>
                </c:pt>
              </c:strCache>
            </c:strRef>
          </c:tx>
          <c:spPr>
            <a:ln w="28575" cap="rnd">
              <a:solidFill>
                <a:schemeClr val="accent2"/>
              </a:solidFill>
              <a:round/>
            </a:ln>
            <a:effectLst/>
          </c:spPr>
          <c:marker>
            <c:symbol val="none"/>
          </c:marker>
          <c:cat>
            <c:strRef>
              <c:f>'Income Statement'!$B$55:$K$55</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'Income Statement'!$B$59:$K$59</c:f>
              <c:numCache>
                <c:formatCode>0.00</c:formatCode>
                <c:ptCount val="10"/>
                <c:pt idx="0">
                  <c:v>2.5887500000000001</c:v>
                </c:pt>
                <c:pt idx="1">
                  <c:v>3.6612499999999994</c:v>
                </c:pt>
                <c:pt idx="2">
                  <c:v>13.97125</c:v>
                </c:pt>
                <c:pt idx="3">
                  <c:v>30.856249999999996</c:v>
                </c:pt>
                <c:pt idx="4">
                  <c:v>20.018750000000001</c:v>
                </c:pt>
                <c:pt idx="5">
                  <c:v>31.309999999999995</c:v>
                </c:pt>
                <c:pt idx="6">
                  <c:v>64.948499999999996</c:v>
                </c:pt>
                <c:pt idx="7">
                  <c:v>114.19999999999999</c:v>
                </c:pt>
                <c:pt idx="8">
                  <c:v>101.82499999999999</c:v>
                </c:pt>
                <c:pt idx="9">
                  <c:v>305.15499999999997</c:v>
                </c:pt>
              </c:numCache>
            </c:numRef>
          </c:val>
          <c:smooth val="0"/>
          <c:extLst>
            <c:ext xmlns:c16="http://schemas.microsoft.com/office/drawing/2014/chart" uri="{C3380CC4-5D6E-409C-BE32-E72D297353CC}">
              <c16:uniqueId val="{00000001-2AB8-1248-BD2D-6E9CDB3E0FCA}"/>
            </c:ext>
          </c:extLst>
        </c:ser>
        <c:ser>
          <c:idx val="2"/>
          <c:order val="2"/>
          <c:tx>
            <c:strRef>
              <c:f>'Income Statement'!$A$60</c:f>
              <c:strCache>
                <c:ptCount val="1"/>
                <c:pt idx="0">
                  <c:v>P/CF</c:v>
                </c:pt>
              </c:strCache>
            </c:strRef>
          </c:tx>
          <c:spPr>
            <a:ln w="28575" cap="rnd">
              <a:solidFill>
                <a:schemeClr val="accent3"/>
              </a:solidFill>
              <a:round/>
            </a:ln>
            <a:effectLst/>
          </c:spPr>
          <c:marker>
            <c:symbol val="none"/>
          </c:marker>
          <c:cat>
            <c:strRef>
              <c:f>'Income Statement'!$B$55:$K$55</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'Income Statement'!$B$60:$K$60</c:f>
              <c:numCache>
                <c:formatCode>_(* #,##0.00_);_(* \(#,##0.00\);_(* "-"??_);_(@_)</c:formatCode>
                <c:ptCount val="10"/>
                <c:pt idx="0">
                  <c:v>12.943750000000001</c:v>
                </c:pt>
                <c:pt idx="1">
                  <c:v>18.306249999999999</c:v>
                </c:pt>
                <c:pt idx="2">
                  <c:v>69.856250000000003</c:v>
                </c:pt>
                <c:pt idx="3">
                  <c:v>154.28125</c:v>
                </c:pt>
                <c:pt idx="4">
                  <c:v>100.09375</c:v>
                </c:pt>
                <c:pt idx="5">
                  <c:v>156.54999999999998</c:v>
                </c:pt>
                <c:pt idx="6">
                  <c:v>324.74249999999995</c:v>
                </c:pt>
                <c:pt idx="7">
                  <c:v>571</c:v>
                </c:pt>
                <c:pt idx="8">
                  <c:v>509.12499999999994</c:v>
                </c:pt>
                <c:pt idx="9">
                  <c:v>1525.7749999999999</c:v>
                </c:pt>
              </c:numCache>
            </c:numRef>
          </c:val>
          <c:smooth val="0"/>
          <c:extLst>
            <c:ext xmlns:c16="http://schemas.microsoft.com/office/drawing/2014/chart" uri="{C3380CC4-5D6E-409C-BE32-E72D297353CC}">
              <c16:uniqueId val="{00000002-2AB8-1248-BD2D-6E9CDB3E0FCA}"/>
            </c:ext>
          </c:extLst>
        </c:ser>
        <c:dLbls>
          <c:showLegendKey val="0"/>
          <c:showVal val="0"/>
          <c:showCatName val="0"/>
          <c:showSerName val="0"/>
          <c:showPercent val="0"/>
          <c:showBubbleSize val="0"/>
        </c:dLbls>
        <c:smooth val="0"/>
        <c:axId val="52659488"/>
        <c:axId val="1777125167"/>
      </c:lineChart>
      <c:catAx>
        <c:axId val="5265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125167"/>
        <c:crosses val="autoZero"/>
        <c:auto val="1"/>
        <c:lblAlgn val="ctr"/>
        <c:lblOffset val="100"/>
        <c:noMultiLvlLbl val="0"/>
      </c:catAx>
      <c:valAx>
        <c:axId val="17771251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9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 Revenue and Net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'Projected IS'!$A$9</c:f>
              <c:strCache>
                <c:ptCount val="1"/>
                <c:pt idx="0">
                  <c:v>Total Revenue</c:v>
                </c:pt>
              </c:strCache>
            </c:strRef>
          </c:tx>
          <c:spPr>
            <a:solidFill>
              <a:srgbClr val="197E08"/>
            </a:solidFill>
            <a:ln>
              <a:noFill/>
            </a:ln>
            <a:effectLst/>
          </c:spPr>
          <c:invertIfNegative val="0"/>
          <c:cat>
            <c:strRef>
              <c:f>'Projected IS'!$J$1:$Q$1</c:f>
              <c:strCache>
                <c:ptCount val="8"/>
                <c:pt idx="0">
                  <c:v>Jan-23</c:v>
                </c:pt>
                <c:pt idx="1">
                  <c:v>Jan-24</c:v>
                </c:pt>
                <c:pt idx="2">
                  <c:v>Projected Jan-25</c:v>
                </c:pt>
                <c:pt idx="3">
                  <c:v>Projected Jan-26</c:v>
                </c:pt>
                <c:pt idx="4">
                  <c:v>Projected Jan-27</c:v>
                </c:pt>
                <c:pt idx="5">
                  <c:v>Projected Jan-28</c:v>
                </c:pt>
                <c:pt idx="6">
                  <c:v>Projected Jan-29</c:v>
                </c:pt>
                <c:pt idx="7">
                  <c:v>Projected Jan-30</c:v>
                </c:pt>
              </c:strCache>
            </c:strRef>
          </c:cat>
          <c:val>
            <c:numRef>
              <c:f>'Projected IS'!$J$9:$Q$9</c:f>
              <c:numCache>
                <c:formatCode>_(* #,##0_);_(* \(#,##0\);_(* "-"??_);_(@_)</c:formatCode>
                <c:ptCount val="8"/>
                <c:pt idx="0">
                  <c:v>26974000</c:v>
                </c:pt>
                <c:pt idx="1">
                  <c:v>60922000</c:v>
                </c:pt>
                <c:pt idx="2">
                  <c:v>128666000</c:v>
                </c:pt>
                <c:pt idx="3">
                  <c:v>167437324.17787692</c:v>
                </c:pt>
                <c:pt idx="4">
                  <c:v>217891731.52073932</c:v>
                </c:pt>
                <c:pt idx="5">
                  <c:v>250720726.5873051</c:v>
                </c:pt>
                <c:pt idx="6">
                  <c:v>275904210.87641865</c:v>
                </c:pt>
                <c:pt idx="7">
                  <c:v>303617234.26496196</c:v>
                </c:pt>
              </c:numCache>
            </c:numRef>
          </c:val>
          <c:extLst>
            <c:ext xmlns:c16="http://schemas.microsoft.com/office/drawing/2014/chart" uri="{C3380CC4-5D6E-409C-BE32-E72D297353CC}">
              <c16:uniqueId val="{00000001-438B-4B22-A046-515E42A632CA}"/>
            </c:ext>
          </c:extLst>
        </c:ser>
        <c:ser>
          <c:idx val="1"/>
          <c:order val="1"/>
          <c:tx>
            <c:strRef>
              <c:f>{"Net Income"}</c:f>
              <c:strCache>
                <c:ptCount val="1"/>
                <c:pt idx="0">
                  <c:v>Net Income</c:v>
                </c:pt>
              </c:strCache>
              <c:extLst xmlns:c15="http://schemas.microsoft.com/office/drawing/2012/chart"/>
            </c:strRef>
          </c:tx>
          <c:spPr>
            <a:solidFill>
              <a:schemeClr val="accent6">
                <a:lumMod val="75000"/>
              </a:schemeClr>
            </a:solidFill>
            <a:ln>
              <a:noFill/>
            </a:ln>
            <a:effectLst/>
          </c:spPr>
          <c:invertIfNegative val="0"/>
          <c:cat>
            <c:strRef>
              <c:f>'Projected IS'!$J$1:$Q$1</c:f>
              <c:strCache>
                <c:ptCount val="8"/>
                <c:pt idx="0">
                  <c:v>Jan-23</c:v>
                </c:pt>
                <c:pt idx="1">
                  <c:v>Jan-24</c:v>
                </c:pt>
                <c:pt idx="2">
                  <c:v>Projected Jan-25</c:v>
                </c:pt>
                <c:pt idx="3">
                  <c:v>Projected Jan-26</c:v>
                </c:pt>
                <c:pt idx="4">
                  <c:v>Projected Jan-27</c:v>
                </c:pt>
                <c:pt idx="5">
                  <c:v>Projected Jan-28</c:v>
                </c:pt>
                <c:pt idx="6">
                  <c:v>Projected Jan-29</c:v>
                </c:pt>
                <c:pt idx="7">
                  <c:v>Projected Jan-30</c:v>
                </c:pt>
              </c:strCache>
            </c:strRef>
          </c:cat>
          <c:val>
            <c:numRef>
              <c:f>'Projected IS'!$J$22:$Q$22</c:f>
              <c:numCache>
                <c:formatCode>_(* #,##0_);_(* \(#,##0\);_(* "-"??_);_(@_)</c:formatCode>
                <c:ptCount val="8"/>
                <c:pt idx="0">
                  <c:v>4368000</c:v>
                </c:pt>
                <c:pt idx="1">
                  <c:v>29760000</c:v>
                </c:pt>
                <c:pt idx="2">
                  <c:v>65619660</c:v>
                </c:pt>
                <c:pt idx="3">
                  <c:v>82044288.847159669</c:v>
                </c:pt>
                <c:pt idx="4">
                  <c:v>106766948.44516225</c:v>
                </c:pt>
                <c:pt idx="5">
                  <c:v>97781083.369048998</c:v>
                </c:pt>
                <c:pt idx="6">
                  <c:v>99325515.915510714</c:v>
                </c:pt>
                <c:pt idx="7">
                  <c:v>94121342.622138187</c:v>
                </c:pt>
              </c:numCache>
            </c:numRef>
          </c:val>
          <c:extLst>
            <c:ext xmlns:c16="http://schemas.microsoft.com/office/drawing/2014/chart" uri="{C3380CC4-5D6E-409C-BE32-E72D297353CC}">
              <c16:uniqueId val="{00000003-438B-4B22-A046-515E42A632CA}"/>
            </c:ext>
          </c:extLst>
        </c:ser>
        <c:dLbls>
          <c:showLegendKey val="0"/>
          <c:showVal val="0"/>
          <c:showCatName val="0"/>
          <c:showSerName val="0"/>
          <c:showPercent val="0"/>
          <c:showBubbleSize val="0"/>
        </c:dLbls>
        <c:gapWidth val="219"/>
        <c:overlap val="-27"/>
        <c:axId val="343087112"/>
        <c:axId val="343089160"/>
      </c:barChart>
      <c:catAx>
        <c:axId val="343087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089160"/>
        <c:crosses val="autoZero"/>
        <c:auto val="1"/>
        <c:lblAlgn val="ctr"/>
        <c:lblOffset val="100"/>
        <c:noMultiLvlLbl val="1"/>
      </c:catAx>
      <c:valAx>
        <c:axId val="34308916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087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 Revenue and Net Income Growth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'Projected IS'!$A$9</c:f>
              <c:strCache>
                <c:ptCount val="1"/>
                <c:pt idx="0">
                  <c:v>Total Revenue</c:v>
                </c:pt>
              </c:strCache>
            </c:strRef>
          </c:tx>
          <c:spPr>
            <a:solidFill>
              <a:schemeClr val="accent1"/>
            </a:solidFill>
            <a:ln>
              <a:noFill/>
            </a:ln>
            <a:effectLst/>
          </c:spPr>
          <c:invertIfNegative val="0"/>
          <c:cat>
            <c:strRef>
              <c:f>'Projected IS'!$J$1:$Q$1</c:f>
              <c:strCache>
                <c:ptCount val="8"/>
                <c:pt idx="0">
                  <c:v>Jan-23</c:v>
                </c:pt>
                <c:pt idx="1">
                  <c:v>Jan-24</c:v>
                </c:pt>
                <c:pt idx="2">
                  <c:v>Projected Jan-25</c:v>
                </c:pt>
                <c:pt idx="3">
                  <c:v>Projected Jan-26</c:v>
                </c:pt>
                <c:pt idx="4">
                  <c:v>Projected Jan-27</c:v>
                </c:pt>
                <c:pt idx="5">
                  <c:v>Projected Jan-28</c:v>
                </c:pt>
                <c:pt idx="6">
                  <c:v>Projected Jan-29</c:v>
                </c:pt>
                <c:pt idx="7">
                  <c:v>Projected Jan-30</c:v>
                </c:pt>
              </c:strCache>
            </c:strRef>
          </c:cat>
          <c:val>
            <c:numRef>
              <c:f>'Projected IS'!$J$9:$Q$9</c:f>
              <c:numCache>
                <c:formatCode>_(* #,##0_);_(* \(#,##0\);_(* "-"??_);_(@_)</c:formatCode>
                <c:ptCount val="8"/>
                <c:pt idx="0">
                  <c:v>26974000</c:v>
                </c:pt>
                <c:pt idx="1">
                  <c:v>60922000</c:v>
                </c:pt>
                <c:pt idx="2">
                  <c:v>128666000</c:v>
                </c:pt>
                <c:pt idx="3">
                  <c:v>167437324.17787692</c:v>
                </c:pt>
                <c:pt idx="4">
                  <c:v>217891731.52073932</c:v>
                </c:pt>
                <c:pt idx="5">
                  <c:v>250720726.5873051</c:v>
                </c:pt>
                <c:pt idx="6">
                  <c:v>275904210.87641865</c:v>
                </c:pt>
                <c:pt idx="7">
                  <c:v>303617234.26496196</c:v>
                </c:pt>
              </c:numCache>
            </c:numRef>
          </c:val>
          <c:extLst>
            <c:ext xmlns:c16="http://schemas.microsoft.com/office/drawing/2014/chart" uri="{C3380CC4-5D6E-409C-BE32-E72D297353CC}">
              <c16:uniqueId val="{00000000-3352-4007-BAD3-EBACB7E435DC}"/>
            </c:ext>
          </c:extLst>
        </c:ser>
        <c:ser>
          <c:idx val="1"/>
          <c:order val="1"/>
          <c:tx>
            <c:strRef>
              <c:f>'Projected IS'!$A$22</c:f>
              <c:strCache>
                <c:ptCount val="1"/>
                <c:pt idx="0">
                  <c:v>Net Income</c:v>
                </c:pt>
              </c:strCache>
            </c:strRef>
          </c:tx>
          <c:spPr>
            <a:solidFill>
              <a:schemeClr val="accent2"/>
            </a:solidFill>
            <a:ln>
              <a:noFill/>
            </a:ln>
            <a:effectLst/>
          </c:spPr>
          <c:invertIfNegative val="0"/>
          <c:cat>
            <c:strRef>
              <c:f>'Projected IS'!$J$1:$Q$1</c:f>
              <c:strCache>
                <c:ptCount val="8"/>
                <c:pt idx="0">
                  <c:v>Jan-23</c:v>
                </c:pt>
                <c:pt idx="1">
                  <c:v>Jan-24</c:v>
                </c:pt>
                <c:pt idx="2">
                  <c:v>Projected Jan-25</c:v>
                </c:pt>
                <c:pt idx="3">
                  <c:v>Projected Jan-26</c:v>
                </c:pt>
                <c:pt idx="4">
                  <c:v>Projected Jan-27</c:v>
                </c:pt>
                <c:pt idx="5">
                  <c:v>Projected Jan-28</c:v>
                </c:pt>
                <c:pt idx="6">
                  <c:v>Projected Jan-29</c:v>
                </c:pt>
                <c:pt idx="7">
                  <c:v>Projected Jan-30</c:v>
                </c:pt>
              </c:strCache>
            </c:strRef>
          </c:cat>
          <c:val>
            <c:numRef>
              <c:f>'Projected IS'!$J$22:$Q$22</c:f>
              <c:numCache>
                <c:formatCode>_(* #,##0_);_(* \(#,##0\);_(* "-"??_);_(@_)</c:formatCode>
                <c:ptCount val="8"/>
                <c:pt idx="0">
                  <c:v>4368000</c:v>
                </c:pt>
                <c:pt idx="1">
                  <c:v>29760000</c:v>
                </c:pt>
                <c:pt idx="2">
                  <c:v>65619660</c:v>
                </c:pt>
                <c:pt idx="3">
                  <c:v>82044288.847159669</c:v>
                </c:pt>
                <c:pt idx="4">
                  <c:v>106766948.44516225</c:v>
                </c:pt>
                <c:pt idx="5">
                  <c:v>97781083.369048998</c:v>
                </c:pt>
                <c:pt idx="6">
                  <c:v>99325515.915510714</c:v>
                </c:pt>
                <c:pt idx="7">
                  <c:v>94121342.622138187</c:v>
                </c:pt>
              </c:numCache>
            </c:numRef>
          </c:val>
          <c:extLst>
            <c:ext xmlns:c16="http://schemas.microsoft.com/office/drawing/2014/chart" uri="{C3380CC4-5D6E-409C-BE32-E72D297353CC}">
              <c16:uniqueId val="{00000001-3352-4007-BAD3-EBACB7E435DC}"/>
            </c:ext>
          </c:extLst>
        </c:ser>
        <c:dLbls>
          <c:showLegendKey val="0"/>
          <c:showVal val="0"/>
          <c:showCatName val="0"/>
          <c:showSerName val="0"/>
          <c:showPercent val="0"/>
          <c:showBubbleSize val="0"/>
        </c:dLbls>
        <c:gapWidth val="219"/>
        <c:overlap val="-27"/>
        <c:axId val="343087112"/>
        <c:axId val="343089160"/>
      </c:barChart>
      <c:catAx>
        <c:axId val="343087112"/>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089160"/>
        <c:crosses val="autoZero"/>
        <c:auto val="1"/>
        <c:lblAlgn val="ctr"/>
        <c:lblOffset val="100"/>
        <c:noMultiLvlLbl val="1"/>
      </c:catAx>
      <c:valAx>
        <c:axId val="34308916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087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Fig</a:t>
            </a:r>
            <a:r>
              <a:rPr lang="en-US" baseline="0"/>
              <a:t> (): </a:t>
            </a:r>
            <a:r>
              <a:rPr lang="en-US"/>
              <a:t>Projected 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'Projected IS'!$A$10</c:f>
              <c:strCache>
                <c:ptCount val="1"/>
                <c:pt idx="0">
                  <c:v>Direct Costs</c:v>
                </c:pt>
              </c:strCache>
            </c:strRef>
          </c:tx>
          <c:spPr>
            <a:solidFill>
              <a:schemeClr val="accent1"/>
            </a:solidFill>
            <a:ln>
              <a:noFill/>
            </a:ln>
            <a:effectLst/>
          </c:spPr>
          <c:invertIfNegative val="0"/>
          <c:cat>
            <c:strRef>
              <c:f>'Projected IS'!$J$1:$Q$1</c:f>
              <c:strCache>
                <c:ptCount val="8"/>
                <c:pt idx="0">
                  <c:v>Jan-23</c:v>
                </c:pt>
                <c:pt idx="1">
                  <c:v>Jan-24</c:v>
                </c:pt>
                <c:pt idx="2">
                  <c:v>Projected Jan-25</c:v>
                </c:pt>
                <c:pt idx="3">
                  <c:v>Projected Jan-26</c:v>
                </c:pt>
                <c:pt idx="4">
                  <c:v>Projected Jan-27</c:v>
                </c:pt>
                <c:pt idx="5">
                  <c:v>Projected Jan-28</c:v>
                </c:pt>
                <c:pt idx="6">
                  <c:v>Projected Jan-29</c:v>
                </c:pt>
                <c:pt idx="7">
                  <c:v>Projected Jan-30</c:v>
                </c:pt>
              </c:strCache>
            </c:strRef>
          </c:cat>
          <c:val>
            <c:numRef>
              <c:f>'Projected IS'!$J$10:$Q$10</c:f>
              <c:numCache>
                <c:formatCode>_(* #,##0_);_(* \(#,##0\);_(* "-"??_);_(@_)</c:formatCode>
                <c:ptCount val="8"/>
                <c:pt idx="0">
                  <c:v>11618000</c:v>
                </c:pt>
                <c:pt idx="1">
                  <c:v>16621000</c:v>
                </c:pt>
                <c:pt idx="2">
                  <c:v>32166500</c:v>
                </c:pt>
                <c:pt idx="3">
                  <c:v>41859331.04446923</c:v>
                </c:pt>
                <c:pt idx="4">
                  <c:v>54472932.880184829</c:v>
                </c:pt>
                <c:pt idx="5">
                  <c:v>75216217.976191521</c:v>
                </c:pt>
                <c:pt idx="6">
                  <c:v>82771263.262925595</c:v>
                </c:pt>
                <c:pt idx="7">
                  <c:v>100193687.30743745</c:v>
                </c:pt>
              </c:numCache>
            </c:numRef>
          </c:val>
          <c:extLst>
            <c:ext xmlns:c16="http://schemas.microsoft.com/office/drawing/2014/chart" uri="{C3380CC4-5D6E-409C-BE32-E72D297353CC}">
              <c16:uniqueId val="{00000000-9B97-4982-8EA0-F96083CD3269}"/>
            </c:ext>
          </c:extLst>
        </c:ser>
        <c:ser>
          <c:idx val="1"/>
          <c:order val="1"/>
          <c:tx>
            <c:strRef>
              <c:f>'Projected IS'!$A$12</c:f>
              <c:strCache>
                <c:ptCount val="1"/>
                <c:pt idx="0">
                  <c:v>Selling General &amp; Admin</c:v>
                </c:pt>
              </c:strCache>
            </c:strRef>
          </c:tx>
          <c:spPr>
            <a:solidFill>
              <a:schemeClr val="accent2"/>
            </a:solidFill>
            <a:ln>
              <a:noFill/>
            </a:ln>
            <a:effectLst/>
          </c:spPr>
          <c:invertIfNegative val="0"/>
          <c:cat>
            <c:strRef>
              <c:f>'Projected IS'!$J$1:$Q$1</c:f>
              <c:strCache>
                <c:ptCount val="8"/>
                <c:pt idx="0">
                  <c:v>Jan-23</c:v>
                </c:pt>
                <c:pt idx="1">
                  <c:v>Jan-24</c:v>
                </c:pt>
                <c:pt idx="2">
                  <c:v>Projected Jan-25</c:v>
                </c:pt>
                <c:pt idx="3">
                  <c:v>Projected Jan-26</c:v>
                </c:pt>
                <c:pt idx="4">
                  <c:v>Projected Jan-27</c:v>
                </c:pt>
                <c:pt idx="5">
                  <c:v>Projected Jan-28</c:v>
                </c:pt>
                <c:pt idx="6">
                  <c:v>Projected Jan-29</c:v>
                </c:pt>
                <c:pt idx="7">
                  <c:v>Projected Jan-30</c:v>
                </c:pt>
              </c:strCache>
            </c:strRef>
          </c:cat>
          <c:val>
            <c:numRef>
              <c:f>'Projected IS'!$J$12:$Q$12</c:f>
              <c:numCache>
                <c:formatCode>_(* #,##0_);_(* \(#,##0\);_(* "-"??_);_(@_)</c:formatCode>
                <c:ptCount val="8"/>
                <c:pt idx="0">
                  <c:v>2440000</c:v>
                </c:pt>
                <c:pt idx="1">
                  <c:v>2654000</c:v>
                </c:pt>
                <c:pt idx="2">
                  <c:v>3859980</c:v>
                </c:pt>
                <c:pt idx="3">
                  <c:v>8371866.2088938467</c:v>
                </c:pt>
                <c:pt idx="4">
                  <c:v>10894586.576036967</c:v>
                </c:pt>
                <c:pt idx="5">
                  <c:v>17550450.861111358</c:v>
                </c:pt>
                <c:pt idx="6">
                  <c:v>19313294.761349306</c:v>
                </c:pt>
                <c:pt idx="7">
                  <c:v>27325551.083846577</c:v>
                </c:pt>
              </c:numCache>
            </c:numRef>
          </c:val>
          <c:extLst>
            <c:ext xmlns:c16="http://schemas.microsoft.com/office/drawing/2014/chart" uri="{C3380CC4-5D6E-409C-BE32-E72D297353CC}">
              <c16:uniqueId val="{00000001-9B97-4982-8EA0-F96083CD3269}"/>
            </c:ext>
          </c:extLst>
        </c:ser>
        <c:ser>
          <c:idx val="2"/>
          <c:order val="2"/>
          <c:tx>
            <c:strRef>
              <c:f>'Projected IS'!$A$13</c:f>
              <c:strCache>
                <c:ptCount val="1"/>
                <c:pt idx="0">
                  <c:v>Research &amp; Development</c:v>
                </c:pt>
              </c:strCache>
            </c:strRef>
          </c:tx>
          <c:spPr>
            <a:solidFill>
              <a:schemeClr val="accent3"/>
            </a:solidFill>
            <a:ln>
              <a:noFill/>
            </a:ln>
            <a:effectLst/>
          </c:spPr>
          <c:invertIfNegative val="0"/>
          <c:cat>
            <c:strRef>
              <c:f>'Projected IS'!$J$1:$Q$1</c:f>
              <c:strCache>
                <c:ptCount val="8"/>
                <c:pt idx="0">
                  <c:v>Jan-23</c:v>
                </c:pt>
                <c:pt idx="1">
                  <c:v>Jan-24</c:v>
                </c:pt>
                <c:pt idx="2">
                  <c:v>Projected Jan-25</c:v>
                </c:pt>
                <c:pt idx="3">
                  <c:v>Projected Jan-26</c:v>
                </c:pt>
                <c:pt idx="4">
                  <c:v>Projected Jan-27</c:v>
                </c:pt>
                <c:pt idx="5">
                  <c:v>Projected Jan-28</c:v>
                </c:pt>
                <c:pt idx="6">
                  <c:v>Projected Jan-29</c:v>
                </c:pt>
                <c:pt idx="7">
                  <c:v>Projected Jan-30</c:v>
                </c:pt>
              </c:strCache>
            </c:strRef>
          </c:cat>
          <c:val>
            <c:numRef>
              <c:f>'Projected IS'!$J$13:$Q$13</c:f>
              <c:numCache>
                <c:formatCode>_(* #,##0_);_(* \(#,##0\);_(* "-"??_);_(@_)</c:formatCode>
                <c:ptCount val="8"/>
                <c:pt idx="0">
                  <c:v>7339000</c:v>
                </c:pt>
                <c:pt idx="1">
                  <c:v>8675000</c:v>
                </c:pt>
                <c:pt idx="2" formatCode="_(* #,##0_);_(* \(#,##0\);_(* &quot;-&quot;?_);_(@_)">
                  <c:v>12866600</c:v>
                </c:pt>
                <c:pt idx="3" formatCode="_(* #,##0_);_(* \(#,##0\);_(* &quot;-&quot;?_);_(@_)">
                  <c:v>16743732.417787693</c:v>
                </c:pt>
                <c:pt idx="4" formatCode="_(* #,##0_);_(* \(#,##0\);_(* &quot;-&quot;?_);_(@_)">
                  <c:v>21789173.152073935</c:v>
                </c:pt>
                <c:pt idx="5">
                  <c:v>37608108.98809576</c:v>
                </c:pt>
                <c:pt idx="6">
                  <c:v>55180842.17528373</c:v>
                </c:pt>
                <c:pt idx="7">
                  <c:v>60723446.852992393</c:v>
                </c:pt>
              </c:numCache>
            </c:numRef>
          </c:val>
          <c:extLst>
            <c:ext xmlns:c16="http://schemas.microsoft.com/office/drawing/2014/chart" uri="{C3380CC4-5D6E-409C-BE32-E72D297353CC}">
              <c16:uniqueId val="{00000002-9B97-4982-8EA0-F96083CD3269}"/>
            </c:ext>
          </c:extLst>
        </c:ser>
        <c:dLbls>
          <c:showLegendKey val="0"/>
          <c:showVal val="0"/>
          <c:showCatName val="0"/>
          <c:showSerName val="0"/>
          <c:showPercent val="0"/>
          <c:showBubbleSize val="0"/>
        </c:dLbls>
        <c:gapWidth val="219"/>
        <c:overlap val="-27"/>
        <c:axId val="1643731903"/>
        <c:axId val="1643729023"/>
      </c:barChart>
      <c:catAx>
        <c:axId val="164373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729023"/>
        <c:crosses val="autoZero"/>
        <c:auto val="1"/>
        <c:lblAlgn val="ctr"/>
        <c:lblOffset val="100"/>
        <c:noMultiLvlLbl val="0"/>
      </c:catAx>
      <c:valAx>
        <c:axId val="164372902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731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'Quarterly IS'!$L$42</c:f>
              <c:strCache>
                <c:ptCount val="1"/>
                <c:pt idx="0">
                  <c:v>2023</c:v>
                </c:pt>
              </c:strCache>
            </c:strRef>
          </c:tx>
          <c:spPr>
            <a:ln w="28575" cap="rnd">
              <a:solidFill>
                <a:schemeClr val="accent1"/>
              </a:solidFill>
              <a:round/>
            </a:ln>
            <a:effectLst/>
          </c:spPr>
          <c:marker>
            <c:symbol val="none"/>
          </c:marker>
          <c:cat>
            <c:strRef>
              <c:f>'Quarterly IS'!$M$41:$P$41</c:f>
              <c:strCache>
                <c:ptCount val="4"/>
                <c:pt idx="0">
                  <c:v>Q1</c:v>
                </c:pt>
                <c:pt idx="1">
                  <c:v>Q2</c:v>
                </c:pt>
                <c:pt idx="2">
                  <c:v>Q3</c:v>
                </c:pt>
                <c:pt idx="3">
                  <c:v>Q4</c:v>
                </c:pt>
              </c:strCache>
            </c:strRef>
          </c:cat>
          <c:val>
            <c:numRef>
              <c:f>'Quarterly IS'!$M$42:$P$42</c:f>
              <c:numCache>
                <c:formatCode>General</c:formatCode>
                <c:ptCount val="4"/>
                <c:pt idx="0">
                  <c:v>-0.13223938223938225</c:v>
                </c:pt>
                <c:pt idx="1">
                  <c:v>1.0147673031026252</c:v>
                </c:pt>
                <c:pt idx="2">
                  <c:v>2.0551340414769852</c:v>
                </c:pt>
                <c:pt idx="3">
                  <c:v>2.6527846636919516</c:v>
                </c:pt>
              </c:numCache>
            </c:numRef>
          </c:val>
          <c:smooth val="0"/>
          <c:extLst>
            <c:ext xmlns:c16="http://schemas.microsoft.com/office/drawing/2014/chart" uri="{C3380CC4-5D6E-409C-BE32-E72D297353CC}">
              <c16:uniqueId val="{00000000-313D-42D9-89F9-C0F50F2C3434}"/>
            </c:ext>
          </c:extLst>
        </c:ser>
        <c:ser>
          <c:idx val="1"/>
          <c:order val="1"/>
          <c:tx>
            <c:strRef>
              <c:f>'Quarterly IS'!$L$43</c:f>
              <c:strCache>
                <c:ptCount val="1"/>
                <c:pt idx="0">
                  <c:v>2024</c:v>
                </c:pt>
              </c:strCache>
            </c:strRef>
          </c:tx>
          <c:spPr>
            <a:ln w="28575" cap="rnd">
              <a:solidFill>
                <a:schemeClr val="accent2"/>
              </a:solidFill>
              <a:round/>
            </a:ln>
            <a:effectLst/>
          </c:spPr>
          <c:marker>
            <c:symbol val="none"/>
          </c:marker>
          <c:cat>
            <c:strRef>
              <c:f>'Quarterly IS'!$M$41:$P$41</c:f>
              <c:strCache>
                <c:ptCount val="4"/>
                <c:pt idx="0">
                  <c:v>Q1</c:v>
                </c:pt>
                <c:pt idx="1">
                  <c:v>Q2</c:v>
                </c:pt>
                <c:pt idx="2">
                  <c:v>Q3</c:v>
                </c:pt>
                <c:pt idx="3">
                  <c:v>Q4</c:v>
                </c:pt>
              </c:strCache>
            </c:strRef>
          </c:cat>
          <c:val>
            <c:numRef>
              <c:f>'Quarterly IS'!$M$43:$P$43</c:f>
              <c:numCache>
                <c:formatCode>General</c:formatCode>
                <c:ptCount val="4"/>
                <c:pt idx="0">
                  <c:v>2.6212458286985538</c:v>
                </c:pt>
                <c:pt idx="1">
                  <c:v>1.2240319834160065</c:v>
                </c:pt>
                <c:pt idx="2">
                  <c:v>0.93609271523178816</c:v>
                </c:pt>
                <c:pt idx="3">
                  <c:v>0.69660227118490692</c:v>
                </c:pt>
              </c:numCache>
            </c:numRef>
          </c:val>
          <c:smooth val="0"/>
          <c:extLst>
            <c:ext xmlns:c16="http://schemas.microsoft.com/office/drawing/2014/chart" uri="{C3380CC4-5D6E-409C-BE32-E72D297353CC}">
              <c16:uniqueId val="{00000001-313D-42D9-89F9-C0F50F2C3434}"/>
            </c:ext>
          </c:extLst>
        </c:ser>
        <c:dLbls>
          <c:showLegendKey val="0"/>
          <c:showVal val="0"/>
          <c:showCatName val="0"/>
          <c:showSerName val="0"/>
          <c:showPercent val="0"/>
          <c:showBubbleSize val="0"/>
        </c:dLbls>
        <c:smooth val="0"/>
        <c:axId val="339043631"/>
        <c:axId val="339038831"/>
      </c:lineChart>
      <c:catAx>
        <c:axId val="33904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38831"/>
        <c:crosses val="autoZero"/>
        <c:auto val="1"/>
        <c:lblAlgn val="ctr"/>
        <c:lblOffset val="100"/>
        <c:noMultiLvlLbl val="0"/>
      </c:catAx>
      <c:valAx>
        <c:axId val="33903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43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 Assets, Liabilities, and</a:t>
            </a:r>
            <a:r>
              <a:rPr lang="en-US" baseline="0"/>
              <a:t> SE Growth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'Projected BS'!$A$23</c:f>
              <c:strCache>
                <c:ptCount val="1"/>
                <c:pt idx="0">
                  <c:v>Total Assets</c:v>
                </c:pt>
              </c:strCache>
            </c:strRef>
          </c:tx>
          <c:spPr>
            <a:ln w="28575" cap="rnd">
              <a:solidFill>
                <a:schemeClr val="accent1"/>
              </a:solidFill>
              <a:round/>
            </a:ln>
            <a:effectLst/>
          </c:spPr>
          <c:marker>
            <c:symbol val="triangle"/>
            <c:size val="7"/>
            <c:spPr>
              <a:solidFill>
                <a:schemeClr val="accent1"/>
              </a:solidFill>
              <a:ln w="9525">
                <a:solidFill>
                  <a:schemeClr val="accent1"/>
                </a:solidFill>
              </a:ln>
              <a:effectLst/>
            </c:spPr>
          </c:marker>
          <c:dPt>
            <c:idx val="0"/>
            <c:marker>
              <c:symbol val="none"/>
            </c:marker>
            <c:bubble3D val="0"/>
            <c:extLst>
              <c:ext xmlns:c16="http://schemas.microsoft.com/office/drawing/2014/chart" uri="{C3380CC4-5D6E-409C-BE32-E72D297353CC}">
                <c16:uniqueId val="{00000006-C67C-47F2-8F41-4A8FE12C67CE}"/>
              </c:ext>
            </c:extLst>
          </c:dPt>
          <c:dPt>
            <c:idx val="1"/>
            <c:marker>
              <c:symbol val="none"/>
            </c:marker>
            <c:bubble3D val="0"/>
            <c:extLst>
              <c:ext xmlns:c16="http://schemas.microsoft.com/office/drawing/2014/chart" uri="{C3380CC4-5D6E-409C-BE32-E72D297353CC}">
                <c16:uniqueId val="{00000005-C67C-47F2-8F41-4A8FE12C67CE}"/>
              </c:ext>
            </c:extLst>
          </c:dPt>
          <c:cat>
            <c:strRef>
              <c:f>'Projected BS'!$J$1:$Q$1</c:f>
              <c:strCache>
                <c:ptCount val="8"/>
                <c:pt idx="0">
                  <c:v>Jan-23</c:v>
                </c:pt>
                <c:pt idx="1">
                  <c:v>Jan-24</c:v>
                </c:pt>
                <c:pt idx="2">
                  <c:v>Projected Jan-25</c:v>
                </c:pt>
                <c:pt idx="3">
                  <c:v>Projected Jan-26</c:v>
                </c:pt>
                <c:pt idx="4">
                  <c:v>Projected Jan-27</c:v>
                </c:pt>
                <c:pt idx="5">
                  <c:v>Projected Jan-28</c:v>
                </c:pt>
                <c:pt idx="6">
                  <c:v>Projected Jan-29</c:v>
                </c:pt>
                <c:pt idx="7">
                  <c:v>Projected Jan-30</c:v>
                </c:pt>
              </c:strCache>
            </c:strRef>
          </c:cat>
          <c:val>
            <c:numRef>
              <c:f>'Projected BS'!$R$23:$X$23</c:f>
              <c:numCache>
                <c:formatCode>0.00%</c:formatCode>
                <c:ptCount val="7"/>
                <c:pt idx="0">
                  <c:v>0.59603710358894668</c:v>
                </c:pt>
                <c:pt idx="1">
                  <c:v>1.2937695756273286</c:v>
                </c:pt>
                <c:pt idx="2">
                  <c:v>0.6174605964507156</c:v>
                </c:pt>
                <c:pt idx="3">
                  <c:v>0.49637464014283816</c:v>
                </c:pt>
                <c:pt idx="4">
                  <c:v>0.32550164856629071</c:v>
                </c:pt>
                <c:pt idx="5">
                  <c:v>0.24906919373737058</c:v>
                </c:pt>
                <c:pt idx="6">
                  <c:v>0.17480762893505375</c:v>
                </c:pt>
              </c:numCache>
            </c:numRef>
          </c:val>
          <c:smooth val="0"/>
          <c:extLst>
            <c:ext xmlns:c16="http://schemas.microsoft.com/office/drawing/2014/chart" uri="{C3380CC4-5D6E-409C-BE32-E72D297353CC}">
              <c16:uniqueId val="{00000000-8D62-46D6-B3D1-2F090CDC0378}"/>
            </c:ext>
          </c:extLst>
        </c:ser>
        <c:ser>
          <c:idx val="1"/>
          <c:order val="1"/>
          <c:tx>
            <c:strRef>
              <c:f>'Projected BS'!$A$35</c:f>
              <c:strCache>
                <c:ptCount val="1"/>
                <c:pt idx="0">
                  <c:v>Total Liabilities</c:v>
                </c:pt>
              </c:strCache>
            </c:strRef>
          </c:tx>
          <c:spPr>
            <a:ln w="28575" cap="rnd">
              <a:solidFill>
                <a:schemeClr val="accent2"/>
              </a:solidFill>
              <a:round/>
            </a:ln>
            <a:effectLst/>
          </c:spPr>
          <c:marker>
            <c:symbol val="circle"/>
            <c:size val="7"/>
            <c:spPr>
              <a:solidFill>
                <a:schemeClr val="accent2"/>
              </a:solidFill>
              <a:ln w="9525">
                <a:solidFill>
                  <a:schemeClr val="accent2"/>
                </a:solidFill>
              </a:ln>
              <a:effectLst/>
            </c:spPr>
          </c:marker>
          <c:dPt>
            <c:idx val="0"/>
            <c:marker>
              <c:symbol val="none"/>
            </c:marker>
            <c:bubble3D val="0"/>
            <c:extLst>
              <c:ext xmlns:c16="http://schemas.microsoft.com/office/drawing/2014/chart" uri="{C3380CC4-5D6E-409C-BE32-E72D297353CC}">
                <c16:uniqueId val="{00000008-C67C-47F2-8F41-4A8FE12C67CE}"/>
              </c:ext>
            </c:extLst>
          </c:dPt>
          <c:dPt>
            <c:idx val="1"/>
            <c:marker>
              <c:symbol val="none"/>
            </c:marker>
            <c:bubble3D val="0"/>
            <c:extLst>
              <c:ext xmlns:c16="http://schemas.microsoft.com/office/drawing/2014/chart" uri="{C3380CC4-5D6E-409C-BE32-E72D297353CC}">
                <c16:uniqueId val="{00000007-C67C-47F2-8F41-4A8FE12C67CE}"/>
              </c:ext>
            </c:extLst>
          </c:dPt>
          <c:cat>
            <c:strRef>
              <c:f>'Projected BS'!$J$1:$Q$1</c:f>
              <c:strCache>
                <c:ptCount val="8"/>
                <c:pt idx="0">
                  <c:v>Jan-23</c:v>
                </c:pt>
                <c:pt idx="1">
                  <c:v>Jan-24</c:v>
                </c:pt>
                <c:pt idx="2">
                  <c:v>Projected Jan-25</c:v>
                </c:pt>
                <c:pt idx="3">
                  <c:v>Projected Jan-26</c:v>
                </c:pt>
                <c:pt idx="4">
                  <c:v>Projected Jan-27</c:v>
                </c:pt>
                <c:pt idx="5">
                  <c:v>Projected Jan-28</c:v>
                </c:pt>
                <c:pt idx="6">
                  <c:v>Projected Jan-29</c:v>
                </c:pt>
                <c:pt idx="7">
                  <c:v>Projected Jan-30</c:v>
                </c:pt>
              </c:strCache>
            </c:strRef>
          </c:cat>
          <c:val>
            <c:numRef>
              <c:f>'Projected BS'!$R$35:$X$35</c:f>
              <c:numCache>
                <c:formatCode>0.00%</c:formatCode>
                <c:ptCount val="7"/>
                <c:pt idx="0">
                  <c:v>0.19228551962685403</c:v>
                </c:pt>
                <c:pt idx="1">
                  <c:v>0.77206214728936451</c:v>
                </c:pt>
                <c:pt idx="2">
                  <c:v>0.22690331862562307</c:v>
                </c:pt>
                <c:pt idx="3">
                  <c:v>0.24013785612722427</c:v>
                </c:pt>
                <c:pt idx="4">
                  <c:v>0.29519070055186658</c:v>
                </c:pt>
                <c:pt idx="5">
                  <c:v>7.636456886665699E-2</c:v>
                </c:pt>
                <c:pt idx="6">
                  <c:v>7.7878603185541184E-2</c:v>
                </c:pt>
              </c:numCache>
            </c:numRef>
          </c:val>
          <c:smooth val="0"/>
          <c:extLst>
            <c:ext xmlns:c16="http://schemas.microsoft.com/office/drawing/2014/chart" uri="{C3380CC4-5D6E-409C-BE32-E72D297353CC}">
              <c16:uniqueId val="{00000000-C67C-47F2-8F41-4A8FE12C67CE}"/>
            </c:ext>
          </c:extLst>
        </c:ser>
        <c:ser>
          <c:idx val="2"/>
          <c:order val="2"/>
          <c:tx>
            <c:strRef>
              <c:f>'Projected BS'!$A$44</c:f>
              <c:strCache>
                <c:ptCount val="1"/>
                <c:pt idx="0">
                  <c:v>Total Equity</c:v>
                </c:pt>
              </c:strCache>
            </c:strRef>
          </c:tx>
          <c:spPr>
            <a:ln w="28575" cap="rnd">
              <a:solidFill>
                <a:schemeClr val="accent3"/>
              </a:solidFill>
              <a:round/>
            </a:ln>
            <a:effectLst/>
          </c:spPr>
          <c:marker>
            <c:symbol val="diamond"/>
            <c:size val="6"/>
            <c:spPr>
              <a:solidFill>
                <a:schemeClr val="accent3"/>
              </a:solidFill>
              <a:ln w="9525">
                <a:solidFill>
                  <a:schemeClr val="accent3"/>
                </a:solidFill>
              </a:ln>
              <a:effectLst/>
            </c:spPr>
          </c:marker>
          <c:dPt>
            <c:idx val="0"/>
            <c:marker>
              <c:symbol val="none"/>
            </c:marker>
            <c:bubble3D val="0"/>
            <c:extLst>
              <c:ext xmlns:c16="http://schemas.microsoft.com/office/drawing/2014/chart" uri="{C3380CC4-5D6E-409C-BE32-E72D297353CC}">
                <c16:uniqueId val="{00000004-C67C-47F2-8F41-4A8FE12C67CE}"/>
              </c:ext>
            </c:extLst>
          </c:dPt>
          <c:dPt>
            <c:idx val="1"/>
            <c:marker>
              <c:symbol val="none"/>
            </c:marker>
            <c:bubble3D val="0"/>
            <c:extLst>
              <c:ext xmlns:c16="http://schemas.microsoft.com/office/drawing/2014/chart" uri="{C3380CC4-5D6E-409C-BE32-E72D297353CC}">
                <c16:uniqueId val="{00000003-C67C-47F2-8F41-4A8FE12C67CE}"/>
              </c:ext>
            </c:extLst>
          </c:dPt>
          <c:cat>
            <c:strRef>
              <c:f>'Projected BS'!$J$1:$Q$1</c:f>
              <c:strCache>
                <c:ptCount val="8"/>
                <c:pt idx="0">
                  <c:v>Jan-23</c:v>
                </c:pt>
                <c:pt idx="1">
                  <c:v>Jan-24</c:v>
                </c:pt>
                <c:pt idx="2">
                  <c:v>Projected Jan-25</c:v>
                </c:pt>
                <c:pt idx="3">
                  <c:v>Projected Jan-26</c:v>
                </c:pt>
                <c:pt idx="4">
                  <c:v>Projected Jan-27</c:v>
                </c:pt>
                <c:pt idx="5">
                  <c:v>Projected Jan-28</c:v>
                </c:pt>
                <c:pt idx="6">
                  <c:v>Projected Jan-29</c:v>
                </c:pt>
                <c:pt idx="7">
                  <c:v>Projected Jan-30</c:v>
                </c:pt>
              </c:strCache>
            </c:strRef>
          </c:cat>
          <c:val>
            <c:numRef>
              <c:f>'Projected BS'!$R$44:$X$44</c:f>
              <c:numCache>
                <c:formatCode>0.00%</c:formatCode>
                <c:ptCount val="7"/>
                <c:pt idx="0">
                  <c:v>0.9446178905931859</c:v>
                </c:pt>
                <c:pt idx="1">
                  <c:v>1.5699304950439759</c:v>
                </c:pt>
                <c:pt idx="2">
                  <c:v>0.76001397199782983</c:v>
                </c:pt>
                <c:pt idx="3">
                  <c:v>0.56157176904503325</c:v>
                </c:pt>
                <c:pt idx="4">
                  <c:v>0.33162648551512919</c:v>
                </c:pt>
                <c:pt idx="5">
                  <c:v>0.2830121975368205</c:v>
                </c:pt>
                <c:pt idx="6">
                  <c:v>0.19078954188652886</c:v>
                </c:pt>
              </c:numCache>
            </c:numRef>
          </c:val>
          <c:smooth val="0"/>
          <c:extLst>
            <c:ext xmlns:c16="http://schemas.microsoft.com/office/drawing/2014/chart" uri="{C3380CC4-5D6E-409C-BE32-E72D297353CC}">
              <c16:uniqueId val="{00000001-C67C-47F2-8F41-4A8FE12C67CE}"/>
            </c:ext>
          </c:extLst>
        </c:ser>
        <c:dLbls>
          <c:showLegendKey val="0"/>
          <c:showVal val="0"/>
          <c:showCatName val="0"/>
          <c:showSerName val="0"/>
          <c:showPercent val="0"/>
          <c:showBubbleSize val="0"/>
        </c:dLbls>
        <c:marker val="1"/>
        <c:smooth val="0"/>
        <c:axId val="1815405200"/>
        <c:axId val="1815404720"/>
      </c:lineChart>
      <c:catAx>
        <c:axId val="181540520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404720"/>
        <c:crosses val="autoZero"/>
        <c:auto val="1"/>
        <c:lblAlgn val="ctr"/>
        <c:lblOffset val="100"/>
        <c:noMultiLvlLbl val="0"/>
      </c:catAx>
      <c:valAx>
        <c:axId val="18154047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40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'IS CS Vertical'!$A$10</c:f>
              <c:strCache>
                <c:ptCount val="1"/>
                <c:pt idx="0">
                  <c:v>Direct Costs</c:v>
                </c:pt>
              </c:strCache>
            </c:strRef>
          </c:tx>
          <c:spPr>
            <a:solidFill>
              <a:schemeClr val="accent1"/>
            </a:solidFill>
            <a:ln>
              <a:noFill/>
            </a:ln>
            <a:effectLst/>
          </c:spPr>
          <c:invertIfNegative val="0"/>
          <c:cat>
            <c:strRef>
              <c:f>'IS CS Vertical'!$B$2:$K$2</c:f>
              <c:strCache>
                <c:ptCount val="10"/>
                <c:pt idx="0">
                  <c:v>01/25/2015</c:v>
                </c:pt>
                <c:pt idx="1">
                  <c:v>01/31/2016</c:v>
                </c:pt>
                <c:pt idx="2">
                  <c:v>01/29/2017</c:v>
                </c:pt>
                <c:pt idx="3">
                  <c:v>01/28/2018</c:v>
                </c:pt>
                <c:pt idx="4">
                  <c:v>01/27/2019</c:v>
                </c:pt>
                <c:pt idx="5">
                  <c:v>01/26/2020</c:v>
                </c:pt>
                <c:pt idx="6">
                  <c:v>01/31/2021</c:v>
                </c:pt>
                <c:pt idx="7">
                  <c:v>01/30/2022</c:v>
                </c:pt>
                <c:pt idx="8">
                  <c:v>01/29/2023</c:v>
                </c:pt>
                <c:pt idx="9">
                  <c:v>01/28/2024</c:v>
                </c:pt>
              </c:strCache>
            </c:strRef>
          </c:cat>
          <c:val>
            <c:numRef>
              <c:f>'IS CS Vertical'!$B$10:$K$10</c:f>
              <c:numCache>
                <c:formatCode>0%</c:formatCode>
                <c:ptCount val="10"/>
                <c:pt idx="0">
                  <c:v>0.44473499665812738</c:v>
                </c:pt>
                <c:pt idx="1">
                  <c:v>0.43892215568862275</c:v>
                </c:pt>
                <c:pt idx="2">
                  <c:v>0.41201157742402317</c:v>
                </c:pt>
                <c:pt idx="3">
                  <c:v>0.40065884290714432</c:v>
                </c:pt>
                <c:pt idx="4">
                  <c:v>0.38793103448275862</c:v>
                </c:pt>
                <c:pt idx="5">
                  <c:v>0.38010624656530501</c:v>
                </c:pt>
                <c:pt idx="6">
                  <c:v>0.37655172413793103</c:v>
                </c:pt>
                <c:pt idx="7">
                  <c:v>0.35070966783086871</c:v>
                </c:pt>
                <c:pt idx="8">
                  <c:v>0.43071105509008673</c:v>
                </c:pt>
                <c:pt idx="9">
                  <c:v>0.27282426709563046</c:v>
                </c:pt>
              </c:numCache>
            </c:numRef>
          </c:val>
          <c:extLst>
            <c:ext xmlns:c16="http://schemas.microsoft.com/office/drawing/2014/chart" uri="{C3380CC4-5D6E-409C-BE32-E72D297353CC}">
              <c16:uniqueId val="{00000000-16D5-B648-9847-6132F4F5286F}"/>
            </c:ext>
          </c:extLst>
        </c:ser>
        <c:dLbls>
          <c:showLegendKey val="0"/>
          <c:showVal val="0"/>
          <c:showCatName val="0"/>
          <c:showSerName val="0"/>
          <c:showPercent val="0"/>
          <c:showBubbleSize val="0"/>
        </c:dLbls>
        <c:gapWidth val="219"/>
        <c:overlap val="-27"/>
        <c:axId val="1400697231"/>
        <c:axId val="1399886735"/>
      </c:barChart>
      <c:catAx>
        <c:axId val="140069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99886735"/>
        <c:crosses val="autoZero"/>
        <c:auto val="1"/>
        <c:lblAlgn val="ctr"/>
        <c:lblOffset val="100"/>
        <c:noMultiLvlLbl val="0"/>
      </c:catAx>
      <c:valAx>
        <c:axId val="13998867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69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'IS CS Vertical'!$A$12</c:f>
              <c:strCache>
                <c:ptCount val="1"/>
                <c:pt idx="0">
                  <c:v>Selling General &amp; Admin</c:v>
                </c:pt>
              </c:strCache>
            </c:strRef>
          </c:tx>
          <c:spPr>
            <a:solidFill>
              <a:schemeClr val="accent1"/>
            </a:solidFill>
            <a:ln>
              <a:noFill/>
            </a:ln>
            <a:effectLst/>
          </c:spPr>
          <c:invertIfNegative val="0"/>
          <c:val>
            <c:numRef>
              <c:f>'IS CS Vertical'!$B$12:$K$12</c:f>
              <c:numCache>
                <c:formatCode>0%</c:formatCode>
                <c:ptCount val="10"/>
                <c:pt idx="0">
                  <c:v>0.10269406838438989</c:v>
                </c:pt>
                <c:pt idx="1">
                  <c:v>0.12015968063872255</c:v>
                </c:pt>
                <c:pt idx="2">
                  <c:v>9.5947901591895798E-2</c:v>
                </c:pt>
                <c:pt idx="3">
                  <c:v>8.3899526456660489E-2</c:v>
                </c:pt>
                <c:pt idx="4">
                  <c:v>8.4585182656196647E-2</c:v>
                </c:pt>
                <c:pt idx="5">
                  <c:v>0.10010991023997069</c:v>
                </c:pt>
                <c:pt idx="6">
                  <c:v>0.11634182908545727</c:v>
                </c:pt>
                <c:pt idx="7">
                  <c:v>8.0478561343538674E-2</c:v>
                </c:pt>
                <c:pt idx="8">
                  <c:v>9.0457477570994288E-2</c:v>
                </c:pt>
                <c:pt idx="9">
                  <c:v>4.3563901382095135E-2</c:v>
                </c:pt>
              </c:numCache>
            </c:numRef>
          </c:val>
          <c:extLst>
            <c:ext xmlns:c16="http://schemas.microsoft.com/office/drawing/2014/chart" uri="{C3380CC4-5D6E-409C-BE32-E72D297353CC}">
              <c16:uniqueId val="{00000000-13B6-AA4B-A846-DAECFF35799C}"/>
            </c:ext>
          </c:extLst>
        </c:ser>
        <c:dLbls>
          <c:showLegendKey val="0"/>
          <c:showVal val="0"/>
          <c:showCatName val="0"/>
          <c:showSerName val="0"/>
          <c:showPercent val="0"/>
          <c:showBubbleSize val="0"/>
        </c:dLbls>
        <c:gapWidth val="219"/>
        <c:overlap val="-27"/>
        <c:axId val="1911572896"/>
        <c:axId val="1924509568"/>
      </c:barChart>
      <c:catAx>
        <c:axId val="19115728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509568"/>
        <c:crosses val="autoZero"/>
        <c:auto val="1"/>
        <c:lblAlgn val="ctr"/>
        <c:lblOffset val="100"/>
        <c:noMultiLvlLbl val="0"/>
      </c:catAx>
      <c:valAx>
        <c:axId val="1924509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57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'IS CS Vertical'!$A$13</c:f>
              <c:strCache>
                <c:ptCount val="1"/>
                <c:pt idx="0">
                  <c:v>Research &amp; Development</c:v>
                </c:pt>
              </c:strCache>
            </c:strRef>
          </c:tx>
          <c:spPr>
            <a:solidFill>
              <a:schemeClr val="accent1"/>
            </a:solidFill>
            <a:ln>
              <a:noFill/>
            </a:ln>
            <a:effectLst/>
          </c:spPr>
          <c:invertIfNegative val="0"/>
          <c:val>
            <c:numRef>
              <c:f>'IS CS Vertical'!$B$13:$K$13</c:f>
              <c:numCache>
                <c:formatCode>0%</c:formatCode>
                <c:ptCount val="10"/>
                <c:pt idx="0">
                  <c:v>0.29044600381885577</c:v>
                </c:pt>
                <c:pt idx="1">
                  <c:v>0.26566866267465072</c:v>
                </c:pt>
                <c:pt idx="2">
                  <c:v>0.21172214182344429</c:v>
                </c:pt>
                <c:pt idx="3">
                  <c:v>0.18499073502161828</c:v>
                </c:pt>
                <c:pt idx="4">
                  <c:v>0.20279959030385797</c:v>
                </c:pt>
                <c:pt idx="5">
                  <c:v>0.25911339073090311</c:v>
                </c:pt>
                <c:pt idx="6">
                  <c:v>0.2353223388305847</c:v>
                </c:pt>
                <c:pt idx="7">
                  <c:v>0.19573456193802483</c:v>
                </c:pt>
                <c:pt idx="8">
                  <c:v>0.27207681471046191</c:v>
                </c:pt>
                <c:pt idx="9">
                  <c:v>0.14239519385443683</c:v>
                </c:pt>
              </c:numCache>
            </c:numRef>
          </c:val>
          <c:extLst>
            <c:ext xmlns:c16="http://schemas.microsoft.com/office/drawing/2014/chart" uri="{C3380CC4-5D6E-409C-BE32-E72D297353CC}">
              <c16:uniqueId val="{00000000-3AA1-CF44-93F4-E0AA408739D6}"/>
            </c:ext>
          </c:extLst>
        </c:ser>
        <c:dLbls>
          <c:showLegendKey val="0"/>
          <c:showVal val="0"/>
          <c:showCatName val="0"/>
          <c:showSerName val="0"/>
          <c:showPercent val="0"/>
          <c:showBubbleSize val="0"/>
        </c:dLbls>
        <c:gapWidth val="219"/>
        <c:overlap val="-27"/>
        <c:axId val="1024123215"/>
        <c:axId val="1924662720"/>
      </c:barChart>
      <c:catAx>
        <c:axId val="10241232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662720"/>
        <c:crosses val="autoZero"/>
        <c:auto val="1"/>
        <c:lblAlgn val="ctr"/>
        <c:lblOffset val="100"/>
        <c:noMultiLvlLbl val="0"/>
      </c:catAx>
      <c:valAx>
        <c:axId val="1924662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123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Vertical Common Size Income Statemt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'IS CS Vertical'!$A$11</c:f>
              <c:strCache>
                <c:ptCount val="1"/>
                <c:pt idx="0">
                  <c:v>Gross Profit</c:v>
                </c:pt>
              </c:strCache>
            </c:strRef>
          </c:tx>
          <c:spPr>
            <a:solidFill>
              <a:schemeClr val="accent1"/>
            </a:solidFill>
            <a:ln>
              <a:noFill/>
            </a:ln>
            <a:effectLst/>
          </c:spPr>
          <c:invertIfNegative val="0"/>
          <c:val>
            <c:numRef>
              <c:f>'IS CS Vertical'!$B$11:$K$11</c:f>
              <c:numCache>
                <c:formatCode>0%</c:formatCode>
                <c:ptCount val="10"/>
                <c:pt idx="0">
                  <c:v>0.55526500334187257</c:v>
                </c:pt>
                <c:pt idx="1">
                  <c:v>0.56107784431137719</c:v>
                </c:pt>
                <c:pt idx="2">
                  <c:v>0.58798842257597683</c:v>
                </c:pt>
                <c:pt idx="3">
                  <c:v>0.59934115709285563</c:v>
                </c:pt>
                <c:pt idx="4">
                  <c:v>0.61206896551724133</c:v>
                </c:pt>
                <c:pt idx="5">
                  <c:v>0.61989375343469499</c:v>
                </c:pt>
                <c:pt idx="6">
                  <c:v>0.62344827586206897</c:v>
                </c:pt>
                <c:pt idx="7">
                  <c:v>0.64929033216913135</c:v>
                </c:pt>
                <c:pt idx="8">
                  <c:v>0.56928894490991322</c:v>
                </c:pt>
                <c:pt idx="9">
                  <c:v>0.72717573290436954</c:v>
                </c:pt>
              </c:numCache>
            </c:numRef>
          </c:val>
          <c:extLst>
            <c:ext xmlns:c16="http://schemas.microsoft.com/office/drawing/2014/chart" uri="{C3380CC4-5D6E-409C-BE32-E72D297353CC}">
              <c16:uniqueId val="{00000000-7005-8846-A144-B01CC812E8FD}"/>
            </c:ext>
          </c:extLst>
        </c:ser>
        <c:ser>
          <c:idx val="1"/>
          <c:order val="1"/>
          <c:tx>
            <c:strRef>
              <c:f>'IS CS Vertical'!$A$16</c:f>
              <c:strCache>
                <c:ptCount val="1"/>
                <c:pt idx="0">
                  <c:v>Operating Income</c:v>
                </c:pt>
              </c:strCache>
            </c:strRef>
          </c:tx>
          <c:spPr>
            <a:solidFill>
              <a:schemeClr val="accent2"/>
            </a:solidFill>
            <a:ln>
              <a:noFill/>
            </a:ln>
            <a:effectLst/>
          </c:spPr>
          <c:invertIfNegative val="0"/>
          <c:val>
            <c:numRef>
              <c:f>'IS CS Vertical'!$B$16:$K$16</c:f>
              <c:numCache>
                <c:formatCode>0%</c:formatCode>
                <c:ptCount val="10"/>
                <c:pt idx="0">
                  <c:v>0.16212493113862694</c:v>
                </c:pt>
                <c:pt idx="1">
                  <c:v>0.14910179640718563</c:v>
                </c:pt>
                <c:pt idx="2">
                  <c:v>0.27988422575976846</c:v>
                </c:pt>
                <c:pt idx="3">
                  <c:v>0.33045089561457691</c:v>
                </c:pt>
                <c:pt idx="4">
                  <c:v>0.32468419255718678</c:v>
                </c:pt>
                <c:pt idx="5">
                  <c:v>0.2606704524638212</c:v>
                </c:pt>
                <c:pt idx="6">
                  <c:v>0.27178410794602698</c:v>
                </c:pt>
                <c:pt idx="7">
                  <c:v>0.37307720888756779</c:v>
                </c:pt>
                <c:pt idx="8">
                  <c:v>0.1565952398606065</c:v>
                </c:pt>
                <c:pt idx="9">
                  <c:v>0.54121663766783756</c:v>
                </c:pt>
              </c:numCache>
            </c:numRef>
          </c:val>
          <c:extLst>
            <c:ext xmlns:c16="http://schemas.microsoft.com/office/drawing/2014/chart" uri="{C3380CC4-5D6E-409C-BE32-E72D297353CC}">
              <c16:uniqueId val="{00000001-7005-8846-A144-B01CC812E8FD}"/>
            </c:ext>
          </c:extLst>
        </c:ser>
        <c:ser>
          <c:idx val="2"/>
          <c:order val="2"/>
          <c:tx>
            <c:strRef>
              <c:f>'IS CS Vertical'!$A$20</c:f>
              <c:strCache>
                <c:ptCount val="1"/>
                <c:pt idx="0">
                  <c:v>Earnings Before Tax</c:v>
                </c:pt>
              </c:strCache>
            </c:strRef>
          </c:tx>
          <c:spPr>
            <a:solidFill>
              <a:schemeClr val="accent3"/>
            </a:solidFill>
            <a:ln>
              <a:noFill/>
            </a:ln>
            <a:effectLst/>
          </c:spPr>
          <c:invertIfNegative val="0"/>
          <c:val>
            <c:numRef>
              <c:f>'IS CS Vertical'!$B$20:$K$20</c:f>
              <c:numCache>
                <c:formatCode>0%</c:formatCode>
                <c:ptCount val="10"/>
                <c:pt idx="0">
                  <c:v>0.16123782363243289</c:v>
                </c:pt>
                <c:pt idx="1">
                  <c:v>0.14830339321357286</c:v>
                </c:pt>
                <c:pt idx="2">
                  <c:v>0.27568740955137483</c:v>
                </c:pt>
                <c:pt idx="3">
                  <c:v>0.32900967675519871</c:v>
                </c:pt>
                <c:pt idx="4">
                  <c:v>0.33253670194605667</c:v>
                </c:pt>
                <c:pt idx="5">
                  <c:v>0.27202784392745927</c:v>
                </c:pt>
                <c:pt idx="6">
                  <c:v>0.26440779610194903</c:v>
                </c:pt>
                <c:pt idx="7">
                  <c:v>0.36936167050605634</c:v>
                </c:pt>
                <c:pt idx="8">
                  <c:v>0.15500111218210127</c:v>
                </c:pt>
                <c:pt idx="9">
                  <c:v>0.55510324677456424</c:v>
                </c:pt>
              </c:numCache>
            </c:numRef>
          </c:val>
          <c:extLst>
            <c:ext xmlns:c16="http://schemas.microsoft.com/office/drawing/2014/chart" uri="{C3380CC4-5D6E-409C-BE32-E72D297353CC}">
              <c16:uniqueId val="{00000002-7005-8846-A144-B01CC812E8FD}"/>
            </c:ext>
          </c:extLst>
        </c:ser>
        <c:ser>
          <c:idx val="3"/>
          <c:order val="3"/>
          <c:tx>
            <c:strRef>
              <c:f>'IS CS Vertical'!$A$22</c:f>
              <c:strCache>
                <c:ptCount val="1"/>
                <c:pt idx="0">
                  <c:v>Net Income</c:v>
                </c:pt>
              </c:strCache>
            </c:strRef>
          </c:tx>
          <c:spPr>
            <a:solidFill>
              <a:schemeClr val="accent4"/>
            </a:solidFill>
            <a:ln>
              <a:noFill/>
            </a:ln>
            <a:effectLst/>
          </c:spPr>
          <c:invertIfNegative val="0"/>
          <c:val>
            <c:numRef>
              <c:f>'IS CS Vertical'!$B$22:$K$22</c:f>
              <c:numCache>
                <c:formatCode>0%</c:formatCode>
                <c:ptCount val="10"/>
                <c:pt idx="0">
                  <c:v>0.13469743823943872</c:v>
                </c:pt>
                <c:pt idx="1">
                  <c:v>0.12255489021956088</c:v>
                </c:pt>
                <c:pt idx="2">
                  <c:v>0.24109985528219971</c:v>
                </c:pt>
                <c:pt idx="3">
                  <c:v>0.3136709903232448</c:v>
                </c:pt>
                <c:pt idx="4">
                  <c:v>0.35344827586206895</c:v>
                </c:pt>
                <c:pt idx="5">
                  <c:v>0.25609085913170909</c:v>
                </c:pt>
                <c:pt idx="6">
                  <c:v>0.25979010494752625</c:v>
                </c:pt>
                <c:pt idx="7">
                  <c:v>0.36233930296499961</c:v>
                </c:pt>
                <c:pt idx="8">
                  <c:v>0.16193371394676356</c:v>
                </c:pt>
                <c:pt idx="9">
                  <c:v>0.4884934834706674</c:v>
                </c:pt>
              </c:numCache>
            </c:numRef>
          </c:val>
          <c:extLst>
            <c:ext xmlns:c16="http://schemas.microsoft.com/office/drawing/2014/chart" uri="{C3380CC4-5D6E-409C-BE32-E72D297353CC}">
              <c16:uniqueId val="{00000003-7005-8846-A144-B01CC812E8FD}"/>
            </c:ext>
          </c:extLst>
        </c:ser>
        <c:dLbls>
          <c:showLegendKey val="0"/>
          <c:showVal val="0"/>
          <c:showCatName val="0"/>
          <c:showSerName val="0"/>
          <c:showPercent val="0"/>
          <c:showBubbleSize val="0"/>
        </c:dLbls>
        <c:gapWidth val="150"/>
        <c:axId val="1381635279"/>
        <c:axId val="1381960207"/>
      </c:barChart>
      <c:catAx>
        <c:axId val="1381635279"/>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960207"/>
        <c:crosses val="autoZero"/>
        <c:auto val="1"/>
        <c:lblAlgn val="ctr"/>
        <c:lblOffset val="100"/>
        <c:noMultiLvlLbl val="0"/>
      </c:catAx>
      <c:valAx>
        <c:axId val="13819602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635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Nvidia Cost Breakdown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Direct Costs</c:v>
          </c:tx>
          <c:spPr>
            <a:solidFill>
              <a:schemeClr val="accent1"/>
            </a:solidFill>
            <a:ln>
              <a:noFill/>
            </a:ln>
            <a:effectLst/>
          </c:spPr>
          <c:invertIfNegative val="0"/>
          <c:cat>
            <c:strRef>
              <c:f>'Income Statement'!$B$36:$K$36</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'Income Statement'!$B$37:$K$37</c:f>
              <c:numCache>
                <c:formatCode>_(* #,##0_);_(* \(#,##0\);_(* "-"??_);_(@_)</c:formatCode>
                <c:ptCount val="10"/>
                <c:pt idx="0">
                  <c:v>2082030</c:v>
                </c:pt>
                <c:pt idx="1">
                  <c:v>2199000</c:v>
                </c:pt>
                <c:pt idx="2">
                  <c:v>2847000</c:v>
                </c:pt>
                <c:pt idx="3">
                  <c:v>3892000</c:v>
                </c:pt>
                <c:pt idx="4">
                  <c:v>4545000</c:v>
                </c:pt>
                <c:pt idx="5">
                  <c:v>4150000</c:v>
                </c:pt>
                <c:pt idx="6">
                  <c:v>6279000</c:v>
                </c:pt>
                <c:pt idx="7">
                  <c:v>9439000</c:v>
                </c:pt>
                <c:pt idx="8">
                  <c:v>11618000</c:v>
                </c:pt>
                <c:pt idx="9">
                  <c:v>16621000</c:v>
                </c:pt>
              </c:numCache>
            </c:numRef>
          </c:val>
          <c:extLst>
            <c:ext xmlns:c16="http://schemas.microsoft.com/office/drawing/2014/chart" uri="{C3380CC4-5D6E-409C-BE32-E72D297353CC}">
              <c16:uniqueId val="{00000000-2EE7-479C-9806-49DFB7E8D6A6}"/>
            </c:ext>
          </c:extLst>
        </c:ser>
        <c:ser>
          <c:idx val="1"/>
          <c:order val="1"/>
          <c:tx>
            <c:v>Indirect Costs</c:v>
          </c:tx>
          <c:spPr>
            <a:solidFill>
              <a:schemeClr val="accent2"/>
            </a:solidFill>
            <a:ln>
              <a:noFill/>
            </a:ln>
            <a:effectLst/>
          </c:spPr>
          <c:invertIfNegative val="0"/>
          <c:cat>
            <c:strRef>
              <c:f>'Income Statement'!$B$36:$K$36</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'Income Statement'!$B$38:$K$38</c:f>
              <c:numCache>
                <c:formatCode>_(* #,##0_);_(* \(#,##0\);_(* "-"??_);_(@_)</c:formatCode>
                <c:ptCount val="10"/>
                <c:pt idx="0">
                  <c:v>1840488</c:v>
                </c:pt>
                <c:pt idx="1">
                  <c:v>2064000</c:v>
                </c:pt>
                <c:pt idx="2">
                  <c:v>2129000</c:v>
                </c:pt>
                <c:pt idx="3">
                  <c:v>2612000</c:v>
                </c:pt>
                <c:pt idx="4">
                  <c:v>3367000</c:v>
                </c:pt>
                <c:pt idx="5">
                  <c:v>3922000</c:v>
                </c:pt>
                <c:pt idx="6">
                  <c:v>5864000</c:v>
                </c:pt>
                <c:pt idx="7">
                  <c:v>7434000</c:v>
                </c:pt>
                <c:pt idx="8">
                  <c:v>11132000</c:v>
                </c:pt>
                <c:pt idx="9">
                  <c:v>11329000</c:v>
                </c:pt>
              </c:numCache>
            </c:numRef>
          </c:val>
          <c:extLst>
            <c:ext xmlns:c16="http://schemas.microsoft.com/office/drawing/2014/chart" uri="{C3380CC4-5D6E-409C-BE32-E72D297353CC}">
              <c16:uniqueId val="{00000001-2EE7-479C-9806-49DFB7E8D6A6}"/>
            </c:ext>
          </c:extLst>
        </c:ser>
        <c:dLbls>
          <c:showLegendKey val="0"/>
          <c:showVal val="0"/>
          <c:showCatName val="0"/>
          <c:showSerName val="0"/>
          <c:showPercent val="0"/>
          <c:showBubbleSize val="0"/>
        </c:dLbls>
        <c:gapWidth val="219"/>
        <c:overlap val="-27"/>
        <c:axId val="355798127"/>
        <c:axId val="355798607"/>
      </c:barChart>
      <c:catAx>
        <c:axId val="35579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798607"/>
        <c:crosses val="autoZero"/>
        <c:auto val="1"/>
        <c:lblAlgn val="ctr"/>
        <c:lblOffset val="100"/>
        <c:noMultiLvlLbl val="0"/>
      </c:catAx>
      <c:valAx>
        <c:axId val="35579860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798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and Net Income Growth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'Income Statement'!$A$9</c:f>
              <c:strCache>
                <c:ptCount val="1"/>
                <c:pt idx="0">
                  <c:v>Total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Statement'!$B$36:$K$36</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'Income Statement'!$B$9:$K$9</c:f>
              <c:numCache>
                <c:formatCode>_(* #,##0_);_(* \(#,##0\);_(* "-"??_);_(@_)</c:formatCode>
                <c:ptCount val="10"/>
                <c:pt idx="0">
                  <c:v>4681507</c:v>
                </c:pt>
                <c:pt idx="1">
                  <c:v>5010000</c:v>
                </c:pt>
                <c:pt idx="2">
                  <c:v>6910000</c:v>
                </c:pt>
                <c:pt idx="3">
                  <c:v>9714000</c:v>
                </c:pt>
                <c:pt idx="4">
                  <c:v>11716000</c:v>
                </c:pt>
                <c:pt idx="5">
                  <c:v>10918000</c:v>
                </c:pt>
                <c:pt idx="6">
                  <c:v>16675000</c:v>
                </c:pt>
                <c:pt idx="7">
                  <c:v>26914000</c:v>
                </c:pt>
                <c:pt idx="8">
                  <c:v>26974000</c:v>
                </c:pt>
                <c:pt idx="9">
                  <c:v>60922000</c:v>
                </c:pt>
              </c:numCache>
            </c:numRef>
          </c:val>
          <c:extLst>
            <c:ext xmlns:c16="http://schemas.microsoft.com/office/drawing/2014/chart" uri="{C3380CC4-5D6E-409C-BE32-E72D297353CC}">
              <c16:uniqueId val="{00000000-2E50-4061-A936-5CA04F6C37B3}"/>
            </c:ext>
          </c:extLst>
        </c:ser>
        <c:ser>
          <c:idx val="1"/>
          <c:order val="1"/>
          <c:tx>
            <c:strRef>
              <c:f>'Income Statement'!$A$22</c:f>
              <c:strCache>
                <c:ptCount val="1"/>
                <c:pt idx="0">
                  <c:v>Net Income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Statement'!$B$36:$K$36</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'Income Statement'!$B$22:$K$22</c:f>
              <c:numCache>
                <c:formatCode>_(* #,##0_);_(* \(#,##0\);_(* "-"??_);_(@_)</c:formatCode>
                <c:ptCount val="10"/>
                <c:pt idx="0">
                  <c:v>630587</c:v>
                </c:pt>
                <c:pt idx="1">
                  <c:v>614000</c:v>
                </c:pt>
                <c:pt idx="2">
                  <c:v>1666000</c:v>
                </c:pt>
                <c:pt idx="3">
                  <c:v>3047000</c:v>
                </c:pt>
                <c:pt idx="4">
                  <c:v>4141000</c:v>
                </c:pt>
                <c:pt idx="5">
                  <c:v>2796000</c:v>
                </c:pt>
                <c:pt idx="6">
                  <c:v>4332000</c:v>
                </c:pt>
                <c:pt idx="7">
                  <c:v>9752000</c:v>
                </c:pt>
                <c:pt idx="8">
                  <c:v>4368000</c:v>
                </c:pt>
                <c:pt idx="9">
                  <c:v>29760000</c:v>
                </c:pt>
              </c:numCache>
            </c:numRef>
          </c:val>
          <c:extLst>
            <c:ext xmlns:c16="http://schemas.microsoft.com/office/drawing/2014/chart" uri="{C3380CC4-5D6E-409C-BE32-E72D297353CC}">
              <c16:uniqueId val="{00000001-2E50-4061-A936-5CA04F6C37B3}"/>
            </c:ext>
          </c:extLst>
        </c:ser>
        <c:dLbls>
          <c:dLblPos val="outEnd"/>
          <c:showLegendKey val="0"/>
          <c:showVal val="1"/>
          <c:showCatName val="0"/>
          <c:showSerName val="0"/>
          <c:showPercent val="0"/>
          <c:showBubbleSize val="0"/>
        </c:dLbls>
        <c:gapWidth val="219"/>
        <c:overlap val="-27"/>
        <c:axId val="1238667472"/>
        <c:axId val="1238488928"/>
      </c:barChart>
      <c:dateAx>
        <c:axId val="123866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8488928"/>
        <c:crosses val="autoZero"/>
        <c:auto val="0"/>
        <c:lblOffset val="100"/>
        <c:baseTimeUnit val="days"/>
      </c:dateAx>
      <c:valAx>
        <c:axId val="123848892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8667472"/>
        <c:crosses val="autoZero"/>
        <c:crossBetween val="between"/>
        <c:dispUnits>
          <c:builtInUnit val="millions"/>
          <c:dispUnitsLbl>
            <c:layout>
              <c:manualLayout>
                <c:xMode val="edge"/>
                <c:yMode val="edge"/>
                <c:x val="1.1829319814110688E-2"/>
                <c:y val="0.38690570844768185"/>
              </c:manualLayout>
            </c:layout>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0">
              <a:defRPr sz="1400" b="1" i="0" u="none" strike="noStrike" kern="1200" cap="all" spc="120" normalizeH="0" baseline="0">
                <a:solidFill>
                  <a:schemeClr val="tx1">
                    <a:lumMod val="65000"/>
                    <a:lumOff val="35000"/>
                  </a:schemeClr>
                </a:solidFill>
                <a:latin typeface="+mn-lt"/>
                <a:ea typeface="+mn-ea"/>
                <a:cs typeface="+mn-cs"/>
              </a:defRPr>
            </a:pPr>
            <a:r>
              <a:rPr lang="en-US" sz="1400"/>
              <a:t>Indirect Costs Distribution</a:t>
            </a:r>
          </a:p>
        </c:rich>
      </c:tx>
      <c:overlay val="0"/>
      <c:spPr>
        <a:noFill/>
        <a:ln>
          <a:noFill/>
        </a:ln>
        <a:effectLst/>
      </c:spPr>
      <c:txPr>
        <a:bodyPr rot="0" spcFirstLastPara="1" vertOverflow="ellipsis" vert="horz" wrap="square" anchor="ctr" anchorCtr="1"/>
        <a:lstStyle/>
        <a:p>
          <a:pPr rtl="0">
            <a:defRPr sz="14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'Income Statement'!$A$41</c:f>
              <c:strCache>
                <c:ptCount val="1"/>
                <c:pt idx="0">
                  <c:v>Selling General &amp; Admin</c:v>
                </c:pt>
              </c:strCache>
            </c:strRef>
          </c:tx>
          <c:spPr>
            <a:solidFill>
              <a:schemeClr val="accent1"/>
            </a:solidFill>
            <a:ln>
              <a:noFill/>
            </a:ln>
            <a:effectLst/>
          </c:spPr>
          <c:invertIfNegative val="0"/>
          <c:dLbls>
            <c:spPr>
              <a:solidFill>
                <a:schemeClr val="lt1"/>
              </a:solidFill>
              <a:ln w="25400" cap="flat" cmpd="sng" algn="ctr">
                <a:solidFill>
                  <a:schemeClr val="accent1"/>
                </a:solidFill>
                <a:prstDash val="solid"/>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'Income Statement'!$B$36:$K$36</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'Income Statement'!$B$41:$K$41</c:f>
              <c:numCache>
                <c:formatCode>0%;\-0%;\-;</c:formatCode>
                <c:ptCount val="10"/>
                <c:pt idx="0">
                  <c:v>0.26121496038007314</c:v>
                </c:pt>
                <c:pt idx="1">
                  <c:v>0.29166666666666669</c:v>
                </c:pt>
                <c:pt idx="2">
                  <c:v>0.3114138093001409</c:v>
                </c:pt>
                <c:pt idx="3">
                  <c:v>0.31202143950995403</c:v>
                </c:pt>
                <c:pt idx="4">
                  <c:v>0.29432729432729432</c:v>
                </c:pt>
                <c:pt idx="5">
                  <c:v>0.27868434472208059</c:v>
                </c:pt>
                <c:pt idx="6">
                  <c:v>0.33083219645293316</c:v>
                </c:pt>
                <c:pt idx="7">
                  <c:v>0.29136400322841</c:v>
                </c:pt>
                <c:pt idx="8">
                  <c:v>0.21918792669780812</c:v>
                </c:pt>
                <c:pt idx="9">
                  <c:v>0.23426604289875541</c:v>
                </c:pt>
              </c:numCache>
            </c:numRef>
          </c:val>
          <c:extLst>
            <c:ext xmlns:c16="http://schemas.microsoft.com/office/drawing/2014/chart" uri="{C3380CC4-5D6E-409C-BE32-E72D297353CC}">
              <c16:uniqueId val="{00000000-1937-498D-9911-C828AC3560AA}"/>
            </c:ext>
          </c:extLst>
        </c:ser>
        <c:ser>
          <c:idx val="1"/>
          <c:order val="1"/>
          <c:tx>
            <c:strRef>
              <c:f>'Income Statement'!$A$42</c:f>
              <c:strCache>
                <c:ptCount val="1"/>
                <c:pt idx="0">
                  <c:v>Research &amp; Development</c:v>
                </c:pt>
              </c:strCache>
            </c:strRef>
          </c:tx>
          <c:spPr>
            <a:solidFill>
              <a:schemeClr val="accent2"/>
            </a:solidFill>
            <a:ln>
              <a:noFill/>
            </a:ln>
            <a:effectLst/>
          </c:spPr>
          <c:invertIfNegative val="0"/>
          <c:dLbls>
            <c:spPr>
              <a:solidFill>
                <a:schemeClr val="lt1"/>
              </a:solidFill>
              <a:ln w="25400" cap="flat" cmpd="sng" algn="ctr">
                <a:solidFill>
                  <a:schemeClr val="accent2"/>
                </a:solidFill>
                <a:prstDash val="solid"/>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'Income Statement'!$B$36:$K$36</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'Income Statement'!$B$42:$K$42</c:f>
              <c:numCache>
                <c:formatCode>0%;\-0%;\-;</c:formatCode>
                <c:ptCount val="10"/>
                <c:pt idx="0">
                  <c:v>0.73878503961992692</c:v>
                </c:pt>
                <c:pt idx="1">
                  <c:v>0.64486434108527135</c:v>
                </c:pt>
                <c:pt idx="2">
                  <c:v>0.6871770784405824</c:v>
                </c:pt>
                <c:pt idx="3">
                  <c:v>0.68797856049004591</c:v>
                </c:pt>
                <c:pt idx="4">
                  <c:v>0.70567270567270568</c:v>
                </c:pt>
                <c:pt idx="5">
                  <c:v>0.72131565527791941</c:v>
                </c:pt>
                <c:pt idx="6">
                  <c:v>0.66916780354706684</c:v>
                </c:pt>
                <c:pt idx="7">
                  <c:v>0.70863599677158995</c:v>
                </c:pt>
                <c:pt idx="8">
                  <c:v>0.65927057132590727</c:v>
                </c:pt>
                <c:pt idx="9">
                  <c:v>0.76573395710124459</c:v>
                </c:pt>
              </c:numCache>
            </c:numRef>
          </c:val>
          <c:extLst>
            <c:ext xmlns:c16="http://schemas.microsoft.com/office/drawing/2014/chart" uri="{C3380CC4-5D6E-409C-BE32-E72D297353CC}">
              <c16:uniqueId val="{00000001-1937-498D-9911-C828AC3560AA}"/>
            </c:ext>
          </c:extLst>
        </c:ser>
        <c:ser>
          <c:idx val="2"/>
          <c:order val="2"/>
          <c:tx>
            <c:strRef>
              <c:f>'Income Statement'!$A$43</c:f>
              <c:strCache>
                <c:ptCount val="1"/>
                <c:pt idx="0">
                  <c:v>Other Operating Expense</c:v>
                </c:pt>
              </c:strCache>
            </c:strRef>
          </c:tx>
          <c:spPr>
            <a:solidFill>
              <a:schemeClr val="accent3"/>
            </a:solidFill>
            <a:ln>
              <a:noFill/>
            </a:ln>
            <a:effectLst/>
          </c:spPr>
          <c:invertIfNegative val="0"/>
          <c:dLbls>
            <c:spPr>
              <a:solidFill>
                <a:schemeClr val="lt1"/>
              </a:solidFill>
              <a:ln w="25400" cap="flat" cmpd="sng" algn="ctr">
                <a:solidFill>
                  <a:schemeClr val="accent3"/>
                </a:solidFill>
                <a:prstDash val="solid"/>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'Income Statement'!$B$36:$K$36</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'Income Statement'!$B$43:$K$43</c:f>
              <c:numCache>
                <c:formatCode>0%;\-0%;\-;</c:formatCode>
                <c:ptCount val="10"/>
                <c:pt idx="1">
                  <c:v>6.3468992248062017E-2</c:v>
                </c:pt>
                <c:pt idx="2" formatCode="0.0%;\-0.0%;\-">
                  <c:v>1.4091122592766556E-3</c:v>
                </c:pt>
                <c:pt idx="8">
                  <c:v>0.12154150197628459</c:v>
                </c:pt>
              </c:numCache>
            </c:numRef>
          </c:val>
          <c:extLst>
            <c:ext xmlns:c16="http://schemas.microsoft.com/office/drawing/2014/chart" uri="{C3380CC4-5D6E-409C-BE32-E72D297353CC}">
              <c16:uniqueId val="{00000002-1937-498D-9911-C828AC3560AA}"/>
            </c:ext>
          </c:extLst>
        </c:ser>
        <c:dLbls>
          <c:dLblPos val="ctr"/>
          <c:showLegendKey val="0"/>
          <c:showVal val="1"/>
          <c:showCatName val="0"/>
          <c:showSerName val="0"/>
          <c:showPercent val="0"/>
          <c:showBubbleSize val="0"/>
        </c:dLbls>
        <c:gapWidth val="79"/>
        <c:overlap val="100"/>
        <c:axId val="1074933023"/>
        <c:axId val="1073576624"/>
      </c:barChart>
      <c:catAx>
        <c:axId val="1074933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all" spc="120" normalizeH="0" baseline="0">
                <a:solidFill>
                  <a:schemeClr val="tx1">
                    <a:lumMod val="65000"/>
                    <a:lumOff val="35000"/>
                  </a:schemeClr>
                </a:solidFill>
                <a:latin typeface="+mn-lt"/>
                <a:ea typeface="+mn-ea"/>
                <a:cs typeface="+mn-cs"/>
              </a:defRPr>
            </a:pPr>
            <a:endParaRPr lang="en-US"/>
          </a:p>
        </c:txPr>
        <c:crossAx val="1073576624"/>
        <c:crosses val="autoZero"/>
        <c:auto val="1"/>
        <c:lblAlgn val="ctr"/>
        <c:lblOffset val="100"/>
        <c:noMultiLvlLbl val="0"/>
      </c:catAx>
      <c:valAx>
        <c:axId val="1073576624"/>
        <c:scaling>
          <c:orientation val="minMax"/>
        </c:scaling>
        <c:delete val="1"/>
        <c:axPos val="l"/>
        <c:numFmt formatCode="0%" sourceLinked="1"/>
        <c:majorTickMark val="none"/>
        <c:minorTickMark val="none"/>
        <c:tickLblPos val="nextTo"/>
        <c:crossAx val="10749330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Nvidia Cost Breakdown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Direct Costs</c:v>
          </c:tx>
          <c:spPr>
            <a:solidFill>
              <a:srgbClr val="E4DFEC"/>
            </a:solidFill>
            <a:ln>
              <a:solidFill>
                <a:srgbClr val="CCC0DA"/>
              </a:solidFill>
              <a:prstDash val="solid"/>
            </a:ln>
            <a:effectLst/>
          </c:spPr>
          <c:invertIfNegative val="0"/>
          <c:trendline>
            <c:spPr>
              <a:ln w="19050" cap="rnd">
                <a:solidFill>
                  <a:srgbClr val="403151"/>
                </a:solidFill>
                <a:prstDash val="sysDot"/>
              </a:ln>
              <a:effectLst/>
            </c:spPr>
            <c:trendlineType val="exp"/>
            <c:dispRSqr val="0"/>
            <c:dispEq val="0"/>
          </c:trendline>
          <c:cat>
            <c:strRef>
              <c:f>'Income Statement'!$B$36:$K$36</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'Income Statement'!$B$37:$K$37</c:f>
              <c:numCache>
                <c:formatCode>_(* #,##0_);_(* \(#,##0\);_(* "-"??_);_(@_)</c:formatCode>
                <c:ptCount val="10"/>
                <c:pt idx="0">
                  <c:v>2082030</c:v>
                </c:pt>
                <c:pt idx="1">
                  <c:v>2199000</c:v>
                </c:pt>
                <c:pt idx="2">
                  <c:v>2847000</c:v>
                </c:pt>
                <c:pt idx="3">
                  <c:v>3892000</c:v>
                </c:pt>
                <c:pt idx="4">
                  <c:v>4545000</c:v>
                </c:pt>
                <c:pt idx="5">
                  <c:v>4150000</c:v>
                </c:pt>
                <c:pt idx="6">
                  <c:v>6279000</c:v>
                </c:pt>
                <c:pt idx="7">
                  <c:v>9439000</c:v>
                </c:pt>
                <c:pt idx="8">
                  <c:v>11618000</c:v>
                </c:pt>
                <c:pt idx="9">
                  <c:v>16621000</c:v>
                </c:pt>
              </c:numCache>
            </c:numRef>
          </c:val>
          <c:extLst>
            <c:ext xmlns:c16="http://schemas.microsoft.com/office/drawing/2014/chart" uri="{C3380CC4-5D6E-409C-BE32-E72D297353CC}">
              <c16:uniqueId val="{00000001-3BCD-4577-B780-0D9DA2A7CF4A}"/>
            </c:ext>
          </c:extLst>
        </c:ser>
        <c:ser>
          <c:idx val="1"/>
          <c:order val="1"/>
          <c:tx>
            <c:v>Indirect Costs</c:v>
          </c:tx>
          <c:spPr>
            <a:solidFill>
              <a:srgbClr val="60497A"/>
            </a:solidFill>
            <a:ln>
              <a:solidFill>
                <a:srgbClr val="CCC0DA"/>
              </a:solidFill>
              <a:prstDash val="solid"/>
            </a:ln>
            <a:effectLst/>
          </c:spPr>
          <c:invertIfNegative val="0"/>
          <c:cat>
            <c:strRef>
              <c:f>'Income Statement'!$B$36:$K$36</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'Income Statement'!$B$38:$K$38</c:f>
              <c:numCache>
                <c:formatCode>_(* #,##0_);_(* \(#,##0\);_(* "-"??_);_(@_)</c:formatCode>
                <c:ptCount val="10"/>
                <c:pt idx="0">
                  <c:v>1840488</c:v>
                </c:pt>
                <c:pt idx="1">
                  <c:v>2064000</c:v>
                </c:pt>
                <c:pt idx="2">
                  <c:v>2129000</c:v>
                </c:pt>
                <c:pt idx="3">
                  <c:v>2612000</c:v>
                </c:pt>
                <c:pt idx="4">
                  <c:v>3367000</c:v>
                </c:pt>
                <c:pt idx="5">
                  <c:v>3922000</c:v>
                </c:pt>
                <c:pt idx="6">
                  <c:v>5864000</c:v>
                </c:pt>
                <c:pt idx="7">
                  <c:v>7434000</c:v>
                </c:pt>
                <c:pt idx="8">
                  <c:v>11132000</c:v>
                </c:pt>
                <c:pt idx="9">
                  <c:v>11329000</c:v>
                </c:pt>
              </c:numCache>
            </c:numRef>
          </c:val>
          <c:extLst>
            <c:ext xmlns:c16="http://schemas.microsoft.com/office/drawing/2014/chart" uri="{C3380CC4-5D6E-409C-BE32-E72D297353CC}">
              <c16:uniqueId val="{00000002-3BCD-4577-B780-0D9DA2A7CF4A}"/>
            </c:ext>
          </c:extLst>
        </c:ser>
        <c:dLbls>
          <c:showLegendKey val="0"/>
          <c:showVal val="0"/>
          <c:showCatName val="0"/>
          <c:showSerName val="0"/>
          <c:showPercent val="0"/>
          <c:showBubbleSize val="0"/>
        </c:dLbls>
        <c:gapWidth val="219"/>
        <c:overlap val="-27"/>
        <c:axId val="355798127"/>
        <c:axId val="355798607"/>
      </c:barChart>
      <c:catAx>
        <c:axId val="35579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798607"/>
        <c:crosses val="autoZero"/>
        <c:auto val="1"/>
        <c:lblAlgn val="ctr"/>
        <c:lblOffset val="100"/>
        <c:noMultiLvlLbl val="0"/>
      </c:catAx>
      <c:valAx>
        <c:axId val="355798607"/>
        <c:scaling>
          <c:orientation val="minMax"/>
        </c:scaling>
        <c:delete val="0"/>
        <c:axPos val="r"/>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798127"/>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Nvidia Revenue VS Net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'Income Statement'!$A$9</c:f>
              <c:strCache>
                <c:ptCount val="1"/>
                <c:pt idx="0">
                  <c:v>Total Revenue</c:v>
                </c:pt>
              </c:strCache>
            </c:strRef>
          </c:tx>
          <c:spPr>
            <a:solidFill>
              <a:srgbClr val="E4DFEC"/>
            </a:solidFill>
            <a:ln>
              <a:solidFill>
                <a:srgbClr val="CCC0DA"/>
              </a:solidFill>
              <a:prstDash val="solid"/>
            </a:ln>
            <a:effectLst/>
          </c:spPr>
          <c:invertIfNegative val="0"/>
          <c:trendline>
            <c:spPr>
              <a:ln w="19050" cap="rnd">
                <a:solidFill>
                  <a:srgbClr val="403151"/>
                </a:solidFill>
                <a:prstDash val="sysDot"/>
              </a:ln>
              <a:effectLst/>
            </c:spPr>
            <c:trendlineType val="movingAvg"/>
            <c:period val="2"/>
            <c:dispRSqr val="0"/>
            <c:dispEq val="0"/>
          </c:trendline>
          <c:cat>
            <c:strRef>
              <c:f>'Income Statement'!$B$2:$K$2</c:f>
              <c:strCache>
                <c:ptCount val="10"/>
                <c:pt idx="0">
                  <c:v>01/25/2015</c:v>
                </c:pt>
                <c:pt idx="1">
                  <c:v>01/31/2016</c:v>
                </c:pt>
                <c:pt idx="2">
                  <c:v>01/29/2017</c:v>
                </c:pt>
                <c:pt idx="3">
                  <c:v>01/28/2018</c:v>
                </c:pt>
                <c:pt idx="4">
                  <c:v>01/27/2019</c:v>
                </c:pt>
                <c:pt idx="5">
                  <c:v>01/26/2020</c:v>
                </c:pt>
                <c:pt idx="6">
                  <c:v>01/31/2021</c:v>
                </c:pt>
                <c:pt idx="7">
                  <c:v>01/30/2022</c:v>
                </c:pt>
                <c:pt idx="8">
                  <c:v>01/29/2023</c:v>
                </c:pt>
                <c:pt idx="9">
                  <c:v>01/28/2024</c:v>
                </c:pt>
              </c:strCache>
            </c:strRef>
          </c:cat>
          <c:val>
            <c:numRef>
              <c:f>'Income Statement'!$B$9:$K$9</c:f>
              <c:numCache>
                <c:formatCode>_(* #,##0_);_(* \(#,##0\);_(* "-"??_);_(@_)</c:formatCode>
                <c:ptCount val="10"/>
                <c:pt idx="0">
                  <c:v>4681507</c:v>
                </c:pt>
                <c:pt idx="1">
                  <c:v>5010000</c:v>
                </c:pt>
                <c:pt idx="2">
                  <c:v>6910000</c:v>
                </c:pt>
                <c:pt idx="3">
                  <c:v>9714000</c:v>
                </c:pt>
                <c:pt idx="4">
                  <c:v>11716000</c:v>
                </c:pt>
                <c:pt idx="5">
                  <c:v>10918000</c:v>
                </c:pt>
                <c:pt idx="6">
                  <c:v>16675000</c:v>
                </c:pt>
                <c:pt idx="7">
                  <c:v>26914000</c:v>
                </c:pt>
                <c:pt idx="8">
                  <c:v>26974000</c:v>
                </c:pt>
                <c:pt idx="9">
                  <c:v>60922000</c:v>
                </c:pt>
              </c:numCache>
            </c:numRef>
          </c:val>
          <c:extLst>
            <c:ext xmlns:c16="http://schemas.microsoft.com/office/drawing/2014/chart" uri="{C3380CC4-5D6E-409C-BE32-E72D297353CC}">
              <c16:uniqueId val="{00000001-345E-4F66-BD6D-C32896872127}"/>
            </c:ext>
          </c:extLst>
        </c:ser>
        <c:ser>
          <c:idx val="1"/>
          <c:order val="1"/>
          <c:tx>
            <c:strRef>
              <c:f>'Income Statement'!$A$22</c:f>
              <c:strCache>
                <c:ptCount val="1"/>
                <c:pt idx="0">
                  <c:v>Net Income</c:v>
                </c:pt>
              </c:strCache>
            </c:strRef>
          </c:tx>
          <c:spPr>
            <a:solidFill>
              <a:srgbClr val="60497A"/>
            </a:solidFill>
            <a:ln>
              <a:solidFill>
                <a:srgbClr val="CCC0DA"/>
              </a:solidFill>
              <a:prstDash val="solid"/>
            </a:ln>
            <a:effectLst/>
          </c:spPr>
          <c:invertIfNegative val="0"/>
          <c:cat>
            <c:strRef>
              <c:f>'Income Statement'!$B$2:$K$2</c:f>
              <c:strCache>
                <c:ptCount val="10"/>
                <c:pt idx="0">
                  <c:v>01/25/2015</c:v>
                </c:pt>
                <c:pt idx="1">
                  <c:v>01/31/2016</c:v>
                </c:pt>
                <c:pt idx="2">
                  <c:v>01/29/2017</c:v>
                </c:pt>
                <c:pt idx="3">
                  <c:v>01/28/2018</c:v>
                </c:pt>
                <c:pt idx="4">
                  <c:v>01/27/2019</c:v>
                </c:pt>
                <c:pt idx="5">
                  <c:v>01/26/2020</c:v>
                </c:pt>
                <c:pt idx="6">
                  <c:v>01/31/2021</c:v>
                </c:pt>
                <c:pt idx="7">
                  <c:v>01/30/2022</c:v>
                </c:pt>
                <c:pt idx="8">
                  <c:v>01/29/2023</c:v>
                </c:pt>
                <c:pt idx="9">
                  <c:v>01/28/2024</c:v>
                </c:pt>
              </c:strCache>
            </c:strRef>
          </c:cat>
          <c:val>
            <c:numRef>
              <c:f>'Income Statement'!$B$22:$K$22</c:f>
              <c:numCache>
                <c:formatCode>_(* #,##0_);_(* \(#,##0\);_(* "-"??_);_(@_)</c:formatCode>
                <c:ptCount val="10"/>
                <c:pt idx="0">
                  <c:v>630587</c:v>
                </c:pt>
                <c:pt idx="1">
                  <c:v>614000</c:v>
                </c:pt>
                <c:pt idx="2">
                  <c:v>1666000</c:v>
                </c:pt>
                <c:pt idx="3">
                  <c:v>3047000</c:v>
                </c:pt>
                <c:pt idx="4">
                  <c:v>4141000</c:v>
                </c:pt>
                <c:pt idx="5">
                  <c:v>2796000</c:v>
                </c:pt>
                <c:pt idx="6">
                  <c:v>4332000</c:v>
                </c:pt>
                <c:pt idx="7">
                  <c:v>9752000</c:v>
                </c:pt>
                <c:pt idx="8">
                  <c:v>4368000</c:v>
                </c:pt>
                <c:pt idx="9">
                  <c:v>29760000</c:v>
                </c:pt>
              </c:numCache>
            </c:numRef>
          </c:val>
          <c:extLst>
            <c:ext xmlns:c16="http://schemas.microsoft.com/office/drawing/2014/chart" uri="{C3380CC4-5D6E-409C-BE32-E72D297353CC}">
              <c16:uniqueId val="{00000002-345E-4F66-BD6D-C32896872127}"/>
            </c:ext>
          </c:extLst>
        </c:ser>
        <c:dLbls>
          <c:showLegendKey val="0"/>
          <c:showVal val="0"/>
          <c:showCatName val="0"/>
          <c:showSerName val="0"/>
          <c:showPercent val="0"/>
          <c:showBubbleSize val="0"/>
        </c:dLbls>
        <c:gapWidth val="219"/>
        <c:overlap val="-27"/>
        <c:axId val="1238667472"/>
        <c:axId val="1238488928"/>
      </c:barChart>
      <c:dateAx>
        <c:axId val="123866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488928"/>
        <c:crosses val="autoZero"/>
        <c:auto val="0"/>
        <c:lblOffset val="100"/>
        <c:baseTimeUnit val="days"/>
      </c:dateAx>
      <c:valAx>
        <c:axId val="123848892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667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Indirect Costs Distribution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'Income Statement'!$A$41</c:f>
              <c:strCache>
                <c:ptCount val="1"/>
                <c:pt idx="0">
                  <c:v>Selling General &amp; Admin</c:v>
                </c:pt>
              </c:strCache>
            </c:strRef>
          </c:tx>
          <c:spPr>
            <a:solidFill>
              <a:srgbClr val="403151"/>
            </a:solidFill>
            <a:ln>
              <a:solidFill>
                <a:srgbClr val="CCC0DA"/>
              </a:solidFill>
              <a:prstDash val="soli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FFFFF"/>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Statement'!$B$36:$K$36</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'Income Statement'!$B$41:$K$41</c:f>
              <c:numCache>
                <c:formatCode>0%;\-0%;\-;</c:formatCode>
                <c:ptCount val="10"/>
                <c:pt idx="0">
                  <c:v>0.26121496038007314</c:v>
                </c:pt>
                <c:pt idx="1">
                  <c:v>0.29166666666666669</c:v>
                </c:pt>
                <c:pt idx="2">
                  <c:v>0.3114138093001409</c:v>
                </c:pt>
                <c:pt idx="3">
                  <c:v>0.31202143950995403</c:v>
                </c:pt>
                <c:pt idx="4">
                  <c:v>0.29432729432729432</c:v>
                </c:pt>
                <c:pt idx="5">
                  <c:v>0.27868434472208059</c:v>
                </c:pt>
                <c:pt idx="6">
                  <c:v>0.33083219645293316</c:v>
                </c:pt>
                <c:pt idx="7">
                  <c:v>0.29136400322841</c:v>
                </c:pt>
                <c:pt idx="8">
                  <c:v>0.21918792669780812</c:v>
                </c:pt>
                <c:pt idx="9">
                  <c:v>0.23426604289875541</c:v>
                </c:pt>
              </c:numCache>
            </c:numRef>
          </c:val>
          <c:extLst>
            <c:ext xmlns:c16="http://schemas.microsoft.com/office/drawing/2014/chart" uri="{C3380CC4-5D6E-409C-BE32-E72D297353CC}">
              <c16:uniqueId val="{00000000-847B-48C7-99F3-FEDC55C80818}"/>
            </c:ext>
          </c:extLst>
        </c:ser>
        <c:ser>
          <c:idx val="1"/>
          <c:order val="1"/>
          <c:tx>
            <c:strRef>
              <c:f>'Income Statement'!$A$42</c:f>
              <c:strCache>
                <c:ptCount val="1"/>
                <c:pt idx="0">
                  <c:v>Research &amp; Development</c:v>
                </c:pt>
              </c:strCache>
            </c:strRef>
          </c:tx>
          <c:spPr>
            <a:solidFill>
              <a:srgbClr val="B1A0C7"/>
            </a:solidFill>
            <a:ln>
              <a:solidFill>
                <a:srgbClr val="CCC0DA"/>
              </a:solidFill>
              <a:prstDash val="soli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Statement'!$B$36:$K$36</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'Income Statement'!$B$42:$K$42</c:f>
              <c:numCache>
                <c:formatCode>0%;\-0%;\-;</c:formatCode>
                <c:ptCount val="10"/>
                <c:pt idx="0">
                  <c:v>0.73878503961992692</c:v>
                </c:pt>
                <c:pt idx="1">
                  <c:v>0.64486434108527135</c:v>
                </c:pt>
                <c:pt idx="2">
                  <c:v>0.6871770784405824</c:v>
                </c:pt>
                <c:pt idx="3">
                  <c:v>0.68797856049004591</c:v>
                </c:pt>
                <c:pt idx="4">
                  <c:v>0.70567270567270568</c:v>
                </c:pt>
                <c:pt idx="5">
                  <c:v>0.72131565527791941</c:v>
                </c:pt>
                <c:pt idx="6">
                  <c:v>0.66916780354706684</c:v>
                </c:pt>
                <c:pt idx="7">
                  <c:v>0.70863599677158995</c:v>
                </c:pt>
                <c:pt idx="8">
                  <c:v>0.65927057132590727</c:v>
                </c:pt>
                <c:pt idx="9">
                  <c:v>0.76573395710124459</c:v>
                </c:pt>
              </c:numCache>
            </c:numRef>
          </c:val>
          <c:extLst>
            <c:ext xmlns:c16="http://schemas.microsoft.com/office/drawing/2014/chart" uri="{C3380CC4-5D6E-409C-BE32-E72D297353CC}">
              <c16:uniqueId val="{00000001-847B-48C7-99F3-FEDC55C80818}"/>
            </c:ext>
          </c:extLst>
        </c:ser>
        <c:ser>
          <c:idx val="2"/>
          <c:order val="2"/>
          <c:tx>
            <c:strRef>
              <c:f>'Income Statement'!$A$43</c:f>
              <c:strCache>
                <c:ptCount val="1"/>
                <c:pt idx="0">
                  <c:v>Other Operating Expense</c:v>
                </c:pt>
              </c:strCache>
            </c:strRef>
          </c:tx>
          <c:spPr>
            <a:solidFill>
              <a:srgbClr val="E4DFEC"/>
            </a:solidFill>
            <a:ln>
              <a:noFill/>
            </a:ln>
            <a:effectLst/>
          </c:spPr>
          <c:invertIfNegative val="0"/>
          <c:dLbls>
            <c:spPr>
              <a:noFill/>
              <a:ln>
                <a:solidFill>
                  <a:srgbClr val="E4DFEC"/>
                </a:solidFill>
                <a:prstDash val="solid"/>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Statement'!$B$36:$K$36</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'Income Statement'!$B$43:$K$43</c:f>
              <c:numCache>
                <c:formatCode>0%;\-0%;\-;</c:formatCode>
                <c:ptCount val="10"/>
                <c:pt idx="1">
                  <c:v>6.3468992248062017E-2</c:v>
                </c:pt>
                <c:pt idx="2" formatCode="0.0%;\-0.0%;\-">
                  <c:v>1.4091122592766556E-3</c:v>
                </c:pt>
                <c:pt idx="8">
                  <c:v>0.12154150197628459</c:v>
                </c:pt>
              </c:numCache>
            </c:numRef>
          </c:val>
          <c:extLst>
            <c:ext xmlns:c16="http://schemas.microsoft.com/office/drawing/2014/chart" uri="{C3380CC4-5D6E-409C-BE32-E72D297353CC}">
              <c16:uniqueId val="{00000002-847B-48C7-99F3-FEDC55C80818}"/>
            </c:ext>
          </c:extLst>
        </c:ser>
        <c:dLbls>
          <c:dLblPos val="ctr"/>
          <c:showLegendKey val="0"/>
          <c:showVal val="1"/>
          <c:showCatName val="0"/>
          <c:showSerName val="0"/>
          <c:showPercent val="0"/>
          <c:showBubbleSize val="0"/>
        </c:dLbls>
        <c:gapWidth val="150"/>
        <c:overlap val="100"/>
        <c:axId val="1074933023"/>
        <c:axId val="1073576624"/>
      </c:barChart>
      <c:catAx>
        <c:axId val="107493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576624"/>
        <c:crosses val="autoZero"/>
        <c:auto val="1"/>
        <c:lblAlgn val="ctr"/>
        <c:lblOffset val="100"/>
        <c:noMultiLvlLbl val="0"/>
      </c:catAx>
      <c:valAx>
        <c:axId val="10735766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933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Projected D/E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bar"/>
        <c:grouping val="clustered"/>
        <c:varyColors val="0"/>
        <c:ser>
          <c:idx val="0"/>
          <c:order val="0"/>
          <c:tx>
            <c:strRef>
              <c:f>'Projected BS'!$A$57</c:f>
              <c:strCache>
                <c:ptCount val="1"/>
                <c:pt idx="0">
                  <c:v>D/E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'Projected BS'!$J$1:$Q$1</c:f>
              <c:strCache>
                <c:ptCount val="8"/>
                <c:pt idx="0">
                  <c:v>Jan-23</c:v>
                </c:pt>
                <c:pt idx="1">
                  <c:v>Jan-24</c:v>
                </c:pt>
                <c:pt idx="2">
                  <c:v>Projected Jan-25</c:v>
                </c:pt>
                <c:pt idx="3">
                  <c:v>Projected Jan-26</c:v>
                </c:pt>
                <c:pt idx="4">
                  <c:v>Projected Jan-27</c:v>
                </c:pt>
                <c:pt idx="5">
                  <c:v>Projected Jan-28</c:v>
                </c:pt>
                <c:pt idx="6">
                  <c:v>Projected Jan-29</c:v>
                </c:pt>
                <c:pt idx="7">
                  <c:v>Projected Jan-30</c:v>
                </c:pt>
              </c:strCache>
            </c:strRef>
          </c:cat>
          <c:val>
            <c:numRef>
              <c:f>'Projected BS'!$J$57:$Q$57</c:f>
              <c:numCache>
                <c:formatCode>0%</c:formatCode>
                <c:ptCount val="8"/>
                <c:pt idx="0">
                  <c:v>0.8633545993393964</c:v>
                </c:pt>
                <c:pt idx="1">
                  <c:v>0.52934059286146395</c:v>
                </c:pt>
                <c:pt idx="2">
                  <c:v>0.36499992098714712</c:v>
                </c:pt>
                <c:pt idx="3">
                  <c:v>0.25444094278915941</c:v>
                </c:pt>
                <c:pt idx="4">
                  <c:v>0.20206682238787205</c:v>
                </c:pt>
                <c:pt idx="5">
                  <c:v>0.19653789714583153</c:v>
                </c:pt>
                <c:pt idx="6">
                  <c:v>0.16488263270876757</c:v>
                </c:pt>
                <c:pt idx="7">
                  <c:v>0.14924842348893957</c:v>
                </c:pt>
              </c:numCache>
            </c:numRef>
          </c:val>
          <c:extLst>
            <c:ext xmlns:c16="http://schemas.microsoft.com/office/drawing/2014/chart" uri="{C3380CC4-5D6E-409C-BE32-E72D297353CC}">
              <c16:uniqueId val="{00000000-32AD-1049-AC05-1699D7CA80E0}"/>
            </c:ext>
          </c:extLst>
        </c:ser>
        <c:dLbls>
          <c:dLblPos val="inEnd"/>
          <c:showLegendKey val="0"/>
          <c:showVal val="1"/>
          <c:showCatName val="0"/>
          <c:showSerName val="0"/>
          <c:showPercent val="0"/>
          <c:showBubbleSize val="0"/>
        </c:dLbls>
        <c:gapWidth val="247"/>
        <c:axId val="673948543"/>
        <c:axId val="992494944"/>
      </c:barChart>
      <c:catAx>
        <c:axId val="673948543"/>
        <c:scaling>
          <c:orientation val="maxMin"/>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92494944"/>
        <c:crosses val="autoZero"/>
        <c:auto val="1"/>
        <c:lblAlgn val="ctr"/>
        <c:lblOffset val="100"/>
        <c:noMultiLvlLbl val="0"/>
      </c:catAx>
      <c:valAx>
        <c:axId val="992494944"/>
        <c:scaling>
          <c:orientation val="minMax"/>
        </c:scaling>
        <c:delete val="0"/>
        <c:axPos val="t"/>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3948543"/>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Semiconductor</a:t>
            </a:r>
            <a:r>
              <a:rPr lang="en-US" baseline="0"/>
              <a:t> Market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A9-D341-9F70-A07C9BCF83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A9-D341-9F70-A07C9BCF83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AA9-D341-9F70-A07C9BCF838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AA9-D341-9F70-A07C9BCF838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AA9-D341-9F70-A07C9BCF83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'Market Share'!$A$28:$A$32</c:f>
              <c:strCache>
                <c:ptCount val="5"/>
                <c:pt idx="0">
                  <c:v>Nvidia Corp</c:v>
                </c:pt>
                <c:pt idx="1">
                  <c:v>Intel Corporation</c:v>
                </c:pt>
                <c:pt idx="2">
                  <c:v>Broadcom Inc</c:v>
                </c:pt>
                <c:pt idx="3">
                  <c:v>Advanced Micro Devices Inc</c:v>
                </c:pt>
                <c:pt idx="4">
                  <c:v>Other</c:v>
                </c:pt>
              </c:strCache>
            </c:strRef>
          </c:cat>
          <c:val>
            <c:numRef>
              <c:f>'Market Share'!$C$28:$C$32</c:f>
              <c:numCache>
                <c:formatCode>0%</c:formatCode>
                <c:ptCount val="5"/>
                <c:pt idx="0">
                  <c:v>0.42</c:v>
                </c:pt>
                <c:pt idx="1">
                  <c:v>0.2</c:v>
                </c:pt>
                <c:pt idx="2">
                  <c:v>0.19</c:v>
                </c:pt>
                <c:pt idx="3">
                  <c:v>0.09</c:v>
                </c:pt>
                <c:pt idx="4">
                  <c:v>0.1</c:v>
                </c:pt>
              </c:numCache>
            </c:numRef>
          </c:val>
          <c:extLst>
            <c:ext xmlns:c16="http://schemas.microsoft.com/office/drawing/2014/chart" uri="{C3380CC4-5D6E-409C-BE32-E72D297353CC}">
              <c16:uniqueId val="{00000000-F975-446D-AA5C-8C406B0D5BF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Technology Market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42-EE43-AB9E-5239192746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42-EE43-AB9E-5239192746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642-EE43-AB9E-5239192746D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642-EE43-AB9E-5239192746D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642-EE43-AB9E-5239192746D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642-EE43-AB9E-5239192746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'Market Share'!$H$28:$H$33</c:f>
              <c:strCache>
                <c:ptCount val="6"/>
                <c:pt idx="0">
                  <c:v>Nvidia Corp</c:v>
                </c:pt>
                <c:pt idx="1">
                  <c:v>Intel Corporation</c:v>
                </c:pt>
                <c:pt idx="2">
                  <c:v>Cisco Systems Inc</c:v>
                </c:pt>
                <c:pt idx="3">
                  <c:v>Broadcom Inc</c:v>
                </c:pt>
                <c:pt idx="4">
                  <c:v>Qualcomm Inc</c:v>
                </c:pt>
                <c:pt idx="5">
                  <c:v>Other</c:v>
                </c:pt>
              </c:strCache>
            </c:strRef>
          </c:cat>
          <c:val>
            <c:numRef>
              <c:f>'Market Share'!$J$28:$J$33</c:f>
              <c:numCache>
                <c:formatCode>0%</c:formatCode>
                <c:ptCount val="6"/>
                <c:pt idx="0">
                  <c:v>0.3</c:v>
                </c:pt>
                <c:pt idx="1">
                  <c:v>0.15</c:v>
                </c:pt>
                <c:pt idx="2">
                  <c:v>0.14000000000000001</c:v>
                </c:pt>
                <c:pt idx="3">
                  <c:v>0.14000000000000001</c:v>
                </c:pt>
                <c:pt idx="4">
                  <c:v>0.1</c:v>
                </c:pt>
                <c:pt idx="5">
                  <c:v>0.17</c:v>
                </c:pt>
              </c:numCache>
            </c:numRef>
          </c:val>
          <c:extLst>
            <c:ext xmlns:c16="http://schemas.microsoft.com/office/drawing/2014/chart" uri="{C3380CC4-5D6E-409C-BE32-E72D297353CC}">
              <c16:uniqueId val="{00000000-F64E-4C1C-9EEC-E8093AB573A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'Revenue BreakDown'!$A$6</c:f>
              <c:strCache>
                <c:ptCount val="1"/>
                <c:pt idx="0">
                  <c:v>Data Center</c:v>
                </c:pt>
              </c:strCache>
            </c:strRef>
          </c:tx>
          <c:spPr>
            <a:solidFill>
              <a:schemeClr val="accent1"/>
            </a:solidFill>
            <a:ln>
              <a:noFill/>
            </a:ln>
            <a:effectLst/>
          </c:spPr>
          <c:invertIfNegative val="0"/>
          <c:cat>
            <c:strRef>
              <c:f>'Revenue BreakDown'!$B$5:$D$5</c:f>
              <c:strCache>
                <c:ptCount val="3"/>
                <c:pt idx="0">
                  <c:v>Jan-22</c:v>
                </c:pt>
                <c:pt idx="1">
                  <c:v>Jan-23</c:v>
                </c:pt>
                <c:pt idx="2">
                  <c:v>Jan-24</c:v>
                </c:pt>
              </c:strCache>
            </c:strRef>
          </c:cat>
          <c:val>
            <c:numRef>
              <c:f>'Revenue BreakDown'!$B$6:$D$6</c:f>
              <c:numCache>
                <c:formatCode>_("$"* #,##0_);_("$"* \(#,##0\);_("$"* "-"??_);_(@_)</c:formatCode>
                <c:ptCount val="3"/>
                <c:pt idx="0">
                  <c:v>10613</c:v>
                </c:pt>
                <c:pt idx="1">
                  <c:v>15005</c:v>
                </c:pt>
                <c:pt idx="2">
                  <c:v>47525</c:v>
                </c:pt>
              </c:numCache>
            </c:numRef>
          </c:val>
          <c:extLst>
            <c:ext xmlns:c16="http://schemas.microsoft.com/office/drawing/2014/chart" uri="{C3380CC4-5D6E-409C-BE32-E72D297353CC}">
              <c16:uniqueId val="{00000000-272F-413C-B033-A62A73772CE6}"/>
            </c:ext>
          </c:extLst>
        </c:ser>
        <c:ser>
          <c:idx val="1"/>
          <c:order val="1"/>
          <c:tx>
            <c:strRef>
              <c:f>'Revenue BreakDown'!$A$7</c:f>
              <c:strCache>
                <c:ptCount val="1"/>
                <c:pt idx="0">
                  <c:v>Gaming</c:v>
                </c:pt>
              </c:strCache>
            </c:strRef>
          </c:tx>
          <c:spPr>
            <a:solidFill>
              <a:schemeClr val="accent2"/>
            </a:solidFill>
            <a:ln>
              <a:noFill/>
            </a:ln>
            <a:effectLst/>
          </c:spPr>
          <c:invertIfNegative val="0"/>
          <c:cat>
            <c:strRef>
              <c:f>'Revenue BreakDown'!$B$5:$D$5</c:f>
              <c:strCache>
                <c:ptCount val="3"/>
                <c:pt idx="0">
                  <c:v>Jan-22</c:v>
                </c:pt>
                <c:pt idx="1">
                  <c:v>Jan-23</c:v>
                </c:pt>
                <c:pt idx="2">
                  <c:v>Jan-24</c:v>
                </c:pt>
              </c:strCache>
            </c:strRef>
          </c:cat>
          <c:val>
            <c:numRef>
              <c:f>'Revenue BreakDown'!$B$7:$D$7</c:f>
              <c:numCache>
                <c:formatCode>_("$"* #,##0_);_("$"* \(#,##0\);_("$"* "-"??_);_(@_)</c:formatCode>
                <c:ptCount val="3"/>
                <c:pt idx="0">
                  <c:v>12462</c:v>
                </c:pt>
                <c:pt idx="1">
                  <c:v>9067</c:v>
                </c:pt>
                <c:pt idx="2">
                  <c:v>10447</c:v>
                </c:pt>
              </c:numCache>
            </c:numRef>
          </c:val>
          <c:extLst>
            <c:ext xmlns:c16="http://schemas.microsoft.com/office/drawing/2014/chart" uri="{C3380CC4-5D6E-409C-BE32-E72D297353CC}">
              <c16:uniqueId val="{00000001-272F-413C-B033-A62A73772CE6}"/>
            </c:ext>
          </c:extLst>
        </c:ser>
        <c:ser>
          <c:idx val="2"/>
          <c:order val="2"/>
          <c:tx>
            <c:strRef>
              <c:f>'Revenue BreakDown'!$A$8</c:f>
              <c:strCache>
                <c:ptCount val="1"/>
                <c:pt idx="0">
                  <c:v>Professional Visualization</c:v>
                </c:pt>
              </c:strCache>
            </c:strRef>
          </c:tx>
          <c:spPr>
            <a:solidFill>
              <a:schemeClr val="accent3"/>
            </a:solidFill>
            <a:ln>
              <a:noFill/>
            </a:ln>
            <a:effectLst/>
          </c:spPr>
          <c:invertIfNegative val="0"/>
          <c:cat>
            <c:strRef>
              <c:f>'Revenue BreakDown'!$B$5:$D$5</c:f>
              <c:strCache>
                <c:ptCount val="3"/>
                <c:pt idx="0">
                  <c:v>Jan-22</c:v>
                </c:pt>
                <c:pt idx="1">
                  <c:v>Jan-23</c:v>
                </c:pt>
                <c:pt idx="2">
                  <c:v>Jan-24</c:v>
                </c:pt>
              </c:strCache>
            </c:strRef>
          </c:cat>
          <c:val>
            <c:numRef>
              <c:f>'Revenue BreakDown'!$B$8:$D$8</c:f>
              <c:numCache>
                <c:formatCode>_("$"* #,##0_);_("$"* \(#,##0\);_("$"* "-"??_);_(@_)</c:formatCode>
                <c:ptCount val="3"/>
                <c:pt idx="0">
                  <c:v>2111</c:v>
                </c:pt>
                <c:pt idx="1">
                  <c:v>1544</c:v>
                </c:pt>
                <c:pt idx="2">
                  <c:v>1553</c:v>
                </c:pt>
              </c:numCache>
            </c:numRef>
          </c:val>
          <c:extLst>
            <c:ext xmlns:c16="http://schemas.microsoft.com/office/drawing/2014/chart" uri="{C3380CC4-5D6E-409C-BE32-E72D297353CC}">
              <c16:uniqueId val="{00000002-272F-413C-B033-A62A73772CE6}"/>
            </c:ext>
          </c:extLst>
        </c:ser>
        <c:ser>
          <c:idx val="3"/>
          <c:order val="3"/>
          <c:tx>
            <c:strRef>
              <c:f>'Revenue BreakDown'!$A$9</c:f>
              <c:strCache>
                <c:ptCount val="1"/>
                <c:pt idx="0">
                  <c:v>Automotive</c:v>
                </c:pt>
              </c:strCache>
            </c:strRef>
          </c:tx>
          <c:spPr>
            <a:solidFill>
              <a:schemeClr val="accent4"/>
            </a:solidFill>
            <a:ln>
              <a:noFill/>
            </a:ln>
            <a:effectLst/>
          </c:spPr>
          <c:invertIfNegative val="0"/>
          <c:val>
            <c:numRef>
              <c:f>'Revenue BreakDown'!$B$9:$D$9</c:f>
              <c:numCache>
                <c:formatCode>_("$"* #,##0_);_("$"* \(#,##0\);_("$"* "-"??_);_(@_)</c:formatCode>
                <c:ptCount val="3"/>
                <c:pt idx="0">
                  <c:v>566</c:v>
                </c:pt>
                <c:pt idx="1">
                  <c:v>903</c:v>
                </c:pt>
                <c:pt idx="2">
                  <c:v>1091</c:v>
                </c:pt>
              </c:numCache>
            </c:numRef>
          </c:val>
          <c:extLst>
            <c:ext xmlns:c16="http://schemas.microsoft.com/office/drawing/2014/chart" uri="{C3380CC4-5D6E-409C-BE32-E72D297353CC}">
              <c16:uniqueId val="{00000003-272F-413C-B033-A62A73772CE6}"/>
            </c:ext>
          </c:extLst>
        </c:ser>
        <c:ser>
          <c:idx val="4"/>
          <c:order val="4"/>
          <c:tx>
            <c:strRef>
              <c:f>'Revenue BreakDown'!$A$10</c:f>
              <c:strCache>
                <c:ptCount val="1"/>
                <c:pt idx="0">
                  <c:v>OEM and Other</c:v>
                </c:pt>
              </c:strCache>
            </c:strRef>
          </c:tx>
          <c:spPr>
            <a:solidFill>
              <a:schemeClr val="accent5"/>
            </a:solidFill>
            <a:ln>
              <a:noFill/>
            </a:ln>
            <a:effectLst/>
          </c:spPr>
          <c:invertIfNegative val="0"/>
          <c:val>
            <c:numRef>
              <c:f>'Revenue BreakDown'!$B$10:$D$10</c:f>
              <c:numCache>
                <c:formatCode>_("$"* #,##0_);_("$"* \(#,##0\);_("$"* "-"??_);_(@_)</c:formatCode>
                <c:ptCount val="3"/>
                <c:pt idx="0">
                  <c:v>1162</c:v>
                </c:pt>
                <c:pt idx="1">
                  <c:v>455</c:v>
                </c:pt>
                <c:pt idx="2">
                  <c:v>306</c:v>
                </c:pt>
              </c:numCache>
            </c:numRef>
          </c:val>
          <c:extLst>
            <c:ext xmlns:c16="http://schemas.microsoft.com/office/drawing/2014/chart" uri="{C3380CC4-5D6E-409C-BE32-E72D297353CC}">
              <c16:uniqueId val="{00000004-272F-413C-B033-A62A73772CE6}"/>
            </c:ext>
          </c:extLst>
        </c:ser>
        <c:dLbls>
          <c:showLegendKey val="0"/>
          <c:showVal val="0"/>
          <c:showCatName val="0"/>
          <c:showSerName val="0"/>
          <c:showPercent val="0"/>
          <c:showBubbleSize val="0"/>
        </c:dLbls>
        <c:gapWidth val="150"/>
        <c:overlap val="100"/>
        <c:axId val="364286944"/>
        <c:axId val="364290784"/>
      </c:barChart>
      <c:catAx>
        <c:axId val="36428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290784"/>
        <c:crosses val="autoZero"/>
        <c:auto val="1"/>
        <c:lblAlgn val="ctr"/>
        <c:lblOffset val="100"/>
        <c:noMultiLvlLbl val="0"/>
      </c:catAx>
      <c:valAx>
        <c:axId val="3642907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286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'Revenue BreakDown'!$A$31</c:f>
              <c:strCache>
                <c:ptCount val="1"/>
                <c:pt idx="0">
                  <c:v>United States</c:v>
                </c:pt>
              </c:strCache>
            </c:strRef>
          </c:tx>
          <c:spPr>
            <a:solidFill>
              <a:schemeClr val="accent1"/>
            </a:solidFill>
            <a:ln>
              <a:noFill/>
            </a:ln>
            <a:effectLst/>
          </c:spPr>
          <c:invertIfNegative val="0"/>
          <c:cat>
            <c:strRef>
              <c:f>'Revenue BreakDown'!$B$30:$D$30</c:f>
              <c:strCache>
                <c:ptCount val="3"/>
                <c:pt idx="0">
                  <c:v>Jan-22</c:v>
                </c:pt>
                <c:pt idx="1">
                  <c:v>Jan-23</c:v>
                </c:pt>
                <c:pt idx="2">
                  <c:v>Jan-24</c:v>
                </c:pt>
              </c:strCache>
            </c:strRef>
          </c:cat>
          <c:val>
            <c:numRef>
              <c:f>'Revenue BreakDown'!$B$31:$D$31</c:f>
              <c:numCache>
                <c:formatCode>#,##0</c:formatCode>
                <c:ptCount val="3"/>
                <c:pt idx="0">
                  <c:v>4349</c:v>
                </c:pt>
                <c:pt idx="1">
                  <c:v>8292</c:v>
                </c:pt>
                <c:pt idx="2">
                  <c:v>26966</c:v>
                </c:pt>
              </c:numCache>
            </c:numRef>
          </c:val>
          <c:extLst>
            <c:ext xmlns:c16="http://schemas.microsoft.com/office/drawing/2014/chart" uri="{C3380CC4-5D6E-409C-BE32-E72D297353CC}">
              <c16:uniqueId val="{00000000-3937-46E2-979B-4995591218FC}"/>
            </c:ext>
          </c:extLst>
        </c:ser>
        <c:ser>
          <c:idx val="1"/>
          <c:order val="1"/>
          <c:tx>
            <c:strRef>
              <c:f>'Revenue BreakDown'!$A$32</c:f>
              <c:strCache>
                <c:ptCount val="1"/>
                <c:pt idx="0">
                  <c:v>Taiwan</c:v>
                </c:pt>
              </c:strCache>
            </c:strRef>
          </c:tx>
          <c:spPr>
            <a:solidFill>
              <a:schemeClr val="accent2"/>
            </a:solidFill>
            <a:ln>
              <a:noFill/>
            </a:ln>
            <a:effectLst/>
          </c:spPr>
          <c:invertIfNegative val="0"/>
          <c:cat>
            <c:strRef>
              <c:f>'Revenue BreakDown'!$B$30:$D$30</c:f>
              <c:strCache>
                <c:ptCount val="3"/>
                <c:pt idx="0">
                  <c:v>Jan-22</c:v>
                </c:pt>
                <c:pt idx="1">
                  <c:v>Jan-23</c:v>
                </c:pt>
                <c:pt idx="2">
                  <c:v>Jan-24</c:v>
                </c:pt>
              </c:strCache>
            </c:strRef>
          </c:cat>
          <c:val>
            <c:numRef>
              <c:f>'Revenue BreakDown'!$B$32:$D$32</c:f>
              <c:numCache>
                <c:formatCode>#,##0</c:formatCode>
                <c:ptCount val="3"/>
                <c:pt idx="0">
                  <c:v>8544</c:v>
                </c:pt>
                <c:pt idx="1">
                  <c:v>6986</c:v>
                </c:pt>
                <c:pt idx="2">
                  <c:v>13405</c:v>
                </c:pt>
              </c:numCache>
            </c:numRef>
          </c:val>
          <c:extLst>
            <c:ext xmlns:c16="http://schemas.microsoft.com/office/drawing/2014/chart" uri="{C3380CC4-5D6E-409C-BE32-E72D297353CC}">
              <c16:uniqueId val="{00000001-3937-46E2-979B-4995591218FC}"/>
            </c:ext>
          </c:extLst>
        </c:ser>
        <c:ser>
          <c:idx val="2"/>
          <c:order val="2"/>
          <c:tx>
            <c:strRef>
              <c:f>'Revenue BreakDown'!$A$33</c:f>
              <c:strCache>
                <c:ptCount val="1"/>
                <c:pt idx="0">
                  <c:v>China (including Hong Kong)</c:v>
                </c:pt>
              </c:strCache>
            </c:strRef>
          </c:tx>
          <c:spPr>
            <a:solidFill>
              <a:schemeClr val="accent3"/>
            </a:solidFill>
            <a:ln>
              <a:noFill/>
            </a:ln>
            <a:effectLst/>
          </c:spPr>
          <c:invertIfNegative val="0"/>
          <c:cat>
            <c:strRef>
              <c:f>'Revenue BreakDown'!$B$30:$D$30</c:f>
              <c:strCache>
                <c:ptCount val="3"/>
                <c:pt idx="0">
                  <c:v>Jan-22</c:v>
                </c:pt>
                <c:pt idx="1">
                  <c:v>Jan-23</c:v>
                </c:pt>
                <c:pt idx="2">
                  <c:v>Jan-24</c:v>
                </c:pt>
              </c:strCache>
            </c:strRef>
          </c:cat>
          <c:val>
            <c:numRef>
              <c:f>'Revenue BreakDown'!$B$33:$D$33</c:f>
              <c:numCache>
                <c:formatCode>#,##0</c:formatCode>
                <c:ptCount val="3"/>
                <c:pt idx="0">
                  <c:v>7111</c:v>
                </c:pt>
                <c:pt idx="1">
                  <c:v>5785</c:v>
                </c:pt>
                <c:pt idx="2">
                  <c:v>10306</c:v>
                </c:pt>
              </c:numCache>
            </c:numRef>
          </c:val>
          <c:extLst>
            <c:ext xmlns:c16="http://schemas.microsoft.com/office/drawing/2014/chart" uri="{C3380CC4-5D6E-409C-BE32-E72D297353CC}">
              <c16:uniqueId val="{00000002-3937-46E2-979B-4995591218FC}"/>
            </c:ext>
          </c:extLst>
        </c:ser>
        <c:ser>
          <c:idx val="3"/>
          <c:order val="3"/>
          <c:tx>
            <c:strRef>
              <c:f>'Revenue BreakDown'!$A$34</c:f>
              <c:strCache>
                <c:ptCount val="1"/>
                <c:pt idx="0">
                  <c:v>Other countries</c:v>
                </c:pt>
              </c:strCache>
            </c:strRef>
          </c:tx>
          <c:spPr>
            <a:solidFill>
              <a:schemeClr val="accent4"/>
            </a:solidFill>
            <a:ln>
              <a:noFill/>
            </a:ln>
            <a:effectLst/>
          </c:spPr>
          <c:invertIfNegative val="0"/>
          <c:cat>
            <c:strRef>
              <c:f>'Revenue BreakDown'!$B$30:$D$30</c:f>
              <c:strCache>
                <c:ptCount val="3"/>
                <c:pt idx="0">
                  <c:v>Jan-22</c:v>
                </c:pt>
                <c:pt idx="1">
                  <c:v>Jan-23</c:v>
                </c:pt>
                <c:pt idx="2">
                  <c:v>Jan-24</c:v>
                </c:pt>
              </c:strCache>
            </c:strRef>
          </c:cat>
          <c:val>
            <c:numRef>
              <c:f>'Revenue BreakDown'!$B$34:$D$34</c:f>
              <c:numCache>
                <c:formatCode>#,##0</c:formatCode>
                <c:ptCount val="3"/>
                <c:pt idx="0">
                  <c:v>6910</c:v>
                </c:pt>
                <c:pt idx="1">
                  <c:v>5911</c:v>
                </c:pt>
                <c:pt idx="2">
                  <c:v>10245</c:v>
                </c:pt>
              </c:numCache>
            </c:numRef>
          </c:val>
          <c:extLst>
            <c:ext xmlns:c16="http://schemas.microsoft.com/office/drawing/2014/chart" uri="{C3380CC4-5D6E-409C-BE32-E72D297353CC}">
              <c16:uniqueId val="{00000003-3937-46E2-979B-4995591218FC}"/>
            </c:ext>
          </c:extLst>
        </c:ser>
        <c:dLbls>
          <c:showLegendKey val="0"/>
          <c:showVal val="0"/>
          <c:showCatName val="0"/>
          <c:showSerName val="0"/>
          <c:showPercent val="0"/>
          <c:showBubbleSize val="0"/>
        </c:dLbls>
        <c:gapWidth val="150"/>
        <c:overlap val="100"/>
        <c:axId val="364286944"/>
        <c:axId val="364290784"/>
        <c:extLst>
          <c:ext xmlns:c15="http://schemas.microsoft.com/office/drawing/2012/chart" uri="{02D57815-91ED-43cb-92C2-25804820EDAC}">
            <c15:filteredBarSeries>
              <c15:ser>
                <c:idx val="4"/>
                <c:order val="4"/>
                <c:tx>
                  <c:strRef>
                    <c:extLst>
                      <c:ext uri="{02D57815-91ED-43cb-92C2-25804820EDAC}">
                        <c15:formulaRef>
                          <c15:sqref>'Revenue BreakDown'!$A$10</c15:sqref>
                        </c15:formulaRef>
                      </c:ext>
                    </c:extLst>
                    <c:strCache>
                      <c:ptCount val="1"/>
                      <c:pt idx="0">
                        <c:v>OEM and Other</c:v>
                      </c:pt>
                    </c:strCache>
                  </c:strRef>
                </c:tx>
                <c:spPr>
                  <a:solidFill>
                    <a:schemeClr val="accent5"/>
                  </a:solidFill>
                  <a:ln>
                    <a:noFill/>
                  </a:ln>
                  <a:effectLst/>
                </c:spPr>
                <c:invertIfNegative val="0"/>
                <c:cat>
                  <c:strRef>
                    <c:extLst>
                      <c:ext uri="{02D57815-91ED-43cb-92C2-25804820EDAC}">
                        <c15:formulaRef>
                          <c15:sqref>'Revenue BreakDown'!$B$30:$D$30</c15:sqref>
                        </c15:formulaRef>
                      </c:ext>
                    </c:extLst>
                    <c:strCache>
                      <c:ptCount val="3"/>
                      <c:pt idx="0">
                        <c:v>Jan-22</c:v>
                      </c:pt>
                      <c:pt idx="1">
                        <c:v>Jan-23</c:v>
                      </c:pt>
                      <c:pt idx="2">
                        <c:v>Jan-24</c:v>
                      </c:pt>
                    </c:strCache>
                  </c:strRef>
                </c:cat>
                <c:val>
                  <c:numRef>
                    <c:extLst>
                      <c:ext uri="{02D57815-91ED-43cb-92C2-25804820EDAC}">
                        <c15:formulaRef>
                          <c15:sqref>'Revenue BreakDown'!$B$10:$D$10</c15:sqref>
                        </c15:formulaRef>
                      </c:ext>
                    </c:extLst>
                    <c:numCache>
                      <c:formatCode>_("$"* #,##0_);_("$"* \(#,##0\);_("$"* "-"??_);_(@_)</c:formatCode>
                      <c:ptCount val="3"/>
                      <c:pt idx="0">
                        <c:v>1162</c:v>
                      </c:pt>
                      <c:pt idx="1">
                        <c:v>455</c:v>
                      </c:pt>
                      <c:pt idx="2">
                        <c:v>306</c:v>
                      </c:pt>
                    </c:numCache>
                  </c:numRef>
                </c:val>
                <c:extLst>
                  <c:ext xmlns:c16="http://schemas.microsoft.com/office/drawing/2014/chart" uri="{C3380CC4-5D6E-409C-BE32-E72D297353CC}">
                    <c16:uniqueId val="{00000004-3937-46E2-979B-4995591218FC}"/>
                  </c:ext>
                </c:extLst>
              </c15:ser>
            </c15:filteredBarSeries>
          </c:ext>
        </c:extLst>
      </c:barChart>
      <c:catAx>
        <c:axId val="36428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290784"/>
        <c:crosses val="autoZero"/>
        <c:auto val="1"/>
        <c:lblAlgn val="ctr"/>
        <c:lblOffset val="100"/>
        <c:noMultiLvlLbl val="0"/>
      </c:catAx>
      <c:valAx>
        <c:axId val="3642907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286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BOD Specialities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dPt>
            <c:idx val="0"/>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02-6366-4B43-B3E5-D5EEA803CBBF}"/>
              </c:ext>
            </c:extLst>
          </c:dPt>
          <c:dPt>
            <c:idx val="1"/>
            <c:bubble3D val="0"/>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03-6366-4B43-B3E5-D5EEA803CBBF}"/>
              </c:ext>
            </c:extLst>
          </c:dPt>
          <c:dPt>
            <c:idx val="2"/>
            <c:bubble3D val="0"/>
            <c:spPr>
              <a:solidFill>
                <a:srgbClr val="F1F5C3"/>
              </a:solidFill>
              <a:ln w="19050">
                <a:solidFill>
                  <a:schemeClr val="lt1"/>
                </a:solidFill>
              </a:ln>
              <a:effectLst/>
            </c:spPr>
            <c:extLst>
              <c:ext xmlns:c16="http://schemas.microsoft.com/office/drawing/2014/chart" uri="{C3380CC4-5D6E-409C-BE32-E72D297353CC}">
                <c16:uniqueId val="{00000005-7468-B647-8551-11EACCB98D88}"/>
              </c:ext>
            </c:extLst>
          </c:dPt>
          <c:dPt>
            <c:idx val="3"/>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6-6366-4B43-B3E5-D5EEA803CBBF}"/>
              </c:ext>
            </c:extLst>
          </c:dPt>
          <c:dPt>
            <c:idx val="4"/>
            <c:bubble3D val="0"/>
            <c:spPr>
              <a:solidFill>
                <a:srgbClr val="85C6D9">
                  <a:alpha val="43529"/>
                </a:srgbClr>
              </a:solidFill>
              <a:ln w="19050">
                <a:solidFill>
                  <a:schemeClr val="lt1"/>
                </a:solidFill>
              </a:ln>
              <a:effectLst/>
            </c:spPr>
            <c:extLst>
              <c:ext xmlns:c16="http://schemas.microsoft.com/office/drawing/2014/chart" uri="{C3380CC4-5D6E-409C-BE32-E72D297353CC}">
                <c16:uniqueId val="{00000009-7468-B647-8551-11EACCB98D88}"/>
              </c:ext>
            </c:extLst>
          </c:dPt>
          <c:dPt>
            <c:idx val="5"/>
            <c:bubble3D val="0"/>
            <c:spPr>
              <a:solidFill>
                <a:schemeClr val="accent2">
                  <a:lumMod val="20000"/>
                  <a:lumOff val="80000"/>
                  <a:alpha val="38039"/>
                </a:schemeClr>
              </a:solidFill>
              <a:ln w="19050">
                <a:solidFill>
                  <a:schemeClr val="lt1"/>
                </a:solidFill>
              </a:ln>
              <a:effectLst/>
            </c:spPr>
            <c:extLst>
              <c:ext xmlns:c16="http://schemas.microsoft.com/office/drawing/2014/chart" uri="{C3380CC4-5D6E-409C-BE32-E72D297353CC}">
                <c16:uniqueId val="{0000000B-7468-B647-8551-11EACCB98D88}"/>
              </c:ext>
            </c:extLst>
          </c:dPt>
          <c:dPt>
            <c:idx val="6"/>
            <c:bubble3D val="0"/>
            <c:spPr>
              <a:solidFill>
                <a:srgbClr val="80CBC5">
                  <a:alpha val="20392"/>
                </a:srgbClr>
              </a:solidFill>
              <a:ln w="19050">
                <a:solidFill>
                  <a:schemeClr val="lt1"/>
                </a:solidFill>
              </a:ln>
              <a:effectLst/>
            </c:spPr>
            <c:extLst>
              <c:ext xmlns:c16="http://schemas.microsoft.com/office/drawing/2014/chart" uri="{C3380CC4-5D6E-409C-BE32-E72D297353CC}">
                <c16:uniqueId val="{0000000D-7468-B647-8551-11EACCB98D88}"/>
              </c:ext>
            </c:extLst>
          </c:dPt>
          <c:dPt>
            <c:idx val="7"/>
            <c:bubble3D val="0"/>
            <c:spPr>
              <a:solidFill>
                <a:srgbClr val="F7D7F5"/>
              </a:solidFill>
              <a:ln w="19050">
                <a:solidFill>
                  <a:schemeClr val="lt1"/>
                </a:solidFill>
              </a:ln>
              <a:effectLst/>
            </c:spPr>
            <c:extLst>
              <c:ext xmlns:c16="http://schemas.microsoft.com/office/drawing/2014/chart" uri="{C3380CC4-5D6E-409C-BE32-E72D297353CC}">
                <c16:uniqueId val="{0000000F-7468-B647-8551-11EACCB98D88}"/>
              </c:ext>
            </c:extLst>
          </c:dPt>
          <c:dPt>
            <c:idx val="8"/>
            <c:bubble3D val="0"/>
            <c:spPr>
              <a:solidFill>
                <a:srgbClr val="D1D2F3"/>
              </a:solidFill>
              <a:ln w="19050">
                <a:solidFill>
                  <a:schemeClr val="lt1"/>
                </a:solidFill>
              </a:ln>
              <a:effectLst/>
            </c:spPr>
            <c:extLst>
              <c:ext xmlns:c16="http://schemas.microsoft.com/office/drawing/2014/chart" uri="{C3380CC4-5D6E-409C-BE32-E72D297353CC}">
                <c16:uniqueId val="{00000004-6366-4B43-B3E5-D5EEA803CBBF}"/>
              </c:ext>
            </c:extLst>
          </c:dPt>
          <c:dPt>
            <c:idx val="9"/>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13-7468-B647-8551-11EACCB98D88}"/>
              </c:ext>
            </c:extLst>
          </c:dPt>
          <c:dPt>
            <c:idx val="10"/>
            <c:bubble3D val="0"/>
            <c:spPr>
              <a:solidFill>
                <a:srgbClr val="B3D8EE"/>
              </a:solidFill>
              <a:ln w="19050">
                <a:solidFill>
                  <a:schemeClr val="lt1"/>
                </a:solidFill>
              </a:ln>
              <a:effectLst/>
            </c:spPr>
            <c:extLst>
              <c:ext xmlns:c16="http://schemas.microsoft.com/office/drawing/2014/chart" uri="{C3380CC4-5D6E-409C-BE32-E72D297353CC}">
                <c16:uniqueId val="{00000005-6366-4B43-B3E5-D5EEA803CBBF}"/>
              </c:ext>
            </c:extLst>
          </c:dPt>
          <c:dPt>
            <c:idx val="11"/>
            <c:bubble3D val="0"/>
            <c:spPr>
              <a:solidFill>
                <a:srgbClr val="D5F4D8"/>
              </a:solidFill>
              <a:ln w="19050">
                <a:solidFill>
                  <a:schemeClr val="lt1"/>
                </a:solidFill>
              </a:ln>
              <a:effectLst/>
            </c:spPr>
            <c:extLst>
              <c:ext xmlns:c16="http://schemas.microsoft.com/office/drawing/2014/chart" uri="{C3380CC4-5D6E-409C-BE32-E72D297353CC}">
                <c16:uniqueId val="{00000017-7468-B647-8551-11EACCB98D88}"/>
              </c:ext>
            </c:extLst>
          </c:dPt>
          <c:dPt>
            <c:idx val="1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6366-4B43-B3E5-D5EEA803CBBF}"/>
              </c:ext>
            </c:extLst>
          </c:dPt>
          <c:dLbls>
            <c:dLbl>
              <c:idx val="0"/>
              <c:layout>
                <c:manualLayout>
                  <c:x val="-8.0125297751037008E-2"/>
                  <c:y val="0.1646534585567361"/>
                </c:manualLayout>
              </c:layout>
              <c:spPr>
                <a:noFill/>
                <a:ln>
                  <a:noFill/>
                </a:ln>
                <a:effectLst/>
              </c:spPr>
              <c:txPr>
                <a:bodyPr rot="-4440000" spcFirstLastPara="1" vertOverflow="ellipsis" wrap="square" lIns="38100" tIns="19050" rIns="38100" bIns="19050" anchor="ctr" anchorCtr="1">
                  <a:noAutofit/>
                </a:bodyPr>
                <a:lstStyle/>
                <a:p>
                  <a:pPr>
                    <a:defRPr sz="14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14548018574185789"/>
                      <c:h val="4.6635296679246784E-2"/>
                    </c:manualLayout>
                  </c15:layout>
                </c:ext>
                <c:ext xmlns:c16="http://schemas.microsoft.com/office/drawing/2014/chart" uri="{C3380CC4-5D6E-409C-BE32-E72D297353CC}">
                  <c16:uniqueId val="{00000002-6366-4B43-B3E5-D5EEA803CBBF}"/>
                </c:ext>
              </c:extLst>
            </c:dLbl>
            <c:dLbl>
              <c:idx val="1"/>
              <c:layout>
                <c:manualLayout>
                  <c:x val="-0.15294460386721273"/>
                  <c:y val="0.14790661823630896"/>
                </c:manualLayout>
              </c:layout>
              <c:spPr>
                <a:noFill/>
                <a:ln>
                  <a:noFill/>
                </a:ln>
                <a:effectLst/>
              </c:spPr>
              <c:txPr>
                <a:bodyPr rot="-2460000" spcFirstLastPara="1" vertOverflow="ellipsis" wrap="square" lIns="38100" tIns="19050" rIns="38100" bIns="19050" anchor="ctr" anchorCtr="1">
                  <a:noAutofit/>
                </a:bodyPr>
                <a:lstStyle/>
                <a:p>
                  <a:pPr>
                    <a:defRPr sz="14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1626437156556948"/>
                      <c:h val="5.9414951324333019E-2"/>
                    </c:manualLayout>
                  </c15:layout>
                </c:ext>
                <c:ext xmlns:c16="http://schemas.microsoft.com/office/drawing/2014/chart" uri="{C3380CC4-5D6E-409C-BE32-E72D297353CC}">
                  <c16:uniqueId val="{00000003-6366-4B43-B3E5-D5EEA803CBBF}"/>
                </c:ext>
              </c:extLst>
            </c:dLbl>
            <c:dLbl>
              <c:idx val="2"/>
              <c:spPr>
                <a:noFill/>
                <a:ln>
                  <a:noFill/>
                </a:ln>
                <a:effectLst/>
              </c:spPr>
              <c:txPr>
                <a:bodyPr rot="-1020000" spcFirstLastPara="1" vertOverflow="ellipsis" wrap="square" lIns="38100" tIns="19050" rIns="38100" bIns="19050" anchor="ctr" anchorCtr="1">
                  <a:spAutoFit/>
                </a:bodyPr>
                <a:lstStyle/>
                <a:p>
                  <a:pPr>
                    <a:defRPr sz="14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5-7468-B647-8551-11EACCB98D88}"/>
                </c:ext>
              </c:extLst>
            </c:dLbl>
            <c:dLbl>
              <c:idx val="3"/>
              <c:layout>
                <c:manualLayout>
                  <c:x val="-0.10309702885419471"/>
                  <c:y val="-1.4706223351394127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366-4B43-B3E5-D5EEA803CBBF}"/>
                </c:ext>
              </c:extLst>
            </c:dLbl>
            <c:dLbl>
              <c:idx val="4"/>
              <c:layout>
                <c:manualLayout>
                  <c:x val="-0.16265372732974692"/>
                  <c:y val="-0.10986860357399471"/>
                </c:manualLayout>
              </c:layout>
              <c:spPr>
                <a:noFill/>
                <a:ln>
                  <a:noFill/>
                </a:ln>
                <a:effectLst/>
              </c:spPr>
              <c:txPr>
                <a:bodyPr rot="1800000" spcFirstLastPara="1" vertOverflow="ellipsis" wrap="square" lIns="38100" tIns="19050" rIns="38100" bIns="19050" anchor="ctr" anchorCtr="1">
                  <a:noAutofit/>
                </a:bodyPr>
                <a:lstStyle/>
                <a:p>
                  <a:pPr>
                    <a:defRPr sz="14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15773788535180969"/>
                      <c:h val="6.7262162503069101E-2"/>
                    </c:manualLayout>
                  </c15:layout>
                </c:ext>
                <c:ext xmlns:c16="http://schemas.microsoft.com/office/drawing/2014/chart" uri="{C3380CC4-5D6E-409C-BE32-E72D297353CC}">
                  <c16:uniqueId val="{00000009-7468-B647-8551-11EACCB98D88}"/>
                </c:ext>
              </c:extLst>
            </c:dLbl>
            <c:dLbl>
              <c:idx val="5"/>
              <c:spPr>
                <a:noFill/>
                <a:ln>
                  <a:noFill/>
                </a:ln>
                <a:effectLst/>
              </c:spPr>
              <c:txPr>
                <a:bodyPr rot="3540000" spcFirstLastPara="1" vertOverflow="ellipsis" wrap="square" lIns="38100" tIns="19050" rIns="38100" bIns="19050" anchor="ctr" anchorCtr="1">
                  <a:spAutoFit/>
                </a:bodyPr>
                <a:lstStyle/>
                <a:p>
                  <a:pPr>
                    <a:defRPr sz="14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B-7468-B647-8551-11EACCB98D88}"/>
                </c:ext>
              </c:extLst>
            </c:dLbl>
            <c:dLbl>
              <c:idx val="6"/>
              <c:spPr>
                <a:noFill/>
                <a:ln>
                  <a:noFill/>
                </a:ln>
                <a:effectLst/>
              </c:spPr>
              <c:txPr>
                <a:bodyPr rot="5400000" spcFirstLastPara="1" vertOverflow="ellipsis" wrap="square" lIns="38100" tIns="19050" rIns="38100" bIns="19050" anchor="ctr" anchorCtr="1">
                  <a:spAutoFit/>
                </a:bodyPr>
                <a:lstStyle/>
                <a:p>
                  <a:pPr>
                    <a:defRPr sz="14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D-7468-B647-8551-11EACCB98D88}"/>
                </c:ext>
              </c:extLst>
            </c:dLbl>
            <c:dLbl>
              <c:idx val="7"/>
              <c:layout>
                <c:manualLayout>
                  <c:x val="9.0199352233686997E-2"/>
                  <c:y val="-8.493084498168732E-2"/>
                </c:manualLayout>
              </c:layout>
              <c:spPr>
                <a:noFill/>
                <a:ln>
                  <a:noFill/>
                </a:ln>
                <a:effectLst/>
              </c:spPr>
              <c:txPr>
                <a:bodyPr rot="-3600000" spcFirstLastPara="1" vertOverflow="overflow" horzOverflow="overflow" wrap="square" lIns="38100" tIns="19050" rIns="38100" bIns="19050" anchor="ctr" anchorCtr="1">
                  <a:spAutoFit/>
                </a:bodyPr>
                <a:lstStyle/>
                <a:p>
                  <a:pPr>
                    <a:defRPr sz="14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468-B647-8551-11EACCB98D88}"/>
                </c:ext>
              </c:extLst>
            </c:dLbl>
            <c:dLbl>
              <c:idx val="8"/>
              <c:spPr>
                <a:noFill/>
                <a:ln>
                  <a:noFill/>
                </a:ln>
                <a:effectLst/>
              </c:spPr>
              <c:txPr>
                <a:bodyPr rot="-1500000" spcFirstLastPara="1" vertOverflow="ellipsis" wrap="square" lIns="38100" tIns="19050" rIns="38100" bIns="19050" anchor="ctr" anchorCtr="1">
                  <a:spAutoFit/>
                </a:bodyPr>
                <a:lstStyle/>
                <a:p>
                  <a:pPr>
                    <a:defRPr sz="14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4-6366-4B43-B3E5-D5EEA803CBBF}"/>
                </c:ext>
              </c:extLst>
            </c:dLbl>
            <c:dLbl>
              <c:idx val="9"/>
              <c:layout>
                <c:manualLayout>
                  <c:x val="0.12594740966637027"/>
                  <c:y val="-2.9209511509994065E-2"/>
                </c:manualLayout>
              </c:layout>
              <c:spPr>
                <a:noFill/>
                <a:ln>
                  <a:noFill/>
                </a:ln>
                <a:effectLst/>
              </c:spPr>
              <c:txPr>
                <a:bodyPr rot="-120000" spcFirstLastPara="1" vertOverflow="ellipsis" wrap="square" lIns="38100" tIns="19050" rIns="38100" bIns="19050" anchor="ctr" anchorCtr="1">
                  <a:spAutoFit/>
                </a:bodyPr>
                <a:lstStyle/>
                <a:p>
                  <a:pPr>
                    <a:defRPr sz="14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468-B647-8551-11EACCB98D88}"/>
                </c:ext>
              </c:extLst>
            </c:dLbl>
            <c:dLbl>
              <c:idx val="10"/>
              <c:layout>
                <c:manualLayout>
                  <c:x val="0.11950423730351953"/>
                  <c:y val="6.3543383317773247E-2"/>
                </c:manualLayout>
              </c:layout>
              <c:spPr>
                <a:noFill/>
                <a:ln>
                  <a:noFill/>
                </a:ln>
                <a:effectLst/>
              </c:spPr>
              <c:txPr>
                <a:bodyPr rot="1500000" spcFirstLastPara="1" vertOverflow="ellipsis" wrap="square" lIns="38100" tIns="19050" rIns="38100" bIns="19050" anchor="ctr" anchorCtr="1">
                  <a:noAutofit/>
                </a:bodyPr>
                <a:lstStyle/>
                <a:p>
                  <a:pPr>
                    <a:defRPr sz="14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2243381815873432"/>
                      <c:h val="5.7386586115318827E-2"/>
                    </c:manualLayout>
                  </c15:layout>
                </c:ext>
                <c:ext xmlns:c16="http://schemas.microsoft.com/office/drawing/2014/chart" uri="{C3380CC4-5D6E-409C-BE32-E72D297353CC}">
                  <c16:uniqueId val="{00000005-6366-4B43-B3E5-D5EEA803CBBF}"/>
                </c:ext>
              </c:extLst>
            </c:dLbl>
            <c:dLbl>
              <c:idx val="11"/>
              <c:spPr>
                <a:noFill/>
                <a:ln>
                  <a:noFill/>
                </a:ln>
                <a:effectLst/>
              </c:spPr>
              <c:txPr>
                <a:bodyPr rot="3000000" spcFirstLastPara="1" vertOverflow="ellipsis" wrap="square" lIns="38100" tIns="19050" rIns="38100" bIns="19050" anchor="ctr" anchorCtr="1">
                  <a:spAutoFit/>
                </a:bodyPr>
                <a:lstStyle/>
                <a:p>
                  <a:pPr>
                    <a:defRPr sz="14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17-7468-B647-8551-11EACCB98D88}"/>
                </c:ext>
              </c:extLst>
            </c:dLbl>
            <c:dLbl>
              <c:idx val="12"/>
              <c:spPr>
                <a:noFill/>
                <a:ln>
                  <a:noFill/>
                </a:ln>
                <a:effectLst/>
              </c:spPr>
              <c:txPr>
                <a:bodyPr rot="4500000" spcFirstLastPara="1" vertOverflow="ellipsis" wrap="square" lIns="38100" tIns="19050" rIns="38100" bIns="19050" anchor="ctr" anchorCtr="1">
                  <a:spAutoFit/>
                </a:bodyPr>
                <a:lstStyle/>
                <a:p>
                  <a:pPr>
                    <a:defRPr sz="14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1-6366-4B43-B3E5-D5EEA803CBBF}"/>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showLeaderLines val="0"/>
            <c:extLst>
              <c:ext xmlns:c15="http://schemas.microsoft.com/office/drawing/2012/chart" uri="{CE6537A1-D6FC-4f65-9D91-7224C49458BB}"/>
            </c:extLst>
          </c:dLbls>
          <c:cat>
            <c:strRef>
              <c:f>BOD!$B$28:$B$40</c:f>
              <c:strCache>
                <c:ptCount val="13"/>
                <c:pt idx="0">
                  <c:v>Multimedia</c:v>
                </c:pt>
                <c:pt idx="1">
                  <c:v>Software Systems</c:v>
                </c:pt>
                <c:pt idx="2">
                  <c:v>Aeronautical</c:v>
                </c:pt>
                <c:pt idx="3">
                  <c:v>Physics</c:v>
                </c:pt>
                <c:pt idx="4">
                  <c:v>Graphics and AI</c:v>
                </c:pt>
                <c:pt idx="5">
                  <c:v>Marketing</c:v>
                </c:pt>
                <c:pt idx="6">
                  <c:v>Semiconductors</c:v>
                </c:pt>
                <c:pt idx="7">
                  <c:v>Consumer Goods</c:v>
                </c:pt>
                <c:pt idx="8">
                  <c:v>Law</c:v>
                </c:pt>
                <c:pt idx="9">
                  <c:v>Space Exploration</c:v>
                </c:pt>
                <c:pt idx="10">
                  <c:v>Internet Investments</c:v>
                </c:pt>
                <c:pt idx="11">
                  <c:v>Data Analytics</c:v>
                </c:pt>
                <c:pt idx="12">
                  <c:v>Syetem-related Investments</c:v>
                </c:pt>
              </c:strCache>
            </c:strRef>
          </c:cat>
          <c:val>
            <c:numRef>
              <c:f>BOD!$C$28:$C$40</c:f>
              <c:numCache>
                <c:formatCode>General</c:formatCode>
                <c:ptCount val="13"/>
                <c:pt idx="0">
                  <c:v>1</c:v>
                </c:pt>
                <c:pt idx="1">
                  <c:v>1</c:v>
                </c:pt>
                <c:pt idx="2">
                  <c:v>1</c:v>
                </c:pt>
                <c:pt idx="3">
                  <c:v>1</c:v>
                </c:pt>
                <c:pt idx="4">
                  <c:v>1</c:v>
                </c:pt>
                <c:pt idx="5">
                  <c:v>1</c:v>
                </c:pt>
                <c:pt idx="6">
                  <c:v>1</c:v>
                </c:pt>
                <c:pt idx="7">
                  <c:v>1</c:v>
                </c:pt>
                <c:pt idx="8">
                  <c:v>1</c:v>
                </c:pt>
                <c:pt idx="9">
                  <c:v>1</c:v>
                </c:pt>
                <c:pt idx="10">
                  <c:v>1</c:v>
                </c:pt>
                <c:pt idx="11">
                  <c:v>1</c:v>
                </c:pt>
                <c:pt idx="12">
                  <c:v>1</c:v>
                </c:pt>
              </c:numCache>
            </c:numRef>
          </c:val>
          <c:extLst>
            <c:ext xmlns:c16="http://schemas.microsoft.com/office/drawing/2014/chart" uri="{C3380CC4-5D6E-409C-BE32-E72D297353CC}">
              <c16:uniqueId val="{00000000-6366-4B43-B3E5-D5EEA803CBBF}"/>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BOD Specialities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0"/>
          <c:order val="0"/>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CAF1-EE48-9DE7-686248299A97}"/>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CAF1-EE48-9DE7-686248299A97}"/>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CAF1-EE48-9DE7-686248299A97}"/>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CAF1-EE48-9DE7-686248299A97}"/>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CAF1-EE48-9DE7-686248299A97}"/>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B-CAF1-EE48-9DE7-686248299A97}"/>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D-CAF1-EE48-9DE7-686248299A97}"/>
              </c:ext>
            </c:extLst>
          </c:dPt>
          <c:dPt>
            <c:idx val="7"/>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extLst>
              <c:ext xmlns:c16="http://schemas.microsoft.com/office/drawing/2014/chart" uri="{C3380CC4-5D6E-409C-BE32-E72D297353CC}">
                <c16:uniqueId val="{0000000F-CAF1-EE48-9DE7-686248299A97}"/>
              </c:ext>
            </c:extLst>
          </c:dPt>
          <c:dPt>
            <c:idx val="8"/>
            <c:bubble3D val="0"/>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extLst>
              <c:ext xmlns:c16="http://schemas.microsoft.com/office/drawing/2014/chart" uri="{C3380CC4-5D6E-409C-BE32-E72D297353CC}">
                <c16:uniqueId val="{00000011-CAF1-EE48-9DE7-686248299A97}"/>
              </c:ext>
            </c:extLst>
          </c:dPt>
          <c:dPt>
            <c:idx val="9"/>
            <c:bubble3D val="0"/>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extLst>
              <c:ext xmlns:c16="http://schemas.microsoft.com/office/drawing/2014/chart" uri="{C3380CC4-5D6E-409C-BE32-E72D297353CC}">
                <c16:uniqueId val="{00000013-CAF1-EE48-9DE7-686248299A97}"/>
              </c:ext>
            </c:extLst>
          </c:dPt>
          <c:dPt>
            <c:idx val="10"/>
            <c:bubble3D val="0"/>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extLst>
              <c:ext xmlns:c16="http://schemas.microsoft.com/office/drawing/2014/chart" uri="{C3380CC4-5D6E-409C-BE32-E72D297353CC}">
                <c16:uniqueId val="{00000015-CAF1-EE48-9DE7-686248299A97}"/>
              </c:ext>
            </c:extLst>
          </c:dPt>
          <c:dPt>
            <c:idx val="11"/>
            <c:bubble3D val="0"/>
            <c:spPr>
              <a:pattFill prst="ltUpDiag">
                <a:fgClr>
                  <a:schemeClr val="accent6">
                    <a:lumMod val="60000"/>
                  </a:schemeClr>
                </a:fgClr>
                <a:bgClr>
                  <a:schemeClr val="accent6">
                    <a:lumMod val="60000"/>
                    <a:lumMod val="20000"/>
                    <a:lumOff val="80000"/>
                  </a:schemeClr>
                </a:bgClr>
              </a:pattFill>
              <a:ln w="19050">
                <a:solidFill>
                  <a:schemeClr val="lt1"/>
                </a:solidFill>
              </a:ln>
              <a:effectLst>
                <a:innerShdw blurRad="114300">
                  <a:schemeClr val="accent6">
                    <a:lumMod val="60000"/>
                  </a:schemeClr>
                </a:innerShdw>
              </a:effectLst>
            </c:spPr>
            <c:extLst>
              <c:ext xmlns:c16="http://schemas.microsoft.com/office/drawing/2014/chart" uri="{C3380CC4-5D6E-409C-BE32-E72D297353CC}">
                <c16:uniqueId val="{00000017-CAF1-EE48-9DE7-686248299A97}"/>
              </c:ext>
            </c:extLst>
          </c:dPt>
          <c:dPt>
            <c:idx val="12"/>
            <c:bubble3D val="0"/>
            <c:spPr>
              <a:pattFill prst="ltUpDiag">
                <a:fgClr>
                  <a:schemeClr val="accent1">
                    <a:lumMod val="80000"/>
                    <a:lumOff val="20000"/>
                  </a:schemeClr>
                </a:fgClr>
                <a:bgClr>
                  <a:schemeClr val="accent1">
                    <a:lumMod val="80000"/>
                    <a:lumOff val="20000"/>
                    <a:lumMod val="20000"/>
                    <a:lumOff val="80000"/>
                  </a:schemeClr>
                </a:bgClr>
              </a:pattFill>
              <a:ln w="19050">
                <a:solidFill>
                  <a:schemeClr val="lt1"/>
                </a:solidFill>
              </a:ln>
              <a:effectLst>
                <a:innerShdw blurRad="114300">
                  <a:schemeClr val="accent1">
                    <a:lumMod val="80000"/>
                    <a:lumOff val="20000"/>
                  </a:schemeClr>
                </a:innerShdw>
              </a:effectLst>
            </c:spPr>
            <c:extLst>
              <c:ext xmlns:c16="http://schemas.microsoft.com/office/drawing/2014/chart" uri="{C3380CC4-5D6E-409C-BE32-E72D297353CC}">
                <c16:uniqueId val="{00000019-CAF1-EE48-9DE7-686248299A97}"/>
              </c:ext>
            </c:extLst>
          </c:dPt>
          <c:dLbls>
            <c:dLbl>
              <c:idx val="0"/>
              <c:spPr>
                <a:noFill/>
                <a:ln>
                  <a:noFill/>
                </a:ln>
                <a:effectLst/>
              </c:spPr>
              <c:txPr>
                <a:bodyPr rot="-444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1-CAF1-EE48-9DE7-686248299A97}"/>
                </c:ext>
              </c:extLst>
            </c:dLbl>
            <c:dLbl>
              <c:idx val="1"/>
              <c:spPr>
                <a:noFill/>
                <a:ln>
                  <a:noFill/>
                </a:ln>
                <a:effectLst/>
              </c:spPr>
              <c:txPr>
                <a:bodyPr rot="-246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3-CAF1-EE48-9DE7-686248299A97}"/>
                </c:ext>
              </c:extLst>
            </c:dLbl>
            <c:dLbl>
              <c:idx val="2"/>
              <c:spPr>
                <a:noFill/>
                <a:ln>
                  <a:noFill/>
                </a:ln>
                <a:effectLst/>
              </c:spPr>
              <c:txPr>
                <a:bodyPr rot="-102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5-CAF1-EE48-9DE7-686248299A97}"/>
                </c:ext>
              </c:extLst>
            </c:dLbl>
            <c:dLbl>
              <c:idx val="4"/>
              <c:spPr>
                <a:noFill/>
                <a:ln>
                  <a:noFill/>
                </a:ln>
                <a:effectLst/>
              </c:spPr>
              <c:txPr>
                <a:bodyPr rot="18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9-CAF1-EE48-9DE7-686248299A97}"/>
                </c:ext>
              </c:extLst>
            </c:dLbl>
            <c:dLbl>
              <c:idx val="5"/>
              <c:spPr>
                <a:noFill/>
                <a:ln>
                  <a:noFill/>
                </a:ln>
                <a:effectLst/>
              </c:spPr>
              <c:txPr>
                <a:bodyPr rot="354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B-CAF1-EE48-9DE7-686248299A97}"/>
                </c:ext>
              </c:extLst>
            </c:dLbl>
            <c:dLbl>
              <c:idx val="6"/>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D-CAF1-EE48-9DE7-686248299A97}"/>
                </c:ext>
              </c:extLst>
            </c:dLbl>
            <c:dLbl>
              <c:idx val="7"/>
              <c:spPr>
                <a:noFill/>
                <a:ln>
                  <a:noFill/>
                </a:ln>
                <a:effectLst/>
              </c:spPr>
              <c:txPr>
                <a:bodyPr rot="-36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F-CAF1-EE48-9DE7-686248299A97}"/>
                </c:ext>
              </c:extLst>
            </c:dLbl>
            <c:dLbl>
              <c:idx val="8"/>
              <c:spPr>
                <a:noFill/>
                <a:ln>
                  <a:noFill/>
                </a:ln>
                <a:effectLst/>
              </c:spPr>
              <c:txPr>
                <a:bodyPr rot="-15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11-CAF1-EE48-9DE7-686248299A97}"/>
                </c:ext>
              </c:extLst>
            </c:dLbl>
            <c:dLbl>
              <c:idx val="9"/>
              <c:spPr>
                <a:noFill/>
                <a:ln>
                  <a:noFill/>
                </a:ln>
                <a:effectLst/>
              </c:spPr>
              <c:txPr>
                <a:bodyPr rot="-12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13-CAF1-EE48-9DE7-686248299A97}"/>
                </c:ext>
              </c:extLst>
            </c:dLbl>
            <c:dLbl>
              <c:idx val="10"/>
              <c:spPr>
                <a:noFill/>
                <a:ln>
                  <a:noFill/>
                </a:ln>
                <a:effectLst/>
              </c:spPr>
              <c:txPr>
                <a:bodyPr rot="15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15-CAF1-EE48-9DE7-686248299A97}"/>
                </c:ext>
              </c:extLst>
            </c:dLbl>
            <c:dLbl>
              <c:idx val="11"/>
              <c:spPr>
                <a:noFill/>
                <a:ln>
                  <a:noFill/>
                </a:ln>
                <a:effectLst/>
              </c:spPr>
              <c:txPr>
                <a:bodyPr rot="30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17-CAF1-EE48-9DE7-686248299A97}"/>
                </c:ext>
              </c:extLst>
            </c:dLbl>
            <c:dLbl>
              <c:idx val="12"/>
              <c:spPr>
                <a:noFill/>
                <a:ln>
                  <a:noFill/>
                </a:ln>
                <a:effectLst/>
              </c:spPr>
              <c:txPr>
                <a:bodyPr rot="45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19-CAF1-EE48-9DE7-686248299A9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showLeaderLines val="0"/>
            <c:extLst>
              <c:ext xmlns:c15="http://schemas.microsoft.com/office/drawing/2012/chart" uri="{CE6537A1-D6FC-4f65-9D91-7224C49458BB}"/>
            </c:extLst>
          </c:dLbls>
          <c:cat>
            <c:strRef>
              <c:f>BOD!$B$28:$B$40</c:f>
              <c:strCache>
                <c:ptCount val="13"/>
                <c:pt idx="0">
                  <c:v>Multimedia</c:v>
                </c:pt>
                <c:pt idx="1">
                  <c:v>Software Systems</c:v>
                </c:pt>
                <c:pt idx="2">
                  <c:v>Aeronautical</c:v>
                </c:pt>
                <c:pt idx="3">
                  <c:v>Physics</c:v>
                </c:pt>
                <c:pt idx="4">
                  <c:v>Graphics and AI</c:v>
                </c:pt>
                <c:pt idx="5">
                  <c:v>Marketing</c:v>
                </c:pt>
                <c:pt idx="6">
                  <c:v>Semiconductors</c:v>
                </c:pt>
                <c:pt idx="7">
                  <c:v>Consumer Goods</c:v>
                </c:pt>
                <c:pt idx="8">
                  <c:v>Law</c:v>
                </c:pt>
                <c:pt idx="9">
                  <c:v>Space Exploration</c:v>
                </c:pt>
                <c:pt idx="10">
                  <c:v>Internet Investments</c:v>
                </c:pt>
                <c:pt idx="11">
                  <c:v>Data Analytics</c:v>
                </c:pt>
                <c:pt idx="12">
                  <c:v>Syetem-related Investments</c:v>
                </c:pt>
              </c:strCache>
            </c:strRef>
          </c:cat>
          <c:val>
            <c:numRef>
              <c:f>BOD!$C$28:$C$40</c:f>
              <c:numCache>
                <c:formatCode>General</c:formatCode>
                <c:ptCount val="13"/>
                <c:pt idx="0">
                  <c:v>1</c:v>
                </c:pt>
                <c:pt idx="1">
                  <c:v>1</c:v>
                </c:pt>
                <c:pt idx="2">
                  <c:v>1</c:v>
                </c:pt>
                <c:pt idx="3">
                  <c:v>1</c:v>
                </c:pt>
                <c:pt idx="4">
                  <c:v>1</c:v>
                </c:pt>
                <c:pt idx="5">
                  <c:v>1</c:v>
                </c:pt>
                <c:pt idx="6">
                  <c:v>1</c:v>
                </c:pt>
                <c:pt idx="7">
                  <c:v>1</c:v>
                </c:pt>
                <c:pt idx="8">
                  <c:v>1</c:v>
                </c:pt>
                <c:pt idx="9">
                  <c:v>1</c:v>
                </c:pt>
                <c:pt idx="10">
                  <c:v>1</c:v>
                </c:pt>
                <c:pt idx="11">
                  <c:v>1</c:v>
                </c:pt>
                <c:pt idx="12">
                  <c:v>1</c:v>
                </c:pt>
              </c:numCache>
            </c:numRef>
          </c:val>
          <c:extLst>
            <c:ext xmlns:c16="http://schemas.microsoft.com/office/drawing/2014/chart" uri="{C3380CC4-5D6E-409C-BE32-E72D297353CC}">
              <c16:uniqueId val="{0000001A-CAF1-EE48-9DE7-686248299A97}"/>
            </c:ext>
          </c:extLst>
        </c:ser>
        <c:dLbls>
          <c:dLblPos val="inEnd"/>
          <c:showLegendKey val="0"/>
          <c:showVal val="0"/>
          <c:showCatName val="1"/>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Fig (#): Porter's V Forces</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'SWOT &amp; Porter'!$B$1</c:f>
              <c:strCache>
                <c:ptCount val="1"/>
                <c:pt idx="0">
                  <c:v>Rating</c:v>
                </c:pt>
              </c:strCache>
            </c:strRef>
          </c:tx>
          <c:spPr>
            <a:ln w="28575" cap="rnd">
              <a:solidFill>
                <a:schemeClr val="accent1"/>
              </a:solidFill>
              <a:round/>
            </a:ln>
            <a:effectLst/>
          </c:spPr>
          <c:marker>
            <c:symbol val="none"/>
          </c:marker>
          <c:cat>
            <c:strRef>
              <c:f>'SWOT &amp; Porter'!$A$2:$A$6</c:f>
              <c:strCache>
                <c:ptCount val="5"/>
                <c:pt idx="0">
                  <c:v>Threat of Competitive Rivalry</c:v>
                </c:pt>
                <c:pt idx="1">
                  <c:v>Threat of New Entrants</c:v>
                </c:pt>
                <c:pt idx="2">
                  <c:v>Bargaining Power of Buyers</c:v>
                </c:pt>
                <c:pt idx="3">
                  <c:v>Bargaining Power of Suppliers</c:v>
                </c:pt>
                <c:pt idx="4">
                  <c:v>Threat of Substitutes</c:v>
                </c:pt>
              </c:strCache>
            </c:strRef>
          </c:cat>
          <c:val>
            <c:numRef>
              <c:f>'SWOT &amp; Porter'!$B$2:$B$6</c:f>
              <c:numCache>
                <c:formatCode>General</c:formatCode>
                <c:ptCount val="5"/>
                <c:pt idx="0">
                  <c:v>5</c:v>
                </c:pt>
                <c:pt idx="1">
                  <c:v>1</c:v>
                </c:pt>
                <c:pt idx="2">
                  <c:v>1</c:v>
                </c:pt>
                <c:pt idx="3">
                  <c:v>3</c:v>
                </c:pt>
                <c:pt idx="4">
                  <c:v>4</c:v>
                </c:pt>
              </c:numCache>
            </c:numRef>
          </c:val>
          <c:extLst>
            <c:ext xmlns:c16="http://schemas.microsoft.com/office/drawing/2014/chart" uri="{C3380CC4-5D6E-409C-BE32-E72D297353CC}">
              <c16:uniqueId val="{00000000-B5A9-904A-888C-D3B16220ACD0}"/>
            </c:ext>
          </c:extLst>
        </c:ser>
        <c:dLbls>
          <c:showLegendKey val="0"/>
          <c:showVal val="0"/>
          <c:showCatName val="0"/>
          <c:showSerName val="0"/>
          <c:showPercent val="0"/>
          <c:showBubbleSize val="0"/>
        </c:dLbls>
        <c:axId val="1611440576"/>
        <c:axId val="960418175"/>
      </c:radarChart>
      <c:catAx>
        <c:axId val="161144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960418175"/>
        <c:crosses val="autoZero"/>
        <c:auto val="1"/>
        <c:lblAlgn val="ctr"/>
        <c:lblOffset val="100"/>
        <c:noMultiLvlLbl val="0"/>
      </c:catAx>
      <c:valAx>
        <c:axId val="96041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61144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700"/>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Fig (#): SWOT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0"/>
          <c:order val="0"/>
          <c:spPr>
            <a:solidFill>
              <a:schemeClr val="accent1"/>
            </a:solidFill>
            <a:ln>
              <a:noFill/>
            </a:ln>
            <a:effectLst/>
          </c:spPr>
          <c:cat>
            <c:strRef>
              <c:f>'SWOT &amp; Porter'!$A$15:$A$18</c:f>
              <c:strCache>
                <c:ptCount val="4"/>
                <c:pt idx="0">
                  <c:v>Strengths</c:v>
                </c:pt>
                <c:pt idx="1">
                  <c:v>Weaknesses</c:v>
                </c:pt>
                <c:pt idx="2">
                  <c:v>Opportunities</c:v>
                </c:pt>
                <c:pt idx="3">
                  <c:v>Threats</c:v>
                </c:pt>
              </c:strCache>
            </c:strRef>
          </c:cat>
          <c:val>
            <c:numRef>
              <c:f>'SWOT &amp; Porter'!$B$15:$B$18</c:f>
              <c:numCache>
                <c:formatCode>General</c:formatCode>
                <c:ptCount val="4"/>
                <c:pt idx="0">
                  <c:v>1</c:v>
                </c:pt>
                <c:pt idx="1">
                  <c:v>4</c:v>
                </c:pt>
                <c:pt idx="2">
                  <c:v>1</c:v>
                </c:pt>
                <c:pt idx="3">
                  <c:v>5</c:v>
                </c:pt>
              </c:numCache>
            </c:numRef>
          </c:val>
          <c:extLst>
            <c:ext xmlns:c16="http://schemas.microsoft.com/office/drawing/2014/chart" uri="{C3380CC4-5D6E-409C-BE32-E72D297353CC}">
              <c16:uniqueId val="{00000001-0652-4C4F-9FF5-3E1FE0E6C944}"/>
            </c:ext>
          </c:extLst>
        </c:ser>
        <c:dLbls>
          <c:showLegendKey val="0"/>
          <c:showVal val="0"/>
          <c:showCatName val="0"/>
          <c:showSerName val="0"/>
          <c:showPercent val="0"/>
          <c:showBubbleSize val="0"/>
        </c:dLbls>
        <c:axId val="1339212296"/>
        <c:axId val="1339199496"/>
      </c:radarChart>
      <c:catAx>
        <c:axId val="1339212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199496"/>
        <c:crosses val="autoZero"/>
        <c:auto val="1"/>
        <c:lblAlgn val="ctr"/>
        <c:lblOffset val="100"/>
        <c:noMultiLvlLbl val="0"/>
      </c:catAx>
      <c:valAx>
        <c:axId val="1339199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212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Nvidia Quick Facts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2A97-4DEB-8128-2E8A655BF39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2A97-4DEB-8128-2E8A655BF39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A97-4DEB-8128-2E8A655BF394}"/>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2A97-4DEB-8128-2E8A655BF394}"/>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2A97-4DEB-8128-2E8A655BF39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2A97-4DEB-8128-2E8A655BF39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2-2A97-4DEB-8128-2E8A655BF39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2A97-4DEB-8128-2E8A655BF39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4-2A97-4DEB-8128-2E8A655BF394}"/>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5-2A97-4DEB-8128-2E8A655BF394}"/>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'Quick facts chart'!$A$4:$A$8</c:f>
              <c:strCache>
                <c:ptCount val="5"/>
                <c:pt idx="0">
                  <c:v>29,600 Employees</c:v>
                </c:pt>
                <c:pt idx="1">
                  <c:v>Controls 90% of GPU Market</c:v>
                </c:pt>
                <c:pt idx="2">
                  <c:v>$3 Trillion Market Cap</c:v>
                </c:pt>
                <c:pt idx="3">
                  <c:v>Rank 1 in Forbe's Best Companys</c:v>
                </c:pt>
                <c:pt idx="4">
                  <c:v>$61 Billion in sales in 2024</c:v>
                </c:pt>
              </c:strCache>
            </c:strRef>
          </c:cat>
          <c:val>
            <c:numRef>
              <c:f>'Quick facts chart'!$B$4:$B$8</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0-2A97-4DEB-8128-2E8A655BF394}"/>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Liquidity Ratios Projections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'Projected BS'!$A$53</c:f>
              <c:strCache>
                <c:ptCount val="1"/>
                <c:pt idx="0">
                  <c:v>Current Ratio</c:v>
                </c:pt>
              </c:strCache>
            </c:strRef>
          </c:tx>
          <c:spPr>
            <a:solidFill>
              <a:schemeClr val="accent1"/>
            </a:solidFill>
            <a:ln>
              <a:noFill/>
            </a:ln>
            <a:effectLst/>
          </c:spPr>
          <c:invertIfNegative val="0"/>
          <c:cat>
            <c:strRef>
              <c:f>'Projected BS'!$J$1:$Q$1</c:f>
              <c:strCache>
                <c:ptCount val="8"/>
                <c:pt idx="0">
                  <c:v>Jan-23</c:v>
                </c:pt>
                <c:pt idx="1">
                  <c:v>Jan-24</c:v>
                </c:pt>
                <c:pt idx="2">
                  <c:v>Projected Jan-25</c:v>
                </c:pt>
                <c:pt idx="3">
                  <c:v>Projected Jan-26</c:v>
                </c:pt>
                <c:pt idx="4">
                  <c:v>Projected Jan-27</c:v>
                </c:pt>
                <c:pt idx="5">
                  <c:v>Projected Jan-28</c:v>
                </c:pt>
                <c:pt idx="6">
                  <c:v>Projected Jan-29</c:v>
                </c:pt>
                <c:pt idx="7">
                  <c:v>Projected Jan-30</c:v>
                </c:pt>
              </c:strCache>
            </c:strRef>
          </c:cat>
          <c:val>
            <c:numRef>
              <c:f>'Projected BS'!$J$53:$Q$53</c:f>
              <c:numCache>
                <c:formatCode>_(* #,##0.00_);_(* \(#,##0.00\);_(* "-"??_);_(@_)</c:formatCode>
                <c:ptCount val="8"/>
                <c:pt idx="0">
                  <c:v>3.5156178576870332</c:v>
                </c:pt>
                <c:pt idx="1">
                  <c:v>4.1712915059730973</c:v>
                </c:pt>
                <c:pt idx="2">
                  <c:v>4.0912611204609108</c:v>
                </c:pt>
                <c:pt idx="3">
                  <c:v>4.4076048064514231</c:v>
                </c:pt>
                <c:pt idx="4">
                  <c:v>4.4534761734569308</c:v>
                </c:pt>
                <c:pt idx="5">
                  <c:v>4.4062952918615013</c:v>
                </c:pt>
                <c:pt idx="6">
                  <c:v>4.6070325066987534</c:v>
                </c:pt>
                <c:pt idx="7">
                  <c:v>4.6296322038245883</c:v>
                </c:pt>
              </c:numCache>
            </c:numRef>
          </c:val>
          <c:extLst>
            <c:ext xmlns:c16="http://schemas.microsoft.com/office/drawing/2014/chart" uri="{C3380CC4-5D6E-409C-BE32-E72D297353CC}">
              <c16:uniqueId val="{00000000-81A3-3C41-9DB4-E16F0F3CCB7A}"/>
            </c:ext>
          </c:extLst>
        </c:ser>
        <c:ser>
          <c:idx val="1"/>
          <c:order val="1"/>
          <c:tx>
            <c:strRef>
              <c:f>'Projected BS'!$A$54</c:f>
              <c:strCache>
                <c:ptCount val="1"/>
                <c:pt idx="0">
                  <c:v>Cash Ratio</c:v>
                </c:pt>
              </c:strCache>
            </c:strRef>
          </c:tx>
          <c:spPr>
            <a:solidFill>
              <a:schemeClr val="accent2"/>
            </a:solidFill>
            <a:ln>
              <a:noFill/>
            </a:ln>
            <a:effectLst/>
          </c:spPr>
          <c:invertIfNegative val="0"/>
          <c:cat>
            <c:strRef>
              <c:f>'Projected BS'!$J$1:$Q$1</c:f>
              <c:strCache>
                <c:ptCount val="8"/>
                <c:pt idx="0">
                  <c:v>Jan-23</c:v>
                </c:pt>
                <c:pt idx="1">
                  <c:v>Jan-24</c:v>
                </c:pt>
                <c:pt idx="2">
                  <c:v>Projected Jan-25</c:v>
                </c:pt>
                <c:pt idx="3">
                  <c:v>Projected Jan-26</c:v>
                </c:pt>
                <c:pt idx="4">
                  <c:v>Projected Jan-27</c:v>
                </c:pt>
                <c:pt idx="5">
                  <c:v>Projected Jan-28</c:v>
                </c:pt>
                <c:pt idx="6">
                  <c:v>Projected Jan-29</c:v>
                </c:pt>
                <c:pt idx="7">
                  <c:v>Projected Jan-30</c:v>
                </c:pt>
              </c:strCache>
            </c:strRef>
          </c:cat>
          <c:val>
            <c:numRef>
              <c:f>'Projected BS'!$J$54:$Q$54</c:f>
              <c:numCache>
                <c:formatCode>_(* #,##0.00_);_(* \(#,##0.00\);_(* "-"??_);_(@_)</c:formatCode>
                <c:ptCount val="8"/>
                <c:pt idx="0">
                  <c:v>0.51637970440347403</c:v>
                </c:pt>
                <c:pt idx="1">
                  <c:v>0.6847897657793246</c:v>
                </c:pt>
                <c:pt idx="2">
                  <c:v>0.76434113945997129</c:v>
                </c:pt>
                <c:pt idx="3">
                  <c:v>0.7745862880170139</c:v>
                </c:pt>
                <c:pt idx="4">
                  <c:v>0.78264765773034561</c:v>
                </c:pt>
                <c:pt idx="5">
                  <c:v>0.76319161407450198</c:v>
                </c:pt>
                <c:pt idx="6">
                  <c:v>0.76729136817910748</c:v>
                </c:pt>
                <c:pt idx="7">
                  <c:v>0.77105529919172833</c:v>
                </c:pt>
              </c:numCache>
            </c:numRef>
          </c:val>
          <c:extLst>
            <c:ext xmlns:c16="http://schemas.microsoft.com/office/drawing/2014/chart" uri="{C3380CC4-5D6E-409C-BE32-E72D297353CC}">
              <c16:uniqueId val="{00000001-81A3-3C41-9DB4-E16F0F3CCB7A}"/>
            </c:ext>
          </c:extLst>
        </c:ser>
        <c:ser>
          <c:idx val="2"/>
          <c:order val="2"/>
          <c:tx>
            <c:strRef>
              <c:f>'Projected BS'!$A$55</c:f>
              <c:strCache>
                <c:ptCount val="1"/>
                <c:pt idx="0">
                  <c:v>Quick Ratio</c:v>
                </c:pt>
              </c:strCache>
            </c:strRef>
          </c:tx>
          <c:spPr>
            <a:solidFill>
              <a:schemeClr val="accent3"/>
            </a:solidFill>
            <a:ln>
              <a:noFill/>
            </a:ln>
            <a:effectLst/>
          </c:spPr>
          <c:invertIfNegative val="0"/>
          <c:cat>
            <c:strRef>
              <c:f>'Projected BS'!$J$1:$Q$1</c:f>
              <c:strCache>
                <c:ptCount val="8"/>
                <c:pt idx="0">
                  <c:v>Jan-23</c:v>
                </c:pt>
                <c:pt idx="1">
                  <c:v>Jan-24</c:v>
                </c:pt>
                <c:pt idx="2">
                  <c:v>Projected Jan-25</c:v>
                </c:pt>
                <c:pt idx="3">
                  <c:v>Projected Jan-26</c:v>
                </c:pt>
                <c:pt idx="4">
                  <c:v>Projected Jan-27</c:v>
                </c:pt>
                <c:pt idx="5">
                  <c:v>Projected Jan-28</c:v>
                </c:pt>
                <c:pt idx="6">
                  <c:v>Projected Jan-29</c:v>
                </c:pt>
                <c:pt idx="7">
                  <c:v>Projected Jan-30</c:v>
                </c:pt>
              </c:strCache>
            </c:strRef>
          </c:cat>
          <c:val>
            <c:numRef>
              <c:f>'Projected BS'!$J$55:$Q$55</c:f>
              <c:numCache>
                <c:formatCode>_(* #,##0.00_);_(* \(#,##0.00\);_(* "-"??_);_(@_)</c:formatCode>
                <c:ptCount val="8"/>
                <c:pt idx="0">
                  <c:v>2.025902788358982</c:v>
                </c:pt>
                <c:pt idx="1">
                  <c:v>2.4441727024738973</c:v>
                </c:pt>
                <c:pt idx="2">
                  <c:v>2.2342279461137622</c:v>
                </c:pt>
                <c:pt idx="3">
                  <c:v>2.2641753034343486</c:v>
                </c:pt>
                <c:pt idx="4">
                  <c:v>2.2877393072117793</c:v>
                </c:pt>
                <c:pt idx="5">
                  <c:v>1.9373325588045049</c:v>
                </c:pt>
                <c:pt idx="6">
                  <c:v>1.9477396269161957</c:v>
                </c:pt>
                <c:pt idx="7">
                  <c:v>1.9572942210251563</c:v>
                </c:pt>
              </c:numCache>
            </c:numRef>
          </c:val>
          <c:extLst>
            <c:ext xmlns:c16="http://schemas.microsoft.com/office/drawing/2014/chart" uri="{C3380CC4-5D6E-409C-BE32-E72D297353CC}">
              <c16:uniqueId val="{00000002-81A3-3C41-9DB4-E16F0F3CCB7A}"/>
            </c:ext>
          </c:extLst>
        </c:ser>
        <c:dLbls>
          <c:showLegendKey val="0"/>
          <c:showVal val="0"/>
          <c:showCatName val="0"/>
          <c:showSerName val="0"/>
          <c:showPercent val="0"/>
          <c:showBubbleSize val="0"/>
        </c:dLbls>
        <c:gapWidth val="182"/>
        <c:axId val="1843833199"/>
        <c:axId val="1100046528"/>
      </c:barChart>
      <c:catAx>
        <c:axId val="1843833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00046528"/>
        <c:crosses val="autoZero"/>
        <c:auto val="1"/>
        <c:lblAlgn val="ctr"/>
        <c:lblOffset val="100"/>
        <c:noMultiLvlLbl val="0"/>
      </c:catAx>
      <c:valAx>
        <c:axId val="1100046528"/>
        <c:scaling>
          <c:orientation val="minMax"/>
        </c:scaling>
        <c:delete val="0"/>
        <c:axPos val="b"/>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833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a:t>
            </a:r>
            <a:r>
              <a:rPr lang="en-US" baseline="0"/>
              <a:t> Liquidity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'Projected BS'!$A$53</c:f>
              <c:strCache>
                <c:ptCount val="1"/>
                <c:pt idx="0">
                  <c:v>Current Ratio</c:v>
                </c:pt>
              </c:strCache>
            </c:strRef>
          </c:tx>
          <c:spPr>
            <a:solidFill>
              <a:schemeClr val="accent1"/>
            </a:solidFill>
            <a:ln>
              <a:noFill/>
            </a:ln>
            <a:effectLst/>
          </c:spPr>
          <c:invertIfNegative val="0"/>
          <c:cat>
            <c:strRef>
              <c:f>'Projected BS'!$J$1:$Q$1</c:f>
              <c:strCache>
                <c:ptCount val="8"/>
                <c:pt idx="0">
                  <c:v>Jan-23</c:v>
                </c:pt>
                <c:pt idx="1">
                  <c:v>Jan-24</c:v>
                </c:pt>
                <c:pt idx="2">
                  <c:v>Projected Jan-25</c:v>
                </c:pt>
                <c:pt idx="3">
                  <c:v>Projected Jan-26</c:v>
                </c:pt>
                <c:pt idx="4">
                  <c:v>Projected Jan-27</c:v>
                </c:pt>
                <c:pt idx="5">
                  <c:v>Projected Jan-28</c:v>
                </c:pt>
                <c:pt idx="6">
                  <c:v>Projected Jan-29</c:v>
                </c:pt>
                <c:pt idx="7">
                  <c:v>Projected Jan-30</c:v>
                </c:pt>
              </c:strCache>
            </c:strRef>
          </c:cat>
          <c:val>
            <c:numRef>
              <c:f>'Projected BS'!$J$53:$Q$53</c:f>
              <c:numCache>
                <c:formatCode>_(* #,##0.00_);_(* \(#,##0.00\);_(* "-"??_);_(@_)</c:formatCode>
                <c:ptCount val="8"/>
                <c:pt idx="0">
                  <c:v>3.5156178576870332</c:v>
                </c:pt>
                <c:pt idx="1">
                  <c:v>4.1712915059730973</c:v>
                </c:pt>
                <c:pt idx="2">
                  <c:v>4.0912611204609108</c:v>
                </c:pt>
                <c:pt idx="3">
                  <c:v>4.4076048064514231</c:v>
                </c:pt>
                <c:pt idx="4">
                  <c:v>4.4534761734569308</c:v>
                </c:pt>
                <c:pt idx="5">
                  <c:v>4.4062952918615013</c:v>
                </c:pt>
                <c:pt idx="6">
                  <c:v>4.6070325066987534</c:v>
                </c:pt>
                <c:pt idx="7">
                  <c:v>4.6296322038245883</c:v>
                </c:pt>
              </c:numCache>
            </c:numRef>
          </c:val>
          <c:extLst>
            <c:ext xmlns:c16="http://schemas.microsoft.com/office/drawing/2014/chart" uri="{C3380CC4-5D6E-409C-BE32-E72D297353CC}">
              <c16:uniqueId val="{00000000-AF17-4108-A2E6-5E1DAE65F857}"/>
            </c:ext>
          </c:extLst>
        </c:ser>
        <c:ser>
          <c:idx val="1"/>
          <c:order val="1"/>
          <c:tx>
            <c:strRef>
              <c:f>'Projected BS'!$A$54</c:f>
              <c:strCache>
                <c:ptCount val="1"/>
                <c:pt idx="0">
                  <c:v>Cash Ratio</c:v>
                </c:pt>
              </c:strCache>
            </c:strRef>
          </c:tx>
          <c:spPr>
            <a:solidFill>
              <a:schemeClr val="accent2"/>
            </a:solidFill>
            <a:ln>
              <a:noFill/>
            </a:ln>
            <a:effectLst/>
          </c:spPr>
          <c:invertIfNegative val="0"/>
          <c:cat>
            <c:strRef>
              <c:f>'Projected BS'!$J$1:$Q$1</c:f>
              <c:strCache>
                <c:ptCount val="8"/>
                <c:pt idx="0">
                  <c:v>Jan-23</c:v>
                </c:pt>
                <c:pt idx="1">
                  <c:v>Jan-24</c:v>
                </c:pt>
                <c:pt idx="2">
                  <c:v>Projected Jan-25</c:v>
                </c:pt>
                <c:pt idx="3">
                  <c:v>Projected Jan-26</c:v>
                </c:pt>
                <c:pt idx="4">
                  <c:v>Projected Jan-27</c:v>
                </c:pt>
                <c:pt idx="5">
                  <c:v>Projected Jan-28</c:v>
                </c:pt>
                <c:pt idx="6">
                  <c:v>Projected Jan-29</c:v>
                </c:pt>
                <c:pt idx="7">
                  <c:v>Projected Jan-30</c:v>
                </c:pt>
              </c:strCache>
            </c:strRef>
          </c:cat>
          <c:val>
            <c:numRef>
              <c:f>'Projected BS'!$J$54:$Q$54</c:f>
              <c:numCache>
                <c:formatCode>_(* #,##0.00_);_(* \(#,##0.00\);_(* "-"??_);_(@_)</c:formatCode>
                <c:ptCount val="8"/>
                <c:pt idx="0">
                  <c:v>0.51637970440347403</c:v>
                </c:pt>
                <c:pt idx="1">
                  <c:v>0.6847897657793246</c:v>
                </c:pt>
                <c:pt idx="2">
                  <c:v>0.76434113945997129</c:v>
                </c:pt>
                <c:pt idx="3">
                  <c:v>0.7745862880170139</c:v>
                </c:pt>
                <c:pt idx="4">
                  <c:v>0.78264765773034561</c:v>
                </c:pt>
                <c:pt idx="5">
                  <c:v>0.76319161407450198</c:v>
                </c:pt>
                <c:pt idx="6">
                  <c:v>0.76729136817910748</c:v>
                </c:pt>
                <c:pt idx="7">
                  <c:v>0.77105529919172833</c:v>
                </c:pt>
              </c:numCache>
            </c:numRef>
          </c:val>
          <c:extLst>
            <c:ext xmlns:c16="http://schemas.microsoft.com/office/drawing/2014/chart" uri="{C3380CC4-5D6E-409C-BE32-E72D297353CC}">
              <c16:uniqueId val="{00000001-AF17-4108-A2E6-5E1DAE65F857}"/>
            </c:ext>
          </c:extLst>
        </c:ser>
        <c:ser>
          <c:idx val="2"/>
          <c:order val="2"/>
          <c:tx>
            <c:strRef>
              <c:f>'Projected BS'!$A$55</c:f>
              <c:strCache>
                <c:ptCount val="1"/>
                <c:pt idx="0">
                  <c:v>Quick Ratio</c:v>
                </c:pt>
              </c:strCache>
            </c:strRef>
          </c:tx>
          <c:spPr>
            <a:solidFill>
              <a:schemeClr val="accent3"/>
            </a:solidFill>
            <a:ln>
              <a:noFill/>
            </a:ln>
            <a:effectLst/>
          </c:spPr>
          <c:invertIfNegative val="0"/>
          <c:cat>
            <c:strRef>
              <c:f>'Projected BS'!$J$1:$Q$1</c:f>
              <c:strCache>
                <c:ptCount val="8"/>
                <c:pt idx="0">
                  <c:v>Jan-23</c:v>
                </c:pt>
                <c:pt idx="1">
                  <c:v>Jan-24</c:v>
                </c:pt>
                <c:pt idx="2">
                  <c:v>Projected Jan-25</c:v>
                </c:pt>
                <c:pt idx="3">
                  <c:v>Projected Jan-26</c:v>
                </c:pt>
                <c:pt idx="4">
                  <c:v>Projected Jan-27</c:v>
                </c:pt>
                <c:pt idx="5">
                  <c:v>Projected Jan-28</c:v>
                </c:pt>
                <c:pt idx="6">
                  <c:v>Projected Jan-29</c:v>
                </c:pt>
                <c:pt idx="7">
                  <c:v>Projected Jan-30</c:v>
                </c:pt>
              </c:strCache>
            </c:strRef>
          </c:cat>
          <c:val>
            <c:numRef>
              <c:f>'Projected BS'!$J$55:$Q$55</c:f>
              <c:numCache>
                <c:formatCode>_(* #,##0.00_);_(* \(#,##0.00\);_(* "-"??_);_(@_)</c:formatCode>
                <c:ptCount val="8"/>
                <c:pt idx="0">
                  <c:v>2.025902788358982</c:v>
                </c:pt>
                <c:pt idx="1">
                  <c:v>2.4441727024738973</c:v>
                </c:pt>
                <c:pt idx="2">
                  <c:v>2.2342279461137622</c:v>
                </c:pt>
                <c:pt idx="3">
                  <c:v>2.2641753034343486</c:v>
                </c:pt>
                <c:pt idx="4">
                  <c:v>2.2877393072117793</c:v>
                </c:pt>
                <c:pt idx="5">
                  <c:v>1.9373325588045049</c:v>
                </c:pt>
                <c:pt idx="6">
                  <c:v>1.9477396269161957</c:v>
                </c:pt>
                <c:pt idx="7">
                  <c:v>1.9572942210251563</c:v>
                </c:pt>
              </c:numCache>
            </c:numRef>
          </c:val>
          <c:extLst>
            <c:ext xmlns:c16="http://schemas.microsoft.com/office/drawing/2014/chart" uri="{C3380CC4-5D6E-409C-BE32-E72D297353CC}">
              <c16:uniqueId val="{00000002-AF17-4108-A2E6-5E1DAE65F857}"/>
            </c:ext>
          </c:extLst>
        </c:ser>
        <c:dLbls>
          <c:showLegendKey val="0"/>
          <c:showVal val="0"/>
          <c:showCatName val="0"/>
          <c:showSerName val="0"/>
          <c:showPercent val="0"/>
          <c:showBubbleSize val="0"/>
        </c:dLbls>
        <c:gapWidth val="219"/>
        <c:overlap val="-27"/>
        <c:axId val="894020672"/>
        <c:axId val="894017312"/>
      </c:barChart>
      <c:catAx>
        <c:axId val="89402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017312"/>
        <c:crosses val="autoZero"/>
        <c:auto val="1"/>
        <c:lblAlgn val="ctr"/>
        <c:lblOffset val="100"/>
        <c:noMultiLvlLbl val="0"/>
      </c:catAx>
      <c:valAx>
        <c:axId val="89401731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020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Fig (): Projected</a:t>
            </a:r>
            <a:r>
              <a:rPr lang="en-US" baseline="0"/>
              <a:t> Assets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'Projected BS'!$A$7</c:f>
              <c:strCache>
                <c:ptCount val="1"/>
                <c:pt idx="0">
                  <c:v>Cash &amp; Equivalents</c:v>
                </c:pt>
              </c:strCache>
            </c:strRef>
          </c:tx>
          <c:spPr>
            <a:solidFill>
              <a:schemeClr val="accent1"/>
            </a:solidFill>
            <a:ln>
              <a:noFill/>
            </a:ln>
            <a:effectLst/>
          </c:spPr>
          <c:invertIfNegative val="0"/>
          <c:cat>
            <c:strRef>
              <c:f>'Projected BS'!$J$1:$Q$1</c:f>
              <c:strCache>
                <c:ptCount val="8"/>
                <c:pt idx="0">
                  <c:v>Jan-23</c:v>
                </c:pt>
                <c:pt idx="1">
                  <c:v>Jan-24</c:v>
                </c:pt>
                <c:pt idx="2">
                  <c:v>Projected Jan-25</c:v>
                </c:pt>
                <c:pt idx="3">
                  <c:v>Projected Jan-26</c:v>
                </c:pt>
                <c:pt idx="4">
                  <c:v>Projected Jan-27</c:v>
                </c:pt>
                <c:pt idx="5">
                  <c:v>Projected Jan-28</c:v>
                </c:pt>
                <c:pt idx="6">
                  <c:v>Projected Jan-29</c:v>
                </c:pt>
                <c:pt idx="7">
                  <c:v>Projected Jan-30</c:v>
                </c:pt>
              </c:strCache>
            </c:strRef>
          </c:cat>
          <c:val>
            <c:numRef>
              <c:f>'Projected BS'!$J$7:$Q$7</c:f>
              <c:numCache>
                <c:formatCode>_(* #,##0_);_(* \(#,##0\);_(* "-"??_);_(@_)</c:formatCode>
                <c:ptCount val="8"/>
                <c:pt idx="0">
                  <c:v>3389000</c:v>
                </c:pt>
                <c:pt idx="1">
                  <c:v>7280000</c:v>
                </c:pt>
                <c:pt idx="2" formatCode="_(* #,##0_);_(* \(#,##0\);_(* &quot;-&quot;?_);_(@_)">
                  <c:v>16726580</c:v>
                </c:pt>
                <c:pt idx="3" formatCode="_(* #,##0_);_(* \(#,##0\);_(* &quot;-&quot;?_);_(@_)">
                  <c:v>21766852.143123999</c:v>
                </c:pt>
                <c:pt idx="4" formatCode="_(* #,##0_);_(* \(#,##0\);_(* &quot;-&quot;?_);_(@_)">
                  <c:v>28325925.097696111</c:v>
                </c:pt>
                <c:pt idx="5" formatCode="_(* #,##0_);_(* \(#,##0\);_(* &quot;-&quot;?_);_(@_)">
                  <c:v>32593694.456349663</c:v>
                </c:pt>
                <c:pt idx="6" formatCode="_(* #,##0_);_(* \(#,##0\);_(* &quot;-&quot;?_);_(@_)">
                  <c:v>35867547.413934425</c:v>
                </c:pt>
                <c:pt idx="7" formatCode="_(* #,##0_);_(* \(#,##0\);_(* &quot;-&quot;?_);_(@_)">
                  <c:v>39470240.454445057</c:v>
                </c:pt>
              </c:numCache>
            </c:numRef>
          </c:val>
          <c:extLst>
            <c:ext xmlns:c16="http://schemas.microsoft.com/office/drawing/2014/chart" uri="{C3380CC4-5D6E-409C-BE32-E72D297353CC}">
              <c16:uniqueId val="{00000000-F5AC-4757-A391-D5D027A85E35}"/>
            </c:ext>
          </c:extLst>
        </c:ser>
        <c:ser>
          <c:idx val="1"/>
          <c:order val="1"/>
          <c:tx>
            <c:strRef>
              <c:f>'Projected BS'!$A$8</c:f>
              <c:strCache>
                <c:ptCount val="1"/>
                <c:pt idx="0">
                  <c:v>Short Term Investments</c:v>
                </c:pt>
              </c:strCache>
            </c:strRef>
          </c:tx>
          <c:spPr>
            <a:solidFill>
              <a:schemeClr val="accent2"/>
            </a:solidFill>
            <a:ln>
              <a:noFill/>
            </a:ln>
            <a:effectLst/>
          </c:spPr>
          <c:invertIfNegative val="0"/>
          <c:cat>
            <c:strRef>
              <c:f>'Projected BS'!$J$1:$Q$1</c:f>
              <c:strCache>
                <c:ptCount val="8"/>
                <c:pt idx="0">
                  <c:v>Jan-23</c:v>
                </c:pt>
                <c:pt idx="1">
                  <c:v>Jan-24</c:v>
                </c:pt>
                <c:pt idx="2">
                  <c:v>Projected Jan-25</c:v>
                </c:pt>
                <c:pt idx="3">
                  <c:v>Projected Jan-26</c:v>
                </c:pt>
                <c:pt idx="4">
                  <c:v>Projected Jan-27</c:v>
                </c:pt>
                <c:pt idx="5">
                  <c:v>Projected Jan-28</c:v>
                </c:pt>
                <c:pt idx="6">
                  <c:v>Projected Jan-29</c:v>
                </c:pt>
                <c:pt idx="7">
                  <c:v>Projected Jan-30</c:v>
                </c:pt>
              </c:strCache>
            </c:strRef>
          </c:cat>
          <c:val>
            <c:numRef>
              <c:f>'Projected BS'!$J$8:$Q$8</c:f>
              <c:numCache>
                <c:formatCode>_(* #,##0_);_(* \(#,##0\);_(* "-"??_);_(@_)</c:formatCode>
                <c:ptCount val="8"/>
                <c:pt idx="0">
                  <c:v>9907000</c:v>
                </c:pt>
                <c:pt idx="1">
                  <c:v>18704000</c:v>
                </c:pt>
                <c:pt idx="2" formatCode="_(* #,##0_);_(* \(#,##0\);_(* &quot;-&quot;?_);_(@_)">
                  <c:v>32166500</c:v>
                </c:pt>
                <c:pt idx="3" formatCode="_(* #,##0_);_(* \(#,##0\);_(* &quot;-&quot;?_);_(@_)">
                  <c:v>41859331.04446923</c:v>
                </c:pt>
                <c:pt idx="4" formatCode="_(* #,##0_);_(* \(#,##0\);_(* &quot;-&quot;?_);_(@_)">
                  <c:v>54472932.880184829</c:v>
                </c:pt>
                <c:pt idx="5" formatCode="_(* #,##0_);_(* \(#,##0\);_(* &quot;-&quot;?_);_(@_)">
                  <c:v>50144145.317461021</c:v>
                </c:pt>
                <c:pt idx="6" formatCode="_(* #,##0_);_(* \(#,##0\);_(* &quot;-&quot;?_);_(@_)">
                  <c:v>55180842.17528373</c:v>
                </c:pt>
                <c:pt idx="7" formatCode="_(* #,##0_);_(* \(#,##0\);_(* &quot;-&quot;?_);_(@_)">
                  <c:v>60723446.852992393</c:v>
                </c:pt>
              </c:numCache>
            </c:numRef>
          </c:val>
          <c:extLst>
            <c:ext xmlns:c16="http://schemas.microsoft.com/office/drawing/2014/chart" uri="{C3380CC4-5D6E-409C-BE32-E72D297353CC}">
              <c16:uniqueId val="{00000001-F5AC-4757-A391-D5D027A85E35}"/>
            </c:ext>
          </c:extLst>
        </c:ser>
        <c:ser>
          <c:idx val="2"/>
          <c:order val="2"/>
          <c:tx>
            <c:strRef>
              <c:f>'Projected BS'!$A$10</c:f>
              <c:strCache>
                <c:ptCount val="1"/>
                <c:pt idx="0">
                  <c:v>Receivables (ST)</c:v>
                </c:pt>
              </c:strCache>
            </c:strRef>
          </c:tx>
          <c:spPr>
            <a:solidFill>
              <a:schemeClr val="accent3"/>
            </a:solidFill>
            <a:ln>
              <a:noFill/>
            </a:ln>
            <a:effectLst/>
          </c:spPr>
          <c:invertIfNegative val="0"/>
          <c:cat>
            <c:strRef>
              <c:f>'Projected BS'!$J$1:$Q$1</c:f>
              <c:strCache>
                <c:ptCount val="8"/>
                <c:pt idx="0">
                  <c:v>Jan-23</c:v>
                </c:pt>
                <c:pt idx="1">
                  <c:v>Jan-24</c:v>
                </c:pt>
                <c:pt idx="2">
                  <c:v>Projected Jan-25</c:v>
                </c:pt>
                <c:pt idx="3">
                  <c:v>Projected Jan-26</c:v>
                </c:pt>
                <c:pt idx="4">
                  <c:v>Projected Jan-27</c:v>
                </c:pt>
                <c:pt idx="5">
                  <c:v>Projected Jan-28</c:v>
                </c:pt>
                <c:pt idx="6">
                  <c:v>Projected Jan-29</c:v>
                </c:pt>
                <c:pt idx="7">
                  <c:v>Projected Jan-30</c:v>
                </c:pt>
              </c:strCache>
            </c:strRef>
          </c:cat>
          <c:val>
            <c:numRef>
              <c:f>'Projected BS'!$J$10:$Q$10</c:f>
              <c:numCache>
                <c:formatCode>_(* #,##0_);_(* \(#,##0\);_(* "-"??_);_(@_)</c:formatCode>
                <c:ptCount val="8"/>
                <c:pt idx="0">
                  <c:v>3827000</c:v>
                </c:pt>
                <c:pt idx="1">
                  <c:v>9999000</c:v>
                </c:pt>
                <c:pt idx="2" formatCode="_(* #,##0_);_(* \(#,##0\);_(* &quot;-&quot;?_);_(@_)">
                  <c:v>20086208.992239088</c:v>
                </c:pt>
                <c:pt idx="3" formatCode="_(* #,##0_);_(* \(#,##0\);_(* &quot;-&quot;?_);_(@_)">
                  <c:v>33487464.835575387</c:v>
                </c:pt>
                <c:pt idx="4" formatCode="_(* #,##0_);_(* \(#,##0\);_(* &quot;-&quot;?_);_(@_)">
                  <c:v>43578346.304147869</c:v>
                </c:pt>
                <c:pt idx="5" formatCode="_(* #,##0_);_(* \(#,##0\);_(* &quot;-&quot;?_);_(@_)">
                  <c:v>42622523.519841872</c:v>
                </c:pt>
                <c:pt idx="6" formatCode="_(* #,##0_);_(* \(#,##0\);_(* &quot;-&quot;?_);_(@_)">
                  <c:v>41385631.631462798</c:v>
                </c:pt>
                <c:pt idx="7" formatCode="_(* #,##0_);_(* \(#,##0\);_(* &quot;-&quot;?_);_(@_)">
                  <c:v>45542585.139744289</c:v>
                </c:pt>
              </c:numCache>
            </c:numRef>
          </c:val>
          <c:extLst>
            <c:ext xmlns:c16="http://schemas.microsoft.com/office/drawing/2014/chart" uri="{C3380CC4-5D6E-409C-BE32-E72D297353CC}">
              <c16:uniqueId val="{00000002-F5AC-4757-A391-D5D027A85E35}"/>
            </c:ext>
          </c:extLst>
        </c:ser>
        <c:dLbls>
          <c:showLegendKey val="0"/>
          <c:showVal val="0"/>
          <c:showCatName val="0"/>
          <c:showSerName val="0"/>
          <c:showPercent val="0"/>
          <c:showBubbleSize val="0"/>
        </c:dLbls>
        <c:gapWidth val="219"/>
        <c:overlap val="-27"/>
        <c:axId val="1368571551"/>
        <c:axId val="1368572991"/>
      </c:barChart>
      <c:catAx>
        <c:axId val="136857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572991"/>
        <c:crosses val="autoZero"/>
        <c:auto val="1"/>
        <c:lblAlgn val="ctr"/>
        <c:lblOffset val="100"/>
        <c:noMultiLvlLbl val="0"/>
      </c:catAx>
      <c:valAx>
        <c:axId val="136857299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571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Fig (): Projected</a:t>
            </a:r>
            <a:r>
              <a:rPr lang="en-US" baseline="0"/>
              <a:t> Liabilities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'Projected BS'!$A$25</c:f>
              <c:strCache>
                <c:ptCount val="1"/>
                <c:pt idx="0">
                  <c:v>Accounts Payable &amp; Accrued Exps</c:v>
                </c:pt>
              </c:strCache>
            </c:strRef>
          </c:tx>
          <c:spPr>
            <a:solidFill>
              <a:schemeClr val="accent1"/>
            </a:solidFill>
            <a:ln>
              <a:noFill/>
            </a:ln>
            <a:effectLst/>
          </c:spPr>
          <c:invertIfNegative val="0"/>
          <c:cat>
            <c:strRef>
              <c:f>'Projected BS'!$J$1:$Q$1</c:f>
              <c:strCache>
                <c:ptCount val="8"/>
                <c:pt idx="0">
                  <c:v>Jan-23</c:v>
                </c:pt>
                <c:pt idx="1">
                  <c:v>Jan-24</c:v>
                </c:pt>
                <c:pt idx="2">
                  <c:v>Projected Jan-25</c:v>
                </c:pt>
                <c:pt idx="3">
                  <c:v>Projected Jan-26</c:v>
                </c:pt>
                <c:pt idx="4">
                  <c:v>Projected Jan-27</c:v>
                </c:pt>
                <c:pt idx="5">
                  <c:v>Projected Jan-28</c:v>
                </c:pt>
                <c:pt idx="6">
                  <c:v>Projected Jan-29</c:v>
                </c:pt>
                <c:pt idx="7">
                  <c:v>Projected Jan-30</c:v>
                </c:pt>
              </c:strCache>
            </c:strRef>
          </c:cat>
          <c:val>
            <c:numRef>
              <c:f>'Projected BS'!$J$25:$Q$25</c:f>
              <c:numCache>
                <c:formatCode>_(* #,##0_);_(* \(#,##0\);_(* "-"??_);_(@_)</c:formatCode>
                <c:ptCount val="8"/>
                <c:pt idx="0">
                  <c:v>2919000</c:v>
                </c:pt>
                <c:pt idx="1">
                  <c:v>7496000</c:v>
                </c:pt>
                <c:pt idx="2">
                  <c:v>14891329.765984003</c:v>
                </c:pt>
                <c:pt idx="3">
                  <c:v>19378580.273473419</c:v>
                </c:pt>
                <c:pt idx="4">
                  <c:v>25217987.870584145</c:v>
                </c:pt>
                <c:pt idx="5">
                  <c:v>29017495.055249039</c:v>
                </c:pt>
                <c:pt idx="6">
                  <c:v>31932138.933240637</c:v>
                </c:pt>
                <c:pt idx="7">
                  <c:v>35139542.366091788</c:v>
                </c:pt>
              </c:numCache>
            </c:numRef>
          </c:val>
          <c:extLst>
            <c:ext xmlns:c16="http://schemas.microsoft.com/office/drawing/2014/chart" uri="{C3380CC4-5D6E-409C-BE32-E72D297353CC}">
              <c16:uniqueId val="{00000000-347E-4534-9A79-FBC154482DDD}"/>
            </c:ext>
          </c:extLst>
        </c:ser>
        <c:ser>
          <c:idx val="1"/>
          <c:order val="1"/>
          <c:tx>
            <c:strRef>
              <c:f>'Projected BS'!$A$28</c:f>
              <c:strCache>
                <c:ptCount val="1"/>
                <c:pt idx="0">
                  <c:v>Current Debt</c:v>
                </c:pt>
              </c:strCache>
            </c:strRef>
          </c:tx>
          <c:spPr>
            <a:solidFill>
              <a:schemeClr val="accent2"/>
            </a:solidFill>
            <a:ln>
              <a:noFill/>
            </a:ln>
            <a:effectLst/>
          </c:spPr>
          <c:invertIfNegative val="0"/>
          <c:cat>
            <c:strRef>
              <c:f>'Projected BS'!$J$1:$Q$1</c:f>
              <c:strCache>
                <c:ptCount val="8"/>
                <c:pt idx="0">
                  <c:v>Jan-23</c:v>
                </c:pt>
                <c:pt idx="1">
                  <c:v>Jan-24</c:v>
                </c:pt>
                <c:pt idx="2">
                  <c:v>Projected Jan-25</c:v>
                </c:pt>
                <c:pt idx="3">
                  <c:v>Projected Jan-26</c:v>
                </c:pt>
                <c:pt idx="4">
                  <c:v>Projected Jan-27</c:v>
                </c:pt>
                <c:pt idx="5">
                  <c:v>Projected Jan-28</c:v>
                </c:pt>
                <c:pt idx="6">
                  <c:v>Projected Jan-29</c:v>
                </c:pt>
                <c:pt idx="7">
                  <c:v>Projected Jan-30</c:v>
                </c:pt>
              </c:strCache>
            </c:strRef>
          </c:cat>
          <c:val>
            <c:numRef>
              <c:f>'Projected BS'!$J$28:$Q$28</c:f>
              <c:numCache>
                <c:formatCode>_(* #,##0_);_(* \(#,##0\);_(* "-"??_);_(@_)</c:formatCode>
                <c:ptCount val="8"/>
                <c:pt idx="0">
                  <c:v>1250000</c:v>
                </c:pt>
                <c:pt idx="1">
                  <c:v>1250000</c:v>
                </c:pt>
                <c:pt idx="2">
                  <c:v>1250000</c:v>
                </c:pt>
                <c:pt idx="3">
                  <c:v>1250000</c:v>
                </c:pt>
                <c:pt idx="4">
                  <c:v>1250000</c:v>
                </c:pt>
                <c:pt idx="5">
                  <c:v>2500000</c:v>
                </c:pt>
                <c:pt idx="6">
                  <c:v>2500000</c:v>
                </c:pt>
                <c:pt idx="7">
                  <c:v>2500000</c:v>
                </c:pt>
              </c:numCache>
            </c:numRef>
          </c:val>
          <c:extLst>
            <c:ext xmlns:c16="http://schemas.microsoft.com/office/drawing/2014/chart" uri="{C3380CC4-5D6E-409C-BE32-E72D297353CC}">
              <c16:uniqueId val="{00000001-347E-4534-9A79-FBC154482DDD}"/>
            </c:ext>
          </c:extLst>
        </c:ser>
        <c:ser>
          <c:idx val="2"/>
          <c:order val="2"/>
          <c:tx>
            <c:strRef>
              <c:f>'Projected BS'!$A$31</c:f>
              <c:strCache>
                <c:ptCount val="1"/>
                <c:pt idx="0">
                  <c:v>LT Debt &amp; Leases</c:v>
                </c:pt>
              </c:strCache>
            </c:strRef>
          </c:tx>
          <c:spPr>
            <a:solidFill>
              <a:schemeClr val="accent3"/>
            </a:solidFill>
            <a:ln>
              <a:noFill/>
            </a:ln>
            <a:effectLst/>
          </c:spPr>
          <c:invertIfNegative val="0"/>
          <c:cat>
            <c:strRef>
              <c:f>'Projected BS'!$J$1:$Q$1</c:f>
              <c:strCache>
                <c:ptCount val="8"/>
                <c:pt idx="0">
                  <c:v>Jan-23</c:v>
                </c:pt>
                <c:pt idx="1">
                  <c:v>Jan-24</c:v>
                </c:pt>
                <c:pt idx="2">
                  <c:v>Projected Jan-25</c:v>
                </c:pt>
                <c:pt idx="3">
                  <c:v>Projected Jan-26</c:v>
                </c:pt>
                <c:pt idx="4">
                  <c:v>Projected Jan-27</c:v>
                </c:pt>
                <c:pt idx="5">
                  <c:v>Projected Jan-28</c:v>
                </c:pt>
                <c:pt idx="6">
                  <c:v>Projected Jan-29</c:v>
                </c:pt>
                <c:pt idx="7">
                  <c:v>Projected Jan-30</c:v>
                </c:pt>
              </c:strCache>
            </c:strRef>
          </c:cat>
          <c:val>
            <c:numRef>
              <c:f>'Projected BS'!$J$31:$Q$31</c:f>
              <c:numCache>
                <c:formatCode>_(* #,##0_);_(* \(#,##0\);_(* "-"??_);_(@_)</c:formatCode>
                <c:ptCount val="8"/>
                <c:pt idx="0">
                  <c:v>9703000</c:v>
                </c:pt>
                <c:pt idx="1">
                  <c:v>8459000</c:v>
                </c:pt>
                <c:pt idx="2">
                  <c:v>9006620</c:v>
                </c:pt>
                <c:pt idx="3">
                  <c:v>9096686.1999999993</c:v>
                </c:pt>
                <c:pt idx="4">
                  <c:v>9187653.061999999</c:v>
                </c:pt>
                <c:pt idx="5">
                  <c:v>18375306.123999998</c:v>
                </c:pt>
                <c:pt idx="6">
                  <c:v>18559059.185239997</c:v>
                </c:pt>
                <c:pt idx="7">
                  <c:v>18744649.777092397</c:v>
                </c:pt>
              </c:numCache>
            </c:numRef>
          </c:val>
          <c:extLst>
            <c:ext xmlns:c16="http://schemas.microsoft.com/office/drawing/2014/chart" uri="{C3380CC4-5D6E-409C-BE32-E72D297353CC}">
              <c16:uniqueId val="{00000002-347E-4534-9A79-FBC154482DDD}"/>
            </c:ext>
          </c:extLst>
        </c:ser>
        <c:dLbls>
          <c:showLegendKey val="0"/>
          <c:showVal val="0"/>
          <c:showCatName val="0"/>
          <c:showSerName val="0"/>
          <c:showPercent val="0"/>
          <c:showBubbleSize val="0"/>
        </c:dLbls>
        <c:gapWidth val="219"/>
        <c:overlap val="-27"/>
        <c:axId val="1745870624"/>
        <c:axId val="16646368"/>
      </c:barChart>
      <c:catAx>
        <c:axId val="174587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6368"/>
        <c:crosses val="autoZero"/>
        <c:auto val="1"/>
        <c:lblAlgn val="ctr"/>
        <c:lblOffset val="100"/>
        <c:noMultiLvlLbl val="0"/>
      </c:catAx>
      <c:valAx>
        <c:axId val="1664636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870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Vertical Common Size</a:t>
            </a:r>
            <a:r>
              <a:rPr lang="en-US" b="1" baseline="0"/>
              <a:t> Balance Sheet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'BS CS Vertical'!$A$18</c:f>
              <c:strCache>
                <c:ptCount val="1"/>
                <c:pt idx="0">
                  <c:v>Cash &amp; Equivs &amp; ST Investments </c:v>
                </c:pt>
              </c:strCache>
            </c:strRef>
          </c:tx>
          <c:spPr>
            <a:ln w="28575" cap="rnd">
              <a:solidFill>
                <a:schemeClr val="accent1"/>
              </a:solidFill>
              <a:round/>
            </a:ln>
            <a:effectLst/>
          </c:spPr>
          <c:marker>
            <c:symbol val="none"/>
          </c:marker>
          <c:cat>
            <c:strRef>
              <c:f>'Balance Sheet'!$B$1:$K$1</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'BS CS Vertical'!$B$18:$K$18</c:f>
              <c:numCache>
                <c:formatCode>0.00%</c:formatCode>
                <c:ptCount val="10"/>
                <c:pt idx="0">
                  <c:v>0.64200843506400451</c:v>
                </c:pt>
                <c:pt idx="1">
                  <c:v>0.68344640434192672</c:v>
                </c:pt>
                <c:pt idx="2">
                  <c:v>0.69078345696575549</c:v>
                </c:pt>
                <c:pt idx="3">
                  <c:v>0.63232808468997426</c:v>
                </c:pt>
                <c:pt idx="4">
                  <c:v>0.5583809810412278</c:v>
                </c:pt>
                <c:pt idx="5">
                  <c:v>0.62933872365001442</c:v>
                </c:pt>
                <c:pt idx="6">
                  <c:v>0.40154909520336218</c:v>
                </c:pt>
                <c:pt idx="7">
                  <c:v>0.47996016928055762</c:v>
                </c:pt>
                <c:pt idx="8">
                  <c:v>0.3228595017240542</c:v>
                </c:pt>
                <c:pt idx="9">
                  <c:v>0.39532619279454723</c:v>
                </c:pt>
              </c:numCache>
            </c:numRef>
          </c:val>
          <c:smooth val="0"/>
          <c:extLst>
            <c:ext xmlns:c16="http://schemas.microsoft.com/office/drawing/2014/chart" uri="{C3380CC4-5D6E-409C-BE32-E72D297353CC}">
              <c16:uniqueId val="{00000000-55BF-A442-9823-96F22C540B9E}"/>
            </c:ext>
          </c:extLst>
        </c:ser>
        <c:ser>
          <c:idx val="1"/>
          <c:order val="1"/>
          <c:tx>
            <c:strRef>
              <c:f>'BS CS Vertical'!$A$24</c:f>
              <c:strCache>
                <c:ptCount val="1"/>
                <c:pt idx="0">
                  <c:v>Gross Property Plant &amp; Equip </c:v>
                </c:pt>
              </c:strCache>
            </c:strRef>
          </c:tx>
          <c:spPr>
            <a:ln w="28575" cap="rnd">
              <a:solidFill>
                <a:schemeClr val="accent2"/>
              </a:solidFill>
              <a:round/>
            </a:ln>
            <a:effectLst/>
          </c:spPr>
          <c:marker>
            <c:symbol val="none"/>
          </c:marker>
          <c:cat>
            <c:strRef>
              <c:f>'Balance Sheet'!$B$1:$K$1</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'BS CS Vertical'!$B$24:$K$24</c:f>
              <c:numCache>
                <c:formatCode>0.00%</c:formatCode>
                <c:ptCount val="10"/>
                <c:pt idx="0">
                  <c:v>0.16375458107404037</c:v>
                </c:pt>
                <c:pt idx="1">
                  <c:v>0.14925373134328357</c:v>
                </c:pt>
                <c:pt idx="2">
                  <c:v>0.12102428614978153</c:v>
                </c:pt>
                <c:pt idx="3">
                  <c:v>0.15452361889511609</c:v>
                </c:pt>
                <c:pt idx="4">
                  <c:v>0.16333132711405357</c:v>
                </c:pt>
                <c:pt idx="5">
                  <c:v>0.15506786023678892</c:v>
                </c:pt>
                <c:pt idx="6">
                  <c:v>0.12354555242957868</c:v>
                </c:pt>
                <c:pt idx="7">
                  <c:v>0.10593613506234865</c:v>
                </c:pt>
                <c:pt idx="8">
                  <c:v>0.15786023019765918</c:v>
                </c:pt>
                <c:pt idx="9">
                  <c:v>0.11293512658227849</c:v>
                </c:pt>
              </c:numCache>
            </c:numRef>
          </c:val>
          <c:smooth val="0"/>
          <c:extLst>
            <c:ext xmlns:c16="http://schemas.microsoft.com/office/drawing/2014/chart" uri="{C3380CC4-5D6E-409C-BE32-E72D297353CC}">
              <c16:uniqueId val="{00000001-55BF-A442-9823-96F22C540B9E}"/>
            </c:ext>
          </c:extLst>
        </c:ser>
        <c:ser>
          <c:idx val="2"/>
          <c:order val="2"/>
          <c:tx>
            <c:strRef>
              <c:f>'BS CS Vertical'!$A$28</c:f>
              <c:strCache>
                <c:ptCount val="1"/>
                <c:pt idx="0">
                  <c:v>Intangible Assets </c:v>
                </c:pt>
              </c:strCache>
            </c:strRef>
          </c:tx>
          <c:spPr>
            <a:ln w="28575" cap="rnd">
              <a:solidFill>
                <a:schemeClr val="accent3"/>
              </a:solidFill>
              <a:round/>
            </a:ln>
            <a:effectLst/>
          </c:spPr>
          <c:marker>
            <c:symbol val="none"/>
          </c:marker>
          <c:cat>
            <c:strRef>
              <c:f>'Balance Sheet'!$B$1:$K$1</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'BS CS Vertical'!$B$28:$K$28</c:f>
              <c:numCache>
                <c:formatCode>0.00%</c:formatCode>
                <c:ptCount val="10"/>
                <c:pt idx="0">
                  <c:v>0.11662964592283022</c:v>
                </c:pt>
                <c:pt idx="1">
                  <c:v>0.10637720488466756</c:v>
                </c:pt>
                <c:pt idx="2">
                  <c:v>7.3366527791891067E-2</c:v>
                </c:pt>
                <c:pt idx="3">
                  <c:v>5.9603238146072414E-2</c:v>
                </c:pt>
                <c:pt idx="4">
                  <c:v>4.987962684321396E-2</c:v>
                </c:pt>
                <c:pt idx="5">
                  <c:v>3.8521513138896908E-2</c:v>
                </c:pt>
                <c:pt idx="6">
                  <c:v>0.24070021881838075</c:v>
                </c:pt>
                <c:pt idx="7">
                  <c:v>0.15135673388100573</c:v>
                </c:pt>
                <c:pt idx="8">
                  <c:v>0.14686027876256616</c:v>
                </c:pt>
                <c:pt idx="9">
                  <c:v>8.4317185978578388E-2</c:v>
                </c:pt>
              </c:numCache>
            </c:numRef>
          </c:val>
          <c:smooth val="0"/>
          <c:extLst>
            <c:ext xmlns:c16="http://schemas.microsoft.com/office/drawing/2014/chart" uri="{C3380CC4-5D6E-409C-BE32-E72D297353CC}">
              <c16:uniqueId val="{00000002-55BF-A442-9823-96F22C540B9E}"/>
            </c:ext>
          </c:extLst>
        </c:ser>
        <c:ser>
          <c:idx val="3"/>
          <c:order val="3"/>
          <c:tx>
            <c:strRef>
              <c:f>'BS CS Vertical'!$A$34</c:f>
              <c:strCache>
                <c:ptCount val="1"/>
                <c:pt idx="0">
                  <c:v>Accounts Payable &amp; Accrued Exps </c:v>
                </c:pt>
              </c:strCache>
            </c:strRef>
          </c:tx>
          <c:spPr>
            <a:ln w="28575" cap="rnd">
              <a:solidFill>
                <a:schemeClr val="accent4"/>
              </a:solidFill>
              <a:round/>
            </a:ln>
            <a:effectLst/>
          </c:spPr>
          <c:marker>
            <c:symbol val="none"/>
          </c:marker>
          <c:cat>
            <c:strRef>
              <c:f>'Balance Sheet'!$B$1:$K$1</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'BS CS Vertical'!$B$34:$K$34</c:f>
              <c:numCache>
                <c:formatCode>0.00%</c:formatCode>
                <c:ptCount val="10"/>
                <c:pt idx="0">
                  <c:v>7.9611957061491656E-2</c:v>
                </c:pt>
                <c:pt idx="1">
                  <c:v>7.9647218453188603E-2</c:v>
                </c:pt>
                <c:pt idx="2">
                  <c:v>8.7491108627172035E-2</c:v>
                </c:pt>
                <c:pt idx="3">
                  <c:v>8.9671737389911924E-2</c:v>
                </c:pt>
                <c:pt idx="4">
                  <c:v>7.9070117363827866E-2</c:v>
                </c:pt>
                <c:pt idx="5">
                  <c:v>7.7043026277793816E-2</c:v>
                </c:pt>
                <c:pt idx="6">
                  <c:v>7.3911986384634087E-2</c:v>
                </c:pt>
                <c:pt idx="7">
                  <c:v>7.2238441170480006E-2</c:v>
                </c:pt>
                <c:pt idx="8">
                  <c:v>7.0880481763877429E-2</c:v>
                </c:pt>
                <c:pt idx="9">
                  <c:v>0.11404576436222005</c:v>
                </c:pt>
              </c:numCache>
            </c:numRef>
          </c:val>
          <c:smooth val="0"/>
          <c:extLst>
            <c:ext xmlns:c16="http://schemas.microsoft.com/office/drawing/2014/chart" uri="{C3380CC4-5D6E-409C-BE32-E72D297353CC}">
              <c16:uniqueId val="{00000003-55BF-A442-9823-96F22C540B9E}"/>
            </c:ext>
          </c:extLst>
        </c:ser>
        <c:ser>
          <c:idx val="4"/>
          <c:order val="4"/>
          <c:tx>
            <c:strRef>
              <c:f>'BS CS Vertical'!$A$40</c:f>
              <c:strCache>
                <c:ptCount val="1"/>
                <c:pt idx="0">
                  <c:v>LT Debt &amp; Lease </c:v>
                </c:pt>
              </c:strCache>
            </c:strRef>
          </c:tx>
          <c:spPr>
            <a:ln w="28575" cap="rnd">
              <a:solidFill>
                <a:schemeClr val="accent5"/>
              </a:solidFill>
              <a:round/>
            </a:ln>
            <a:effectLst/>
          </c:spPr>
          <c:marker>
            <c:symbol val="none"/>
          </c:marker>
          <c:cat>
            <c:strRef>
              <c:f>'Balance Sheet'!$B$1:$K$1</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'BS CS Vertical'!$B$40:$K$40</c:f>
              <c:numCache>
                <c:formatCode>0.00%</c:formatCode>
                <c:ptCount val="10"/>
                <c:pt idx="0">
                  <c:v>0.19418921516023066</c:v>
                </c:pt>
                <c:pt idx="1">
                  <c:v>1.3568521031207597E-3</c:v>
                </c:pt>
                <c:pt idx="2">
                  <c:v>0.20211360634081901</c:v>
                </c:pt>
                <c:pt idx="3">
                  <c:v>0.17658571301485632</c:v>
                </c:pt>
                <c:pt idx="4">
                  <c:v>0.14956364730665062</c:v>
                </c:pt>
                <c:pt idx="5">
                  <c:v>0.11498700548657234</c:v>
                </c:pt>
                <c:pt idx="6">
                  <c:v>0.20714806710430342</c:v>
                </c:pt>
                <c:pt idx="7">
                  <c:v>0.24771991762283024</c:v>
                </c:pt>
                <c:pt idx="8">
                  <c:v>0.23561264630178233</c:v>
                </c:pt>
                <c:pt idx="9">
                  <c:v>0.12869705452775074</c:v>
                </c:pt>
              </c:numCache>
            </c:numRef>
          </c:val>
          <c:smooth val="0"/>
          <c:extLst>
            <c:ext xmlns:c16="http://schemas.microsoft.com/office/drawing/2014/chart" uri="{C3380CC4-5D6E-409C-BE32-E72D297353CC}">
              <c16:uniqueId val="{00000004-55BF-A442-9823-96F22C540B9E}"/>
            </c:ext>
          </c:extLst>
        </c:ser>
        <c:ser>
          <c:idx val="5"/>
          <c:order val="5"/>
          <c:tx>
            <c:strRef>
              <c:f>'BS CS Vertical'!$A$49</c:f>
              <c:strCache>
                <c:ptCount val="1"/>
                <c:pt idx="0">
                  <c:v>Retained Earnings </c:v>
                </c:pt>
              </c:strCache>
            </c:strRef>
          </c:tx>
          <c:spPr>
            <a:ln w="28575" cap="rnd">
              <a:solidFill>
                <a:schemeClr val="accent6"/>
              </a:solidFill>
              <a:round/>
            </a:ln>
            <a:effectLst/>
          </c:spPr>
          <c:marker>
            <c:symbol val="none"/>
          </c:marker>
          <c:cat>
            <c:strRef>
              <c:f>'Balance Sheet'!$B$1:$K$1</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'BS CS Vertical'!$B$49:$K$49</c:f>
              <c:numCache>
                <c:formatCode>0.00%</c:formatCode>
                <c:ptCount val="10"/>
                <c:pt idx="0">
                  <c:v>0.54835095220796937</c:v>
                </c:pt>
                <c:pt idx="1">
                  <c:v>0.59023066485753051</c:v>
                </c:pt>
                <c:pt idx="2">
                  <c:v>0.62066863123666294</c:v>
                </c:pt>
                <c:pt idx="3">
                  <c:v>0.78169202028289297</c:v>
                </c:pt>
                <c:pt idx="4">
                  <c:v>0.94530544688534457</c:v>
                </c:pt>
                <c:pt idx="5">
                  <c:v>0.86462604678024835</c:v>
                </c:pt>
                <c:pt idx="6">
                  <c:v>0.65673300684241598</c:v>
                </c:pt>
                <c:pt idx="7">
                  <c:v>0.3674157557652703</c:v>
                </c:pt>
                <c:pt idx="8">
                  <c:v>0.24697683453936187</c:v>
                </c:pt>
                <c:pt idx="9">
                  <c:v>0.4536422833495618</c:v>
                </c:pt>
              </c:numCache>
            </c:numRef>
          </c:val>
          <c:smooth val="0"/>
          <c:extLst>
            <c:ext xmlns:c16="http://schemas.microsoft.com/office/drawing/2014/chart" uri="{C3380CC4-5D6E-409C-BE32-E72D297353CC}">
              <c16:uniqueId val="{00000005-55BF-A442-9823-96F22C540B9E}"/>
            </c:ext>
          </c:extLst>
        </c:ser>
        <c:dLbls>
          <c:showLegendKey val="0"/>
          <c:showVal val="0"/>
          <c:showCatName val="0"/>
          <c:showSerName val="0"/>
          <c:showPercent val="0"/>
          <c:showBubbleSize val="0"/>
        </c:dLbls>
        <c:smooth val="0"/>
        <c:axId val="2018555119"/>
        <c:axId val="2019469311"/>
      </c:lineChart>
      <c:catAx>
        <c:axId val="201855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19469311"/>
        <c:crosses val="autoZero"/>
        <c:auto val="1"/>
        <c:lblAlgn val="ctr"/>
        <c:lblOffset val="100"/>
        <c:noMultiLvlLbl val="0"/>
      </c:catAx>
      <c:valAx>
        <c:axId val="20194693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555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Asset VS Total Liabilities &amp; Equity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'Balance Sheet'!$A$23</c:f>
              <c:strCache>
                <c:ptCount val="1"/>
                <c:pt idx="0">
                  <c:v>Total Assets</c:v>
                </c:pt>
              </c:strCache>
            </c:strRef>
          </c:tx>
          <c:spPr>
            <a:ln w="28575" cap="rnd">
              <a:solidFill>
                <a:srgbClr val="60497A"/>
              </a:solidFill>
              <a:prstDash val="solid"/>
              <a:round/>
            </a:ln>
            <a:effectLst/>
          </c:spPr>
          <c:marker>
            <c:symbol val="circle"/>
            <c:size val="5"/>
            <c:spPr>
              <a:solidFill>
                <a:srgbClr val="E4DFEC"/>
              </a:solidFill>
              <a:ln w="9525">
                <a:solidFill>
                  <a:srgbClr val="60497A"/>
                </a:solidFill>
                <a:prstDash val="solid"/>
              </a:ln>
              <a:effectLst/>
            </c:spPr>
          </c:marker>
          <c:cat>
            <c:strRef>
              <c:f>'Balance Sheet'!$B$1:$K$1</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'Balance Sheet'!$B$23:$K$23</c:f>
              <c:numCache>
                <c:formatCode>_(* #,##0_);_(* \(#,##0\);_(* "-"??_);_(@_)</c:formatCode>
                <c:ptCount val="10"/>
                <c:pt idx="0">
                  <c:v>7201368</c:v>
                </c:pt>
                <c:pt idx="1">
                  <c:v>7370000</c:v>
                </c:pt>
                <c:pt idx="2">
                  <c:v>9841000</c:v>
                </c:pt>
                <c:pt idx="3">
                  <c:v>11241000</c:v>
                </c:pt>
                <c:pt idx="4">
                  <c:v>13292000</c:v>
                </c:pt>
                <c:pt idx="5">
                  <c:v>17315000</c:v>
                </c:pt>
                <c:pt idx="6">
                  <c:v>28791000</c:v>
                </c:pt>
                <c:pt idx="7">
                  <c:v>44187000</c:v>
                </c:pt>
                <c:pt idx="8">
                  <c:v>41182000</c:v>
                </c:pt>
                <c:pt idx="9">
                  <c:v>65728000</c:v>
                </c:pt>
              </c:numCache>
            </c:numRef>
          </c:val>
          <c:smooth val="0"/>
          <c:extLst>
            <c:ext xmlns:c16="http://schemas.microsoft.com/office/drawing/2014/chart" uri="{C3380CC4-5D6E-409C-BE32-E72D297353CC}">
              <c16:uniqueId val="{00000000-D2F1-439F-9189-5A4BF7B00738}"/>
            </c:ext>
          </c:extLst>
        </c:ser>
        <c:ser>
          <c:idx val="1"/>
          <c:order val="1"/>
          <c:tx>
            <c:strRef>
              <c:f>'Balance Sheet'!$A$45</c:f>
              <c:strCache>
                <c:ptCount val="1"/>
                <c:pt idx="0">
                  <c:v>Total Liabilities &amp; Equity</c:v>
                </c:pt>
              </c:strCache>
            </c:strRef>
          </c:tx>
          <c:spPr>
            <a:ln w="28575" cap="rnd">
              <a:solidFill>
                <a:srgbClr val="E4DFEC"/>
              </a:solidFill>
              <a:prstDash val="solid"/>
              <a:round/>
            </a:ln>
            <a:effectLst/>
          </c:spPr>
          <c:marker>
            <c:symbol val="circle"/>
            <c:size val="5"/>
            <c:spPr>
              <a:solidFill>
                <a:srgbClr val="60497A"/>
              </a:solidFill>
              <a:ln w="9525">
                <a:solidFill>
                  <a:srgbClr val="CCC0DA"/>
                </a:solidFill>
                <a:prstDash val="solid"/>
              </a:ln>
              <a:effectLst/>
            </c:spPr>
          </c:marker>
          <c:cat>
            <c:strRef>
              <c:f>'Balance Sheet'!$B$1:$K$1</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'Balance Sheet'!$B$45:$K$45</c:f>
              <c:numCache>
                <c:formatCode>_(* #,##0_);_(* \(#,##0\);_(* "-"??_);_(@_)</c:formatCode>
                <c:ptCount val="10"/>
                <c:pt idx="0">
                  <c:v>7201368</c:v>
                </c:pt>
                <c:pt idx="1">
                  <c:v>7370000</c:v>
                </c:pt>
                <c:pt idx="2">
                  <c:v>9841000</c:v>
                </c:pt>
                <c:pt idx="3">
                  <c:v>11241000</c:v>
                </c:pt>
                <c:pt idx="4">
                  <c:v>13292000</c:v>
                </c:pt>
                <c:pt idx="5">
                  <c:v>17315000</c:v>
                </c:pt>
                <c:pt idx="6">
                  <c:v>28791000</c:v>
                </c:pt>
                <c:pt idx="7">
                  <c:v>44187000</c:v>
                </c:pt>
                <c:pt idx="8">
                  <c:v>41182000</c:v>
                </c:pt>
                <c:pt idx="9">
                  <c:v>65728000</c:v>
                </c:pt>
              </c:numCache>
            </c:numRef>
          </c:val>
          <c:smooth val="0"/>
          <c:extLst>
            <c:ext xmlns:c16="http://schemas.microsoft.com/office/drawing/2014/chart" uri="{C3380CC4-5D6E-409C-BE32-E72D297353CC}">
              <c16:uniqueId val="{00000001-D2F1-439F-9189-5A4BF7B00738}"/>
            </c:ext>
          </c:extLst>
        </c:ser>
        <c:dLbls>
          <c:showLegendKey val="0"/>
          <c:showVal val="0"/>
          <c:showCatName val="0"/>
          <c:showSerName val="0"/>
          <c:showPercent val="0"/>
          <c:showBubbleSize val="0"/>
        </c:dLbls>
        <c:marker val="1"/>
        <c:smooth val="0"/>
        <c:axId val="65758216"/>
        <c:axId val="206789128"/>
      </c:lineChart>
      <c:catAx>
        <c:axId val="65758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89128"/>
        <c:crosses val="autoZero"/>
        <c:auto val="1"/>
        <c:lblAlgn val="ctr"/>
        <c:lblOffset val="100"/>
        <c:noMultiLvlLbl val="0"/>
      </c:catAx>
      <c:valAx>
        <c:axId val="20678912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58216"/>
        <c:crosses val="autoZero"/>
        <c:crossBetween val="between"/>
        <c:majorUnit val="2000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Board of Directors of NVIDIA</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Board of Directors of NVIDIA</a:t>
          </a:r>
        </a:p>
      </cx:txPr>
    </cx:title>
    <cx:plotArea>
      <cx:plotAreaRegion>
        <cx:series layoutId="treemap" uniqueId="{07F9D667-74D8-4F3A-A62E-315C1562F7F2}">
          <cx:tx>
            <cx:txData>
              <cx:f>_xlchart.v1.1</cx:f>
              <cx:v/>
            </cx:txData>
          </cx:tx>
          <cx:spPr>
            <a:solidFill>
              <a:srgbClr val="9CBE91"/>
            </a:solidFill>
            <a:ln w="12700">
              <a:solidFill>
                <a:srgbClr val="000000"/>
              </a:solidFill>
              <a:prstDash val="solid"/>
            </a:ln>
          </cx:spPr>
          <cx:dataPt idx="12"/>
          <cx:dataPt idx="18"/>
          <cx:dataPt idx="20"/>
          <cx:dataLabels pos="inEnd">
            <cx:txPr>
              <a:bodyPr vertOverflow="overflow" horzOverflow="overflow" wrap="square" lIns="0" tIns="0" rIns="0" bIns="0"/>
              <a:lstStyle/>
              <a:p>
                <a:pPr algn="ctr" rtl="0">
                  <a:defRPr sz="10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sz="1000">
                  <a:solidFill>
                    <a:srgbClr val="000000"/>
                  </a:solidFill>
                </a:endParaRPr>
              </a:p>
            </cx:txPr>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5C80F79F-57ED-4BA3-A333-252F570B6BEC}" type="doc">
      <dgm:prSet loTypeId="urn:microsoft.com/office/officeart/2005/8/layout/radial6" loCatId="cycle" qsTypeId="urn:microsoft.com/office/officeart/2005/8/quickstyle/simple1" qsCatId="simple" csTypeId="urn:microsoft.com/office/officeart/2005/8/colors/accent1_2" csCatId="accent1" phldr="1"/>
      <dgm:spPr/>
      <dgm:t>
        <a:bodyPr/>
        <a:lstStyle/>
        <a:p>
          <a:endParaRPr lang="en-US"/>
        </a:p>
      </dgm:t>
    </dgm:pt>
    <dgm:pt modelId="{E3DE8D8B-B555-40D8-B861-FD2C3279CFFC}">
      <dgm:prSet phldrT="[Text]" custT="1"/>
      <dgm:spPr>
        <a:solidFill>
          <a:srgbClr val="45BD03"/>
        </a:solidFill>
      </dgm:spPr>
      <dgm:t>
        <a:bodyPr/>
        <a:lstStyle/>
        <a:p>
          <a:r>
            <a:rPr lang="en-US" sz="3200" dirty="0"/>
            <a:t>One Team</a:t>
          </a:r>
        </a:p>
      </dgm:t>
    </dgm:pt>
    <dgm:pt modelId="{FBBDE6E7-5AE3-4CE6-B75B-BC723643E76D}" type="parTrans" cxnId="{B555CFDF-5720-4471-B302-0922CA5E0614}">
      <dgm:prSet/>
      <dgm:spPr/>
      <dgm:t>
        <a:bodyPr/>
        <a:lstStyle/>
        <a:p>
          <a:endParaRPr lang="en-US"/>
        </a:p>
      </dgm:t>
    </dgm:pt>
    <dgm:pt modelId="{D0FFF4A8-B16B-4FF0-84A2-AE085C207990}" type="sibTrans" cxnId="{B555CFDF-5720-4471-B302-0922CA5E0614}">
      <dgm:prSet/>
      <dgm:spPr/>
      <dgm:t>
        <a:bodyPr/>
        <a:lstStyle/>
        <a:p>
          <a:endParaRPr lang="en-US"/>
        </a:p>
      </dgm:t>
    </dgm:pt>
    <dgm:pt modelId="{9B8AD769-E740-48E9-9F43-0653F48DF1FA}">
      <dgm:prSet phldrT="[Text]" custT="1"/>
      <dgm:spPr>
        <a:solidFill>
          <a:srgbClr val="45BD03"/>
        </a:solidFill>
      </dgm:spPr>
      <dgm:t>
        <a:bodyPr/>
        <a:lstStyle/>
        <a:p>
          <a:r>
            <a:rPr lang="en-US" sz="1500" dirty="0"/>
            <a:t>Innovation</a:t>
          </a:r>
        </a:p>
      </dgm:t>
    </dgm:pt>
    <dgm:pt modelId="{A9179DB2-050F-437C-A0B5-2565A9F72BA6}" type="parTrans" cxnId="{3708CF8C-F13A-40C9-99A4-6CEB37DF4572}">
      <dgm:prSet/>
      <dgm:spPr/>
      <dgm:t>
        <a:bodyPr/>
        <a:lstStyle/>
        <a:p>
          <a:endParaRPr lang="en-US"/>
        </a:p>
      </dgm:t>
    </dgm:pt>
    <dgm:pt modelId="{23FC2D25-6A04-4706-A09A-2F3EE65344CE}" type="sibTrans" cxnId="{3708CF8C-F13A-40C9-99A4-6CEB37DF4572}">
      <dgm:prSet/>
      <dgm:spPr/>
      <dgm:t>
        <a:bodyPr/>
        <a:lstStyle/>
        <a:p>
          <a:endParaRPr lang="en-US"/>
        </a:p>
      </dgm:t>
    </dgm:pt>
    <dgm:pt modelId="{E6755A98-125F-4BC5-B4C7-4FA8338CE86B}">
      <dgm:prSet phldrT="[Text]" custT="1"/>
      <dgm:spPr>
        <a:solidFill>
          <a:srgbClr val="45BD03"/>
        </a:solidFill>
      </dgm:spPr>
      <dgm:t>
        <a:bodyPr/>
        <a:lstStyle/>
        <a:p>
          <a:r>
            <a:rPr lang="en-US" sz="1500" dirty="0"/>
            <a:t>Intellectual Honesty</a:t>
          </a:r>
        </a:p>
      </dgm:t>
    </dgm:pt>
    <dgm:pt modelId="{FBAB3375-3B78-449E-B48C-084947815CD7}" type="parTrans" cxnId="{18F16362-445F-47DF-8D47-542E816F443A}">
      <dgm:prSet/>
      <dgm:spPr/>
      <dgm:t>
        <a:bodyPr/>
        <a:lstStyle/>
        <a:p>
          <a:endParaRPr lang="en-US"/>
        </a:p>
      </dgm:t>
    </dgm:pt>
    <dgm:pt modelId="{B4617ABF-5962-4C17-8E57-AF6BA4ACAFF7}" type="sibTrans" cxnId="{18F16362-445F-47DF-8D47-542E816F443A}">
      <dgm:prSet/>
      <dgm:spPr/>
      <dgm:t>
        <a:bodyPr/>
        <a:lstStyle/>
        <a:p>
          <a:endParaRPr lang="en-US"/>
        </a:p>
      </dgm:t>
    </dgm:pt>
    <dgm:pt modelId="{15F1C664-21FA-4A57-8EE2-199EA12C9637}">
      <dgm:prSet phldrT="[Text]" custT="1"/>
      <dgm:spPr>
        <a:solidFill>
          <a:srgbClr val="45BD03"/>
        </a:solidFill>
      </dgm:spPr>
      <dgm:t>
        <a:bodyPr/>
        <a:lstStyle/>
        <a:p>
          <a:r>
            <a:rPr lang="en-US" sz="1350" dirty="0"/>
            <a:t>Excellence and Determination</a:t>
          </a:r>
        </a:p>
      </dgm:t>
    </dgm:pt>
    <dgm:pt modelId="{0B88D990-CBFB-46D3-8A8D-61AB3314A382}" type="parTrans" cxnId="{9FBEBF03-380B-468E-8646-548B0CC59055}">
      <dgm:prSet/>
      <dgm:spPr/>
      <dgm:t>
        <a:bodyPr/>
        <a:lstStyle/>
        <a:p>
          <a:endParaRPr lang="en-US"/>
        </a:p>
      </dgm:t>
    </dgm:pt>
    <dgm:pt modelId="{7DEC4F16-FA7D-44C0-B8EA-73EBA568928A}" type="sibTrans" cxnId="{9FBEBF03-380B-468E-8646-548B0CC59055}">
      <dgm:prSet/>
      <dgm:spPr/>
      <dgm:t>
        <a:bodyPr/>
        <a:lstStyle/>
        <a:p>
          <a:endParaRPr lang="en-US"/>
        </a:p>
      </dgm:t>
    </dgm:pt>
    <dgm:pt modelId="{D6AC0C15-8E39-4B0C-9699-3046CEC3C1EA}">
      <dgm:prSet phldrT="[Text]" custT="1"/>
      <dgm:spPr>
        <a:solidFill>
          <a:srgbClr val="45BD03"/>
        </a:solidFill>
      </dgm:spPr>
      <dgm:t>
        <a:bodyPr/>
        <a:lstStyle/>
        <a:p>
          <a:r>
            <a:rPr lang="en-US" sz="1500" dirty="0"/>
            <a:t>Speed and Agility</a:t>
          </a:r>
        </a:p>
      </dgm:t>
    </dgm:pt>
    <dgm:pt modelId="{98F5E128-F919-4C7A-8DFB-BA0EC5C75492}" type="parTrans" cxnId="{631F5A1B-3DD5-4F8E-9CAE-641E8B7B554A}">
      <dgm:prSet/>
      <dgm:spPr/>
      <dgm:t>
        <a:bodyPr/>
        <a:lstStyle/>
        <a:p>
          <a:endParaRPr lang="en-US"/>
        </a:p>
      </dgm:t>
    </dgm:pt>
    <dgm:pt modelId="{8574D923-9AA3-45FE-BAF0-EB97536EE021}" type="sibTrans" cxnId="{631F5A1B-3DD5-4F8E-9CAE-641E8B7B554A}">
      <dgm:prSet/>
      <dgm:spPr/>
      <dgm:t>
        <a:bodyPr/>
        <a:lstStyle/>
        <a:p>
          <a:endParaRPr lang="en-US"/>
        </a:p>
      </dgm:t>
    </dgm:pt>
    <dgm:pt modelId="{FDB69F3C-81D9-43B1-ACE1-34C5835D3C69}" type="pres">
      <dgm:prSet presAssocID="{5C80F79F-57ED-4BA3-A333-252F570B6BEC}" presName="Name0" presStyleCnt="0">
        <dgm:presLayoutVars>
          <dgm:chMax val="1"/>
          <dgm:dir/>
          <dgm:animLvl val="ctr"/>
          <dgm:resizeHandles val="exact"/>
        </dgm:presLayoutVars>
      </dgm:prSet>
      <dgm:spPr/>
    </dgm:pt>
    <dgm:pt modelId="{F91CCE1A-920A-4C92-BD5B-80AA269718A9}" type="pres">
      <dgm:prSet presAssocID="{E3DE8D8B-B555-40D8-B861-FD2C3279CFFC}" presName="centerShape" presStyleLbl="node0" presStyleIdx="0" presStyleCnt="1"/>
      <dgm:spPr/>
    </dgm:pt>
    <dgm:pt modelId="{79B049E3-327D-4E4F-858E-D8FF1820CFF2}" type="pres">
      <dgm:prSet presAssocID="{9B8AD769-E740-48E9-9F43-0653F48DF1FA}" presName="node" presStyleLbl="node1" presStyleIdx="0" presStyleCnt="4" custScaleX="145527" custScaleY="116528">
        <dgm:presLayoutVars>
          <dgm:bulletEnabled val="1"/>
        </dgm:presLayoutVars>
      </dgm:prSet>
      <dgm:spPr/>
    </dgm:pt>
    <dgm:pt modelId="{AD3727CD-1030-4DF2-B1AC-64F11BC8A836}" type="pres">
      <dgm:prSet presAssocID="{9B8AD769-E740-48E9-9F43-0653F48DF1FA}" presName="dummy" presStyleCnt="0"/>
      <dgm:spPr/>
    </dgm:pt>
    <dgm:pt modelId="{16CDA0E4-D832-4C20-8A8F-13B223DDF6D9}" type="pres">
      <dgm:prSet presAssocID="{23FC2D25-6A04-4706-A09A-2F3EE65344CE}" presName="sibTrans" presStyleLbl="sibTrans2D1" presStyleIdx="0" presStyleCnt="4"/>
      <dgm:spPr/>
    </dgm:pt>
    <dgm:pt modelId="{178FAE97-7D6C-4F18-B059-6F86C7966C43}" type="pres">
      <dgm:prSet presAssocID="{E6755A98-125F-4BC5-B4C7-4FA8338CE86B}" presName="node" presStyleLbl="node1" presStyleIdx="1" presStyleCnt="4" custScaleX="145527" custScaleY="116528">
        <dgm:presLayoutVars>
          <dgm:bulletEnabled val="1"/>
        </dgm:presLayoutVars>
      </dgm:prSet>
      <dgm:spPr/>
    </dgm:pt>
    <dgm:pt modelId="{3811ED36-B29F-4365-9332-C58F38A04ED6}" type="pres">
      <dgm:prSet presAssocID="{E6755A98-125F-4BC5-B4C7-4FA8338CE86B}" presName="dummy" presStyleCnt="0"/>
      <dgm:spPr/>
    </dgm:pt>
    <dgm:pt modelId="{55A91C4F-F0BB-432D-9CF3-914116B08C26}" type="pres">
      <dgm:prSet presAssocID="{B4617ABF-5962-4C17-8E57-AF6BA4ACAFF7}" presName="sibTrans" presStyleLbl="sibTrans2D1" presStyleIdx="1" presStyleCnt="4"/>
      <dgm:spPr/>
    </dgm:pt>
    <dgm:pt modelId="{9C5B6185-1291-430F-A0D8-DA61A92313A6}" type="pres">
      <dgm:prSet presAssocID="{15F1C664-21FA-4A57-8EE2-199EA12C9637}" presName="node" presStyleLbl="node1" presStyleIdx="2" presStyleCnt="4" custScaleX="145527" custScaleY="116528">
        <dgm:presLayoutVars>
          <dgm:bulletEnabled val="1"/>
        </dgm:presLayoutVars>
      </dgm:prSet>
      <dgm:spPr/>
    </dgm:pt>
    <dgm:pt modelId="{A351DF68-4E93-4DE3-8866-2A4CB790FA0E}" type="pres">
      <dgm:prSet presAssocID="{15F1C664-21FA-4A57-8EE2-199EA12C9637}" presName="dummy" presStyleCnt="0"/>
      <dgm:spPr/>
    </dgm:pt>
    <dgm:pt modelId="{42F84891-94E6-47E9-BC72-E0C0F298270E}" type="pres">
      <dgm:prSet presAssocID="{7DEC4F16-FA7D-44C0-B8EA-73EBA568928A}" presName="sibTrans" presStyleLbl="sibTrans2D1" presStyleIdx="2" presStyleCnt="4"/>
      <dgm:spPr/>
    </dgm:pt>
    <dgm:pt modelId="{AB969C37-7228-4502-85F9-72207B3DAF3D}" type="pres">
      <dgm:prSet presAssocID="{D6AC0C15-8E39-4B0C-9699-3046CEC3C1EA}" presName="node" presStyleLbl="node1" presStyleIdx="3" presStyleCnt="4" custScaleX="145527" custScaleY="116528">
        <dgm:presLayoutVars>
          <dgm:bulletEnabled val="1"/>
        </dgm:presLayoutVars>
      </dgm:prSet>
      <dgm:spPr/>
    </dgm:pt>
    <dgm:pt modelId="{72E1944E-F788-4E8F-8A24-540882D64548}" type="pres">
      <dgm:prSet presAssocID="{D6AC0C15-8E39-4B0C-9699-3046CEC3C1EA}" presName="dummy" presStyleCnt="0"/>
      <dgm:spPr/>
    </dgm:pt>
    <dgm:pt modelId="{50704E98-0171-4FF4-8F20-BC73FDB71618}" type="pres">
      <dgm:prSet presAssocID="{8574D923-9AA3-45FE-BAF0-EB97536EE021}" presName="sibTrans" presStyleLbl="sibTrans2D1" presStyleIdx="3" presStyleCnt="4"/>
      <dgm:spPr/>
    </dgm:pt>
  </dgm:ptLst>
  <dgm:cxnLst>
    <dgm:cxn modelId="{9FBEBF03-380B-468E-8646-548B0CC59055}" srcId="{E3DE8D8B-B555-40D8-B861-FD2C3279CFFC}" destId="{15F1C664-21FA-4A57-8EE2-199EA12C9637}" srcOrd="2" destOrd="0" parTransId="{0B88D990-CBFB-46D3-8A8D-61AB3314A382}" sibTransId="{7DEC4F16-FA7D-44C0-B8EA-73EBA568928A}"/>
    <dgm:cxn modelId="{CC25B911-E6DB-48E5-9C66-6A8390201472}" type="presOf" srcId="{9B8AD769-E740-48E9-9F43-0653F48DF1FA}" destId="{79B049E3-327D-4E4F-858E-D8FF1820CFF2}" srcOrd="0" destOrd="0" presId="urn:microsoft.com/office/officeart/2005/8/layout/radial6"/>
    <dgm:cxn modelId="{631F5A1B-3DD5-4F8E-9CAE-641E8B7B554A}" srcId="{E3DE8D8B-B555-40D8-B861-FD2C3279CFFC}" destId="{D6AC0C15-8E39-4B0C-9699-3046CEC3C1EA}" srcOrd="3" destOrd="0" parTransId="{98F5E128-F919-4C7A-8DFB-BA0EC5C75492}" sibTransId="{8574D923-9AA3-45FE-BAF0-EB97536EE021}"/>
    <dgm:cxn modelId="{16813043-BE2F-48DE-8E7D-A330E350BE04}" type="presOf" srcId="{E3DE8D8B-B555-40D8-B861-FD2C3279CFFC}" destId="{F91CCE1A-920A-4C92-BD5B-80AA269718A9}" srcOrd="0" destOrd="0" presId="urn:microsoft.com/office/officeart/2005/8/layout/radial6"/>
    <dgm:cxn modelId="{6EDDBA46-73A4-48C5-97EF-E3D919E14166}" type="presOf" srcId="{E6755A98-125F-4BC5-B4C7-4FA8338CE86B}" destId="{178FAE97-7D6C-4F18-B059-6F86C7966C43}" srcOrd="0" destOrd="0" presId="urn:microsoft.com/office/officeart/2005/8/layout/radial6"/>
    <dgm:cxn modelId="{2A2BE74B-B419-4D16-B16F-B3EB4F8C2D59}" type="presOf" srcId="{8574D923-9AA3-45FE-BAF0-EB97536EE021}" destId="{50704E98-0171-4FF4-8F20-BC73FDB71618}" srcOrd="0" destOrd="0" presId="urn:microsoft.com/office/officeart/2005/8/layout/radial6"/>
    <dgm:cxn modelId="{5C667C51-619A-4054-B19D-10F0663A4DC7}" type="presOf" srcId="{5C80F79F-57ED-4BA3-A333-252F570B6BEC}" destId="{FDB69F3C-81D9-43B1-ACE1-34C5835D3C69}" srcOrd="0" destOrd="0" presId="urn:microsoft.com/office/officeart/2005/8/layout/radial6"/>
    <dgm:cxn modelId="{61B92B59-6A6E-4ED2-97DC-3B02CC85F5CD}" type="presOf" srcId="{7DEC4F16-FA7D-44C0-B8EA-73EBA568928A}" destId="{42F84891-94E6-47E9-BC72-E0C0F298270E}" srcOrd="0" destOrd="0" presId="urn:microsoft.com/office/officeart/2005/8/layout/radial6"/>
    <dgm:cxn modelId="{18F16362-445F-47DF-8D47-542E816F443A}" srcId="{E3DE8D8B-B555-40D8-B861-FD2C3279CFFC}" destId="{E6755A98-125F-4BC5-B4C7-4FA8338CE86B}" srcOrd="1" destOrd="0" parTransId="{FBAB3375-3B78-449E-B48C-084947815CD7}" sibTransId="{B4617ABF-5962-4C17-8E57-AF6BA4ACAFF7}"/>
    <dgm:cxn modelId="{2C7F8781-B13F-49F0-9D25-5B0A27507853}" type="presOf" srcId="{D6AC0C15-8E39-4B0C-9699-3046CEC3C1EA}" destId="{AB969C37-7228-4502-85F9-72207B3DAF3D}" srcOrd="0" destOrd="0" presId="urn:microsoft.com/office/officeart/2005/8/layout/radial6"/>
    <dgm:cxn modelId="{3708CF8C-F13A-40C9-99A4-6CEB37DF4572}" srcId="{E3DE8D8B-B555-40D8-B861-FD2C3279CFFC}" destId="{9B8AD769-E740-48E9-9F43-0653F48DF1FA}" srcOrd="0" destOrd="0" parTransId="{A9179DB2-050F-437C-A0B5-2565A9F72BA6}" sibTransId="{23FC2D25-6A04-4706-A09A-2F3EE65344CE}"/>
    <dgm:cxn modelId="{F00A04BC-AED1-4A45-9306-7613B1FCC55D}" type="presOf" srcId="{23FC2D25-6A04-4706-A09A-2F3EE65344CE}" destId="{16CDA0E4-D832-4C20-8A8F-13B223DDF6D9}" srcOrd="0" destOrd="0" presId="urn:microsoft.com/office/officeart/2005/8/layout/radial6"/>
    <dgm:cxn modelId="{24ECF0C7-E5B8-4973-AA74-C114C8821826}" type="presOf" srcId="{B4617ABF-5962-4C17-8E57-AF6BA4ACAFF7}" destId="{55A91C4F-F0BB-432D-9CF3-914116B08C26}" srcOrd="0" destOrd="0" presId="urn:microsoft.com/office/officeart/2005/8/layout/radial6"/>
    <dgm:cxn modelId="{B555CFDF-5720-4471-B302-0922CA5E0614}" srcId="{5C80F79F-57ED-4BA3-A333-252F570B6BEC}" destId="{E3DE8D8B-B555-40D8-B861-FD2C3279CFFC}" srcOrd="0" destOrd="0" parTransId="{FBBDE6E7-5AE3-4CE6-B75B-BC723643E76D}" sibTransId="{D0FFF4A8-B16B-4FF0-84A2-AE085C207990}"/>
    <dgm:cxn modelId="{61D5CEE9-09FA-473B-B464-936A44FEAD4F}" type="presOf" srcId="{15F1C664-21FA-4A57-8EE2-199EA12C9637}" destId="{9C5B6185-1291-430F-A0D8-DA61A92313A6}" srcOrd="0" destOrd="0" presId="urn:microsoft.com/office/officeart/2005/8/layout/radial6"/>
    <dgm:cxn modelId="{FA516C88-53EF-467B-AE2D-4E04FCFE878D}" type="presParOf" srcId="{FDB69F3C-81D9-43B1-ACE1-34C5835D3C69}" destId="{F91CCE1A-920A-4C92-BD5B-80AA269718A9}" srcOrd="0" destOrd="0" presId="urn:microsoft.com/office/officeart/2005/8/layout/radial6"/>
    <dgm:cxn modelId="{DB2B2483-8DBB-4278-B6A6-9FC3CBA83CE9}" type="presParOf" srcId="{FDB69F3C-81D9-43B1-ACE1-34C5835D3C69}" destId="{79B049E3-327D-4E4F-858E-D8FF1820CFF2}" srcOrd="1" destOrd="0" presId="urn:microsoft.com/office/officeart/2005/8/layout/radial6"/>
    <dgm:cxn modelId="{03A50C6D-593F-4222-8D6E-C7C3B0CEFF23}" type="presParOf" srcId="{FDB69F3C-81D9-43B1-ACE1-34C5835D3C69}" destId="{AD3727CD-1030-4DF2-B1AC-64F11BC8A836}" srcOrd="2" destOrd="0" presId="urn:microsoft.com/office/officeart/2005/8/layout/radial6"/>
    <dgm:cxn modelId="{7E1CFB0E-E2CF-4AA1-A5DF-7DAB5E0AA97C}" type="presParOf" srcId="{FDB69F3C-81D9-43B1-ACE1-34C5835D3C69}" destId="{16CDA0E4-D832-4C20-8A8F-13B223DDF6D9}" srcOrd="3" destOrd="0" presId="urn:microsoft.com/office/officeart/2005/8/layout/radial6"/>
    <dgm:cxn modelId="{722CFB2A-3C1B-4B15-AE50-253539BDD02E}" type="presParOf" srcId="{FDB69F3C-81D9-43B1-ACE1-34C5835D3C69}" destId="{178FAE97-7D6C-4F18-B059-6F86C7966C43}" srcOrd="4" destOrd="0" presId="urn:microsoft.com/office/officeart/2005/8/layout/radial6"/>
    <dgm:cxn modelId="{02BB3BA0-DB6C-4869-B728-40B3D5C3633C}" type="presParOf" srcId="{FDB69F3C-81D9-43B1-ACE1-34C5835D3C69}" destId="{3811ED36-B29F-4365-9332-C58F38A04ED6}" srcOrd="5" destOrd="0" presId="urn:microsoft.com/office/officeart/2005/8/layout/radial6"/>
    <dgm:cxn modelId="{28E4E33F-0FF9-491B-B63B-641AD7699CC6}" type="presParOf" srcId="{FDB69F3C-81D9-43B1-ACE1-34C5835D3C69}" destId="{55A91C4F-F0BB-432D-9CF3-914116B08C26}" srcOrd="6" destOrd="0" presId="urn:microsoft.com/office/officeart/2005/8/layout/radial6"/>
    <dgm:cxn modelId="{9ADC965D-78A8-4BC8-B5CB-3653C10D799C}" type="presParOf" srcId="{FDB69F3C-81D9-43B1-ACE1-34C5835D3C69}" destId="{9C5B6185-1291-430F-A0D8-DA61A92313A6}" srcOrd="7" destOrd="0" presId="urn:microsoft.com/office/officeart/2005/8/layout/radial6"/>
    <dgm:cxn modelId="{BCDD07B8-9BF6-427E-960C-7DADD63C5612}" type="presParOf" srcId="{FDB69F3C-81D9-43B1-ACE1-34C5835D3C69}" destId="{A351DF68-4E93-4DE3-8866-2A4CB790FA0E}" srcOrd="8" destOrd="0" presId="urn:microsoft.com/office/officeart/2005/8/layout/radial6"/>
    <dgm:cxn modelId="{428095A1-48C7-46C1-9F19-B6EFCA43300D}" type="presParOf" srcId="{FDB69F3C-81D9-43B1-ACE1-34C5835D3C69}" destId="{42F84891-94E6-47E9-BC72-E0C0F298270E}" srcOrd="9" destOrd="0" presId="urn:microsoft.com/office/officeart/2005/8/layout/radial6"/>
    <dgm:cxn modelId="{873C1FF7-72DC-4905-892F-7F80F09CDE55}" type="presParOf" srcId="{FDB69F3C-81D9-43B1-ACE1-34C5835D3C69}" destId="{AB969C37-7228-4502-85F9-72207B3DAF3D}" srcOrd="10" destOrd="0" presId="urn:microsoft.com/office/officeart/2005/8/layout/radial6"/>
    <dgm:cxn modelId="{D8C49BB9-9AE5-4D2B-8BDB-32CEAD0FFF0C}" type="presParOf" srcId="{FDB69F3C-81D9-43B1-ACE1-34C5835D3C69}" destId="{72E1944E-F788-4E8F-8A24-540882D64548}" srcOrd="11" destOrd="0" presId="urn:microsoft.com/office/officeart/2005/8/layout/radial6"/>
    <dgm:cxn modelId="{8D399DEF-1453-4D98-87BA-4AE386D4607E}" type="presParOf" srcId="{FDB69F3C-81D9-43B1-ACE1-34C5835D3C69}" destId="{50704E98-0171-4FF4-8F20-BC73FDB71618}" srcOrd="12" destOrd="0" presId="urn:microsoft.com/office/officeart/2005/8/layout/radial6"/>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0704E98-0171-4FF4-8F20-BC73FDB71618}">
      <dsp:nvSpPr>
        <dsp:cNvPr id="0" name=""/>
        <dsp:cNvSpPr/>
      </dsp:nvSpPr>
      <dsp:spPr>
        <a:xfrm>
          <a:off x="1830357" y="495449"/>
          <a:ext cx="3305234" cy="3305234"/>
        </a:xfrm>
        <a:prstGeom prst="blockArc">
          <a:avLst>
            <a:gd name="adj1" fmla="val 10800000"/>
            <a:gd name="adj2" fmla="val 16200000"/>
            <a:gd name="adj3" fmla="val 4637"/>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42F84891-94E6-47E9-BC72-E0C0F298270E}">
      <dsp:nvSpPr>
        <dsp:cNvPr id="0" name=""/>
        <dsp:cNvSpPr/>
      </dsp:nvSpPr>
      <dsp:spPr>
        <a:xfrm>
          <a:off x="1830357" y="495449"/>
          <a:ext cx="3305234" cy="3305234"/>
        </a:xfrm>
        <a:prstGeom prst="blockArc">
          <a:avLst>
            <a:gd name="adj1" fmla="val 5400000"/>
            <a:gd name="adj2" fmla="val 10800000"/>
            <a:gd name="adj3" fmla="val 4637"/>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55A91C4F-F0BB-432D-9CF3-914116B08C26}">
      <dsp:nvSpPr>
        <dsp:cNvPr id="0" name=""/>
        <dsp:cNvSpPr/>
      </dsp:nvSpPr>
      <dsp:spPr>
        <a:xfrm>
          <a:off x="1830357" y="495449"/>
          <a:ext cx="3305234" cy="3305234"/>
        </a:xfrm>
        <a:prstGeom prst="blockArc">
          <a:avLst>
            <a:gd name="adj1" fmla="val 0"/>
            <a:gd name="adj2" fmla="val 5400000"/>
            <a:gd name="adj3" fmla="val 4637"/>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16CDA0E4-D832-4C20-8A8F-13B223DDF6D9}">
      <dsp:nvSpPr>
        <dsp:cNvPr id="0" name=""/>
        <dsp:cNvSpPr/>
      </dsp:nvSpPr>
      <dsp:spPr>
        <a:xfrm>
          <a:off x="1830357" y="495449"/>
          <a:ext cx="3305234" cy="3305234"/>
        </a:xfrm>
        <a:prstGeom prst="blockArc">
          <a:avLst>
            <a:gd name="adj1" fmla="val 16200000"/>
            <a:gd name="adj2" fmla="val 0"/>
            <a:gd name="adj3" fmla="val 4637"/>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F91CCE1A-920A-4C92-BD5B-80AA269718A9}">
      <dsp:nvSpPr>
        <dsp:cNvPr id="0" name=""/>
        <dsp:cNvSpPr/>
      </dsp:nvSpPr>
      <dsp:spPr>
        <a:xfrm>
          <a:off x="2722774" y="1387866"/>
          <a:ext cx="1520400" cy="1520400"/>
        </a:xfrm>
        <a:prstGeom prst="ellipse">
          <a:avLst/>
        </a:prstGeom>
        <a:solidFill>
          <a:srgbClr val="45BD03"/>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0640" tIns="40640" rIns="40640" bIns="40640" numCol="1" spcCol="1270" anchor="ctr" anchorCtr="0">
          <a:noAutofit/>
        </a:bodyPr>
        <a:lstStyle/>
        <a:p>
          <a:pPr marL="0" lvl="0" indent="0" algn="ctr" defTabSz="1422400">
            <a:lnSpc>
              <a:spcPct val="90000"/>
            </a:lnSpc>
            <a:spcBef>
              <a:spcPct val="0"/>
            </a:spcBef>
            <a:spcAft>
              <a:spcPct val="35000"/>
            </a:spcAft>
            <a:buNone/>
          </a:pPr>
          <a:r>
            <a:rPr lang="en-US" sz="3200" kern="1200" dirty="0"/>
            <a:t>One Team</a:t>
          </a:r>
        </a:p>
      </dsp:txBody>
      <dsp:txXfrm>
        <a:off x="2945431" y="1610523"/>
        <a:ext cx="1075086" cy="1075086"/>
      </dsp:txXfrm>
    </dsp:sp>
    <dsp:sp modelId="{79B049E3-327D-4E4F-858E-D8FF1820CFF2}">
      <dsp:nvSpPr>
        <dsp:cNvPr id="0" name=""/>
        <dsp:cNvSpPr/>
      </dsp:nvSpPr>
      <dsp:spPr>
        <a:xfrm>
          <a:off x="2708567" y="-86328"/>
          <a:ext cx="1548814" cy="1240184"/>
        </a:xfrm>
        <a:prstGeom prst="ellipse">
          <a:avLst/>
        </a:prstGeom>
        <a:solidFill>
          <a:srgbClr val="45BD03"/>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9050" rIns="19050" bIns="19050" numCol="1" spcCol="1270" anchor="ctr" anchorCtr="0">
          <a:noAutofit/>
        </a:bodyPr>
        <a:lstStyle/>
        <a:p>
          <a:pPr marL="0" lvl="0" indent="0" algn="ctr" defTabSz="666750">
            <a:lnSpc>
              <a:spcPct val="90000"/>
            </a:lnSpc>
            <a:spcBef>
              <a:spcPct val="0"/>
            </a:spcBef>
            <a:spcAft>
              <a:spcPct val="35000"/>
            </a:spcAft>
            <a:buNone/>
          </a:pPr>
          <a:r>
            <a:rPr lang="en-US" sz="1500" kern="1200" dirty="0"/>
            <a:t>Innovation</a:t>
          </a:r>
        </a:p>
      </dsp:txBody>
      <dsp:txXfrm>
        <a:off x="2935386" y="95293"/>
        <a:ext cx="1095176" cy="876942"/>
      </dsp:txXfrm>
    </dsp:sp>
    <dsp:sp modelId="{178FAE97-7D6C-4F18-B059-6F86C7966C43}">
      <dsp:nvSpPr>
        <dsp:cNvPr id="0" name=""/>
        <dsp:cNvSpPr/>
      </dsp:nvSpPr>
      <dsp:spPr>
        <a:xfrm>
          <a:off x="4322870" y="1527974"/>
          <a:ext cx="1548814" cy="1240184"/>
        </a:xfrm>
        <a:prstGeom prst="ellipse">
          <a:avLst/>
        </a:prstGeom>
        <a:solidFill>
          <a:srgbClr val="45BD03"/>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9050" rIns="19050" bIns="19050" numCol="1" spcCol="1270" anchor="ctr" anchorCtr="0">
          <a:noAutofit/>
        </a:bodyPr>
        <a:lstStyle/>
        <a:p>
          <a:pPr marL="0" lvl="0" indent="0" algn="ctr" defTabSz="666750">
            <a:lnSpc>
              <a:spcPct val="90000"/>
            </a:lnSpc>
            <a:spcBef>
              <a:spcPct val="0"/>
            </a:spcBef>
            <a:spcAft>
              <a:spcPct val="35000"/>
            </a:spcAft>
            <a:buNone/>
          </a:pPr>
          <a:r>
            <a:rPr lang="en-US" sz="1500" kern="1200" dirty="0"/>
            <a:t>Intellectual Honesty</a:t>
          </a:r>
        </a:p>
      </dsp:txBody>
      <dsp:txXfrm>
        <a:off x="4549689" y="1709595"/>
        <a:ext cx="1095176" cy="876942"/>
      </dsp:txXfrm>
    </dsp:sp>
    <dsp:sp modelId="{9C5B6185-1291-430F-A0D8-DA61A92313A6}">
      <dsp:nvSpPr>
        <dsp:cNvPr id="0" name=""/>
        <dsp:cNvSpPr/>
      </dsp:nvSpPr>
      <dsp:spPr>
        <a:xfrm>
          <a:off x="2708567" y="3142277"/>
          <a:ext cx="1548814" cy="1240184"/>
        </a:xfrm>
        <a:prstGeom prst="ellipse">
          <a:avLst/>
        </a:prstGeom>
        <a:solidFill>
          <a:srgbClr val="45BD03"/>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7780" tIns="17780" rIns="17780" bIns="17780" numCol="1" spcCol="1270" anchor="ctr" anchorCtr="0">
          <a:noAutofit/>
        </a:bodyPr>
        <a:lstStyle/>
        <a:p>
          <a:pPr marL="0" lvl="0" indent="0" algn="ctr" defTabSz="600075">
            <a:lnSpc>
              <a:spcPct val="90000"/>
            </a:lnSpc>
            <a:spcBef>
              <a:spcPct val="0"/>
            </a:spcBef>
            <a:spcAft>
              <a:spcPct val="35000"/>
            </a:spcAft>
            <a:buNone/>
          </a:pPr>
          <a:r>
            <a:rPr lang="en-US" sz="1350" kern="1200" dirty="0"/>
            <a:t>Excellence and Determination</a:t>
          </a:r>
        </a:p>
      </dsp:txBody>
      <dsp:txXfrm>
        <a:off x="2935386" y="3323898"/>
        <a:ext cx="1095176" cy="876942"/>
      </dsp:txXfrm>
    </dsp:sp>
    <dsp:sp modelId="{AB969C37-7228-4502-85F9-72207B3DAF3D}">
      <dsp:nvSpPr>
        <dsp:cNvPr id="0" name=""/>
        <dsp:cNvSpPr/>
      </dsp:nvSpPr>
      <dsp:spPr>
        <a:xfrm>
          <a:off x="1094264" y="1527974"/>
          <a:ext cx="1548814" cy="1240184"/>
        </a:xfrm>
        <a:prstGeom prst="ellipse">
          <a:avLst/>
        </a:prstGeom>
        <a:solidFill>
          <a:srgbClr val="45BD03"/>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9050" tIns="19050" rIns="19050" bIns="19050" numCol="1" spcCol="1270" anchor="ctr" anchorCtr="0">
          <a:noAutofit/>
        </a:bodyPr>
        <a:lstStyle/>
        <a:p>
          <a:pPr marL="0" lvl="0" indent="0" algn="ctr" defTabSz="666750">
            <a:lnSpc>
              <a:spcPct val="90000"/>
            </a:lnSpc>
            <a:spcBef>
              <a:spcPct val="0"/>
            </a:spcBef>
            <a:spcAft>
              <a:spcPct val="35000"/>
            </a:spcAft>
            <a:buNone/>
          </a:pPr>
          <a:r>
            <a:rPr lang="en-US" sz="1500" kern="1200" dirty="0"/>
            <a:t>Speed and Agility</a:t>
          </a:r>
        </a:p>
      </dsp:txBody>
      <dsp:txXfrm>
        <a:off x="1321083" y="1709595"/>
        <a:ext cx="1095176" cy="876942"/>
      </dsp:txXfrm>
    </dsp:sp>
  </dsp:spTree>
</dsp:drawing>
</file>

<file path=xl/diagrams/layout1.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9.emf"/></Relationships>
</file>

<file path=xl/drawings/_rels/drawing13.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chart" Target="../charts/chart23.xml"/><Relationship Id="rId4" Type="http://schemas.openxmlformats.org/officeDocument/2006/relationships/image" Target="../media/image21.emf"/></Relationships>
</file>

<file path=xl/drawings/_rels/drawing14.xml.rels><?xml version="1.0" encoding="UTF-8" standalone="yes"?>
<Relationships xmlns="http://schemas.openxmlformats.org/package/2006/relationships"><Relationship Id="rId1" Type="http://schemas.openxmlformats.org/officeDocument/2006/relationships/image" Target="../media/image23.emf"/></Relationships>
</file>

<file path=xl/drawings/_rels/drawing15.xml.rels><?xml version="1.0" encoding="UTF-8" standalone="yes"?>
<Relationships xmlns="http://schemas.openxmlformats.org/package/2006/relationships"><Relationship Id="rId1" Type="http://schemas.openxmlformats.org/officeDocument/2006/relationships/image" Target="../media/image25.emf"/></Relationships>
</file>

<file path=xl/drawings/_rels/drawing16.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6" Type="http://schemas.openxmlformats.org/officeDocument/2006/relationships/chart" Target="../charts/chart29.xml"/><Relationship Id="rId5" Type="http://schemas.openxmlformats.org/officeDocument/2006/relationships/chart" Target="../charts/chart28.xml"/><Relationship Id="rId4" Type="http://schemas.openxmlformats.org/officeDocument/2006/relationships/chart" Target="../charts/chart27.xml"/></Relationships>
</file>

<file path=xl/drawings/_rels/drawing17.xml.rels><?xml version="1.0" encoding="UTF-8" standalone="yes"?>
<Relationships xmlns="http://schemas.openxmlformats.org/package/2006/relationships"><Relationship Id="rId1" Type="http://schemas.openxmlformats.org/officeDocument/2006/relationships/image" Target="../media/image27.emf"/></Relationships>
</file>

<file path=xl/drawings/_rels/drawing18.xml.rels><?xml version="1.0" encoding="UTF-8" standalone="yes"?>
<Relationships xmlns="http://schemas.openxmlformats.org/package/2006/relationships"><Relationship Id="rId1" Type="http://schemas.openxmlformats.org/officeDocument/2006/relationships/image" Target="../media/image29.png"/></Relationships>
</file>

<file path=xl/drawings/_rels/drawing19.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chart" Target="../charts/chart31.xml"/><Relationship Id="rId1" Type="http://schemas.openxmlformats.org/officeDocument/2006/relationships/chart" Target="../charts/chart30.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20.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image" Target="../media/image32.png"/><Relationship Id="rId1" Type="http://schemas.openxmlformats.org/officeDocument/2006/relationships/image" Target="../media/image31.png"/><Relationship Id="rId4"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microsoft.com/office/2014/relationships/chartEx" Target="../charts/chartEx1.xml"/><Relationship Id="rId4" Type="http://schemas.openxmlformats.org/officeDocument/2006/relationships/image" Target="../media/image33.png"/></Relationships>
</file>

<file path=xl/drawings/_rels/drawing22.xml.rels><?xml version="1.0" encoding="UTF-8" standalone="yes"?>
<Relationships xmlns="http://schemas.openxmlformats.org/package/2006/relationships"><Relationship Id="rId2" Type="http://schemas.openxmlformats.org/officeDocument/2006/relationships/chart" Target="../charts/chart37.xml"/><Relationship Id="rId1" Type="http://schemas.openxmlformats.org/officeDocument/2006/relationships/chart" Target="../charts/chart36.xml"/></Relationships>
</file>

<file path=xl/drawings/_rels/drawing23.xml.rels><?xml version="1.0" encoding="UTF-8" standalone="yes"?>
<Relationships xmlns="http://schemas.openxmlformats.org/package/2006/relationships"><Relationship Id="rId8" Type="http://schemas.openxmlformats.org/officeDocument/2006/relationships/image" Target="../media/image35.emf"/><Relationship Id="rId3" Type="http://schemas.openxmlformats.org/officeDocument/2006/relationships/diagramLayout" Target="../diagrams/layout1.xml"/><Relationship Id="rId7" Type="http://schemas.openxmlformats.org/officeDocument/2006/relationships/image" Target="../media/image34.png"/><Relationship Id="rId2" Type="http://schemas.openxmlformats.org/officeDocument/2006/relationships/diagramData" Target="../diagrams/data1.xml"/><Relationship Id="rId1" Type="http://schemas.openxmlformats.org/officeDocument/2006/relationships/chart" Target="../charts/chart38.xml"/><Relationship Id="rId6" Type="http://schemas.microsoft.com/office/2007/relationships/diagramDrawing" Target="../diagrams/drawing1.xml"/><Relationship Id="rId5" Type="http://schemas.openxmlformats.org/officeDocument/2006/relationships/diagramColors" Target="../diagrams/colors1.xml"/><Relationship Id="rId4" Type="http://schemas.openxmlformats.org/officeDocument/2006/relationships/diagramQuickStyle" Target="../diagrams/quickStyle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emf"/></Relationships>
</file>

<file path=xl/drawings/_rels/drawing5.xml.rels><?xml version="1.0" encoding="UTF-8" standalone="yes"?>
<Relationships xmlns="http://schemas.openxmlformats.org/package/2006/relationships"><Relationship Id="rId3" Type="http://schemas.openxmlformats.org/officeDocument/2006/relationships/image" Target="../media/image13.emf"/><Relationship Id="rId2" Type="http://schemas.openxmlformats.org/officeDocument/2006/relationships/image" Target="../media/image12.emf"/><Relationship Id="rId1" Type="http://schemas.openxmlformats.org/officeDocument/2006/relationships/image" Target="../media/image11.png"/><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image" Target="../media/image16.emf"/></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5.xml"/><Relationship Id="rId4" Type="http://schemas.openxmlformats.org/officeDocument/2006/relationships/chart" Target="../charts/chart14.xml"/></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6.e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8.em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36.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 Id="rId4" Type="http://schemas.openxmlformats.org/officeDocument/2006/relationships/image" Target="../media/image10.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15.emf"/><Relationship Id="rId1" Type="http://schemas.openxmlformats.org/officeDocument/2006/relationships/image" Target="../media/image14.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7.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20.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2.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24.emf"/></Relationships>
</file>

<file path=xl/drawings/drawing1.xml><?xml version="1.0" encoding="utf-8"?>
<xdr:wsDr xmlns:xdr="http://schemas.openxmlformats.org/drawingml/2006/spreadsheetDrawing" xmlns:a="http://schemas.openxmlformats.org/drawingml/2006/main">
  <xdr:twoCellAnchor>
    <xdr:from>
      <xdr:col>10</xdr:col>
      <xdr:colOff>292855</xdr:colOff>
      <xdr:row>115</xdr:row>
      <xdr:rowOff>134680</xdr:rowOff>
    </xdr:from>
    <xdr:to>
      <xdr:col>17</xdr:col>
      <xdr:colOff>111938</xdr:colOff>
      <xdr:row>132</xdr:row>
      <xdr:rowOff>15301</xdr:rowOff>
    </xdr:to>
    <xdr:graphicFrame macro="">
      <xdr:nvGraphicFramePr>
        <xdr:cNvPr id="39" name="Chart 1">
          <a:extLst>
            <a:ext uri="{FF2B5EF4-FFF2-40B4-BE49-F238E27FC236}">
              <a16:creationId xmlns:a16="http://schemas.microsoft.com/office/drawing/2014/main" id="{C27E32CD-9904-5C9D-88CD-F4E178E75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130864</xdr:colOff>
      <xdr:row>25</xdr:row>
      <xdr:rowOff>103532</xdr:rowOff>
    </xdr:from>
    <xdr:to>
      <xdr:col>18</xdr:col>
      <xdr:colOff>621195</xdr:colOff>
      <xdr:row>43</xdr:row>
      <xdr:rowOff>140803</xdr:rowOff>
    </xdr:to>
    <xdr:graphicFrame macro="">
      <xdr:nvGraphicFramePr>
        <xdr:cNvPr id="12" name="Chart 1">
          <a:extLst>
            <a:ext uri="{FF2B5EF4-FFF2-40B4-BE49-F238E27FC236}">
              <a16:creationId xmlns:a16="http://schemas.microsoft.com/office/drawing/2014/main" id="{3E469F0E-EF02-F255-6EB7-ED65BF361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356153</xdr:colOff>
      <xdr:row>25</xdr:row>
      <xdr:rowOff>49696</xdr:rowOff>
    </xdr:from>
    <xdr:to>
      <xdr:col>26</xdr:col>
      <xdr:colOff>67918</xdr:colOff>
      <xdr:row>43</xdr:row>
      <xdr:rowOff>86967</xdr:rowOff>
    </xdr:to>
    <xdr:graphicFrame macro="">
      <xdr:nvGraphicFramePr>
        <xdr:cNvPr id="4" name="Chart 1">
          <a:extLst>
            <a:ext uri="{FF2B5EF4-FFF2-40B4-BE49-F238E27FC236}">
              <a16:creationId xmlns:a16="http://schemas.microsoft.com/office/drawing/2014/main" id="{A98533F8-C953-4975-B16F-82A84B8C9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463824</xdr:colOff>
      <xdr:row>1</xdr:row>
      <xdr:rowOff>140804</xdr:rowOff>
    </xdr:from>
    <xdr:to>
      <xdr:col>23</xdr:col>
      <xdr:colOff>389281</xdr:colOff>
      <xdr:row>17</xdr:row>
      <xdr:rowOff>125068</xdr:rowOff>
    </xdr:to>
    <xdr:graphicFrame macro="">
      <xdr:nvGraphicFramePr>
        <xdr:cNvPr id="2" name="Chart 1">
          <a:extLst>
            <a:ext uri="{FF2B5EF4-FFF2-40B4-BE49-F238E27FC236}">
              <a16:creationId xmlns:a16="http://schemas.microsoft.com/office/drawing/2014/main" id="{E8C1FB3C-686F-6EAD-1C0B-D03FFE9D2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118242</xdr:colOff>
      <xdr:row>44</xdr:row>
      <xdr:rowOff>142546</xdr:rowOff>
    </xdr:from>
    <xdr:to>
      <xdr:col>16</xdr:col>
      <xdr:colOff>535896</xdr:colOff>
      <xdr:row>62</xdr:row>
      <xdr:rowOff>47953</xdr:rowOff>
    </xdr:to>
    <xdr:graphicFrame macro="">
      <xdr:nvGraphicFramePr>
        <xdr:cNvPr id="7" name="Chart 2">
          <a:extLst>
            <a:ext uri="{FF2B5EF4-FFF2-40B4-BE49-F238E27FC236}">
              <a16:creationId xmlns:a16="http://schemas.microsoft.com/office/drawing/2014/main" id="{89C518DA-757E-BBBE-9B08-950B34373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91108</xdr:colOff>
          <xdr:row>42</xdr:row>
          <xdr:rowOff>149088</xdr:rowOff>
        </xdr:from>
        <xdr:to>
          <xdr:col>10</xdr:col>
          <xdr:colOff>100633</xdr:colOff>
          <xdr:row>60</xdr:row>
          <xdr:rowOff>97735</xdr:rowOff>
        </xdr:to>
        <xdr:pic>
          <xdr:nvPicPr>
            <xdr:cNvPr id="5" name="Picture 4">
              <a:extLst>
                <a:ext uri="{FF2B5EF4-FFF2-40B4-BE49-F238E27FC236}">
                  <a16:creationId xmlns:a16="http://schemas.microsoft.com/office/drawing/2014/main" id="{6400784B-53BA-22D0-00C4-9FBC809319B3}"/>
                </a:ext>
              </a:extLst>
            </xdr:cNvPr>
            <xdr:cNvPicPr>
              <a:picLocks noChangeAspect="1" noChangeArrowheads="1"/>
              <a:extLst>
                <a:ext uri="{84589F7E-364E-4C9E-8A38-B11213B215E9}">
                  <a14:cameraTool cellRange="$B$26:$J$41" spid="_x0000_s77243"/>
                </a:ext>
              </a:extLst>
            </xdr:cNvPicPr>
          </xdr:nvPicPr>
          <xdr:blipFill>
            <a:blip xmlns:r="http://schemas.openxmlformats.org/officeDocument/2006/relationships" r:embed="rId1"/>
            <a:srcRect/>
            <a:stretch>
              <a:fillRect/>
            </a:stretch>
          </xdr:blipFill>
          <xdr:spPr bwMode="auto">
            <a:xfrm>
              <a:off x="2269434" y="7528892"/>
              <a:ext cx="10056329" cy="2930386"/>
            </a:xfrm>
            <a:prstGeom prst="rect">
              <a:avLst/>
            </a:prstGeom>
            <a:solidFill>
              <a:schemeClr val="bg1"/>
            </a:solidFill>
          </xdr:spPr>
        </xdr:pic>
        <xdr:clientData/>
      </xdr:twoCellAnchor>
    </mc:Choice>
    <mc:Fallback/>
  </mc:AlternateContent>
</xdr:wsDr>
</file>

<file path=xl/drawings/drawing13.xml><?xml version="1.0" encoding="utf-8"?>
<xdr:wsDr xmlns:xdr="http://schemas.openxmlformats.org/drawingml/2006/spreadsheetDrawing" xmlns:a="http://schemas.openxmlformats.org/drawingml/2006/main">
  <xdr:twoCellAnchor>
    <xdr:from>
      <xdr:col>1</xdr:col>
      <xdr:colOff>101600</xdr:colOff>
      <xdr:row>22</xdr:row>
      <xdr:rowOff>132080</xdr:rowOff>
    </xdr:from>
    <xdr:to>
      <xdr:col>7</xdr:col>
      <xdr:colOff>508000</xdr:colOff>
      <xdr:row>39</xdr:row>
      <xdr:rowOff>91440</xdr:rowOff>
    </xdr:to>
    <xdr:graphicFrame macro="">
      <xdr:nvGraphicFramePr>
        <xdr:cNvPr id="3" name="Chart 2">
          <a:extLst>
            <a:ext uri="{FF2B5EF4-FFF2-40B4-BE49-F238E27FC236}">
              <a16:creationId xmlns:a16="http://schemas.microsoft.com/office/drawing/2014/main" id="{FB5EFE15-8FA0-457A-35AE-26B7C92BE5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640080</xdr:colOff>
      <xdr:row>22</xdr:row>
      <xdr:rowOff>132080</xdr:rowOff>
    </xdr:from>
    <xdr:to>
      <xdr:col>12</xdr:col>
      <xdr:colOff>640080</xdr:colOff>
      <xdr:row>39</xdr:row>
      <xdr:rowOff>111760</xdr:rowOff>
    </xdr:to>
    <xdr:graphicFrame macro="">
      <xdr:nvGraphicFramePr>
        <xdr:cNvPr id="4" name="Chart 3">
          <a:extLst>
            <a:ext uri="{FF2B5EF4-FFF2-40B4-BE49-F238E27FC236}">
              <a16:creationId xmlns:a16="http://schemas.microsoft.com/office/drawing/2014/main" id="{B70895DC-9E27-D176-1D41-5BB17996CA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63500</xdr:colOff>
      <xdr:row>44</xdr:row>
      <xdr:rowOff>124460</xdr:rowOff>
    </xdr:from>
    <xdr:to>
      <xdr:col>7</xdr:col>
      <xdr:colOff>439420</xdr:colOff>
      <xdr:row>60</xdr:row>
      <xdr:rowOff>93980</xdr:rowOff>
    </xdr:to>
    <xdr:graphicFrame macro="">
      <xdr:nvGraphicFramePr>
        <xdr:cNvPr id="7" name="Chart 4">
          <a:extLst>
            <a:ext uri="{FF2B5EF4-FFF2-40B4-BE49-F238E27FC236}">
              <a16:creationId xmlns:a16="http://schemas.microsoft.com/office/drawing/2014/main" id="{196A390E-D30D-B810-FABF-391CDE4BF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12</xdr:col>
          <xdr:colOff>145676</xdr:colOff>
          <xdr:row>5</xdr:row>
          <xdr:rowOff>145677</xdr:rowOff>
        </xdr:from>
        <xdr:to>
          <xdr:col>26</xdr:col>
          <xdr:colOff>288551</xdr:colOff>
          <xdr:row>20</xdr:row>
          <xdr:rowOff>155202</xdr:rowOff>
        </xdr:to>
        <xdr:pic>
          <xdr:nvPicPr>
            <xdr:cNvPr id="6" name="Picture 5">
              <a:extLst>
                <a:ext uri="{FF2B5EF4-FFF2-40B4-BE49-F238E27FC236}">
                  <a16:creationId xmlns:a16="http://schemas.microsoft.com/office/drawing/2014/main" id="{01FF7396-2B6D-2D5D-A731-9DD8AE4F1174}"/>
                </a:ext>
              </a:extLst>
            </xdr:cNvPr>
            <xdr:cNvPicPr>
              <a:picLocks noChangeAspect="1" noChangeArrowheads="1"/>
              <a:extLst>
                <a:ext uri="{84589F7E-364E-4C9E-8A38-B11213B215E9}">
                  <a14:cameraTool cellRange="$A$8:$K$22" spid="_x0000_s118011"/>
                </a:ext>
              </a:extLst>
            </xdr:cNvPicPr>
          </xdr:nvPicPr>
          <xdr:blipFill>
            <a:blip xmlns:r="http://schemas.openxmlformats.org/officeDocument/2006/relationships" r:embed="rId4"/>
            <a:srcRect/>
            <a:stretch>
              <a:fillRect/>
            </a:stretch>
          </xdr:blipFill>
          <xdr:spPr bwMode="auto">
            <a:xfrm>
              <a:off x="12236823" y="2610971"/>
              <a:ext cx="11281522" cy="2373966"/>
            </a:xfrm>
            <a:prstGeom prst="rect">
              <a:avLst/>
            </a:prstGeom>
            <a:solidFill>
              <a:schemeClr val="bg1"/>
            </a:solidFill>
          </xdr:spPr>
        </xdr:pic>
        <xdr:clientData/>
      </xdr:twoCellAnchor>
    </mc:Choice>
    <mc:Fallback/>
  </mc:AlternateContent>
  <xdr:twoCellAnchor>
    <xdr:from>
      <xdr:col>3</xdr:col>
      <xdr:colOff>711200</xdr:colOff>
      <xdr:row>13</xdr:row>
      <xdr:rowOff>91440</xdr:rowOff>
    </xdr:from>
    <xdr:to>
      <xdr:col>8</xdr:col>
      <xdr:colOff>711200</xdr:colOff>
      <xdr:row>30</xdr:row>
      <xdr:rowOff>50800</xdr:rowOff>
    </xdr:to>
    <xdr:graphicFrame macro="">
      <xdr:nvGraphicFramePr>
        <xdr:cNvPr id="46" name="Chart 1">
          <a:extLst>
            <a:ext uri="{FF2B5EF4-FFF2-40B4-BE49-F238E27FC236}">
              <a16:creationId xmlns:a16="http://schemas.microsoft.com/office/drawing/2014/main" id="{8EE04FC3-82A7-8328-B882-D97F2A7D81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25</xdr:row>
          <xdr:rowOff>0</xdr:rowOff>
        </xdr:from>
        <xdr:to>
          <xdr:col>12</xdr:col>
          <xdr:colOff>0</xdr:colOff>
          <xdr:row>40</xdr:row>
          <xdr:rowOff>9525</xdr:rowOff>
        </xdr:to>
        <xdr:pic>
          <xdr:nvPicPr>
            <xdr:cNvPr id="2" name="Picture 1">
              <a:extLst>
                <a:ext uri="{FF2B5EF4-FFF2-40B4-BE49-F238E27FC236}">
                  <a16:creationId xmlns:a16="http://schemas.microsoft.com/office/drawing/2014/main" id="{041D401E-22D2-74CD-F75F-7CDB63F4665A}"/>
                </a:ext>
              </a:extLst>
            </xdr:cNvPr>
            <xdr:cNvPicPr>
              <a:picLocks noChangeAspect="1" noChangeArrowheads="1"/>
              <a:extLst>
                <a:ext uri="{84589F7E-364E-4C9E-8A38-B11213B215E9}">
                  <a14:cameraTool cellRange="$B$7:$L$21" spid="_x0000_s116986"/>
                </a:ext>
              </a:extLst>
            </xdr:cNvPicPr>
          </xdr:nvPicPr>
          <xdr:blipFill>
            <a:blip xmlns:r="http://schemas.openxmlformats.org/officeDocument/2006/relationships" r:embed="rId1"/>
            <a:srcRect/>
            <a:stretch>
              <a:fillRect/>
            </a:stretch>
          </xdr:blipFill>
          <xdr:spPr bwMode="auto">
            <a:xfrm>
              <a:off x="590550" y="4067175"/>
              <a:ext cx="10153650" cy="2438400"/>
            </a:xfrm>
            <a:prstGeom prst="rect">
              <a:avLst/>
            </a:prstGeom>
            <a:solidFill>
              <a:schemeClr val="bg1"/>
            </a:solidFill>
          </xdr:spPr>
        </xdr:pic>
        <xdr:clientData/>
      </xdr:twoCellAnchor>
    </mc:Choice>
    <mc:Fallback/>
  </mc:AlternateContent>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27</xdr:row>
          <xdr:rowOff>99060</xdr:rowOff>
        </xdr:from>
        <xdr:to>
          <xdr:col>11</xdr:col>
          <xdr:colOff>78105</xdr:colOff>
          <xdr:row>43</xdr:row>
          <xdr:rowOff>127635</xdr:rowOff>
        </xdr:to>
        <xdr:pic>
          <xdr:nvPicPr>
            <xdr:cNvPr id="5" name="Picture 4">
              <a:extLst>
                <a:ext uri="{FF2B5EF4-FFF2-40B4-BE49-F238E27FC236}">
                  <a16:creationId xmlns:a16="http://schemas.microsoft.com/office/drawing/2014/main" id="{D9AC2C7B-DF9B-4572-89E2-F8E8A69982A0}"/>
                </a:ext>
              </a:extLst>
            </xdr:cNvPr>
            <xdr:cNvPicPr>
              <a:picLocks noChangeAspect="1" noChangeArrowheads="1"/>
              <a:extLst>
                <a:ext uri="{84589F7E-364E-4C9E-8A38-B11213B215E9}">
                  <a14:cameraTool cellRange="$A$11:$K$26" spid="_x0000_s42633"/>
                </a:ext>
              </a:extLst>
            </xdr:cNvPicPr>
          </xdr:nvPicPr>
          <xdr:blipFill>
            <a:blip xmlns:r="http://schemas.openxmlformats.org/officeDocument/2006/relationships" r:embed="rId1"/>
            <a:srcRect/>
            <a:stretch>
              <a:fillRect/>
            </a:stretch>
          </xdr:blipFill>
          <xdr:spPr bwMode="auto">
            <a:xfrm>
              <a:off x="68580" y="4610100"/>
              <a:ext cx="8460105" cy="2588895"/>
            </a:xfrm>
            <a:prstGeom prst="rect">
              <a:avLst/>
            </a:prstGeom>
            <a:solidFill>
              <a:schemeClr val="bg1"/>
            </a:solidFill>
          </xdr:spPr>
        </xdr:pic>
        <xdr:clientData/>
      </xdr:twoCellAnchor>
    </mc:Choice>
    <mc:Fallback/>
  </mc:AlternateContent>
</xdr:wsDr>
</file>

<file path=xl/drawings/drawing16.xml><?xml version="1.0" encoding="utf-8"?>
<xdr:wsDr xmlns:xdr="http://schemas.openxmlformats.org/drawingml/2006/spreadsheetDrawing" xmlns:a="http://schemas.openxmlformats.org/drawingml/2006/main">
  <xdr:twoCellAnchor>
    <xdr:from>
      <xdr:col>0</xdr:col>
      <xdr:colOff>476250</xdr:colOff>
      <xdr:row>1</xdr:row>
      <xdr:rowOff>109537</xdr:rowOff>
    </xdr:from>
    <xdr:to>
      <xdr:col>8</xdr:col>
      <xdr:colOff>171450</xdr:colOff>
      <xdr:row>18</xdr:row>
      <xdr:rowOff>100012</xdr:rowOff>
    </xdr:to>
    <xdr:graphicFrame macro="">
      <xdr:nvGraphicFramePr>
        <xdr:cNvPr id="105" name="Chart 1">
          <a:extLst>
            <a:ext uri="{FF2B5EF4-FFF2-40B4-BE49-F238E27FC236}">
              <a16:creationId xmlns:a16="http://schemas.microsoft.com/office/drawing/2014/main" id="{C965A712-62B2-7F2B-C5C5-58E40057D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323850</xdr:colOff>
      <xdr:row>31</xdr:row>
      <xdr:rowOff>107950</xdr:rowOff>
    </xdr:from>
    <xdr:to>
      <xdr:col>9</xdr:col>
      <xdr:colOff>409575</xdr:colOff>
      <xdr:row>49</xdr:row>
      <xdr:rowOff>60325</xdr:rowOff>
    </xdr:to>
    <xdr:graphicFrame macro="">
      <xdr:nvGraphicFramePr>
        <xdr:cNvPr id="100" name="Chart 2">
          <a:extLst>
            <a:ext uri="{FF2B5EF4-FFF2-40B4-BE49-F238E27FC236}">
              <a16:creationId xmlns:a16="http://schemas.microsoft.com/office/drawing/2014/main" id="{0A7EA383-F8D3-4630-A768-9D234BF13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247650</xdr:colOff>
      <xdr:row>19</xdr:row>
      <xdr:rowOff>109537</xdr:rowOff>
    </xdr:from>
    <xdr:to>
      <xdr:col>8</xdr:col>
      <xdr:colOff>323850</xdr:colOff>
      <xdr:row>30</xdr:row>
      <xdr:rowOff>57150</xdr:rowOff>
    </xdr:to>
    <xdr:sp macro="" textlink="">
      <xdr:nvSpPr>
        <xdr:cNvPr id="108" name="TextBox 3">
          <a:extLst>
            <a:ext uri="{FF2B5EF4-FFF2-40B4-BE49-F238E27FC236}">
              <a16:creationId xmlns:a16="http://schemas.microsoft.com/office/drawing/2014/main" id="{BB7965FC-8943-9508-39C9-823025E91E26}"/>
            </a:ext>
          </a:extLst>
        </xdr:cNvPr>
        <xdr:cNvSpPr txBox="1"/>
      </xdr:nvSpPr>
      <xdr:spPr>
        <a:xfrm>
          <a:off x="247650" y="3186112"/>
          <a:ext cx="4953000" cy="17287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Cost of revenue consists primarily of the</a:t>
          </a:r>
          <a:r>
            <a:rPr lang="en-US" sz="1100" kern="1200" baseline="0"/>
            <a:t> </a:t>
          </a:r>
          <a:r>
            <a:rPr lang="en-US" sz="1100" kern="1200"/>
            <a:t>cost of semiconductors, including wafer fabrication, assembly, testing and packaging, board and device costs,</a:t>
          </a:r>
          <a:r>
            <a:rPr lang="en-US" sz="1100" kern="1200" baseline="0"/>
            <a:t> </a:t>
          </a:r>
          <a:r>
            <a:rPr lang="en-US" sz="1100" kern="1200"/>
            <a:t>manufacturing support costs, including labor and overhead associated with such</a:t>
          </a:r>
          <a:r>
            <a:rPr lang="en-US" sz="1100" kern="1200" baseline="0"/>
            <a:t> </a:t>
          </a:r>
          <a:r>
            <a:rPr lang="en-US" sz="1100" kern="1200"/>
            <a:t>purchases, final test yield fallout,</a:t>
          </a:r>
          <a:r>
            <a:rPr lang="en-US" sz="1100" kern="1200" baseline="0"/>
            <a:t> </a:t>
          </a:r>
          <a:r>
            <a:rPr lang="en-US" sz="1100" kern="1200"/>
            <a:t>inventory and warranty provisions, memory and component costs, tariffs, and shipping costs. Cost of revenue also</a:t>
          </a:r>
          <a:r>
            <a:rPr lang="en-US" sz="1100" kern="1200" baseline="0"/>
            <a:t> </a:t>
          </a:r>
          <a:r>
            <a:rPr lang="en-US" sz="1100" kern="1200"/>
            <a:t>includes</a:t>
          </a:r>
          <a:r>
            <a:rPr lang="en-US" sz="1100" kern="1200" baseline="0"/>
            <a:t> </a:t>
          </a:r>
          <a:r>
            <a:rPr lang="en-US" sz="1100" kern="1200"/>
            <a:t>acquisition-related costs, development costs for license and service arrangements, IP-related costs, and stock-</a:t>
          </a:r>
          <a:r>
            <a:rPr lang="en-US" sz="1100" kern="1200" baseline="0"/>
            <a:t> </a:t>
          </a:r>
          <a:r>
            <a:rPr lang="en-US" sz="1100" kern="1200"/>
            <a:t>based compensation related to personnel associated with manufacturing operations.</a:t>
          </a:r>
        </a:p>
      </xdr:txBody>
    </xdr:sp>
    <xdr:clientData/>
  </xdr:twoCellAnchor>
  <xdr:twoCellAnchor>
    <xdr:from>
      <xdr:col>8</xdr:col>
      <xdr:colOff>723900</xdr:colOff>
      <xdr:row>1</xdr:row>
      <xdr:rowOff>155575</xdr:rowOff>
    </xdr:from>
    <xdr:to>
      <xdr:col>19</xdr:col>
      <xdr:colOff>381000</xdr:colOff>
      <xdr:row>22</xdr:row>
      <xdr:rowOff>25400</xdr:rowOff>
    </xdr:to>
    <xdr:graphicFrame macro="">
      <xdr:nvGraphicFramePr>
        <xdr:cNvPr id="106" name="Chart 24">
          <a:extLst>
            <a:ext uri="{FF2B5EF4-FFF2-40B4-BE49-F238E27FC236}">
              <a16:creationId xmlns:a16="http://schemas.microsoft.com/office/drawing/2014/main" id="{732B76E6-DBB0-4871-B5F2-97A28338D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412750</xdr:colOff>
      <xdr:row>24</xdr:row>
      <xdr:rowOff>58737</xdr:rowOff>
    </xdr:from>
    <xdr:to>
      <xdr:col>18</xdr:col>
      <xdr:colOff>488950</xdr:colOff>
      <xdr:row>35</xdr:row>
      <xdr:rowOff>6350</xdr:rowOff>
    </xdr:to>
    <xdr:sp macro="" textlink="">
      <xdr:nvSpPr>
        <xdr:cNvPr id="464" name="TextBox 12">
          <a:extLst>
            <a:ext uri="{FF2B5EF4-FFF2-40B4-BE49-F238E27FC236}">
              <a16:creationId xmlns:a16="http://schemas.microsoft.com/office/drawing/2014/main" id="{CCF1B57D-6B1A-4275-89E3-1B123CB9A31D}"/>
            </a:ext>
          </a:extLst>
        </xdr:cNvPr>
        <xdr:cNvSpPr txBox="1"/>
      </xdr:nvSpPr>
      <xdr:spPr>
        <a:xfrm>
          <a:off x="8667750" y="4021137"/>
          <a:ext cx="6680200" cy="17637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R%D</a:t>
          </a:r>
          <a:r>
            <a:rPr lang="en-US" sz="1100" kern="1200" baseline="0"/>
            <a:t> spending remain very similar over the years remaining around the 10yr average of 22%. 2024 was the lowest at 14%, but that was due to its explosive revenue spike this year. </a:t>
          </a:r>
          <a:br>
            <a:rPr lang="en-US" sz="1100" kern="1200" baseline="0"/>
          </a:br>
          <a:br>
            <a:rPr lang="en-US" sz="1100" kern="1200" baseline="0"/>
          </a:br>
          <a:r>
            <a:rPr lang="en-US" sz="1100" kern="1200" baseline="0"/>
            <a:t>SGA cost remain similar over the years as well. </a:t>
          </a:r>
        </a:p>
        <a:p>
          <a:endParaRPr lang="en-US" sz="1100" kern="1200"/>
        </a:p>
      </xdr:txBody>
    </xdr:sp>
    <xdr:clientData/>
  </xdr:twoCellAnchor>
  <xdr:twoCellAnchor>
    <xdr:from>
      <xdr:col>1</xdr:col>
      <xdr:colOff>514350</xdr:colOff>
      <xdr:row>60</xdr:row>
      <xdr:rowOff>33337</xdr:rowOff>
    </xdr:from>
    <xdr:to>
      <xdr:col>9</xdr:col>
      <xdr:colOff>57150</xdr:colOff>
      <xdr:row>77</xdr:row>
      <xdr:rowOff>23812</xdr:rowOff>
    </xdr:to>
    <xdr:graphicFrame macro="">
      <xdr:nvGraphicFramePr>
        <xdr:cNvPr id="2" name="Chart 1">
          <a:extLst>
            <a:ext uri="{FF2B5EF4-FFF2-40B4-BE49-F238E27FC236}">
              <a16:creationId xmlns:a16="http://schemas.microsoft.com/office/drawing/2014/main" id="{4058EA58-BC3B-4505-A451-AA7E487047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542925</xdr:colOff>
      <xdr:row>60</xdr:row>
      <xdr:rowOff>0</xdr:rowOff>
    </xdr:from>
    <xdr:to>
      <xdr:col>30</xdr:col>
      <xdr:colOff>352425</xdr:colOff>
      <xdr:row>77</xdr:row>
      <xdr:rowOff>0</xdr:rowOff>
    </xdr:to>
    <xdr:graphicFrame macro="">
      <xdr:nvGraphicFramePr>
        <xdr:cNvPr id="3" name="Chart 2">
          <a:extLst>
            <a:ext uri="{FF2B5EF4-FFF2-40B4-BE49-F238E27FC236}">
              <a16:creationId xmlns:a16="http://schemas.microsoft.com/office/drawing/2014/main" id="{01C86699-805E-4E02-B252-C77A4AF5B329}"/>
            </a:ext>
            <a:ext uri="{147F2762-F138-4A5C-976F-8EAC2B608ADB}">
              <a16:predDERef xmlns:a16="http://schemas.microsoft.com/office/drawing/2014/main" pred="{C909C4FE-81EF-4057-8890-205853DED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78</xdr:row>
      <xdr:rowOff>147637</xdr:rowOff>
    </xdr:from>
    <xdr:to>
      <xdr:col>9</xdr:col>
      <xdr:colOff>76200</xdr:colOff>
      <xdr:row>89</xdr:row>
      <xdr:rowOff>95250</xdr:rowOff>
    </xdr:to>
    <xdr:sp macro="" textlink="">
      <xdr:nvSpPr>
        <xdr:cNvPr id="4" name="TextBox 3">
          <a:extLst>
            <a:ext uri="{FF2B5EF4-FFF2-40B4-BE49-F238E27FC236}">
              <a16:creationId xmlns:a16="http://schemas.microsoft.com/office/drawing/2014/main" id="{8C7FCAB1-885D-4EDF-B7B9-014DAE6CF745}"/>
            </a:ext>
            <a:ext uri="{147F2762-F138-4A5C-976F-8EAC2B608ADB}">
              <a16:predDERef xmlns:a16="http://schemas.microsoft.com/office/drawing/2014/main" pred="{37CACFC4-F7D2-406F-93F1-89DFB479CAFE}"/>
            </a:ext>
          </a:extLst>
        </xdr:cNvPr>
        <xdr:cNvSpPr txBox="1"/>
      </xdr:nvSpPr>
      <xdr:spPr>
        <a:xfrm>
          <a:off x="762000" y="12777787"/>
          <a:ext cx="6172200" cy="17287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Cost of revenue consists primarily of the</a:t>
          </a:r>
          <a:r>
            <a:rPr lang="en-US" sz="1100" kern="1200" baseline="0"/>
            <a:t> </a:t>
          </a:r>
          <a:r>
            <a:rPr lang="en-US" sz="1100" kern="1200"/>
            <a:t>cost of semiconductors, including wafer fabrication, assembly, testing and packaging, board and device costs,</a:t>
          </a:r>
          <a:r>
            <a:rPr lang="en-US" sz="1100" kern="1200" baseline="0"/>
            <a:t> </a:t>
          </a:r>
          <a:r>
            <a:rPr lang="en-US" sz="1100" kern="1200"/>
            <a:t>manufacturing support costs, including labor and overhead associated with such</a:t>
          </a:r>
          <a:r>
            <a:rPr lang="en-US" sz="1100" kern="1200" baseline="0"/>
            <a:t> </a:t>
          </a:r>
          <a:r>
            <a:rPr lang="en-US" sz="1100" kern="1200"/>
            <a:t>purchases, final test yield fallout,</a:t>
          </a:r>
          <a:r>
            <a:rPr lang="en-US" sz="1100" kern="1200" baseline="0"/>
            <a:t> </a:t>
          </a:r>
          <a:r>
            <a:rPr lang="en-US" sz="1100" kern="1200"/>
            <a:t>inventory and warranty provisions, memory and component costs, tariffs, and shipping costs. Cost of revenue also</a:t>
          </a:r>
          <a:r>
            <a:rPr lang="en-US" sz="1100" kern="1200" baseline="0"/>
            <a:t> </a:t>
          </a:r>
          <a:r>
            <a:rPr lang="en-US" sz="1100" kern="1200"/>
            <a:t>includes</a:t>
          </a:r>
          <a:r>
            <a:rPr lang="en-US" sz="1100" kern="1200" baseline="0"/>
            <a:t> </a:t>
          </a:r>
          <a:r>
            <a:rPr lang="en-US" sz="1100" kern="1200"/>
            <a:t>acquisition-related costs, development costs for license and service arrangements, IP-related costs, and stock-</a:t>
          </a:r>
          <a:r>
            <a:rPr lang="en-US" sz="1100" kern="1200" baseline="0"/>
            <a:t> </a:t>
          </a:r>
          <a:r>
            <a:rPr lang="en-US" sz="1100" kern="1200"/>
            <a:t>based compensation related to personnel associated with manufacturing operations.</a:t>
          </a:r>
        </a:p>
      </xdr:txBody>
    </xdr:sp>
    <xdr:clientData/>
  </xdr:twoCellAnchor>
  <xdr:twoCellAnchor>
    <xdr:from>
      <xdr:col>10</xdr:col>
      <xdr:colOff>514350</xdr:colOff>
      <xdr:row>60</xdr:row>
      <xdr:rowOff>38100</xdr:rowOff>
    </xdr:from>
    <xdr:to>
      <xdr:col>19</xdr:col>
      <xdr:colOff>342900</xdr:colOff>
      <xdr:row>76</xdr:row>
      <xdr:rowOff>57150</xdr:rowOff>
    </xdr:to>
    <xdr:graphicFrame macro="">
      <xdr:nvGraphicFramePr>
        <xdr:cNvPr id="5" name="Chart 24">
          <a:extLst>
            <a:ext uri="{FF2B5EF4-FFF2-40B4-BE49-F238E27FC236}">
              <a16:creationId xmlns:a16="http://schemas.microsoft.com/office/drawing/2014/main" id="{40139C87-9C5B-4418-A292-11903ECB8088}"/>
            </a:ext>
            <a:ext uri="{147F2762-F138-4A5C-976F-8EAC2B608ADB}">
              <a16:predDERef xmlns:a16="http://schemas.microsoft.com/office/drawing/2014/main" pred="{2F0E0397-9AB9-42EF-8D78-5FE3098A1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723900</xdr:colOff>
      <xdr:row>78</xdr:row>
      <xdr:rowOff>23812</xdr:rowOff>
    </xdr:from>
    <xdr:to>
      <xdr:col>19</xdr:col>
      <xdr:colOff>38100</xdr:colOff>
      <xdr:row>88</xdr:row>
      <xdr:rowOff>133350</xdr:rowOff>
    </xdr:to>
    <xdr:sp macro="" textlink="">
      <xdr:nvSpPr>
        <xdr:cNvPr id="6" name="TextBox 12">
          <a:extLst>
            <a:ext uri="{FF2B5EF4-FFF2-40B4-BE49-F238E27FC236}">
              <a16:creationId xmlns:a16="http://schemas.microsoft.com/office/drawing/2014/main" id="{366EA5D5-8536-4FAE-B567-D3123A1887CC}"/>
            </a:ext>
            <a:ext uri="{147F2762-F138-4A5C-976F-8EAC2B608ADB}">
              <a16:predDERef xmlns:a16="http://schemas.microsoft.com/office/drawing/2014/main" pred="{D9172788-B929-44D4-BCCB-FCC7C59A9617}"/>
            </a:ext>
          </a:extLst>
        </xdr:cNvPr>
        <xdr:cNvSpPr txBox="1"/>
      </xdr:nvSpPr>
      <xdr:spPr>
        <a:xfrm>
          <a:off x="8343900" y="12653962"/>
          <a:ext cx="6172200" cy="17287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R%D</a:t>
          </a:r>
          <a:r>
            <a:rPr lang="en-US" sz="1100" kern="1200" baseline="0"/>
            <a:t> spending remain very similar over the years remaining around the 10yr average of 22%. 2024 was the lowest at 14%, but that was due to its explosive revenue spike this year. </a:t>
          </a:r>
          <a:br>
            <a:rPr lang="en-US" sz="1100" kern="1200" baseline="0"/>
          </a:br>
          <a:br>
            <a:rPr lang="en-US" sz="1100" kern="1200" baseline="0"/>
          </a:br>
          <a:r>
            <a:rPr lang="en-US" sz="1100" kern="1200" baseline="0"/>
            <a:t>SGA cost remain similar over the years as well. </a:t>
          </a:r>
        </a:p>
        <a:p>
          <a:endParaRPr lang="en-US" sz="1100" kern="1200"/>
        </a:p>
      </xdr:txBody>
    </xdr:sp>
    <xdr:clientData/>
  </xdr:twoCellAnchor>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12</xdr:col>
          <xdr:colOff>0</xdr:colOff>
          <xdr:row>8</xdr:row>
          <xdr:rowOff>0</xdr:rowOff>
        </xdr:from>
        <xdr:to>
          <xdr:col>22</xdr:col>
          <xdr:colOff>609600</xdr:colOff>
          <xdr:row>41</xdr:row>
          <xdr:rowOff>0</xdr:rowOff>
        </xdr:to>
        <xdr:pic>
          <xdr:nvPicPr>
            <xdr:cNvPr id="2" name="Picture 1">
              <a:extLst>
                <a:ext uri="{FF2B5EF4-FFF2-40B4-BE49-F238E27FC236}">
                  <a16:creationId xmlns:a16="http://schemas.microsoft.com/office/drawing/2014/main" id="{ACDD906A-B28E-41F9-B203-3AA1A35DFAFE}"/>
                </a:ext>
              </a:extLst>
            </xdr:cNvPr>
            <xdr:cNvPicPr>
              <a:picLocks noChangeAspect="1" noChangeArrowheads="1"/>
              <a:extLst>
                <a:ext uri="{84589F7E-364E-4C9E-8A38-B11213B215E9}">
                  <a14:cameraTool cellRange="$A$9:$K$41" spid="_x0000_s43572"/>
                </a:ext>
              </a:extLst>
            </xdr:cNvPicPr>
          </xdr:nvPicPr>
          <xdr:blipFill>
            <a:blip xmlns:r="http://schemas.openxmlformats.org/officeDocument/2006/relationships" r:embed="rId1"/>
            <a:srcRect/>
            <a:stretch>
              <a:fillRect/>
            </a:stretch>
          </xdr:blipFill>
          <xdr:spPr bwMode="auto">
            <a:xfrm>
              <a:off x="10782300" y="1422400"/>
              <a:ext cx="9753600" cy="5880100"/>
            </a:xfrm>
            <a:prstGeom prst="rect">
              <a:avLst/>
            </a:prstGeom>
            <a:solidFill>
              <a:schemeClr val="bg1"/>
            </a:solidFill>
          </xdr:spPr>
        </xdr:pic>
        <xdr:clientData/>
      </xdr:twoCellAnchor>
    </mc:Choice>
    <mc:Fallback/>
  </mc:AlternateContent>
</xdr:wsDr>
</file>

<file path=xl/drawings/drawing18.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DE98D28D-EE45-4298-B64D-50D1CD827568}"/>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wsDr>
</file>

<file path=xl/drawings/drawing19.xml><?xml version="1.0" encoding="utf-8"?>
<xdr:wsDr xmlns:xdr="http://schemas.openxmlformats.org/drawingml/2006/spreadsheetDrawing" xmlns:a="http://schemas.openxmlformats.org/drawingml/2006/main">
  <xdr:twoCellAnchor>
    <xdr:from>
      <xdr:col>0</xdr:col>
      <xdr:colOff>485775</xdr:colOff>
      <xdr:row>34</xdr:row>
      <xdr:rowOff>142875</xdr:rowOff>
    </xdr:from>
    <xdr:to>
      <xdr:col>3</xdr:col>
      <xdr:colOff>438150</xdr:colOff>
      <xdr:row>51</xdr:row>
      <xdr:rowOff>133350</xdr:rowOff>
    </xdr:to>
    <xdr:graphicFrame macro="">
      <xdr:nvGraphicFramePr>
        <xdr:cNvPr id="4" name="Chart 3">
          <a:extLst>
            <a:ext uri="{FF2B5EF4-FFF2-40B4-BE49-F238E27FC236}">
              <a16:creationId xmlns:a16="http://schemas.microsoft.com/office/drawing/2014/main" id="{27B0C70B-FB5D-F061-FD95-A76BB940F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185737</xdr:colOff>
      <xdr:row>34</xdr:row>
      <xdr:rowOff>76200</xdr:rowOff>
    </xdr:from>
    <xdr:to>
      <xdr:col>10</xdr:col>
      <xdr:colOff>138112</xdr:colOff>
      <xdr:row>51</xdr:row>
      <xdr:rowOff>66675</xdr:rowOff>
    </xdr:to>
    <xdr:graphicFrame macro="">
      <xdr:nvGraphicFramePr>
        <xdr:cNvPr id="5" name="Chart 4">
          <a:extLst>
            <a:ext uri="{FF2B5EF4-FFF2-40B4-BE49-F238E27FC236}">
              <a16:creationId xmlns:a16="http://schemas.microsoft.com/office/drawing/2014/main" id="{D6B47B27-01D9-22A9-55EF-02D47D3175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56</xdr:row>
      <xdr:rowOff>0</xdr:rowOff>
    </xdr:from>
    <xdr:to>
      <xdr:col>5</xdr:col>
      <xdr:colOff>200993</xdr:colOff>
      <xdr:row>74</xdr:row>
      <xdr:rowOff>152828</xdr:rowOff>
    </xdr:to>
    <xdr:pic>
      <xdr:nvPicPr>
        <xdr:cNvPr id="6" name="Picture 5">
          <a:extLst>
            <a:ext uri="{FF2B5EF4-FFF2-40B4-BE49-F238E27FC236}">
              <a16:creationId xmlns:a16="http://schemas.microsoft.com/office/drawing/2014/main" id="{381E07B1-6D8A-264E-934A-3C9A40B99C74}"/>
            </a:ext>
          </a:extLst>
        </xdr:cNvPr>
        <xdr:cNvPicPr>
          <a:picLocks noChangeAspect="1"/>
        </xdr:cNvPicPr>
      </xdr:nvPicPr>
      <xdr:blipFill>
        <a:blip xmlns:r="http://schemas.openxmlformats.org/officeDocument/2006/relationships" r:embed="rId3"/>
        <a:stretch>
          <a:fillRect/>
        </a:stretch>
      </xdr:blipFill>
      <xdr:spPr>
        <a:xfrm>
          <a:off x="0" y="9067800"/>
          <a:ext cx="6935168" cy="3067478"/>
        </a:xfrm>
        <a:prstGeom prst="rect">
          <a:avLst/>
        </a:prstGeom>
      </xdr:spPr>
    </xdr:pic>
    <xdr:clientData/>
  </xdr:twoCellAnchor>
  <xdr:twoCellAnchor>
    <xdr:from>
      <xdr:col>3</xdr:col>
      <xdr:colOff>838200</xdr:colOff>
      <xdr:row>37</xdr:row>
      <xdr:rowOff>85725</xdr:rowOff>
    </xdr:from>
    <xdr:to>
      <xdr:col>6</xdr:col>
      <xdr:colOff>476250</xdr:colOff>
      <xdr:row>43</xdr:row>
      <xdr:rowOff>28575</xdr:rowOff>
    </xdr:to>
    <xdr:sp macro="" textlink="">
      <xdr:nvSpPr>
        <xdr:cNvPr id="8" name="TextBox 7">
          <a:extLst>
            <a:ext uri="{FF2B5EF4-FFF2-40B4-BE49-F238E27FC236}">
              <a16:creationId xmlns:a16="http://schemas.microsoft.com/office/drawing/2014/main" id="{C6194F9B-2623-A6CA-FA4F-97B3AC2C8498}"/>
            </a:ext>
          </a:extLst>
        </xdr:cNvPr>
        <xdr:cNvSpPr txBox="1"/>
      </xdr:nvSpPr>
      <xdr:spPr>
        <a:xfrm>
          <a:off x="5457825" y="6076950"/>
          <a:ext cx="25146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Information from CSI Market</a:t>
          </a:r>
        </a:p>
        <a:p>
          <a:r>
            <a:rPr lang="en-US" sz="1100" kern="1200"/>
            <a:t>https://csimarket.com/stocks/competitionSEG2.php?code=NVDA </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35607</xdr:colOff>
          <xdr:row>39</xdr:row>
          <xdr:rowOff>97921</xdr:rowOff>
        </xdr:from>
        <xdr:to>
          <xdr:col>4</xdr:col>
          <xdr:colOff>35606</xdr:colOff>
          <xdr:row>46</xdr:row>
          <xdr:rowOff>124626</xdr:rowOff>
        </xdr:to>
        <xdr:pic>
          <xdr:nvPicPr>
            <xdr:cNvPr id="3" name="Picture 2">
              <a:extLst>
                <a:ext uri="{FF2B5EF4-FFF2-40B4-BE49-F238E27FC236}">
                  <a16:creationId xmlns:a16="http://schemas.microsoft.com/office/drawing/2014/main" id="{96A67010-A266-87AE-63D2-7ED5F90D3B07}"/>
                </a:ext>
              </a:extLst>
            </xdr:cNvPr>
            <xdr:cNvPicPr>
              <a:picLocks noChangeAspect="1" noChangeArrowheads="1"/>
              <a:extLst>
                <a:ext uri="{84589F7E-364E-4C9E-8A38-B11213B215E9}">
                  <a14:cameraTool cellRange="$B$31:$D$37" spid="_x0000_s136388"/>
                </a:ext>
              </a:extLst>
            </xdr:cNvPicPr>
          </xdr:nvPicPr>
          <xdr:blipFill>
            <a:blip xmlns:r="http://schemas.openxmlformats.org/officeDocument/2006/relationships" r:embed="rId1"/>
            <a:srcRect/>
            <a:stretch>
              <a:fillRect/>
            </a:stretch>
          </xdr:blipFill>
          <xdr:spPr bwMode="auto">
            <a:xfrm>
              <a:off x="623130" y="6614089"/>
              <a:ext cx="3854509" cy="1148341"/>
            </a:xfrm>
            <a:prstGeom prst="rect">
              <a:avLst/>
            </a:prstGeom>
            <a:solidFill>
              <a:schemeClr val="bg1"/>
            </a:solidFill>
          </xdr:spPr>
        </xdr:pic>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editAs="oneCell">
    <xdr:from>
      <xdr:col>13</xdr:col>
      <xdr:colOff>276225</xdr:colOff>
      <xdr:row>1</xdr:row>
      <xdr:rowOff>38100</xdr:rowOff>
    </xdr:from>
    <xdr:to>
      <xdr:col>24</xdr:col>
      <xdr:colOff>505793</xdr:colOff>
      <xdr:row>14</xdr:row>
      <xdr:rowOff>291</xdr:rowOff>
    </xdr:to>
    <xdr:pic>
      <xdr:nvPicPr>
        <xdr:cNvPr id="2" name="Picture 1">
          <a:extLst>
            <a:ext uri="{FF2B5EF4-FFF2-40B4-BE49-F238E27FC236}">
              <a16:creationId xmlns:a16="http://schemas.microsoft.com/office/drawing/2014/main" id="{AF02BB35-A938-3C92-A364-3ACEF0C0512D}"/>
            </a:ext>
          </a:extLst>
        </xdr:cNvPr>
        <xdr:cNvPicPr>
          <a:picLocks noChangeAspect="1"/>
        </xdr:cNvPicPr>
      </xdr:nvPicPr>
      <xdr:blipFill>
        <a:blip xmlns:r="http://schemas.openxmlformats.org/officeDocument/2006/relationships" r:embed="rId1"/>
        <a:stretch>
          <a:fillRect/>
        </a:stretch>
      </xdr:blipFill>
      <xdr:spPr>
        <a:xfrm>
          <a:off x="10639425" y="200025"/>
          <a:ext cx="6935168" cy="2086266"/>
        </a:xfrm>
        <a:prstGeom prst="rect">
          <a:avLst/>
        </a:prstGeom>
      </xdr:spPr>
    </xdr:pic>
    <xdr:clientData/>
  </xdr:twoCellAnchor>
  <xdr:twoCellAnchor editAs="oneCell">
    <xdr:from>
      <xdr:col>13</xdr:col>
      <xdr:colOff>495300</xdr:colOff>
      <xdr:row>15</xdr:row>
      <xdr:rowOff>66675</xdr:rowOff>
    </xdr:from>
    <xdr:to>
      <xdr:col>25</xdr:col>
      <xdr:colOff>124794</xdr:colOff>
      <xdr:row>25</xdr:row>
      <xdr:rowOff>105006</xdr:rowOff>
    </xdr:to>
    <xdr:pic>
      <xdr:nvPicPr>
        <xdr:cNvPr id="3" name="Picture 2">
          <a:extLst>
            <a:ext uri="{FF2B5EF4-FFF2-40B4-BE49-F238E27FC236}">
              <a16:creationId xmlns:a16="http://schemas.microsoft.com/office/drawing/2014/main" id="{CEF148F6-EB36-9988-5D62-843188FB5CFD}"/>
            </a:ext>
          </a:extLst>
        </xdr:cNvPr>
        <xdr:cNvPicPr>
          <a:picLocks noChangeAspect="1"/>
        </xdr:cNvPicPr>
      </xdr:nvPicPr>
      <xdr:blipFill>
        <a:blip xmlns:r="http://schemas.openxmlformats.org/officeDocument/2006/relationships" r:embed="rId2"/>
        <a:stretch>
          <a:fillRect/>
        </a:stretch>
      </xdr:blipFill>
      <xdr:spPr>
        <a:xfrm>
          <a:off x="10858500" y="2514600"/>
          <a:ext cx="6944694" cy="1657581"/>
        </a:xfrm>
        <a:prstGeom prst="rect">
          <a:avLst/>
        </a:prstGeom>
      </xdr:spPr>
    </xdr:pic>
    <xdr:clientData/>
  </xdr:twoCellAnchor>
  <xdr:twoCellAnchor>
    <xdr:from>
      <xdr:col>7</xdr:col>
      <xdr:colOff>342900</xdr:colOff>
      <xdr:row>3</xdr:row>
      <xdr:rowOff>0</xdr:rowOff>
    </xdr:from>
    <xdr:to>
      <xdr:col>15</xdr:col>
      <xdr:colOff>304800</xdr:colOff>
      <xdr:row>20</xdr:row>
      <xdr:rowOff>28575</xdr:rowOff>
    </xdr:to>
    <xdr:graphicFrame macro="">
      <xdr:nvGraphicFramePr>
        <xdr:cNvPr id="4" name="Chart 7">
          <a:extLst>
            <a:ext uri="{FF2B5EF4-FFF2-40B4-BE49-F238E27FC236}">
              <a16:creationId xmlns:a16="http://schemas.microsoft.com/office/drawing/2014/main" id="{E4E2AA73-525F-BC7D-EA4A-187A55E4D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85725</xdr:colOff>
      <xdr:row>26</xdr:row>
      <xdr:rowOff>38100</xdr:rowOff>
    </xdr:from>
    <xdr:to>
      <xdr:col>15</xdr:col>
      <xdr:colOff>47625</xdr:colOff>
      <xdr:row>43</xdr:row>
      <xdr:rowOff>66675</xdr:rowOff>
    </xdr:to>
    <xdr:graphicFrame macro="">
      <xdr:nvGraphicFramePr>
        <xdr:cNvPr id="5" name="Chart 7">
          <a:extLst>
            <a:ext uri="{FF2B5EF4-FFF2-40B4-BE49-F238E27FC236}">
              <a16:creationId xmlns:a16="http://schemas.microsoft.com/office/drawing/2014/main" id="{CE7B3245-755C-4F4D-AEF6-CEDC6FD5B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6</xdr:col>
      <xdr:colOff>31750</xdr:colOff>
      <xdr:row>0</xdr:row>
      <xdr:rowOff>120650</xdr:rowOff>
    </xdr:from>
    <xdr:to>
      <xdr:col>17</xdr:col>
      <xdr:colOff>98425</xdr:colOff>
      <xdr:row>20</xdr:row>
      <xdr:rowOff>73025</xdr:rowOff>
    </xdr:to>
    <mc:AlternateContent xmlns:mc="http://schemas.openxmlformats.org/markup-compatibility/2006">
      <mc:Choice xmlns:cx1="http://schemas.microsoft.com/office/drawing/2015/9/8/chartex" Requires="cx1">
        <xdr:graphicFrame macro="">
          <xdr:nvGraphicFramePr>
            <xdr:cNvPr id="56" name="Chart 2">
              <a:extLst>
                <a:ext uri="{FF2B5EF4-FFF2-40B4-BE49-F238E27FC236}">
                  <a16:creationId xmlns:a16="http://schemas.microsoft.com/office/drawing/2014/main" id="{6B4A88B4-230D-A6DD-6839-804A7E3F432A}"/>
                </a:ext>
                <a:ext uri="{147F2762-F138-4A5C-976F-8EAC2B608ADB}">
                  <a16:predDERef xmlns:a16="http://schemas.microsoft.com/office/drawing/2014/main" pred="{518EA920-98E9-0E9D-BD5F-FA06AA7FF1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054850" y="120650"/>
              <a:ext cx="7470775" cy="39528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455662</xdr:colOff>
      <xdr:row>15</xdr:row>
      <xdr:rowOff>21398</xdr:rowOff>
    </xdr:from>
    <xdr:to>
      <xdr:col>30</xdr:col>
      <xdr:colOff>610987</xdr:colOff>
      <xdr:row>46</xdr:row>
      <xdr:rowOff>101214</xdr:rowOff>
    </xdr:to>
    <xdr:graphicFrame macro="">
      <xdr:nvGraphicFramePr>
        <xdr:cNvPr id="1144" name="Chart 2">
          <a:extLst>
            <a:ext uri="{FF2B5EF4-FFF2-40B4-BE49-F238E27FC236}">
              <a16:creationId xmlns:a16="http://schemas.microsoft.com/office/drawing/2014/main" id="{F47230C2-2ED8-84B3-6987-587E96C13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49</xdr:row>
      <xdr:rowOff>17105</xdr:rowOff>
    </xdr:from>
    <xdr:to>
      <xdr:col>18</xdr:col>
      <xdr:colOff>152401</xdr:colOff>
      <xdr:row>84</xdr:row>
      <xdr:rowOff>167676</xdr:rowOff>
    </xdr:to>
    <xdr:graphicFrame macro="">
      <xdr:nvGraphicFramePr>
        <xdr:cNvPr id="1140" name="Chart 2">
          <a:extLst>
            <a:ext uri="{FF2B5EF4-FFF2-40B4-BE49-F238E27FC236}">
              <a16:creationId xmlns:a16="http://schemas.microsoft.com/office/drawing/2014/main" id="{0B8F90BA-F561-164A-B552-FF1D6EEA1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0</xdr:colOff>
      <xdr:row>61</xdr:row>
      <xdr:rowOff>0</xdr:rowOff>
    </xdr:from>
    <xdr:to>
      <xdr:col>29</xdr:col>
      <xdr:colOff>438150</xdr:colOff>
      <xdr:row>76</xdr:row>
      <xdr:rowOff>19050</xdr:rowOff>
    </xdr:to>
    <xdr:pic>
      <xdr:nvPicPr>
        <xdr:cNvPr id="2" name="Picture 1">
          <a:extLst>
            <a:ext uri="{FF2B5EF4-FFF2-40B4-BE49-F238E27FC236}">
              <a16:creationId xmlns:a16="http://schemas.microsoft.com/office/drawing/2014/main" id="{D37FFFD1-969B-F6A8-2D4A-F07F409F3318}"/>
            </a:ext>
            <a:ext uri="{147F2762-F138-4A5C-976F-8EAC2B608ADB}">
              <a16:predDERef xmlns:a16="http://schemas.microsoft.com/office/drawing/2014/main" pred="{0B8F90BA-F561-164A-B552-FF1D6EEA171F}"/>
            </a:ext>
          </a:extLst>
        </xdr:cNvPr>
        <xdr:cNvPicPr>
          <a:picLocks noChangeAspect="1"/>
        </xdr:cNvPicPr>
      </xdr:nvPicPr>
      <xdr:blipFill>
        <a:blip xmlns:r="http://schemas.openxmlformats.org/officeDocument/2006/relationships" r:embed="rId4"/>
        <a:stretch>
          <a:fillRect/>
        </a:stretch>
      </xdr:blipFill>
      <xdr:spPr>
        <a:xfrm>
          <a:off x="15592425" y="11153775"/>
          <a:ext cx="4572000" cy="244792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6</xdr:col>
      <xdr:colOff>58909</xdr:colOff>
      <xdr:row>0</xdr:row>
      <xdr:rowOff>97316</xdr:rowOff>
    </xdr:from>
    <xdr:to>
      <xdr:col>11</xdr:col>
      <xdr:colOff>499584</xdr:colOff>
      <xdr:row>16</xdr:row>
      <xdr:rowOff>147504</xdr:rowOff>
    </xdr:to>
    <xdr:graphicFrame macro="">
      <xdr:nvGraphicFramePr>
        <xdr:cNvPr id="2" name="Chart 1">
          <a:extLst>
            <a:ext uri="{FF2B5EF4-FFF2-40B4-BE49-F238E27FC236}">
              <a16:creationId xmlns:a16="http://schemas.microsoft.com/office/drawing/2014/main" id="{F1D47321-CC29-F6FA-D8B2-02045831F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85725</xdr:colOff>
      <xdr:row>5</xdr:row>
      <xdr:rowOff>123825</xdr:rowOff>
    </xdr:from>
    <xdr:to>
      <xdr:col>6</xdr:col>
      <xdr:colOff>19050</xdr:colOff>
      <xdr:row>11</xdr:row>
      <xdr:rowOff>152400</xdr:rowOff>
    </xdr:to>
    <xdr:sp macro="" textlink="">
      <xdr:nvSpPr>
        <xdr:cNvPr id="3" name="TextBox 2">
          <a:extLst>
            <a:ext uri="{FF2B5EF4-FFF2-40B4-BE49-F238E27FC236}">
              <a16:creationId xmlns:a16="http://schemas.microsoft.com/office/drawing/2014/main" id="{1491B961-5FF1-001B-B50C-78A178F96B34}"/>
            </a:ext>
            <a:ext uri="{147F2762-F138-4A5C-976F-8EAC2B608ADB}">
              <a16:predDERef xmlns:a16="http://schemas.microsoft.com/office/drawing/2014/main" pred="{F1D47321-CC29-F6FA-D8B2-02045831F264}"/>
            </a:ext>
          </a:extLst>
        </xdr:cNvPr>
        <xdr:cNvSpPr txBox="1"/>
      </xdr:nvSpPr>
      <xdr:spPr>
        <a:xfrm>
          <a:off x="3286125" y="933450"/>
          <a:ext cx="2219325" cy="10001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5 - high threat level</a:t>
          </a:r>
        </a:p>
        <a:p>
          <a:pPr marL="0" indent="0" algn="l"/>
          <a:endPar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1-  is good, we chilling</a:t>
          </a:r>
        </a:p>
      </xdr:txBody>
    </xdr:sp>
    <xdr:clientData/>
  </xdr:twoCellAnchor>
  <xdr:twoCellAnchor>
    <xdr:from>
      <xdr:col>5</xdr:col>
      <xdr:colOff>742950</xdr:colOff>
      <xdr:row>17</xdr:row>
      <xdr:rowOff>95250</xdr:rowOff>
    </xdr:from>
    <xdr:to>
      <xdr:col>11</xdr:col>
      <xdr:colOff>571500</xdr:colOff>
      <xdr:row>33</xdr:row>
      <xdr:rowOff>76200</xdr:rowOff>
    </xdr:to>
    <xdr:graphicFrame macro="">
      <xdr:nvGraphicFramePr>
        <xdr:cNvPr id="7" name="Chart 6">
          <a:extLst>
            <a:ext uri="{FF2B5EF4-FFF2-40B4-BE49-F238E27FC236}">
              <a16:creationId xmlns:a16="http://schemas.microsoft.com/office/drawing/2014/main" id="{2F95722F-8EE5-9324-4663-A4D2601F0356}"/>
            </a:ext>
            <a:ext uri="{147F2762-F138-4A5C-976F-8EAC2B608ADB}">
              <a16:predDERef xmlns:a16="http://schemas.microsoft.com/office/drawing/2014/main" pred="{1491B961-5FF1-001B-B50C-78A178F96B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581025</xdr:colOff>
      <xdr:row>2</xdr:row>
      <xdr:rowOff>114300</xdr:rowOff>
    </xdr:from>
    <xdr:to>
      <xdr:col>10</xdr:col>
      <xdr:colOff>257175</xdr:colOff>
      <xdr:row>22</xdr:row>
      <xdr:rowOff>66676</xdr:rowOff>
    </xdr:to>
    <xdr:graphicFrame macro="">
      <xdr:nvGraphicFramePr>
        <xdr:cNvPr id="3" name="Chart 2">
          <a:extLst>
            <a:ext uri="{FF2B5EF4-FFF2-40B4-BE49-F238E27FC236}">
              <a16:creationId xmlns:a16="http://schemas.microsoft.com/office/drawing/2014/main" id="{C06467B2-61D4-5594-3A16-27546F76B8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447675</xdr:colOff>
      <xdr:row>3</xdr:row>
      <xdr:rowOff>0</xdr:rowOff>
    </xdr:from>
    <xdr:to>
      <xdr:col>24</xdr:col>
      <xdr:colOff>9525</xdr:colOff>
      <xdr:row>33</xdr:row>
      <xdr:rowOff>28575</xdr:rowOff>
    </xdr:to>
    <xdr:grpSp>
      <xdr:nvGrpSpPr>
        <xdr:cNvPr id="46" name="Group 3">
          <a:extLst>
            <a:ext uri="{FF2B5EF4-FFF2-40B4-BE49-F238E27FC236}">
              <a16:creationId xmlns:a16="http://schemas.microsoft.com/office/drawing/2014/main" id="{049EC9B2-F204-D5EC-E5BC-EA9F64B956DB}"/>
            </a:ext>
          </a:extLst>
        </xdr:cNvPr>
        <xdr:cNvGrpSpPr/>
      </xdr:nvGrpSpPr>
      <xdr:grpSpPr>
        <a:xfrm>
          <a:off x="10747375" y="495300"/>
          <a:ext cx="6965950" cy="4981575"/>
          <a:chOff x="2032000" y="371493"/>
          <a:chExt cx="8128000" cy="6283207"/>
        </a:xfrm>
      </xdr:grpSpPr>
      <xdr:graphicFrame macro="">
        <xdr:nvGraphicFramePr>
          <xdr:cNvPr id="47" name="Diagram 4">
            <a:extLst>
              <a:ext uri="{FF2B5EF4-FFF2-40B4-BE49-F238E27FC236}">
                <a16:creationId xmlns:a16="http://schemas.microsoft.com/office/drawing/2014/main" id="{B8E40EF1-6E9F-0891-D37C-6B659BC662A0}"/>
              </a:ext>
            </a:extLst>
          </xdr:cNvPr>
          <xdr:cNvGraphicFramePr/>
        </xdr:nvGraphicFramePr>
        <xdr:xfrm>
          <a:off x="2032000" y="1236033"/>
          <a:ext cx="8128000" cy="5418667"/>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sp macro="" textlink="">
        <xdr:nvSpPr>
          <xdr:cNvPr id="48" name="TextBox 4">
            <a:extLst>
              <a:ext uri="{FF2B5EF4-FFF2-40B4-BE49-F238E27FC236}">
                <a16:creationId xmlns:a16="http://schemas.microsoft.com/office/drawing/2014/main" id="{182E42B8-796A-2905-5CE4-81F81E2E0440}"/>
              </a:ext>
            </a:extLst>
          </xdr:cNvPr>
          <xdr:cNvSpPr txBox="1"/>
        </xdr:nvSpPr>
        <xdr:spPr>
          <a:xfrm>
            <a:off x="3474121" y="371493"/>
            <a:ext cx="5189201" cy="52133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000" b="1"/>
              <a:t>Fig</a:t>
            </a:r>
            <a:r>
              <a:rPr lang="en-US" sz="2000" b="1" baseline="0"/>
              <a:t> (6): </a:t>
            </a:r>
            <a:r>
              <a:rPr lang="en-US" sz="2000" b="1"/>
              <a:t>Nvidia Core Values</a:t>
            </a:r>
          </a:p>
        </xdr:txBody>
      </xdr:sp>
    </xdr:grpSp>
    <xdr:clientData/>
  </xdr:twoCellAnchor>
  <xdr:twoCellAnchor editAs="oneCell">
    <xdr:from>
      <xdr:col>4</xdr:col>
      <xdr:colOff>104775</xdr:colOff>
      <xdr:row>24</xdr:row>
      <xdr:rowOff>38100</xdr:rowOff>
    </xdr:from>
    <xdr:to>
      <xdr:col>13</xdr:col>
      <xdr:colOff>115067</xdr:colOff>
      <xdr:row>60</xdr:row>
      <xdr:rowOff>115124</xdr:rowOff>
    </xdr:to>
    <xdr:pic>
      <xdr:nvPicPr>
        <xdr:cNvPr id="7" name="Picture 6">
          <a:extLst>
            <a:ext uri="{FF2B5EF4-FFF2-40B4-BE49-F238E27FC236}">
              <a16:creationId xmlns:a16="http://schemas.microsoft.com/office/drawing/2014/main" id="{CD5FB238-0F95-A86C-ACD4-A67CD99FC34C}"/>
            </a:ext>
          </a:extLst>
        </xdr:cNvPr>
        <xdr:cNvPicPr>
          <a:picLocks noChangeAspect="1"/>
        </xdr:cNvPicPr>
      </xdr:nvPicPr>
      <xdr:blipFill>
        <a:blip xmlns:r="http://schemas.openxmlformats.org/officeDocument/2006/relationships" r:embed="rId7"/>
        <a:stretch>
          <a:fillRect/>
        </a:stretch>
      </xdr:blipFill>
      <xdr:spPr>
        <a:xfrm>
          <a:off x="3638550" y="3924300"/>
          <a:ext cx="5496692" cy="590632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0</xdr:colOff>
          <xdr:row>76</xdr:row>
          <xdr:rowOff>0</xdr:rowOff>
        </xdr:from>
        <xdr:to>
          <xdr:col>10</xdr:col>
          <xdr:colOff>536128</xdr:colOff>
          <xdr:row>90</xdr:row>
          <xdr:rowOff>66675</xdr:rowOff>
        </xdr:to>
        <xdr:pic>
          <xdr:nvPicPr>
            <xdr:cNvPr id="2" name="Picture 1">
              <a:extLst>
                <a:ext uri="{FF2B5EF4-FFF2-40B4-BE49-F238E27FC236}">
                  <a16:creationId xmlns:a16="http://schemas.microsoft.com/office/drawing/2014/main" id="{B3AA6A45-9E6B-435E-DB9C-771C570439FD}"/>
                </a:ext>
              </a:extLst>
            </xdr:cNvPr>
            <xdr:cNvPicPr>
              <a:picLocks noChangeAspect="1" noChangeArrowheads="1"/>
              <a:extLst>
                <a:ext uri="{84589F7E-364E-4C9E-8A38-B11213B215E9}">
                  <a14:cameraTool cellRange="$A$76:$B$85" spid="_x0000_s180257"/>
                </a:ext>
              </a:extLst>
            </xdr:cNvPicPr>
          </xdr:nvPicPr>
          <xdr:blipFill>
            <a:blip xmlns:r="http://schemas.openxmlformats.org/officeDocument/2006/relationships" r:embed="rId8"/>
            <a:srcRect/>
            <a:stretch>
              <a:fillRect/>
            </a:stretch>
          </xdr:blipFill>
          <xdr:spPr bwMode="auto">
            <a:xfrm>
              <a:off x="4305300" y="12315825"/>
              <a:ext cx="3488878" cy="26003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13</xdr:col>
      <xdr:colOff>1098066</xdr:colOff>
      <xdr:row>62</xdr:row>
      <xdr:rowOff>8226</xdr:rowOff>
    </xdr:from>
    <xdr:to>
      <xdr:col>20</xdr:col>
      <xdr:colOff>300413</xdr:colOff>
      <xdr:row>83</xdr:row>
      <xdr:rowOff>65760</xdr:rowOff>
    </xdr:to>
    <xdr:graphicFrame macro="">
      <xdr:nvGraphicFramePr>
        <xdr:cNvPr id="6" name="Chart 12">
          <a:extLst>
            <a:ext uri="{FF2B5EF4-FFF2-40B4-BE49-F238E27FC236}">
              <a16:creationId xmlns:a16="http://schemas.microsoft.com/office/drawing/2014/main" id="{168CA6A0-DC1F-2C1E-8E61-95B7E0C10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149425</xdr:colOff>
      <xdr:row>62</xdr:row>
      <xdr:rowOff>47140</xdr:rowOff>
    </xdr:from>
    <xdr:to>
      <xdr:col>13</xdr:col>
      <xdr:colOff>61326</xdr:colOff>
      <xdr:row>81</xdr:row>
      <xdr:rowOff>0</xdr:rowOff>
    </xdr:to>
    <xdr:graphicFrame macro="">
      <xdr:nvGraphicFramePr>
        <xdr:cNvPr id="11" name="Chart 3">
          <a:extLst>
            <a:ext uri="{FF2B5EF4-FFF2-40B4-BE49-F238E27FC236}">
              <a16:creationId xmlns:a16="http://schemas.microsoft.com/office/drawing/2014/main" id="{1006838C-82DA-C8CD-1902-EE2BFB148059}"/>
            </a:ext>
            <a:ext uri="{147F2762-F138-4A5C-976F-8EAC2B608ADB}">
              <a16:predDERef xmlns:a16="http://schemas.microsoft.com/office/drawing/2014/main" pred="{168CA6A0-DC1F-2C1E-8E61-95B7E0C10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688775</xdr:colOff>
      <xdr:row>48</xdr:row>
      <xdr:rowOff>160185</xdr:rowOff>
    </xdr:from>
    <xdr:to>
      <xdr:col>26</xdr:col>
      <xdr:colOff>468156</xdr:colOff>
      <xdr:row>66</xdr:row>
      <xdr:rowOff>17282</xdr:rowOff>
    </xdr:to>
    <xdr:graphicFrame macro="">
      <xdr:nvGraphicFramePr>
        <xdr:cNvPr id="52" name="Chart 8">
          <a:extLst>
            <a:ext uri="{FF2B5EF4-FFF2-40B4-BE49-F238E27FC236}">
              <a16:creationId xmlns:a16="http://schemas.microsoft.com/office/drawing/2014/main" id="{7DB7F07B-73C5-77FF-4736-4C38171BE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562918</xdr:colOff>
      <xdr:row>67</xdr:row>
      <xdr:rowOff>104345</xdr:rowOff>
    </xdr:from>
    <xdr:to>
      <xdr:col>28</xdr:col>
      <xdr:colOff>506282</xdr:colOff>
      <xdr:row>85</xdr:row>
      <xdr:rowOff>154460</xdr:rowOff>
    </xdr:to>
    <xdr:graphicFrame macro="">
      <xdr:nvGraphicFramePr>
        <xdr:cNvPr id="2" name="Chart 1">
          <a:extLst>
            <a:ext uri="{FF2B5EF4-FFF2-40B4-BE49-F238E27FC236}">
              <a16:creationId xmlns:a16="http://schemas.microsoft.com/office/drawing/2014/main" id="{A8E00EDA-601D-6985-06C8-1D32406CD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502851</xdr:colOff>
      <xdr:row>2</xdr:row>
      <xdr:rowOff>1373</xdr:rowOff>
    </xdr:from>
    <xdr:to>
      <xdr:col>24</xdr:col>
      <xdr:colOff>154460</xdr:colOff>
      <xdr:row>18</xdr:row>
      <xdr:rowOff>8581</xdr:rowOff>
    </xdr:to>
    <xdr:graphicFrame macro="">
      <xdr:nvGraphicFramePr>
        <xdr:cNvPr id="3" name="Chart 2">
          <a:extLst>
            <a:ext uri="{FF2B5EF4-FFF2-40B4-BE49-F238E27FC236}">
              <a16:creationId xmlns:a16="http://schemas.microsoft.com/office/drawing/2014/main" id="{A44C85CE-DE47-1D96-A88F-DAD4815A62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520013</xdr:colOff>
      <xdr:row>20</xdr:row>
      <xdr:rowOff>78603</xdr:rowOff>
    </xdr:from>
    <xdr:to>
      <xdr:col>24</xdr:col>
      <xdr:colOff>171620</xdr:colOff>
      <xdr:row>37</xdr:row>
      <xdr:rowOff>120135</xdr:rowOff>
    </xdr:to>
    <xdr:graphicFrame macro="">
      <xdr:nvGraphicFramePr>
        <xdr:cNvPr id="4" name="Chart 3">
          <a:extLst>
            <a:ext uri="{FF2B5EF4-FFF2-40B4-BE49-F238E27FC236}">
              <a16:creationId xmlns:a16="http://schemas.microsoft.com/office/drawing/2014/main" id="{C1D60933-5D19-2BE5-142F-4F44EA07E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686486</xdr:colOff>
          <xdr:row>110</xdr:row>
          <xdr:rowOff>8581</xdr:rowOff>
        </xdr:from>
        <xdr:to>
          <xdr:col>16</xdr:col>
          <xdr:colOff>996349</xdr:colOff>
          <xdr:row>153</xdr:row>
          <xdr:rowOff>27631</xdr:rowOff>
        </xdr:to>
        <xdr:pic>
          <xdr:nvPicPr>
            <xdr:cNvPr id="3" name="Picture 2">
              <a:extLst>
                <a:ext uri="{FF2B5EF4-FFF2-40B4-BE49-F238E27FC236}">
                  <a16:creationId xmlns:a16="http://schemas.microsoft.com/office/drawing/2014/main" id="{12382311-8FCB-41C5-5665-F5EFA6C45457}"/>
                </a:ext>
              </a:extLst>
            </xdr:cNvPr>
            <xdr:cNvPicPr>
              <a:picLocks noChangeAspect="1" noChangeArrowheads="1"/>
              <a:extLst>
                <a:ext uri="{84589F7E-364E-4C9E-8A38-B11213B215E9}">
                  <a14:cameraTool cellRange="$I$68:$Q$108" spid="_x0000_s161024"/>
                </a:ext>
              </a:extLst>
            </xdr:cNvPicPr>
          </xdr:nvPicPr>
          <xdr:blipFill>
            <a:blip xmlns:r="http://schemas.openxmlformats.org/officeDocument/2006/relationships" r:embed="rId1"/>
            <a:srcRect/>
            <a:stretch>
              <a:fillRect/>
            </a:stretch>
          </xdr:blipFill>
          <xdr:spPr bwMode="auto">
            <a:xfrm>
              <a:off x="8812770" y="18603784"/>
              <a:ext cx="10392633" cy="7029793"/>
            </a:xfrm>
            <a:prstGeom prst="rect">
              <a:avLst/>
            </a:prstGeom>
            <a:solidFill>
              <a:schemeClr val="bg1"/>
            </a:solid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914400</xdr:colOff>
          <xdr:row>110</xdr:row>
          <xdr:rowOff>12700</xdr:rowOff>
        </xdr:from>
        <xdr:to>
          <xdr:col>17</xdr:col>
          <xdr:colOff>0</xdr:colOff>
          <xdr:row>153</xdr:row>
          <xdr:rowOff>38100</xdr:rowOff>
        </xdr:to>
        <xdr:pic>
          <xdr:nvPicPr>
            <xdr:cNvPr id="91144" name="Picture 2">
              <a:extLst>
                <a:ext uri="{FF2B5EF4-FFF2-40B4-BE49-F238E27FC236}">
                  <a16:creationId xmlns:a16="http://schemas.microsoft.com/office/drawing/2014/main" id="{C73BF717-C61A-FB2B-59FA-8EBB6ECACCF5}"/>
                </a:ext>
              </a:extLst>
            </xdr:cNvPr>
            <xdr:cNvPicPr>
              <a:picLocks noChangeAspect="1" noChangeArrowheads="1"/>
              <a:extLst>
                <a:ext uri="{84589F7E-364E-4C9E-8A38-B11213B215E9}">
                  <a14:cameraTool cellRange="$I$68:$Q$108" spid="_x0000_s161025"/>
                </a:ext>
              </a:extLst>
            </xdr:cNvPicPr>
          </xdr:nvPicPr>
          <xdr:blipFill>
            <a:blip xmlns:r="http://schemas.openxmlformats.org/officeDocument/2006/relationships" r:embed="rId2"/>
            <a:srcRect/>
            <a:stretch>
              <a:fillRect/>
            </a:stretch>
          </xdr:blipFill>
          <xdr:spPr bwMode="auto">
            <a:xfrm>
              <a:off x="10210800" y="18859500"/>
              <a:ext cx="11887200" cy="7124700"/>
            </a:xfrm>
            <a:prstGeom prst="rect">
              <a:avLst/>
            </a:prstGeom>
            <a:solidFill>
              <a:srgbClr val="FFFFFF"/>
            </a:solid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914400</xdr:colOff>
          <xdr:row>110</xdr:row>
          <xdr:rowOff>12700</xdr:rowOff>
        </xdr:from>
        <xdr:to>
          <xdr:col>17</xdr:col>
          <xdr:colOff>0</xdr:colOff>
          <xdr:row>153</xdr:row>
          <xdr:rowOff>38100</xdr:rowOff>
        </xdr:to>
        <xdr:pic>
          <xdr:nvPicPr>
            <xdr:cNvPr id="91532" name="Picture 2">
              <a:extLst>
                <a:ext uri="{FF2B5EF4-FFF2-40B4-BE49-F238E27FC236}">
                  <a16:creationId xmlns:a16="http://schemas.microsoft.com/office/drawing/2014/main" id="{18D43335-7B9A-090A-1A72-50A1F6BF210D}"/>
                </a:ext>
              </a:extLst>
            </xdr:cNvPr>
            <xdr:cNvPicPr>
              <a:picLocks noChangeAspect="1" noChangeArrowheads="1"/>
              <a:extLst>
                <a:ext uri="{84589F7E-364E-4C9E-8A38-B11213B215E9}">
                  <a14:cameraTool cellRange="$I$68:$Q$108" spid="_x0000_s161026"/>
                </a:ext>
              </a:extLst>
            </xdr:cNvPicPr>
          </xdr:nvPicPr>
          <xdr:blipFill>
            <a:blip xmlns:r="http://schemas.openxmlformats.org/officeDocument/2006/relationships" r:embed="rId3"/>
            <a:srcRect/>
            <a:stretch>
              <a:fillRect/>
            </a:stretch>
          </xdr:blipFill>
          <xdr:spPr bwMode="auto">
            <a:xfrm>
              <a:off x="10210800" y="18859500"/>
              <a:ext cx="11887200" cy="7124700"/>
            </a:xfrm>
            <a:prstGeom prst="rect">
              <a:avLst/>
            </a:prstGeom>
            <a:solidFill>
              <a:srgbClr val="FFFFFF"/>
            </a:solid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1219200</xdr:colOff>
          <xdr:row>110</xdr:row>
          <xdr:rowOff>12700</xdr:rowOff>
        </xdr:from>
        <xdr:to>
          <xdr:col>16</xdr:col>
          <xdr:colOff>1092200</xdr:colOff>
          <xdr:row>153</xdr:row>
          <xdr:rowOff>50800</xdr:rowOff>
        </xdr:to>
        <xdr:pic>
          <xdr:nvPicPr>
            <xdr:cNvPr id="91533" name="Picture 397">
              <a:extLst>
                <a:ext uri="{FF2B5EF4-FFF2-40B4-BE49-F238E27FC236}">
                  <a16:creationId xmlns:a16="http://schemas.microsoft.com/office/drawing/2014/main" id="{005D2812-F93E-6894-66D0-7E7AAF0F3E7D}"/>
                </a:ext>
              </a:extLst>
            </xdr:cNvPr>
            <xdr:cNvPicPr>
              <a:picLocks noChangeAspect="1" noChangeArrowheads="1"/>
              <a:extLst>
                <a:ext uri="{84589F7E-364E-4C9E-8A38-B11213B215E9}">
                  <a14:cameraTool cellRange="$I$68:$Q$108" spid="_x0000_s161027"/>
                </a:ext>
              </a:extLst>
            </xdr:cNvPicPr>
          </xdr:nvPicPr>
          <xdr:blipFill>
            <a:blip xmlns:r="http://schemas.openxmlformats.org/officeDocument/2006/relationships" r:embed="rId4"/>
            <a:srcRect/>
            <a:stretch>
              <a:fillRect/>
            </a:stretch>
          </xdr:blipFill>
          <xdr:spPr bwMode="auto">
            <a:xfrm>
              <a:off x="10210800" y="18859500"/>
              <a:ext cx="11887200" cy="7137400"/>
            </a:xfrm>
            <a:prstGeom prst="rect">
              <a:avLst/>
            </a:prstGeom>
            <a:solidFill>
              <a:srgbClr val="FFFFFF"/>
            </a:solidFill>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18FE3485-258A-4842-97CD-2622FF139FD8}"/>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13</xdr:col>
          <xdr:colOff>76200</xdr:colOff>
          <xdr:row>56</xdr:row>
          <xdr:rowOff>152400</xdr:rowOff>
        </xdr:from>
        <xdr:to>
          <xdr:col>24</xdr:col>
          <xdr:colOff>76200</xdr:colOff>
          <xdr:row>96</xdr:row>
          <xdr:rowOff>104775</xdr:rowOff>
        </xdr:to>
        <xdr:pic>
          <xdr:nvPicPr>
            <xdr:cNvPr id="6" name="Picture 5">
              <a:extLst>
                <a:ext uri="{FF2B5EF4-FFF2-40B4-BE49-F238E27FC236}">
                  <a16:creationId xmlns:a16="http://schemas.microsoft.com/office/drawing/2014/main" id="{1F976818-E80B-B5B9-1F1A-8470AB08314A}"/>
                </a:ext>
              </a:extLst>
            </xdr:cNvPr>
            <xdr:cNvPicPr>
              <a:picLocks noChangeAspect="1" noChangeArrowheads="1"/>
              <a:extLst>
                <a:ext uri="{84589F7E-364E-4C9E-8A38-B11213B215E9}">
                  <a14:cameraTool cellRange="$N$15:$X$53" spid="_x0000_s57260"/>
                </a:ext>
              </a:extLst>
            </xdr:cNvPicPr>
          </xdr:nvPicPr>
          <xdr:blipFill>
            <a:blip xmlns:r="http://schemas.openxmlformats.org/officeDocument/2006/relationships" r:embed="rId2"/>
            <a:srcRect/>
            <a:stretch>
              <a:fillRect/>
            </a:stretch>
          </xdr:blipFill>
          <xdr:spPr bwMode="auto">
            <a:xfrm>
              <a:off x="12573000" y="9763125"/>
              <a:ext cx="7505700" cy="6429375"/>
            </a:xfrm>
            <a:prstGeom prst="rect">
              <a:avLst/>
            </a:prstGeom>
            <a:solidFill>
              <a:schemeClr val="bg1"/>
            </a:solid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56</xdr:row>
          <xdr:rowOff>152400</xdr:rowOff>
        </xdr:from>
        <xdr:to>
          <xdr:col>24</xdr:col>
          <xdr:colOff>76200</xdr:colOff>
          <xdr:row>96</xdr:row>
          <xdr:rowOff>104775</xdr:rowOff>
        </xdr:to>
        <xdr:pic>
          <xdr:nvPicPr>
            <xdr:cNvPr id="56328" name="Picture 5">
              <a:extLst>
                <a:ext uri="{FF2B5EF4-FFF2-40B4-BE49-F238E27FC236}">
                  <a16:creationId xmlns:a16="http://schemas.microsoft.com/office/drawing/2014/main" id="{A3519F63-06C7-2DDA-FCEE-9C4AE376A45D}"/>
                </a:ext>
              </a:extLst>
            </xdr:cNvPr>
            <xdr:cNvPicPr>
              <a:picLocks noChangeAspect="1" noChangeArrowheads="1"/>
              <a:extLst>
                <a:ext uri="{84589F7E-364E-4C9E-8A38-B11213B215E9}">
                  <a14:cameraTool cellRange="$N$15:$X$53" spid="_x0000_s57261"/>
                </a:ext>
              </a:extLst>
            </xdr:cNvPicPr>
          </xdr:nvPicPr>
          <xdr:blipFill>
            <a:blip xmlns:r="http://schemas.openxmlformats.org/officeDocument/2006/relationships" r:embed="rId3"/>
            <a:srcRect/>
            <a:stretch>
              <a:fillRect/>
            </a:stretch>
          </xdr:blipFill>
          <xdr:spPr bwMode="auto">
            <a:xfrm>
              <a:off x="12573000" y="9763125"/>
              <a:ext cx="7505700" cy="6429375"/>
            </a:xfrm>
            <a:prstGeom prst="rect">
              <a:avLst/>
            </a:prstGeom>
            <a:solidFill>
              <a:srgbClr val="FFFFFF"/>
            </a:solidFill>
          </xdr:spPr>
        </xdr:pic>
        <xdr:clientData/>
      </xdr:twoCellAnchor>
    </mc:Choice>
    <mc:Fallback/>
  </mc:AlternateContent>
  <xdr:twoCellAnchor>
    <xdr:from>
      <xdr:col>0</xdr:col>
      <xdr:colOff>1593850</xdr:colOff>
      <xdr:row>55</xdr:row>
      <xdr:rowOff>88900</xdr:rowOff>
    </xdr:from>
    <xdr:to>
      <xdr:col>7</xdr:col>
      <xdr:colOff>736600</xdr:colOff>
      <xdr:row>82</xdr:row>
      <xdr:rowOff>12700</xdr:rowOff>
    </xdr:to>
    <xdr:graphicFrame macro="">
      <xdr:nvGraphicFramePr>
        <xdr:cNvPr id="56338" name="Chart 3">
          <a:extLst>
            <a:ext uri="{FF2B5EF4-FFF2-40B4-BE49-F238E27FC236}">
              <a16:creationId xmlns:a16="http://schemas.microsoft.com/office/drawing/2014/main" id="{98592FE3-99CF-686A-C964-907F4F645A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12</xdr:col>
          <xdr:colOff>114300</xdr:colOff>
          <xdr:row>14</xdr:row>
          <xdr:rowOff>0</xdr:rowOff>
        </xdr:from>
        <xdr:to>
          <xdr:col>25</xdr:col>
          <xdr:colOff>619125</xdr:colOff>
          <xdr:row>54</xdr:row>
          <xdr:rowOff>9525</xdr:rowOff>
        </xdr:to>
        <xdr:pic>
          <xdr:nvPicPr>
            <xdr:cNvPr id="3" name="Picture 2">
              <a:extLst>
                <a:ext uri="{FF2B5EF4-FFF2-40B4-BE49-F238E27FC236}">
                  <a16:creationId xmlns:a16="http://schemas.microsoft.com/office/drawing/2014/main" id="{A56B64BF-AA42-B12F-A5CC-C982067AB21A}"/>
                </a:ext>
              </a:extLst>
            </xdr:cNvPr>
            <xdr:cNvPicPr>
              <a:picLocks noChangeAspect="1" noChangeArrowheads="1"/>
              <a:extLst>
                <a:ext uri="{84589F7E-364E-4C9E-8A38-B11213B215E9}">
                  <a14:cameraTool cellRange="$A$15:$K$54" spid="_x0000_s116001"/>
                </a:ext>
              </a:extLst>
            </xdr:cNvPicPr>
          </xdr:nvPicPr>
          <xdr:blipFill>
            <a:blip xmlns:r="http://schemas.openxmlformats.org/officeDocument/2006/relationships" r:embed="rId1"/>
            <a:srcRect/>
            <a:stretch>
              <a:fillRect/>
            </a:stretch>
          </xdr:blipFill>
          <xdr:spPr bwMode="auto">
            <a:xfrm>
              <a:off x="13487400" y="2413000"/>
              <a:ext cx="12392025" cy="6626225"/>
            </a:xfrm>
            <a:prstGeom prst="rect">
              <a:avLst/>
            </a:prstGeom>
            <a:solidFill>
              <a:schemeClr val="bg1"/>
            </a:solidFill>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0</xdr:col>
      <xdr:colOff>0</xdr:colOff>
      <xdr:row>2</xdr:row>
      <xdr:rowOff>0</xdr:rowOff>
    </xdr:from>
    <xdr:to>
      <xdr:col>11</xdr:col>
      <xdr:colOff>219075</xdr:colOff>
      <xdr:row>18</xdr:row>
      <xdr:rowOff>152400</xdr:rowOff>
    </xdr:to>
    <xdr:graphicFrame macro="">
      <xdr:nvGraphicFramePr>
        <xdr:cNvPr id="2" name="Chart 4">
          <a:extLst>
            <a:ext uri="{FF2B5EF4-FFF2-40B4-BE49-F238E27FC236}">
              <a16:creationId xmlns:a16="http://schemas.microsoft.com/office/drawing/2014/main" id="{BA75AB47-E3C6-41BF-96B4-4E99BDD4FA92}"/>
            </a:ext>
            <a:ext uri="{147F2762-F138-4A5C-976F-8EAC2B608ADB}">
              <a16:predDERef xmlns:a16="http://schemas.microsoft.com/office/drawing/2014/main" pre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142875</xdr:rowOff>
    </xdr:from>
    <xdr:to>
      <xdr:col>11</xdr:col>
      <xdr:colOff>180975</xdr:colOff>
      <xdr:row>38</xdr:row>
      <xdr:rowOff>133350</xdr:rowOff>
    </xdr:to>
    <xdr:graphicFrame macro="">
      <xdr:nvGraphicFramePr>
        <xdr:cNvPr id="3" name="Chart 1">
          <a:extLst>
            <a:ext uri="{FF2B5EF4-FFF2-40B4-BE49-F238E27FC236}">
              <a16:creationId xmlns:a16="http://schemas.microsoft.com/office/drawing/2014/main" id="{AEFCDD4E-AECC-438C-BFC9-84BCFF7070A3}"/>
            </a:ext>
            <a:ext uri="{147F2762-F138-4A5C-976F-8EAC2B608ADB}">
              <a16:predDERef xmlns:a16="http://schemas.microsoft.com/office/drawing/2014/main" pred="{A1A1F201-9BC1-442D-8E1C-2F4A4027F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xdr:row>
      <xdr:rowOff>0</xdr:rowOff>
    </xdr:from>
    <xdr:to>
      <xdr:col>18</xdr:col>
      <xdr:colOff>0</xdr:colOff>
      <xdr:row>18</xdr:row>
      <xdr:rowOff>152400</xdr:rowOff>
    </xdr:to>
    <xdr:graphicFrame macro="">
      <xdr:nvGraphicFramePr>
        <xdr:cNvPr id="4" name="Chart 3">
          <a:extLst>
            <a:ext uri="{FF2B5EF4-FFF2-40B4-BE49-F238E27FC236}">
              <a16:creationId xmlns:a16="http://schemas.microsoft.com/office/drawing/2014/main" id="{57D5A19C-6A58-4617-8DCB-713121A52C9E}"/>
            </a:ext>
            <a:ext uri="{147F2762-F138-4A5C-976F-8EAC2B608ADB}">
              <a16:predDERef xmlns:a16="http://schemas.microsoft.com/office/drawing/2014/main" pred="{A74387CF-9844-44DC-919F-B8B4DB602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253AE7E9-F534-43F8-A47E-FCCCFEF9181C}"/>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xdr:from>
      <xdr:col>1</xdr:col>
      <xdr:colOff>101600</xdr:colOff>
      <xdr:row>69</xdr:row>
      <xdr:rowOff>20320</xdr:rowOff>
    </xdr:from>
    <xdr:to>
      <xdr:col>10</xdr:col>
      <xdr:colOff>782320</xdr:colOff>
      <xdr:row>84</xdr:row>
      <xdr:rowOff>142240</xdr:rowOff>
    </xdr:to>
    <xdr:graphicFrame macro="">
      <xdr:nvGraphicFramePr>
        <xdr:cNvPr id="31" name="Chart 30">
          <a:extLst>
            <a:ext uri="{FF2B5EF4-FFF2-40B4-BE49-F238E27FC236}">
              <a16:creationId xmlns:a16="http://schemas.microsoft.com/office/drawing/2014/main" id="{C328C585-D807-2DB6-20CE-919A548867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163831</xdr:colOff>
      <xdr:row>91</xdr:row>
      <xdr:rowOff>70485</xdr:rowOff>
    </xdr:from>
    <xdr:to>
      <xdr:col>7</xdr:col>
      <xdr:colOff>704851</xdr:colOff>
      <xdr:row>109</xdr:row>
      <xdr:rowOff>133350</xdr:rowOff>
    </xdr:to>
    <xdr:graphicFrame macro="">
      <xdr:nvGraphicFramePr>
        <xdr:cNvPr id="3" name="Chart 2">
          <a:extLst>
            <a:ext uri="{FF2B5EF4-FFF2-40B4-BE49-F238E27FC236}">
              <a16:creationId xmlns:a16="http://schemas.microsoft.com/office/drawing/2014/main" id="{9AD08F6E-E061-D876-B2F8-8AEDFA61B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27</xdr:col>
      <xdr:colOff>0</xdr:colOff>
      <xdr:row>0</xdr:row>
      <xdr:rowOff>0</xdr:rowOff>
    </xdr:from>
    <xdr:to>
      <xdr:col>32</xdr:col>
      <xdr:colOff>0</xdr:colOff>
      <xdr:row>26</xdr:row>
      <xdr:rowOff>123912</xdr:rowOff>
    </xdr:to>
    <xdr:pic>
      <xdr:nvPicPr>
        <xdr:cNvPr id="6" name="Picture 2">
          <a:extLst>
            <a:ext uri="{FF2B5EF4-FFF2-40B4-BE49-F238E27FC236}">
              <a16:creationId xmlns:a16="http://schemas.microsoft.com/office/drawing/2014/main" id="{B92FC8DC-C8D2-4DD8-A155-C1A1C8F63B0C}"/>
            </a:ext>
            <a:ext uri="{147F2762-F138-4A5C-976F-8EAC2B608ADB}">
              <a16:predDERef xmlns:a16="http://schemas.microsoft.com/office/drawing/2014/main" pred="{00000000-0008-0000-0000-000002000000}"/>
            </a:ext>
          </a:extLst>
        </xdr:cNvPr>
        <xdr:cNvPicPr>
          <a:picLocks noChangeAspect="1"/>
        </xdr:cNvPicPr>
      </xdr:nvPicPr>
      <xdr:blipFill>
        <a:blip xmlns:r="http://schemas.openxmlformats.org/officeDocument/2006/relationships" r:embed="rId3"/>
        <a:stretch>
          <a:fillRect/>
        </a:stretch>
      </xdr:blipFill>
      <xdr:spPr>
        <a:xfrm>
          <a:off x="25155525" y="485775"/>
          <a:ext cx="4000500" cy="4486275"/>
        </a:xfrm>
        <a:prstGeom prst="rect">
          <a:avLst/>
        </a:prstGeom>
      </xdr:spPr>
    </xdr:pic>
    <xdr:clientData/>
  </xdr:twoCellAnchor>
  <xdr:twoCellAnchor>
    <xdr:from>
      <xdr:col>12</xdr:col>
      <xdr:colOff>440422</xdr:colOff>
      <xdr:row>52</xdr:row>
      <xdr:rowOff>108125</xdr:rowOff>
    </xdr:from>
    <xdr:to>
      <xdr:col>16</xdr:col>
      <xdr:colOff>72239</xdr:colOff>
      <xdr:row>69</xdr:row>
      <xdr:rowOff>78298</xdr:rowOff>
    </xdr:to>
    <xdr:graphicFrame macro="">
      <xdr:nvGraphicFramePr>
        <xdr:cNvPr id="2" name="Chart 1">
          <a:extLst>
            <a:ext uri="{FF2B5EF4-FFF2-40B4-BE49-F238E27FC236}">
              <a16:creationId xmlns:a16="http://schemas.microsoft.com/office/drawing/2014/main" id="{432876B6-9C7B-0D38-B83F-E75BFCBA77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452074</xdr:colOff>
      <xdr:row>70</xdr:row>
      <xdr:rowOff>49867</xdr:rowOff>
    </xdr:from>
    <xdr:to>
      <xdr:col>16</xdr:col>
      <xdr:colOff>83891</xdr:colOff>
      <xdr:row>87</xdr:row>
      <xdr:rowOff>20040</xdr:rowOff>
    </xdr:to>
    <xdr:graphicFrame macro="">
      <xdr:nvGraphicFramePr>
        <xdr:cNvPr id="4" name="Chart 3">
          <a:extLst>
            <a:ext uri="{FF2B5EF4-FFF2-40B4-BE49-F238E27FC236}">
              <a16:creationId xmlns:a16="http://schemas.microsoft.com/office/drawing/2014/main" id="{EDE25795-A169-BF3B-A642-782F1BCBEB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livemercer-my.sharepoint.com/personal/11054744_live_mercer_edu/Documents/Financial%20Analytics%20Project/Stock%20Pricing%20over%2010yrs/Nvidia%2010y%20Stock%20Price.xlsx" TargetMode="External"/><Relationship Id="rId1" Type="http://schemas.openxmlformats.org/officeDocument/2006/relationships/externalLinkPath" Target="/personal/11054744_live_mercer_edu/Documents/Financial%20Analytics%20Project/Stock%20Pricing%20over%2010yrs/Nvidia%2010y%20Stock%20Pric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livemercer-my.sharepoint.com/personal/11054744_live_mercer_edu/Documents/Financial%20Analytics%20Project/Competitors.xlsx" TargetMode="External"/><Relationship Id="rId1" Type="http://schemas.openxmlformats.org/officeDocument/2006/relationships/externalLinkPath" Target="/personal/11054744_live_mercer_edu/Documents/Financial%20Analytics%20Project/Competitors.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livemercer-my.sharepoint.com/personal/11054744_live_mercer_edu/Documents/Financial%20Analytics%20Project/Separated%20Financial%20Statements/Nvidia%20Financial%20Ratios.xlsx" TargetMode="External"/><Relationship Id="rId1" Type="http://schemas.openxmlformats.org/officeDocument/2006/relationships/externalLinkPath" Target="/personal/11054744_live_mercer_edu/Documents/Financial%20Analytics%20Project/Separated%20Financial%20Statements/Nvidia%20Financial%20Rati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Rw9rK1XJFE-EvC3b2OH2B1yintULKz9MvzDrGr1PSt9hrnVRW3puQaOPqp1TsgZO" itemId="016XLPNAZP5Y5MF2XMXBCYDL2WV6J2IVZG">
      <xxl21:absoluteUrl r:id="rId2"/>
    </xxl21:alternateUrls>
    <sheetNames>
      <sheetName val="report"/>
      <sheetName val="Nasdaq-100"/>
      <sheetName val="report Monthly"/>
      <sheetName val="Nasdaq-100 Monthly"/>
      <sheetName val="Working Sheet"/>
      <sheetName val="NvidiaNasd Regression"/>
    </sheetNames>
    <sheetDataSet>
      <sheetData sheetId="0"/>
      <sheetData sheetId="1"/>
      <sheetData sheetId="2"/>
      <sheetData sheetId="3"/>
      <sheetData sheetId="4">
        <row r="110">
          <cell r="H110">
            <v>61.527000000000001</v>
          </cell>
        </row>
        <row r="112">
          <cell r="J112">
            <v>8.1405034712516366E-2</v>
          </cell>
        </row>
      </sheetData>
      <sheetData sheetId="5">
        <row r="18">
          <cell r="B18">
            <v>1.2726061580968087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Rw9rK1XJFE-EvC3b2OH2B1yintULKz9MvzDrGr1PSt9hrnVRW3puQaOPqp1TsgZO" itemId="016XLPNAZH3DAFQWWPJBFIJZZSWJDSQUCB">
      <xxl21:absoluteUrl r:id="rId2"/>
    </xxl21:alternateUrls>
    <sheetNames>
      <sheetName val="Relative Val"/>
      <sheetName val="Nvidia Relative Val "/>
      <sheetName val="Submission"/>
      <sheetName val="BS AMD"/>
      <sheetName val="IS AMD"/>
      <sheetName val="CF AMD"/>
      <sheetName val="Ratios AMD"/>
      <sheetName val="BS Intel"/>
      <sheetName val="IS Intel"/>
      <sheetName val="CF Intel"/>
      <sheetName val="Ratios Intel"/>
      <sheetName val="BS Qual"/>
      <sheetName val="IS Qual"/>
      <sheetName val="CF Qual"/>
      <sheetName val="Ratios Qual"/>
      <sheetName val="BS Broad"/>
      <sheetName val="IS Broad"/>
      <sheetName val="CF Broad"/>
      <sheetName val="Ratios Broad"/>
      <sheetName val="BS Nvidia"/>
      <sheetName val="IS Nvidia"/>
      <sheetName val="Ratios Nvidia"/>
    </sheetNames>
    <sheetDataSet>
      <sheetData sheetId="0"/>
      <sheetData sheetId="1"/>
      <sheetData sheetId="2"/>
      <sheetData sheetId="3">
        <row r="26">
          <cell r="J26">
            <v>1507000</v>
          </cell>
          <cell r="K26">
            <v>1787000</v>
          </cell>
        </row>
        <row r="33">
          <cell r="K33">
            <v>67885000</v>
          </cell>
        </row>
        <row r="45">
          <cell r="K45">
            <v>11993000</v>
          </cell>
        </row>
      </sheetData>
      <sheetData sheetId="4">
        <row r="17">
          <cell r="K17">
            <v>22680000</v>
          </cell>
        </row>
        <row r="26">
          <cell r="K26">
            <v>401000</v>
          </cell>
        </row>
        <row r="36">
          <cell r="K36">
            <v>854000</v>
          </cell>
        </row>
        <row r="50">
          <cell r="L50">
            <v>1.3099629283251346</v>
          </cell>
        </row>
      </sheetData>
      <sheetData sheetId="5"/>
      <sheetData sheetId="6"/>
      <sheetData sheetId="7">
        <row r="26">
          <cell r="J26">
            <v>93386000</v>
          </cell>
          <cell r="K26">
            <v>98010000</v>
          </cell>
        </row>
        <row r="34">
          <cell r="K34">
            <v>191572000</v>
          </cell>
        </row>
        <row r="46">
          <cell r="K46">
            <v>85982000</v>
          </cell>
        </row>
      </sheetData>
      <sheetData sheetId="8">
        <row r="17">
          <cell r="K17">
            <v>54228000</v>
          </cell>
        </row>
        <row r="26">
          <cell r="K26">
            <v>93000</v>
          </cell>
        </row>
        <row r="37">
          <cell r="K37">
            <v>1689000</v>
          </cell>
        </row>
        <row r="50">
          <cell r="L50">
            <v>-4.8887310604175539E-2</v>
          </cell>
        </row>
      </sheetData>
      <sheetData sheetId="9"/>
      <sheetData sheetId="10"/>
      <sheetData sheetId="11">
        <row r="26">
          <cell r="J26">
            <v>7668000</v>
          </cell>
          <cell r="K26">
            <v>8876000</v>
          </cell>
        </row>
        <row r="33">
          <cell r="K33">
            <v>55154000</v>
          </cell>
        </row>
        <row r="45">
          <cell r="K45">
            <v>28880000</v>
          </cell>
        </row>
      </sheetData>
      <sheetData sheetId="12">
        <row r="18">
          <cell r="K18">
            <v>38962000</v>
          </cell>
        </row>
        <row r="25">
          <cell r="K25">
            <v>10071000</v>
          </cell>
        </row>
        <row r="39">
          <cell r="K39">
            <v>10142000</v>
          </cell>
        </row>
        <row r="53">
          <cell r="L53">
            <v>0.26335582665517326</v>
          </cell>
        </row>
      </sheetData>
      <sheetData sheetId="13"/>
      <sheetData sheetId="14"/>
      <sheetData sheetId="15">
        <row r="25">
          <cell r="J25">
            <v>4024000</v>
          </cell>
          <cell r="K25">
            <v>4504000</v>
          </cell>
        </row>
        <row r="29">
          <cell r="K29">
            <v>165645000</v>
          </cell>
        </row>
        <row r="43">
          <cell r="K43">
            <v>97967000</v>
          </cell>
        </row>
      </sheetData>
      <sheetData sheetId="16">
        <row r="17">
          <cell r="K17">
            <v>51574000</v>
          </cell>
        </row>
        <row r="26">
          <cell r="K26">
            <v>13463000</v>
          </cell>
        </row>
        <row r="38">
          <cell r="K38">
            <v>5895000</v>
          </cell>
        </row>
        <row r="52">
          <cell r="L52">
            <v>0.32578505979733169</v>
          </cell>
        </row>
      </sheetData>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Rw9rK1XJFE-EvC3b2OH2B1yintULKz9MvzDrGr1PSt9hrnVRW3puQaOPqp1TsgZO" itemId="016XLPNA5HONDZ2BFEOVEJZ4FWGDQHRAJX">
      <xxl21:absoluteUrl r:id="rId2"/>
    </xxl21:alternateUrls>
    <sheetNames>
      <sheetName val="Ratios Original"/>
      <sheetName val="ratios (2)"/>
      <sheetName val="Submission"/>
    </sheetNames>
    <sheetDataSet>
      <sheetData sheetId="0">
        <row r="38">
          <cell r="B38">
            <v>0.04</v>
          </cell>
        </row>
        <row r="39">
          <cell r="B39">
            <v>0.2</v>
          </cell>
          <cell r="C39">
            <v>0.21</v>
          </cell>
          <cell r="D39">
            <v>0.25</v>
          </cell>
          <cell r="E39">
            <v>0.31</v>
          </cell>
          <cell r="F39">
            <v>0.39</v>
          </cell>
          <cell r="G39">
            <v>0.5</v>
          </cell>
          <cell r="H39">
            <v>0.68</v>
          </cell>
          <cell r="I39">
            <v>1.06</v>
          </cell>
          <cell r="J39">
            <v>0.9</v>
          </cell>
          <cell r="K39">
            <v>1.74</v>
          </cell>
        </row>
      </sheetData>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Jun Ming Li" id="{95285A3A-C5FB-6E46-AFA4-17A2F0E1535F}" userId="S::11022435@live.mercer.edu::9b58a4d3-e994-4065-8c9f-dc9edf3359c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M1" dT="2025-02-15T23:18:54.46" personId="{95285A3A-C5FB-6E46-AFA4-17A2F0E1535F}" id="{6B0FAEB7-97CC-4D9C-80FA-04AECFBD4298}">
    <text>https://nvidianews.nvidia.com/news/nvidia-announces-financial-results-for-third-quarter-fiscal-2025</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6.vml"/><Relationship Id="rId1" Type="http://schemas.openxmlformats.org/officeDocument/2006/relationships/drawing" Target="../drawings/drawing1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drawing" Target="../drawings/drawing2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C3AC3-3DE6-B247-8181-45F441638076}">
  <sheetPr>
    <tabColor rgb="FF7030A0"/>
  </sheetPr>
  <dimension ref="A2:J135"/>
  <sheetViews>
    <sheetView topLeftCell="A68" zoomScale="110" zoomScaleNormal="110" workbookViewId="0">
      <pane xSplit="1" topLeftCell="B1" activePane="topRight" state="frozen"/>
      <selection activeCell="A65" sqref="A65"/>
      <selection pane="topRight" activeCell="C112" sqref="C112"/>
    </sheetView>
  </sheetViews>
  <sheetFormatPr baseColWidth="10" defaultColWidth="8.83203125" defaultRowHeight="13" x14ac:dyDescent="0.15"/>
  <cols>
    <col min="1" max="1" width="32.1640625" style="416" customWidth="1"/>
    <col min="2" max="2" width="17" style="416" bestFit="1" customWidth="1"/>
    <col min="3" max="3" width="15.83203125" style="416" bestFit="1" customWidth="1"/>
    <col min="4" max="4" width="15.33203125" style="416" bestFit="1" customWidth="1"/>
    <col min="5" max="8" width="14.6640625" style="416" bestFit="1" customWidth="1"/>
    <col min="9" max="9" width="14.1640625" style="416" bestFit="1" customWidth="1"/>
    <col min="10" max="16384" width="8.83203125" style="416"/>
  </cols>
  <sheetData>
    <row r="2" spans="1:9" x14ac:dyDescent="0.15">
      <c r="B2" s="417">
        <v>2023</v>
      </c>
      <c r="C2" s="417">
        <v>2024</v>
      </c>
      <c r="D2" s="417">
        <v>2025</v>
      </c>
      <c r="E2" s="417">
        <v>2026</v>
      </c>
      <c r="F2" s="417">
        <v>2027</v>
      </c>
      <c r="G2" s="417">
        <v>2028</v>
      </c>
      <c r="H2" s="417">
        <v>2029</v>
      </c>
      <c r="I2" s="417">
        <v>2030</v>
      </c>
    </row>
    <row r="3" spans="1:9" x14ac:dyDescent="0.15">
      <c r="A3" s="417" t="s">
        <v>0</v>
      </c>
    </row>
    <row r="5" spans="1:9" s="418" customFormat="1" x14ac:dyDescent="0.15">
      <c r="A5" s="418" t="s">
        <v>1</v>
      </c>
      <c r="D5" s="419">
        <v>2.1999999999999999E-2</v>
      </c>
      <c r="E5" s="419">
        <v>2.75E-2</v>
      </c>
      <c r="F5" s="420">
        <v>0.03</v>
      </c>
      <c r="G5" s="419">
        <v>3.5000000000000003E-2</v>
      </c>
      <c r="H5" s="419">
        <v>3.6999999999999998E-2</v>
      </c>
      <c r="I5" s="419">
        <v>3.6999999999999998E-2</v>
      </c>
    </row>
    <row r="6" spans="1:9" s="418" customFormat="1" x14ac:dyDescent="0.15">
      <c r="A6" s="418" t="s">
        <v>2</v>
      </c>
      <c r="D6" s="419">
        <v>7.7499999999999999E-2</v>
      </c>
      <c r="E6" s="419">
        <v>7.7499999999999999E-2</v>
      </c>
      <c r="F6" s="420">
        <v>7.0000000000000007E-2</v>
      </c>
      <c r="G6" s="420">
        <v>7.0000000000000007E-2</v>
      </c>
      <c r="H6" s="420">
        <v>7.0000000000000007E-2</v>
      </c>
      <c r="I6" s="420">
        <v>7.0000000000000007E-2</v>
      </c>
    </row>
    <row r="7" spans="1:9" s="418" customFormat="1" x14ac:dyDescent="0.15">
      <c r="A7" s="418" t="s">
        <v>3</v>
      </c>
      <c r="D7" s="420">
        <v>7.0000000000000007E-2</v>
      </c>
      <c r="E7" s="420">
        <v>7.0000000000000007E-2</v>
      </c>
      <c r="F7" s="420">
        <v>7.0000000000000007E-2</v>
      </c>
      <c r="G7" s="420">
        <v>7.0000000000000007E-2</v>
      </c>
      <c r="H7" s="420">
        <v>7.0000000000000007E-2</v>
      </c>
      <c r="I7" s="420">
        <v>7.0000000000000007E-2</v>
      </c>
    </row>
    <row r="8" spans="1:9" s="421" customFormat="1" x14ac:dyDescent="0.15">
      <c r="A8" s="421" t="s">
        <v>4</v>
      </c>
      <c r="D8" s="422">
        <v>0.22</v>
      </c>
      <c r="E8" s="422">
        <v>0.23</v>
      </c>
      <c r="F8" s="422">
        <v>0.19</v>
      </c>
      <c r="G8" s="422">
        <v>0.17</v>
      </c>
      <c r="H8" s="422">
        <v>0.15</v>
      </c>
      <c r="I8" s="422">
        <v>0.12</v>
      </c>
    </row>
    <row r="9" spans="1:9" x14ac:dyDescent="0.15">
      <c r="A9" s="416" t="s">
        <v>5</v>
      </c>
      <c r="D9" s="423">
        <f>D6*D32+D5</f>
        <v>0.12062697725250268</v>
      </c>
      <c r="E9" s="423">
        <f t="shared" ref="E9:I9" si="0">E6*E32+E5</f>
        <v>0.12612697725250269</v>
      </c>
      <c r="F9" s="423">
        <f t="shared" si="0"/>
        <v>0.11908243106677661</v>
      </c>
      <c r="G9" s="423">
        <f t="shared" si="0"/>
        <v>0.12408243106677662</v>
      </c>
      <c r="H9" s="423">
        <f t="shared" si="0"/>
        <v>0.12608243106677661</v>
      </c>
      <c r="I9" s="423">
        <f t="shared" si="0"/>
        <v>0.12608243106677661</v>
      </c>
    </row>
    <row r="10" spans="1:9" x14ac:dyDescent="0.15">
      <c r="A10" s="424" t="s">
        <v>6</v>
      </c>
      <c r="D10" s="423">
        <f>D73/(D34+D73)</f>
        <v>1.2011263625804845E-2</v>
      </c>
      <c r="E10" s="423">
        <f>D10</f>
        <v>1.2011263625804845E-2</v>
      </c>
      <c r="F10" s="423">
        <f t="shared" ref="F10:I10" si="1">E10</f>
        <v>1.2011263625804845E-2</v>
      </c>
      <c r="G10" s="423">
        <f t="shared" si="1"/>
        <v>1.2011263625804845E-2</v>
      </c>
      <c r="H10" s="423">
        <f t="shared" si="1"/>
        <v>1.2011263625804845E-2</v>
      </c>
      <c r="I10" s="423">
        <f t="shared" si="1"/>
        <v>1.2011263625804845E-2</v>
      </c>
    </row>
    <row r="11" spans="1:9" x14ac:dyDescent="0.15">
      <c r="A11" s="425" t="s">
        <v>7</v>
      </c>
      <c r="D11" s="423">
        <f>'[1]Working Sheet'!$J$112</f>
        <v>8.1405034712516366E-2</v>
      </c>
      <c r="E11" s="423">
        <f>D11</f>
        <v>8.1405034712516366E-2</v>
      </c>
      <c r="F11" s="423">
        <f>E11</f>
        <v>8.1405034712516366E-2</v>
      </c>
      <c r="G11" s="423">
        <f>F11</f>
        <v>8.1405034712516366E-2</v>
      </c>
      <c r="H11" s="423">
        <f>G11</f>
        <v>8.1405034712516366E-2</v>
      </c>
      <c r="I11" s="423">
        <f>H11</f>
        <v>8.1405034712516366E-2</v>
      </c>
    </row>
    <row r="12" spans="1:9" s="418" customFormat="1" x14ac:dyDescent="0.15">
      <c r="A12" s="418" t="s">
        <v>8</v>
      </c>
      <c r="D12" s="426">
        <v>0.03</v>
      </c>
      <c r="E12" s="426"/>
      <c r="F12" s="426"/>
      <c r="G12" s="426"/>
      <c r="H12" s="426"/>
      <c r="I12" s="426"/>
    </row>
    <row r="13" spans="1:9" s="418" customFormat="1" x14ac:dyDescent="0.15">
      <c r="A13" s="418" t="s">
        <v>9</v>
      </c>
      <c r="D13" s="427">
        <f>I11</f>
        <v>8.1405034712516366E-2</v>
      </c>
      <c r="E13" s="426"/>
      <c r="F13" s="426"/>
      <c r="G13" s="426"/>
      <c r="H13" s="426"/>
      <c r="I13" s="426"/>
    </row>
    <row r="15" spans="1:9" x14ac:dyDescent="0.15">
      <c r="A15" s="417" t="s">
        <v>10</v>
      </c>
    </row>
    <row r="17" spans="1:9" s="418" customFormat="1" x14ac:dyDescent="0.15">
      <c r="A17" s="418" t="s">
        <v>11</v>
      </c>
      <c r="D17" s="420">
        <v>1</v>
      </c>
      <c r="E17" s="420">
        <v>1</v>
      </c>
      <c r="F17" s="420">
        <v>1</v>
      </c>
      <c r="G17" s="420">
        <v>1</v>
      </c>
      <c r="H17" s="420">
        <v>1</v>
      </c>
      <c r="I17" s="420">
        <v>1</v>
      </c>
    </row>
    <row r="18" spans="1:9" s="418" customFormat="1" x14ac:dyDescent="0.15">
      <c r="A18" s="418" t="s">
        <v>12</v>
      </c>
      <c r="B18" s="419">
        <v>2.3999999999999998E-3</v>
      </c>
      <c r="C18" s="419">
        <v>2.3999999999999998E-3</v>
      </c>
      <c r="D18" s="419">
        <v>2.3999999999999998E-3</v>
      </c>
      <c r="E18" s="419">
        <v>2.3999999999999998E-3</v>
      </c>
      <c r="F18" s="419">
        <v>2.3999999999999998E-3</v>
      </c>
      <c r="G18" s="419">
        <v>2.3999999999999998E-3</v>
      </c>
      <c r="H18" s="419">
        <v>2.3999999999999998E-3</v>
      </c>
      <c r="I18" s="419">
        <v>2.3999999999999998E-3</v>
      </c>
    </row>
    <row r="20" spans="1:9" x14ac:dyDescent="0.15">
      <c r="A20" s="417" t="s">
        <v>13</v>
      </c>
    </row>
    <row r="22" spans="1:9" s="421" customFormat="1" x14ac:dyDescent="0.15">
      <c r="A22" s="421" t="s">
        <v>14</v>
      </c>
      <c r="D22" s="428">
        <v>0.41</v>
      </c>
      <c r="E22" s="428">
        <v>0.41</v>
      </c>
      <c r="F22" s="428">
        <v>0.41</v>
      </c>
      <c r="G22" s="428">
        <v>0.4</v>
      </c>
      <c r="H22" s="428">
        <v>0.4</v>
      </c>
      <c r="I22" s="428">
        <v>0.39</v>
      </c>
    </row>
    <row r="23" spans="1:9" s="421" customFormat="1" x14ac:dyDescent="0.15">
      <c r="A23" s="421" t="s">
        <v>15</v>
      </c>
      <c r="D23" s="428">
        <v>0.16</v>
      </c>
      <c r="E23" s="429">
        <v>0.155</v>
      </c>
      <c r="F23" s="430">
        <v>0.15</v>
      </c>
      <c r="G23" s="430">
        <v>0.14499999999999999</v>
      </c>
      <c r="H23" s="430">
        <v>0.14000000000000001</v>
      </c>
      <c r="I23" s="430">
        <v>0.13500000000000001</v>
      </c>
    </row>
    <row r="24" spans="1:9" s="421" customFormat="1" x14ac:dyDescent="0.15">
      <c r="A24" s="421" t="s">
        <v>16</v>
      </c>
      <c r="D24" s="428">
        <v>0.32</v>
      </c>
      <c r="E24" s="428">
        <v>0.32</v>
      </c>
      <c r="F24" s="428">
        <v>0.32</v>
      </c>
      <c r="G24" s="428">
        <v>0.32</v>
      </c>
      <c r="H24" s="428">
        <v>0.32</v>
      </c>
      <c r="I24" s="428">
        <v>0.32</v>
      </c>
    </row>
    <row r="25" spans="1:9" s="421" customFormat="1" x14ac:dyDescent="0.15">
      <c r="A25" s="421" t="s">
        <v>17</v>
      </c>
      <c r="D25" s="486">
        <f>'Projected BS'!L85</f>
        <v>0.10794004974614213</v>
      </c>
      <c r="E25" s="486">
        <f>'Projected BS'!M85</f>
        <v>0.10794004974614213</v>
      </c>
      <c r="F25" s="486">
        <f>'Projected BS'!N85</f>
        <v>0.10794004974614213</v>
      </c>
      <c r="G25" s="486">
        <f>'Projected BS'!O85</f>
        <v>0.10794004974614213</v>
      </c>
      <c r="H25" s="486">
        <f>'Projected BS'!P85</f>
        <v>0.10794004974614213</v>
      </c>
      <c r="I25" s="486">
        <f>'Projected BS'!Q85</f>
        <v>0.10794004974614213</v>
      </c>
    </row>
    <row r="26" spans="1:9" s="421" customFormat="1" x14ac:dyDescent="0.15">
      <c r="A26" s="421" t="s">
        <v>18</v>
      </c>
      <c r="D26" s="428">
        <v>0.39</v>
      </c>
      <c r="E26" s="428">
        <v>0.21</v>
      </c>
      <c r="F26" s="428">
        <v>0.21</v>
      </c>
      <c r="G26" s="428">
        <v>0.21</v>
      </c>
      <c r="H26" s="428">
        <v>0.21</v>
      </c>
      <c r="I26" s="428">
        <v>0.21</v>
      </c>
    </row>
    <row r="27" spans="1:9" s="421" customFormat="1" x14ac:dyDescent="0.15">
      <c r="A27" s="421" t="s">
        <v>19</v>
      </c>
      <c r="B27" s="430">
        <f>B59/B38</f>
        <v>0.49291910728850002</v>
      </c>
      <c r="C27" s="430">
        <f>C59/C38</f>
        <v>0.42651258986901286</v>
      </c>
      <c r="D27" s="428">
        <f>'Projected BS'!L86</f>
        <v>0.13</v>
      </c>
      <c r="E27" s="428">
        <f>D27</f>
        <v>0.13</v>
      </c>
      <c r="F27" s="428">
        <f t="shared" ref="F27:I27" si="2">E27</f>
        <v>0.13</v>
      </c>
      <c r="G27" s="428">
        <f t="shared" si="2"/>
        <v>0.13</v>
      </c>
      <c r="H27" s="428">
        <f t="shared" si="2"/>
        <v>0.13</v>
      </c>
      <c r="I27" s="428">
        <f t="shared" si="2"/>
        <v>0.13</v>
      </c>
    </row>
    <row r="28" spans="1:9" s="421" customFormat="1" x14ac:dyDescent="0.15">
      <c r="A28" s="421" t="s">
        <v>20</v>
      </c>
      <c r="B28" s="430"/>
      <c r="C28" s="430"/>
      <c r="D28" s="428">
        <v>0.21</v>
      </c>
      <c r="E28" s="428">
        <v>0.21</v>
      </c>
      <c r="F28" s="428">
        <v>0.21</v>
      </c>
      <c r="G28" s="428">
        <v>0.21</v>
      </c>
      <c r="H28" s="428">
        <v>0.21</v>
      </c>
      <c r="I28" s="428">
        <v>0.21</v>
      </c>
    </row>
    <row r="29" spans="1:9" s="421" customFormat="1" x14ac:dyDescent="0.15">
      <c r="A29" s="421" t="s">
        <v>21</v>
      </c>
      <c r="D29" s="429">
        <v>0.17499999999999999</v>
      </c>
      <c r="E29" s="429">
        <v>0.17</v>
      </c>
      <c r="F29" s="429">
        <v>0.16300000000000001</v>
      </c>
      <c r="G29" s="429">
        <v>0.16300000000000001</v>
      </c>
      <c r="H29" s="429">
        <v>0.16300000000000001</v>
      </c>
      <c r="I29" s="429">
        <v>0.16300000000000001</v>
      </c>
    </row>
    <row r="30" spans="1:9" s="421" customFormat="1" x14ac:dyDescent="0.15">
      <c r="A30" s="421" t="s">
        <v>22</v>
      </c>
      <c r="D30" s="428">
        <v>0.38</v>
      </c>
      <c r="E30" s="428">
        <v>0.37</v>
      </c>
      <c r="F30" s="431">
        <v>0.36499999999999999</v>
      </c>
      <c r="G30" s="431">
        <v>0.36499999999999999</v>
      </c>
      <c r="H30" s="431">
        <v>0.36499999999999999</v>
      </c>
      <c r="I30" s="431">
        <v>0.36499999999999999</v>
      </c>
    </row>
    <row r="31" spans="1:9" s="421" customFormat="1" x14ac:dyDescent="0.15">
      <c r="A31" s="421" t="s">
        <v>23</v>
      </c>
      <c r="D31" s="428">
        <v>0.08</v>
      </c>
      <c r="E31" s="428">
        <v>0.08</v>
      </c>
      <c r="F31" s="428">
        <v>0.08</v>
      </c>
      <c r="G31" s="428">
        <v>0.08</v>
      </c>
      <c r="H31" s="428">
        <v>0.08</v>
      </c>
      <c r="I31" s="428">
        <v>0.08</v>
      </c>
    </row>
    <row r="32" spans="1:9" s="418" customFormat="1" x14ac:dyDescent="0.15">
      <c r="A32" s="418" t="s">
        <v>24</v>
      </c>
      <c r="D32" s="432">
        <f>'[1]NvidiaNasd Regression'!$B$18</f>
        <v>1.2726061580968087</v>
      </c>
      <c r="E32" s="432">
        <f>D32</f>
        <v>1.2726061580968087</v>
      </c>
      <c r="F32" s="432">
        <f>E32</f>
        <v>1.2726061580968087</v>
      </c>
      <c r="G32" s="432">
        <f>F32</f>
        <v>1.2726061580968087</v>
      </c>
      <c r="H32" s="432">
        <f>G32</f>
        <v>1.2726061580968087</v>
      </c>
      <c r="I32" s="432">
        <f>H32</f>
        <v>1.2726061580968087</v>
      </c>
    </row>
    <row r="33" spans="1:9" s="418" customFormat="1" x14ac:dyDescent="0.15">
      <c r="A33" s="418" t="s">
        <v>25</v>
      </c>
      <c r="D33" s="433">
        <f>'Income Statement'!K32</f>
        <v>24640000</v>
      </c>
    </row>
    <row r="34" spans="1:9" s="418" customFormat="1" x14ac:dyDescent="0.15">
      <c r="A34" s="418" t="s">
        <v>26</v>
      </c>
      <c r="D34" s="452">
        <f>'[1]Working Sheet'!$H$110*'DCF Model'!D33</f>
        <v>1516025280</v>
      </c>
    </row>
    <row r="36" spans="1:9" x14ac:dyDescent="0.15">
      <c r="A36" s="417" t="s">
        <v>27</v>
      </c>
      <c r="B36" s="417">
        <f t="shared" ref="B36:I36" si="3">B2</f>
        <v>2023</v>
      </c>
      <c r="C36" s="417">
        <f t="shared" si="3"/>
        <v>2024</v>
      </c>
      <c r="D36" s="417">
        <f t="shared" si="3"/>
        <v>2025</v>
      </c>
      <c r="E36" s="417">
        <f t="shared" si="3"/>
        <v>2026</v>
      </c>
      <c r="F36" s="417">
        <f t="shared" si="3"/>
        <v>2027</v>
      </c>
      <c r="G36" s="417">
        <f t="shared" si="3"/>
        <v>2028</v>
      </c>
      <c r="H36" s="417">
        <f t="shared" si="3"/>
        <v>2029</v>
      </c>
      <c r="I36" s="417">
        <f t="shared" si="3"/>
        <v>2030</v>
      </c>
    </row>
    <row r="38" spans="1:9" s="417" customFormat="1" ht="14" x14ac:dyDescent="0.15">
      <c r="A38" s="435" t="s">
        <v>28</v>
      </c>
      <c r="B38" s="465">
        <f>'Projected IS'!J9</f>
        <v>26974000</v>
      </c>
      <c r="C38" s="465">
        <f>'Projected IS'!K9</f>
        <v>60922000</v>
      </c>
      <c r="D38" s="465">
        <f>'Projected IS'!L9</f>
        <v>128666000</v>
      </c>
      <c r="E38" s="465">
        <f>'Projected IS'!M9</f>
        <v>167437324.17787692</v>
      </c>
      <c r="F38" s="465">
        <f>'Projected IS'!N9</f>
        <v>217891731.52073932</v>
      </c>
      <c r="G38" s="465">
        <f>'Projected IS'!O9</f>
        <v>250720726.5873051</v>
      </c>
      <c r="H38" s="465">
        <f>'Projected IS'!P9</f>
        <v>275904210.87641865</v>
      </c>
      <c r="I38" s="465">
        <f>'Projected IS'!Q9</f>
        <v>303617234.26496196</v>
      </c>
    </row>
    <row r="39" spans="1:9" x14ac:dyDescent="0.15">
      <c r="A39" s="434" t="s">
        <v>29</v>
      </c>
      <c r="B39" s="437">
        <f>'Projected IS'!J10</f>
        <v>11618000</v>
      </c>
      <c r="C39" s="437">
        <f>'Projected IS'!K10</f>
        <v>16621000</v>
      </c>
      <c r="D39" s="437">
        <f>'Projected IS'!L10</f>
        <v>32166500</v>
      </c>
      <c r="E39" s="437">
        <f>'Projected IS'!M10</f>
        <v>41859331.04446923</v>
      </c>
      <c r="F39" s="437">
        <f>'Projected IS'!N10</f>
        <v>54472932.880184829</v>
      </c>
      <c r="G39" s="437">
        <f>'Projected IS'!O10</f>
        <v>75216217.976191521</v>
      </c>
      <c r="H39" s="437">
        <f>'Projected IS'!P10</f>
        <v>82771263.262925595</v>
      </c>
      <c r="I39" s="437">
        <f>'Projected IS'!Q10</f>
        <v>100193687.30743745</v>
      </c>
    </row>
    <row r="40" spans="1:9" s="417" customFormat="1" ht="14" x14ac:dyDescent="0.15">
      <c r="A40" s="463" t="s">
        <v>30</v>
      </c>
      <c r="B40" s="464">
        <f>B38-B39</f>
        <v>15356000</v>
      </c>
      <c r="C40" s="464">
        <f>C38-C39</f>
        <v>44301000</v>
      </c>
      <c r="D40" s="464">
        <f>D38-D39</f>
        <v>96499500</v>
      </c>
      <c r="E40" s="464">
        <f t="shared" ref="E40:I40" si="4">E38-E39</f>
        <v>125577993.13340768</v>
      </c>
      <c r="F40" s="464">
        <f t="shared" si="4"/>
        <v>163418798.64055449</v>
      </c>
      <c r="G40" s="464">
        <f t="shared" si="4"/>
        <v>175504508.61111358</v>
      </c>
      <c r="H40" s="464">
        <f t="shared" si="4"/>
        <v>193132947.61349306</v>
      </c>
      <c r="I40" s="464">
        <f t="shared" si="4"/>
        <v>203423546.95752451</v>
      </c>
    </row>
    <row r="41" spans="1:9" x14ac:dyDescent="0.15">
      <c r="A41" s="434" t="s">
        <v>31</v>
      </c>
      <c r="B41" s="437">
        <f>'Projected IS'!J12</f>
        <v>2440000</v>
      </c>
      <c r="C41" s="437">
        <f>'Projected IS'!K12</f>
        <v>2654000</v>
      </c>
      <c r="D41" s="437">
        <f>'Projected IS'!L12</f>
        <v>3859980</v>
      </c>
      <c r="E41" s="437">
        <f>'Projected IS'!M12</f>
        <v>8371866.2088938467</v>
      </c>
      <c r="F41" s="437">
        <f>'Projected IS'!N12</f>
        <v>10894586.576036967</v>
      </c>
      <c r="G41" s="437">
        <f>'Projected IS'!O12</f>
        <v>17550450.861111358</v>
      </c>
      <c r="H41" s="437">
        <f>'Projected IS'!P12</f>
        <v>19313294.761349306</v>
      </c>
      <c r="I41" s="437">
        <f>'Projected IS'!Q12</f>
        <v>27325551.083846577</v>
      </c>
    </row>
    <row r="42" spans="1:9" x14ac:dyDescent="0.15">
      <c r="A42" s="434" t="s">
        <v>32</v>
      </c>
      <c r="B42" s="437">
        <f>'Projected IS'!J13</f>
        <v>7339000</v>
      </c>
      <c r="C42" s="437">
        <f>'Projected IS'!K13</f>
        <v>8675000</v>
      </c>
      <c r="D42" s="437">
        <f>'Projected IS'!L13</f>
        <v>12866600</v>
      </c>
      <c r="E42" s="437">
        <f>'Projected IS'!M13</f>
        <v>16743732.417787693</v>
      </c>
      <c r="F42" s="437">
        <f>'Projected IS'!N13</f>
        <v>21789173.152073935</v>
      </c>
      <c r="G42" s="437">
        <f>'Projected IS'!O13</f>
        <v>37608108.98809576</v>
      </c>
      <c r="H42" s="437">
        <f>'Projected IS'!P13</f>
        <v>55180842.17528373</v>
      </c>
      <c r="I42" s="437">
        <f>'Projected IS'!Q13</f>
        <v>60723446.852992393</v>
      </c>
    </row>
    <row r="43" spans="1:9" x14ac:dyDescent="0.15">
      <c r="A43" s="434" t="str">
        <f>'Projected IS'!A14</f>
        <v>Other Operating Expense</v>
      </c>
      <c r="B43" s="437">
        <f>'Projected IS'!J14</f>
        <v>1353000</v>
      </c>
      <c r="C43" s="437">
        <f>'Projected IS'!K14</f>
        <v>0</v>
      </c>
      <c r="D43" s="437">
        <f>'Projected IS'!L14</f>
        <v>1286660</v>
      </c>
      <c r="E43" s="437">
        <f>'Projected IS'!M14</f>
        <v>1674373.2417787693</v>
      </c>
      <c r="F43" s="437">
        <f>'Projected IS'!N14</f>
        <v>2178917.3152073934</v>
      </c>
      <c r="G43" s="437">
        <f>'Projected IS'!O14</f>
        <v>2507207.2658730512</v>
      </c>
      <c r="H43" s="437">
        <f>'Projected IS'!P14</f>
        <v>2759042.1087641865</v>
      </c>
      <c r="I43" s="437">
        <f>'Projected IS'!Q14</f>
        <v>3036172.3426496196</v>
      </c>
    </row>
    <row r="44" spans="1:9" x14ac:dyDescent="0.15">
      <c r="A44" s="440" t="s">
        <v>33</v>
      </c>
      <c r="B44" s="466">
        <f>B41+B42+B43</f>
        <v>11132000</v>
      </c>
      <c r="C44" s="466">
        <f t="shared" ref="C44:I44" si="5">C41+C42+C43</f>
        <v>11329000</v>
      </c>
      <c r="D44" s="466">
        <f t="shared" si="5"/>
        <v>18013240</v>
      </c>
      <c r="E44" s="466">
        <f t="shared" si="5"/>
        <v>26789971.868460309</v>
      </c>
      <c r="F44" s="466">
        <f t="shared" si="5"/>
        <v>34862677.043318294</v>
      </c>
      <c r="G44" s="466">
        <f t="shared" si="5"/>
        <v>57665767.11508017</v>
      </c>
      <c r="H44" s="466">
        <f t="shared" si="5"/>
        <v>77253179.045397222</v>
      </c>
      <c r="I44" s="466">
        <f t="shared" si="5"/>
        <v>91085170.279488593</v>
      </c>
    </row>
    <row r="45" spans="1:9" s="417" customFormat="1" ht="14" x14ac:dyDescent="0.15">
      <c r="A45" s="463" t="s">
        <v>34</v>
      </c>
      <c r="B45" s="464">
        <f t="shared" ref="B45:I45" si="6">B40-B44</f>
        <v>4224000</v>
      </c>
      <c r="C45" s="464">
        <f t="shared" si="6"/>
        <v>32972000</v>
      </c>
      <c r="D45" s="464">
        <f t="shared" si="6"/>
        <v>78486260</v>
      </c>
      <c r="E45" s="464">
        <f t="shared" si="6"/>
        <v>98788021.26494737</v>
      </c>
      <c r="F45" s="464">
        <f t="shared" si="6"/>
        <v>128556121.59723619</v>
      </c>
      <c r="G45" s="464">
        <f t="shared" si="6"/>
        <v>117838741.4960334</v>
      </c>
      <c r="H45" s="464">
        <f t="shared" si="6"/>
        <v>115879768.56809583</v>
      </c>
      <c r="I45" s="464">
        <f t="shared" si="6"/>
        <v>112338376.67803591</v>
      </c>
    </row>
    <row r="46" spans="1:9" x14ac:dyDescent="0.15">
      <c r="A46" s="434" t="s">
        <v>35</v>
      </c>
      <c r="B46" s="467">
        <f>'Projected IS'!J17</f>
        <v>5000</v>
      </c>
      <c r="C46" s="467">
        <f>'Projected IS'!K17</f>
        <v>609000</v>
      </c>
      <c r="D46" s="467">
        <f>'Projected IS'!L17</f>
        <v>1029328</v>
      </c>
      <c r="E46" s="467">
        <f>'Projected IS'!M17</f>
        <v>1339498.5934230154</v>
      </c>
      <c r="F46" s="467">
        <f>'Projected IS'!N17</f>
        <v>1743133.8521659146</v>
      </c>
      <c r="G46" s="467">
        <f>'Projected IS'!O17</f>
        <v>2005765.8126984409</v>
      </c>
      <c r="H46" s="467">
        <f>'Projected IS'!P17</f>
        <v>2207233.687011349</v>
      </c>
      <c r="I46" s="467">
        <f>'Projected IS'!Q17</f>
        <v>2428937.8741196957</v>
      </c>
    </row>
    <row r="47" spans="1:9" x14ac:dyDescent="0.15">
      <c r="A47" s="434" t="s">
        <v>36</v>
      </c>
      <c r="B47" s="467">
        <f>'Projected IS'!J18</f>
        <v>-48000</v>
      </c>
      <c r="C47" s="467">
        <f>'Projected IS'!K18</f>
        <v>237000</v>
      </c>
      <c r="D47" s="467">
        <f>'Projected IS'!L18</f>
        <v>257332</v>
      </c>
      <c r="E47" s="467">
        <f>'Projected IS'!M18</f>
        <v>334874.64835575386</v>
      </c>
      <c r="F47" s="467">
        <f>'Projected IS'!N18</f>
        <v>435783.46304147865</v>
      </c>
      <c r="G47" s="467">
        <f>'Projected IS'!O18</f>
        <v>501441.45317461021</v>
      </c>
      <c r="H47" s="467">
        <f>'Projected IS'!P18</f>
        <v>551808.42175283725</v>
      </c>
      <c r="I47" s="467">
        <f>'Projected IS'!Q18</f>
        <v>607234.46852992394</v>
      </c>
    </row>
    <row r="48" spans="1:9" x14ac:dyDescent="0.15">
      <c r="A48" s="440" t="s">
        <v>37</v>
      </c>
      <c r="B48" s="468">
        <f>B46+B47*-1</f>
        <v>53000</v>
      </c>
      <c r="C48" s="468">
        <f>C46+C47</f>
        <v>846000</v>
      </c>
      <c r="D48" s="468">
        <f t="shared" ref="D48:I48" si="7">D46+D47</f>
        <v>1286660</v>
      </c>
      <c r="E48" s="468">
        <f t="shared" si="7"/>
        <v>1674373.2417787693</v>
      </c>
      <c r="F48" s="468">
        <f t="shared" si="7"/>
        <v>2178917.3152073934</v>
      </c>
      <c r="G48" s="468">
        <f t="shared" si="7"/>
        <v>2507207.2658730512</v>
      </c>
      <c r="H48" s="468">
        <f t="shared" si="7"/>
        <v>2759042.1087641865</v>
      </c>
      <c r="I48" s="468">
        <f t="shared" si="7"/>
        <v>3036172.3426496196</v>
      </c>
    </row>
    <row r="49" spans="1:9" ht="14" x14ac:dyDescent="0.15">
      <c r="A49" s="463" t="s">
        <v>38</v>
      </c>
      <c r="B49" s="464">
        <f>B45-B48</f>
        <v>4171000</v>
      </c>
      <c r="C49" s="464">
        <f t="shared" ref="C49:I49" si="8">C45-C48</f>
        <v>32126000</v>
      </c>
      <c r="D49" s="464">
        <f t="shared" si="8"/>
        <v>77199600</v>
      </c>
      <c r="E49" s="464">
        <f t="shared" si="8"/>
        <v>97113648.023168594</v>
      </c>
      <c r="F49" s="464">
        <f t="shared" si="8"/>
        <v>126377204.28202879</v>
      </c>
      <c r="G49" s="464">
        <f t="shared" si="8"/>
        <v>115331534.23016036</v>
      </c>
      <c r="H49" s="464">
        <f t="shared" si="8"/>
        <v>113120726.45933165</v>
      </c>
      <c r="I49" s="464">
        <f t="shared" si="8"/>
        <v>109302204.33538629</v>
      </c>
    </row>
    <row r="50" spans="1:9" x14ac:dyDescent="0.15">
      <c r="A50" s="434" t="s">
        <v>39</v>
      </c>
      <c r="B50" s="437">
        <f>'Projected IS'!J21</f>
        <v>-187000</v>
      </c>
      <c r="C50" s="437">
        <f>'Projected IS'!K21</f>
        <v>4058000</v>
      </c>
      <c r="D50" s="437">
        <f>'Projected IS'!L21</f>
        <v>11579940</v>
      </c>
      <c r="E50" s="437">
        <f>'Projected IS'!M21</f>
        <v>15069359.176008923</v>
      </c>
      <c r="F50" s="437">
        <f>'Projected IS'!N21</f>
        <v>19610255.836866539</v>
      </c>
      <c r="G50" s="437">
        <f>'Projected IS'!O21</f>
        <v>17550450.861111358</v>
      </c>
      <c r="H50" s="437">
        <f>'Projected IS'!P21</f>
        <v>13795210.543820933</v>
      </c>
      <c r="I50" s="437">
        <f>'Projected IS'!Q21</f>
        <v>15180861.713248098</v>
      </c>
    </row>
    <row r="51" spans="1:9" ht="14" x14ac:dyDescent="0.15">
      <c r="A51" s="463" t="s">
        <v>40</v>
      </c>
      <c r="B51" s="464">
        <f>B49-B50</f>
        <v>4358000</v>
      </c>
      <c r="C51" s="464">
        <f>C49-C50</f>
        <v>28068000</v>
      </c>
      <c r="D51" s="464">
        <f>D49-D50</f>
        <v>65619660</v>
      </c>
      <c r="E51" s="464">
        <f t="shared" ref="E51:I51" si="9">E49-E50</f>
        <v>82044288.847159669</v>
      </c>
      <c r="F51" s="464">
        <f t="shared" si="9"/>
        <v>106766948.44516225</v>
      </c>
      <c r="G51" s="464">
        <f t="shared" si="9"/>
        <v>97781083.369048998</v>
      </c>
      <c r="H51" s="464">
        <f t="shared" si="9"/>
        <v>99325515.915510714</v>
      </c>
      <c r="I51" s="464">
        <f t="shared" si="9"/>
        <v>94121342.622138187</v>
      </c>
    </row>
    <row r="52" spans="1:9" ht="14" x14ac:dyDescent="0.15">
      <c r="A52" s="435"/>
      <c r="B52" s="439"/>
      <c r="C52" s="439"/>
      <c r="D52" s="438"/>
      <c r="E52" s="438"/>
      <c r="F52" s="438"/>
      <c r="G52" s="438"/>
      <c r="H52" s="438"/>
      <c r="I52" s="438"/>
    </row>
    <row r="53" spans="1:9" ht="14" x14ac:dyDescent="0.15">
      <c r="A53" s="435" t="s">
        <v>41</v>
      </c>
      <c r="B53" s="441">
        <f t="shared" ref="B53:I53" si="10">B51/B38</f>
        <v>0.1615629865796693</v>
      </c>
      <c r="C53" s="441">
        <f t="shared" si="10"/>
        <v>0.46072026525721416</v>
      </c>
      <c r="D53" s="441">
        <f t="shared" si="10"/>
        <v>0.51</v>
      </c>
      <c r="E53" s="441">
        <f t="shared" si="10"/>
        <v>0.48999999999999988</v>
      </c>
      <c r="F53" s="441">
        <f t="shared" si="10"/>
        <v>0.48999999999999994</v>
      </c>
      <c r="G53" s="441">
        <f t="shared" si="10"/>
        <v>0.39</v>
      </c>
      <c r="H53" s="441">
        <f t="shared" si="10"/>
        <v>0.36</v>
      </c>
      <c r="I53" s="441">
        <f t="shared" si="10"/>
        <v>0.30999999999999994</v>
      </c>
    </row>
    <row r="55" spans="1:9" x14ac:dyDescent="0.15">
      <c r="A55" s="416" t="s">
        <v>42</v>
      </c>
      <c r="B55" s="437">
        <f>'Balance Sheet'!J16-'Balance Sheet'!I16</f>
        <v>791000</v>
      </c>
      <c r="C55" s="437">
        <f>'Balance Sheet'!K16-'Balance Sheet'!J16</f>
        <v>815000</v>
      </c>
      <c r="D55" s="437">
        <f t="shared" ref="D55:I55" si="11">D25*(AVERAGE(C63:D63))</f>
        <v>1792183.1210466649</v>
      </c>
      <c r="E55" s="437">
        <f t="shared" si="11"/>
        <v>4102542.5915820026</v>
      </c>
      <c r="F55" s="437">
        <f t="shared" si="11"/>
        <v>7414827.8330924744</v>
      </c>
      <c r="G55" s="437">
        <f t="shared" si="11"/>
        <v>11469550.792979982</v>
      </c>
      <c r="H55" s="437">
        <f t="shared" si="11"/>
        <v>15700036.199206868</v>
      </c>
      <c r="I55" s="437">
        <f t="shared" si="11"/>
        <v>18766072.085255042</v>
      </c>
    </row>
    <row r="57" spans="1:9" x14ac:dyDescent="0.15">
      <c r="A57" s="417" t="s">
        <v>43</v>
      </c>
      <c r="B57" s="442">
        <f t="shared" ref="B57:I57" si="12">B36</f>
        <v>2023</v>
      </c>
      <c r="C57" s="442">
        <f t="shared" si="12"/>
        <v>2024</v>
      </c>
      <c r="D57" s="442">
        <f t="shared" si="12"/>
        <v>2025</v>
      </c>
      <c r="E57" s="442">
        <f t="shared" si="12"/>
        <v>2026</v>
      </c>
      <c r="F57" s="442">
        <f t="shared" si="12"/>
        <v>2027</v>
      </c>
      <c r="G57" s="442">
        <f t="shared" si="12"/>
        <v>2028</v>
      </c>
      <c r="H57" s="442">
        <f t="shared" si="12"/>
        <v>2029</v>
      </c>
      <c r="I57" s="442">
        <f t="shared" si="12"/>
        <v>2030</v>
      </c>
    </row>
    <row r="59" spans="1:9" x14ac:dyDescent="0.15">
      <c r="A59" s="443" t="s">
        <v>44</v>
      </c>
      <c r="B59" s="437">
        <f>'Projected BS'!J9</f>
        <v>13296000</v>
      </c>
      <c r="C59" s="437">
        <f>'Projected BS'!K9</f>
        <v>25984000</v>
      </c>
      <c r="D59" s="485">
        <f>'Projected BS'!L9</f>
        <v>48893080</v>
      </c>
      <c r="E59" s="485">
        <f>'Projected BS'!M9</f>
        <v>63626183.187593229</v>
      </c>
      <c r="F59" s="485">
        <f>'Projected BS'!N9</f>
        <v>82798857.97788094</v>
      </c>
      <c r="G59" s="485">
        <f>'Projected BS'!O9</f>
        <v>82737839.773810685</v>
      </c>
      <c r="H59" s="485">
        <f>'Projected BS'!P9</f>
        <v>91048389.589218155</v>
      </c>
      <c r="I59" s="485">
        <f>'Projected BS'!Q9</f>
        <v>100193687.30743745</v>
      </c>
    </row>
    <row r="60" spans="1:9" x14ac:dyDescent="0.15">
      <c r="A60" s="434" t="s">
        <v>45</v>
      </c>
      <c r="B60" s="437">
        <f>'Projected BS'!J10</f>
        <v>3827000</v>
      </c>
      <c r="C60" s="437">
        <f>'Projected BS'!K10</f>
        <v>9999000</v>
      </c>
      <c r="D60" s="485">
        <f>'Projected BS'!L10</f>
        <v>20086208.992239088</v>
      </c>
      <c r="E60" s="485">
        <f>'Projected BS'!M10</f>
        <v>33487464.835575387</v>
      </c>
      <c r="F60" s="485">
        <f>'Projected BS'!N10</f>
        <v>43578346.304147869</v>
      </c>
      <c r="G60" s="485">
        <f>'Projected BS'!O10</f>
        <v>42622523.519841872</v>
      </c>
      <c r="H60" s="485">
        <f>'Projected BS'!P10</f>
        <v>41385631.631462798</v>
      </c>
      <c r="I60" s="485">
        <f>'Projected BS'!Q10</f>
        <v>45542585.139744289</v>
      </c>
    </row>
    <row r="61" spans="1:9" x14ac:dyDescent="0.15">
      <c r="A61" s="434" t="s">
        <v>46</v>
      </c>
      <c r="B61" s="437">
        <f>'Projected BS'!J11+'Projected BS'!J12+'Projected BS'!J13</f>
        <v>5950000</v>
      </c>
      <c r="C61" s="437">
        <f>'Projected BS'!K11+'Projected BS'!K12+'Projected BS'!K13</f>
        <v>8362000</v>
      </c>
      <c r="D61" s="437">
        <f>'Projected BS'!L11+'Projected BS'!L12+'Projected BS'!L13</f>
        <v>20552469.668074269</v>
      </c>
      <c r="E61" s="437">
        <f>'Projected BS'!M11+'Projected BS'!M12+'Projected BS'!M13</f>
        <v>26745608.991259024</v>
      </c>
      <c r="F61" s="437">
        <f>'Projected BS'!N11+'Projected BS'!N12+'Projected BS'!N13</f>
        <v>34804946.162965953</v>
      </c>
      <c r="G61" s="437">
        <f>'Projected BS'!O11+'Projected BS'!O12+'Projected BS'!O13</f>
        <v>62819695.002121732</v>
      </c>
      <c r="H61" s="437">
        <f>'Projected BS'!P11+'Projected BS'!P12+'Projected BS'!P13</f>
        <v>82924789.948666558</v>
      </c>
      <c r="I61" s="437">
        <f>'Projected BS'!Q11+'Projected BS'!Q12+'Projected BS'!Q13</f>
        <v>91254117.855759591</v>
      </c>
    </row>
    <row r="62" spans="1:9" x14ac:dyDescent="0.15">
      <c r="A62" s="440" t="s">
        <v>47</v>
      </c>
      <c r="B62" s="444">
        <f t="shared" ref="B62:I62" si="13">SUM(B59:B61)</f>
        <v>23073000</v>
      </c>
      <c r="C62" s="444">
        <f t="shared" si="13"/>
        <v>44345000</v>
      </c>
      <c r="D62" s="444">
        <f t="shared" si="13"/>
        <v>89531758.660313353</v>
      </c>
      <c r="E62" s="444">
        <f t="shared" si="13"/>
        <v>123859257.01442765</v>
      </c>
      <c r="F62" s="444">
        <f t="shared" si="13"/>
        <v>161182150.44499475</v>
      </c>
      <c r="G62" s="444">
        <f t="shared" si="13"/>
        <v>188180058.29577428</v>
      </c>
      <c r="H62" s="444">
        <f t="shared" si="13"/>
        <v>215358811.16934752</v>
      </c>
      <c r="I62" s="444">
        <f t="shared" si="13"/>
        <v>236990390.30294132</v>
      </c>
    </row>
    <row r="63" spans="1:9" x14ac:dyDescent="0.15">
      <c r="A63" s="434" t="s">
        <v>48</v>
      </c>
      <c r="B63" s="437">
        <f>'Projected BS'!J15</f>
        <v>6501000</v>
      </c>
      <c r="C63" s="437">
        <f>'Projected BS'!K15</f>
        <v>7423000</v>
      </c>
      <c r="D63" s="485">
        <f>'Projected BS'!L15</f>
        <v>25784009.358650383</v>
      </c>
      <c r="E63" s="485">
        <f>'Projected BS'!M15</f>
        <v>50231197.253363073</v>
      </c>
      <c r="F63" s="485">
        <f>'Projected BS'!N15</f>
        <v>87156692.608295739</v>
      </c>
      <c r="G63" s="485">
        <f>'Projected BS'!O15</f>
        <v>125360363.29365255</v>
      </c>
      <c r="H63" s="485">
        <f>'Projected BS'!P15</f>
        <v>165542526.52585119</v>
      </c>
      <c r="I63" s="485">
        <f>'Projected BS'!Q15</f>
        <v>182170340.55897716</v>
      </c>
    </row>
    <row r="64" spans="1:9" x14ac:dyDescent="0.15">
      <c r="A64" s="434" t="s">
        <v>49</v>
      </c>
      <c r="B64" s="437">
        <f>'Projected BS'!J16</f>
        <v>2694000</v>
      </c>
      <c r="C64" s="437">
        <f>'Projected BS'!K16</f>
        <v>3509000</v>
      </c>
      <c r="D64" s="485">
        <f>'Projected BS'!L16</f>
        <v>2783127.2528277165</v>
      </c>
      <c r="E64" s="485">
        <f>'Projected BS'!M16</f>
        <v>5421957.9303362882</v>
      </c>
      <c r="F64" s="485">
        <f>'Projected BS'!N16</f>
        <v>9407697.7358486596</v>
      </c>
      <c r="G64" s="485">
        <f>'Projected BS'!O16</f>
        <v>13531403.850111306</v>
      </c>
      <c r="H64" s="485">
        <f>'Projected BS'!P16</f>
        <v>17868668.548302431</v>
      </c>
      <c r="I64" s="485">
        <f>'Projected BS'!Q16</f>
        <v>19663475.622207649</v>
      </c>
    </row>
    <row r="65" spans="1:9" x14ac:dyDescent="0.15">
      <c r="A65" s="434" t="s">
        <v>50</v>
      </c>
      <c r="B65" s="437">
        <f>'Projected BS'!J17</f>
        <v>3807000</v>
      </c>
      <c r="C65" s="437">
        <f>'Projected BS'!K17</f>
        <v>3914000</v>
      </c>
      <c r="D65" s="485">
        <f>'Projected BS'!L17</f>
        <v>23000882.105822667</v>
      </c>
      <c r="E65" s="485">
        <f>'Projected BS'!M17</f>
        <v>44809239.323026784</v>
      </c>
      <c r="F65" s="485">
        <f>'Projected BS'!N17</f>
        <v>77748994.872447073</v>
      </c>
      <c r="G65" s="485">
        <f>'Projected BS'!O17</f>
        <v>111828959.44354124</v>
      </c>
      <c r="H65" s="485">
        <f>'Projected BS'!P17</f>
        <v>147673857.97754875</v>
      </c>
      <c r="I65" s="485">
        <f>'Projected BS'!Q17</f>
        <v>162506864.93676952</v>
      </c>
    </row>
    <row r="66" spans="1:9" x14ac:dyDescent="0.15">
      <c r="A66" s="434" t="s">
        <v>51</v>
      </c>
      <c r="B66" s="437">
        <f>'Projected BS'!J18+'Projected BS'!J19+'Projected BS'!J20+'Projected BS'!J21+'Projected BS'!J22</f>
        <v>14302000</v>
      </c>
      <c r="C66" s="437">
        <f>'Projected BS'!K18+'Projected BS'!K19+'Projected BS'!K20+'Projected BS'!K21+'Projected BS'!K22</f>
        <v>17469000</v>
      </c>
      <c r="D66" s="485">
        <f>'Projected BS'!L18+'Projected BS'!L19+'Projected BS'!L20+'Projected BS'!L21+'Projected BS'!L22</f>
        <v>38232245.90069703</v>
      </c>
      <c r="E66" s="485">
        <f>'Projected BS'!M18+'Projected BS'!M19+'Projected BS'!M20+'Projected BS'!M21+'Projected BS'!M22</f>
        <v>75187767.174505904</v>
      </c>
      <c r="F66" s="485">
        <f>'Projected BS'!N18+'Projected BS'!N19+'Projected BS'!N20+'Projected BS'!N21+'Projected BS'!N22</f>
        <v>125969183.24184495</v>
      </c>
      <c r="G66" s="485">
        <f>'Projected BS'!O18+'Projected BS'!O19+'Projected BS'!O20+'Projected BS'!O21+'Projected BS'!O22</f>
        <v>183666969.32840025</v>
      </c>
      <c r="H66" s="485">
        <f>'Projected BS'!P18+'Projected BS'!P19+'Projected BS'!P20+'Projected BS'!P21+'Projected BS'!P22</f>
        <v>241112106.04990238</v>
      </c>
      <c r="I66" s="485">
        <f>'Projected BS'!Q18+'Projected BS'!Q19+'Projected BS'!Q20+'Projected BS'!Q21+'Projected BS'!Q22</f>
        <v>310256635.64274114</v>
      </c>
    </row>
    <row r="67" spans="1:9" x14ac:dyDescent="0.15">
      <c r="A67" s="440" t="s">
        <v>52</v>
      </c>
      <c r="B67" s="444">
        <f>SUM(B65:B66)</f>
        <v>18109000</v>
      </c>
      <c r="C67" s="444">
        <f>SUM(C65:C66)</f>
        <v>21383000</v>
      </c>
      <c r="D67" s="444">
        <f t="shared" ref="D67:I67" si="14">SUM(D65:D66)</f>
        <v>61233128.006519698</v>
      </c>
      <c r="E67" s="444">
        <f t="shared" si="14"/>
        <v>119997006.4975327</v>
      </c>
      <c r="F67" s="444">
        <f t="shared" si="14"/>
        <v>203718178.11429203</v>
      </c>
      <c r="G67" s="444">
        <f t="shared" si="14"/>
        <v>295495928.77194148</v>
      </c>
      <c r="H67" s="444">
        <f t="shared" si="14"/>
        <v>388785964.02745116</v>
      </c>
      <c r="I67" s="444">
        <f t="shared" si="14"/>
        <v>472763500.57951069</v>
      </c>
    </row>
    <row r="68" spans="1:9" ht="14" x14ac:dyDescent="0.15">
      <c r="A68" s="435" t="s">
        <v>53</v>
      </c>
      <c r="B68" s="445">
        <f>B62+B67</f>
        <v>41182000</v>
      </c>
      <c r="C68" s="445">
        <f>C62+C67</f>
        <v>65728000</v>
      </c>
      <c r="D68" s="445">
        <f t="shared" ref="D68:I68" si="15">D62+D67</f>
        <v>150764886.66683304</v>
      </c>
      <c r="E68" s="445">
        <f t="shared" si="15"/>
        <v>243856263.51196033</v>
      </c>
      <c r="F68" s="445">
        <f t="shared" si="15"/>
        <v>364900328.55928677</v>
      </c>
      <c r="G68" s="445">
        <f t="shared" si="15"/>
        <v>483675987.06771576</v>
      </c>
      <c r="H68" s="445">
        <f t="shared" si="15"/>
        <v>604144775.19679868</v>
      </c>
      <c r="I68" s="445">
        <f t="shared" si="15"/>
        <v>709753890.88245201</v>
      </c>
    </row>
    <row r="69" spans="1:9" ht="14" x14ac:dyDescent="0.15">
      <c r="A69" s="435"/>
      <c r="B69" s="437"/>
      <c r="C69" s="437"/>
    </row>
    <row r="70" spans="1:9" x14ac:dyDescent="0.15">
      <c r="A70" s="434" t="s">
        <v>54</v>
      </c>
      <c r="B70" s="437">
        <f>'Projected BS'!J26+'Projected BS'!J27+'Projected BS'!J28</f>
        <v>4169000</v>
      </c>
      <c r="C70" s="437">
        <f>'Projected BS'!K26+'Projected BS'!K27+'Projected BS'!K28</f>
        <v>8746000</v>
      </c>
      <c r="D70" s="485">
        <f>'Projected BS'!L26+'Projected BS'!L27+'Projected BS'!L28</f>
        <v>16141329.765984003</v>
      </c>
      <c r="E70" s="485">
        <f>'Projected BS'!M26+'Projected BS'!M27+'Projected BS'!M28</f>
        <v>20628580.273473419</v>
      </c>
      <c r="F70" s="485">
        <f>'Projected BS'!N26+'Projected BS'!N27+'Projected BS'!N28</f>
        <v>26467987.870584145</v>
      </c>
      <c r="G70" s="485">
        <f>'Projected BS'!O26+'Projected BS'!O27+'Projected BS'!O28</f>
        <v>31517495.055249039</v>
      </c>
      <c r="H70" s="485">
        <f>'Projected BS'!P26+'Projected BS'!P27+'Projected BS'!P28</f>
        <v>34432138.933240637</v>
      </c>
      <c r="I70" s="485">
        <f>'Projected BS'!Q26+'Projected BS'!Q27+'Projected BS'!Q28</f>
        <v>37639542.366091788</v>
      </c>
    </row>
    <row r="71" spans="1:9" x14ac:dyDescent="0.15">
      <c r="A71" s="434" t="s">
        <v>55</v>
      </c>
      <c r="B71" s="437">
        <f>'Projected BS'!J29</f>
        <v>2394000</v>
      </c>
      <c r="C71" s="437">
        <f>'Projected BS'!K29</f>
        <v>1885000</v>
      </c>
      <c r="D71" s="485">
        <f>'Projected BS'!L29</f>
        <v>5742328.1146029355</v>
      </c>
      <c r="E71" s="485">
        <f>'Projected BS'!M29</f>
        <v>7472681.6257636705</v>
      </c>
      <c r="F71" s="485">
        <f>'Projected BS'!N29</f>
        <v>9724447.9182616696</v>
      </c>
      <c r="G71" s="485">
        <f>'Projected BS'!O29</f>
        <v>11189596.919123605</v>
      </c>
      <c r="H71" s="485">
        <f>'Projected BS'!P29</f>
        <v>12313528.881390546</v>
      </c>
      <c r="I71" s="485">
        <f>'Projected BS'!Q29</f>
        <v>13550353.476424826</v>
      </c>
    </row>
    <row r="72" spans="1:9" x14ac:dyDescent="0.15">
      <c r="A72" s="440" t="s">
        <v>56</v>
      </c>
      <c r="B72" s="444">
        <f>B70+B71</f>
        <v>6563000</v>
      </c>
      <c r="C72" s="444">
        <f>C70+C71</f>
        <v>10631000</v>
      </c>
      <c r="D72" s="444">
        <f t="shared" ref="D72:I72" si="16">D70+D71</f>
        <v>21883657.880586937</v>
      </c>
      <c r="E72" s="444">
        <f t="shared" si="16"/>
        <v>28101261.899237089</v>
      </c>
      <c r="F72" s="444">
        <f t="shared" si="16"/>
        <v>36192435.788845815</v>
      </c>
      <c r="G72" s="444">
        <f t="shared" si="16"/>
        <v>42707091.97437264</v>
      </c>
      <c r="H72" s="444">
        <f t="shared" si="16"/>
        <v>46745667.814631179</v>
      </c>
      <c r="I72" s="444">
        <f t="shared" si="16"/>
        <v>51189895.842516616</v>
      </c>
    </row>
    <row r="73" spans="1:9" x14ac:dyDescent="0.15">
      <c r="A73" s="434" t="s">
        <v>57</v>
      </c>
      <c r="B73" s="437">
        <f>'Projected BS'!J31+'Projected BS'!J32+'Projected BS'!J34</f>
        <v>12518000</v>
      </c>
      <c r="C73" s="437">
        <f>'Projected BS'!K31+'Projected BS'!K32+'Projected BS'!K34</f>
        <v>12119000</v>
      </c>
      <c r="D73" s="437">
        <f>'Projected BS'!L31+'Projected BS'!L32+'Projected BS'!L34</f>
        <v>18430755.970246106</v>
      </c>
      <c r="E73" s="485">
        <f>'Projected BS'!M31+'Projected BS'!M32+'Projected BS'!M34</f>
        <v>21360626.242796756</v>
      </c>
      <c r="F73" s="485">
        <f>'Projected BS'!N31+'Projected BS'!N32+'Projected BS'!N34</f>
        <v>25147124.131620616</v>
      </c>
      <c r="G73" s="485">
        <f>'Projected BS'!O31+'Projected BS'!O32+'Projected BS'!O34</f>
        <v>36739335.610559471</v>
      </c>
      <c r="H73" s="485">
        <f>'Projected BS'!P31+'Projected BS'!P32+'Projected BS'!P34</f>
        <v>38767651.960820362</v>
      </c>
      <c r="I73" s="485">
        <f>'Projected BS'!Q31+'Projected BS'!Q32+'Projected BS'!Q34</f>
        <v>40983081.830805622</v>
      </c>
    </row>
    <row r="74" spans="1:9" s="417" customFormat="1" x14ac:dyDescent="0.15">
      <c r="A74" s="443" t="s">
        <v>58</v>
      </c>
      <c r="B74" s="436">
        <f>B73+B72</f>
        <v>19081000</v>
      </c>
      <c r="C74" s="436">
        <f>C73+C72</f>
        <v>22750000</v>
      </c>
      <c r="D74" s="436">
        <f t="shared" ref="D74:I74" si="17">D73+D72</f>
        <v>40314413.850833043</v>
      </c>
      <c r="E74" s="436">
        <f t="shared" si="17"/>
        <v>49461888.142033845</v>
      </c>
      <c r="F74" s="436">
        <f t="shared" si="17"/>
        <v>61339559.92046643</v>
      </c>
      <c r="G74" s="436">
        <f t="shared" si="17"/>
        <v>79446427.584932119</v>
      </c>
      <c r="H74" s="436">
        <f t="shared" si="17"/>
        <v>85513319.775451541</v>
      </c>
      <c r="I74" s="436">
        <f t="shared" si="17"/>
        <v>92172977.673322231</v>
      </c>
    </row>
    <row r="75" spans="1:9" x14ac:dyDescent="0.15">
      <c r="A75" s="434" t="s">
        <v>59</v>
      </c>
      <c r="B75" s="437">
        <f>'Projected BS'!J40</f>
        <v>10171000</v>
      </c>
      <c r="C75" s="437">
        <f>'Projected BS'!K40</f>
        <v>29817000</v>
      </c>
      <c r="D75" s="485">
        <f>'Projected BS'!L40</f>
        <v>95279172.816</v>
      </c>
      <c r="E75" s="485">
        <f>'Projected BS'!M40</f>
        <v>177126555.36992648</v>
      </c>
      <c r="F75" s="485">
        <f>'Projected BS'!N40</f>
        <v>283637263.13882035</v>
      </c>
      <c r="G75" s="485">
        <f>'Projected BS'!O40</f>
        <v>381183671.90778363</v>
      </c>
      <c r="H75" s="485">
        <f>'Projected BS'!P40</f>
        <v>480270806.58509713</v>
      </c>
      <c r="I75" s="485">
        <f>'Projected BS'!Q40</f>
        <v>574166257.9849422</v>
      </c>
    </row>
    <row r="76" spans="1:9" s="417" customFormat="1" x14ac:dyDescent="0.15">
      <c r="A76" s="443" t="s">
        <v>60</v>
      </c>
      <c r="B76" s="436">
        <f>'Projected BS'!J44</f>
        <v>22101000</v>
      </c>
      <c r="C76" s="436">
        <f>'Projected BS'!K44</f>
        <v>42978000</v>
      </c>
      <c r="D76" s="487">
        <f>'Projected BS'!L44</f>
        <v>110450472.816</v>
      </c>
      <c r="E76" s="487">
        <f>'Projected BS'!M44</f>
        <v>194394375.36992648</v>
      </c>
      <c r="F76" s="487">
        <f>'Projected BS'!N44</f>
        <v>303560768.63882035</v>
      </c>
      <c r="G76" s="487">
        <f>'Projected BS'!O44</f>
        <v>404229559.48278362</v>
      </c>
      <c r="H76" s="487">
        <f>'Projected BS'!P44</f>
        <v>518631455.42134714</v>
      </c>
      <c r="I76" s="487">
        <f>'Projected BS'!Q44</f>
        <v>617580913.20912969</v>
      </c>
    </row>
    <row r="77" spans="1:9" s="446" customFormat="1" ht="14" x14ac:dyDescent="0.15">
      <c r="A77" s="435" t="s">
        <v>61</v>
      </c>
      <c r="B77" s="445">
        <f t="shared" ref="B77:I77" si="18">B76+B74</f>
        <v>41182000</v>
      </c>
      <c r="C77" s="445">
        <f t="shared" si="18"/>
        <v>65728000</v>
      </c>
      <c r="D77" s="445">
        <f t="shared" si="18"/>
        <v>150764886.66683304</v>
      </c>
      <c r="E77" s="445">
        <f t="shared" si="18"/>
        <v>243856263.51196033</v>
      </c>
      <c r="F77" s="445">
        <f t="shared" si="18"/>
        <v>364900328.55928677</v>
      </c>
      <c r="G77" s="445">
        <f t="shared" si="18"/>
        <v>483675987.06771576</v>
      </c>
      <c r="H77" s="445">
        <f t="shared" si="18"/>
        <v>604144775.19679868</v>
      </c>
      <c r="I77" s="445">
        <f t="shared" si="18"/>
        <v>709753890.88245189</v>
      </c>
    </row>
    <row r="79" spans="1:9" x14ac:dyDescent="0.15">
      <c r="A79" s="416" t="s">
        <v>62</v>
      </c>
      <c r="B79" s="438">
        <f>B77-B68</f>
        <v>0</v>
      </c>
      <c r="C79" s="438">
        <f>C77-C68</f>
        <v>0</v>
      </c>
      <c r="D79" s="438">
        <f t="shared" ref="D79:I79" si="19">D77-D68</f>
        <v>0</v>
      </c>
      <c r="E79" s="438">
        <f t="shared" si="19"/>
        <v>0</v>
      </c>
      <c r="F79" s="438">
        <f t="shared" si="19"/>
        <v>0</v>
      </c>
      <c r="G79" s="438">
        <f t="shared" si="19"/>
        <v>0</v>
      </c>
      <c r="H79" s="438">
        <f t="shared" si="19"/>
        <v>0</v>
      </c>
      <c r="I79" s="438">
        <f t="shared" si="19"/>
        <v>0</v>
      </c>
    </row>
    <row r="82" spans="1:9" x14ac:dyDescent="0.15">
      <c r="A82" s="417" t="s">
        <v>63</v>
      </c>
      <c r="B82" s="416">
        <f t="shared" ref="B82:I82" si="20">B57</f>
        <v>2023</v>
      </c>
      <c r="C82" s="416">
        <f t="shared" si="20"/>
        <v>2024</v>
      </c>
      <c r="D82" s="416">
        <f t="shared" si="20"/>
        <v>2025</v>
      </c>
      <c r="E82" s="416">
        <f t="shared" si="20"/>
        <v>2026</v>
      </c>
      <c r="F82" s="416">
        <f t="shared" si="20"/>
        <v>2027</v>
      </c>
      <c r="G82" s="416">
        <f t="shared" si="20"/>
        <v>2028</v>
      </c>
      <c r="H82" s="416">
        <f t="shared" si="20"/>
        <v>2029</v>
      </c>
      <c r="I82" s="416">
        <f t="shared" si="20"/>
        <v>2030</v>
      </c>
    </row>
    <row r="84" spans="1:9" x14ac:dyDescent="0.15">
      <c r="A84" s="416" t="s">
        <v>64</v>
      </c>
      <c r="B84" s="437">
        <f>(SUM(B60:B61)-SUM(A60:A61))</f>
        <v>9777000</v>
      </c>
      <c r="C84" s="437">
        <f>(SUM(C60:C61)-SUM(B60:B61))</f>
        <v>8584000</v>
      </c>
      <c r="D84" s="437">
        <f>(SUM(D60:D61)-SUM(C60:C61))</f>
        <v>22277678.660313353</v>
      </c>
      <c r="E84" s="437">
        <f>(SUM(E60:E61)-SUM(D60:D61))</f>
        <v>19594395.166521057</v>
      </c>
      <c r="F84" s="437">
        <f t="shared" ref="F84:I84" si="21">(SUM(F60:F61)-SUM(E60:E61))</f>
        <v>18150218.640279412</v>
      </c>
      <c r="G84" s="437">
        <f t="shared" si="21"/>
        <v>27058926.054849774</v>
      </c>
      <c r="H84" s="437">
        <f t="shared" si="21"/>
        <v>18868203.058165759</v>
      </c>
      <c r="I84" s="437">
        <f t="shared" si="21"/>
        <v>12486281.415374517</v>
      </c>
    </row>
    <row r="85" spans="1:9" x14ac:dyDescent="0.15">
      <c r="A85" s="416" t="s">
        <v>65</v>
      </c>
      <c r="B85" s="438" t="e">
        <f>B63-A63</f>
        <v>#VALUE!</v>
      </c>
      <c r="C85" s="438">
        <f>C63-B63</f>
        <v>922000</v>
      </c>
      <c r="D85" s="438">
        <f t="shared" ref="D85:I85" si="22">D63-C63</f>
        <v>18361009.358650383</v>
      </c>
      <c r="E85" s="438">
        <f>E63-D63</f>
        <v>24447187.89471269</v>
      </c>
      <c r="F85" s="438">
        <f t="shared" si="22"/>
        <v>36925495.354932666</v>
      </c>
      <c r="G85" s="438">
        <f t="shared" si="22"/>
        <v>38203670.685356811</v>
      </c>
      <c r="H85" s="438">
        <f t="shared" si="22"/>
        <v>40182163.232198641</v>
      </c>
      <c r="I85" s="438">
        <f t="shared" si="22"/>
        <v>16627814.033125967</v>
      </c>
    </row>
    <row r="86" spans="1:9" x14ac:dyDescent="0.15">
      <c r="A86" s="416" t="s">
        <v>66</v>
      </c>
      <c r="B86" s="438">
        <f t="shared" ref="B86:I86" si="23">B55</f>
        <v>791000</v>
      </c>
      <c r="C86" s="438">
        <f t="shared" si="23"/>
        <v>815000</v>
      </c>
      <c r="D86" s="438">
        <f t="shared" si="23"/>
        <v>1792183.1210466649</v>
      </c>
      <c r="E86" s="438">
        <f t="shared" si="23"/>
        <v>4102542.5915820026</v>
      </c>
      <c r="F86" s="438">
        <f t="shared" si="23"/>
        <v>7414827.8330924744</v>
      </c>
      <c r="G86" s="438">
        <f t="shared" si="23"/>
        <v>11469550.792979982</v>
      </c>
      <c r="H86" s="438">
        <f t="shared" si="23"/>
        <v>15700036.199206868</v>
      </c>
      <c r="I86" s="438">
        <f t="shared" si="23"/>
        <v>18766072.085255042</v>
      </c>
    </row>
    <row r="87" spans="1:9" x14ac:dyDescent="0.15">
      <c r="A87" s="416" t="s">
        <v>67</v>
      </c>
      <c r="B87" s="438" t="e">
        <f>B85+B86</f>
        <v>#VALUE!</v>
      </c>
      <c r="C87" s="438">
        <f>C85+C86</f>
        <v>1737000</v>
      </c>
      <c r="D87" s="438">
        <f t="shared" ref="D87:I87" si="24">D85+D86</f>
        <v>20153192.479697049</v>
      </c>
      <c r="E87" s="438">
        <f>E85+E86</f>
        <v>28549730.486294694</v>
      </c>
      <c r="F87" s="438">
        <f t="shared" si="24"/>
        <v>44340323.188025139</v>
      </c>
      <c r="G87" s="438">
        <f t="shared" si="24"/>
        <v>49673221.478336796</v>
      </c>
      <c r="H87" s="438">
        <f t="shared" si="24"/>
        <v>55882199.431405507</v>
      </c>
      <c r="I87" s="438">
        <f t="shared" si="24"/>
        <v>35393886.118381009</v>
      </c>
    </row>
    <row r="88" spans="1:9" x14ac:dyDescent="0.15">
      <c r="A88" s="416" t="s">
        <v>68</v>
      </c>
      <c r="B88" s="438" t="e">
        <f>B87+B84</f>
        <v>#VALUE!</v>
      </c>
      <c r="C88" s="438">
        <f t="shared" ref="C88:I88" si="25">C87+C84</f>
        <v>10321000</v>
      </c>
      <c r="D88" s="438">
        <f t="shared" si="25"/>
        <v>42430871.140010402</v>
      </c>
      <c r="E88" s="438">
        <f>E87+E84</f>
        <v>48144125.652815752</v>
      </c>
      <c r="F88" s="438">
        <f t="shared" si="25"/>
        <v>62490541.828304552</v>
      </c>
      <c r="G88" s="438">
        <f t="shared" si="25"/>
        <v>76732147.53318657</v>
      </c>
      <c r="H88" s="438">
        <f t="shared" si="25"/>
        <v>74750402.489571273</v>
      </c>
      <c r="I88" s="438">
        <f t="shared" si="25"/>
        <v>47880167.533755526</v>
      </c>
    </row>
    <row r="90" spans="1:9" x14ac:dyDescent="0.15">
      <c r="A90" s="417" t="s">
        <v>69</v>
      </c>
    </row>
    <row r="92" spans="1:9" x14ac:dyDescent="0.15">
      <c r="A92" s="417" t="s">
        <v>70</v>
      </c>
      <c r="B92" s="438" t="e">
        <f>B88</f>
        <v>#VALUE!</v>
      </c>
      <c r="C92" s="438">
        <f>C88</f>
        <v>10321000</v>
      </c>
      <c r="D92" s="438">
        <f t="shared" ref="D92:I92" si="26">D88</f>
        <v>42430871.140010402</v>
      </c>
      <c r="E92" s="438">
        <f t="shared" si="26"/>
        <v>48144125.652815752</v>
      </c>
      <c r="F92" s="438">
        <f t="shared" si="26"/>
        <v>62490541.828304552</v>
      </c>
      <c r="G92" s="438">
        <f t="shared" si="26"/>
        <v>76732147.53318657</v>
      </c>
      <c r="H92" s="438">
        <f t="shared" si="26"/>
        <v>74750402.489571273</v>
      </c>
      <c r="I92" s="438">
        <f t="shared" si="26"/>
        <v>47880167.533755526</v>
      </c>
    </row>
    <row r="93" spans="1:9" x14ac:dyDescent="0.15">
      <c r="A93" s="447" t="s">
        <v>71</v>
      </c>
    </row>
    <row r="94" spans="1:9" x14ac:dyDescent="0.15">
      <c r="A94" s="416" t="s">
        <v>72</v>
      </c>
      <c r="B94" s="438">
        <f t="shared" ref="B94:I94" si="27">B51</f>
        <v>4358000</v>
      </c>
      <c r="C94" s="438">
        <f t="shared" si="27"/>
        <v>28068000</v>
      </c>
      <c r="D94" s="438">
        <f t="shared" si="27"/>
        <v>65619660</v>
      </c>
      <c r="E94" s="438">
        <f t="shared" si="27"/>
        <v>82044288.847159669</v>
      </c>
      <c r="F94" s="438">
        <f t="shared" si="27"/>
        <v>106766948.44516225</v>
      </c>
      <c r="G94" s="438">
        <f t="shared" si="27"/>
        <v>97781083.369048998</v>
      </c>
      <c r="H94" s="438">
        <f t="shared" si="27"/>
        <v>99325515.915510714</v>
      </c>
      <c r="I94" s="438">
        <f t="shared" si="27"/>
        <v>94121342.622138187</v>
      </c>
    </row>
    <row r="95" spans="1:9" x14ac:dyDescent="0.15">
      <c r="A95" s="416" t="s">
        <v>42</v>
      </c>
      <c r="B95" s="438">
        <f t="shared" ref="B95:I95" si="28">B55</f>
        <v>791000</v>
      </c>
      <c r="C95" s="438">
        <f t="shared" si="28"/>
        <v>815000</v>
      </c>
      <c r="D95" s="438">
        <f t="shared" si="28"/>
        <v>1792183.1210466649</v>
      </c>
      <c r="E95" s="438">
        <f t="shared" si="28"/>
        <v>4102542.5915820026</v>
      </c>
      <c r="F95" s="438">
        <f t="shared" si="28"/>
        <v>7414827.8330924744</v>
      </c>
      <c r="G95" s="438">
        <f t="shared" si="28"/>
        <v>11469550.792979982</v>
      </c>
      <c r="H95" s="438">
        <f t="shared" si="28"/>
        <v>15700036.199206868</v>
      </c>
      <c r="I95" s="438">
        <f t="shared" si="28"/>
        <v>18766072.085255042</v>
      </c>
    </row>
    <row r="96" spans="1:9" x14ac:dyDescent="0.15">
      <c r="A96" s="416" t="s">
        <v>73</v>
      </c>
      <c r="B96" s="438">
        <f>B94+B95</f>
        <v>5149000</v>
      </c>
      <c r="C96" s="438">
        <f>C94+C95</f>
        <v>28883000</v>
      </c>
      <c r="D96" s="438">
        <f t="shared" ref="D96:I96" si="29">D94+D95</f>
        <v>67411843.121046662</v>
      </c>
      <c r="E96" s="438">
        <f>E94+E95</f>
        <v>86146831.438741669</v>
      </c>
      <c r="F96" s="438">
        <f t="shared" si="29"/>
        <v>114181776.27825473</v>
      </c>
      <c r="G96" s="438">
        <f t="shared" si="29"/>
        <v>109250634.16202898</v>
      </c>
      <c r="H96" s="438">
        <f t="shared" si="29"/>
        <v>115025552.11471759</v>
      </c>
      <c r="I96" s="438">
        <f t="shared" si="29"/>
        <v>112887414.70739323</v>
      </c>
    </row>
    <row r="97" spans="1:9" x14ac:dyDescent="0.15">
      <c r="A97" s="416" t="s">
        <v>74</v>
      </c>
      <c r="B97" s="438">
        <f t="shared" ref="B97:I97" si="30">MAX(B18*B51,0)</f>
        <v>10459.199999999999</v>
      </c>
      <c r="C97" s="438">
        <f t="shared" si="30"/>
        <v>67363.199999999997</v>
      </c>
      <c r="D97" s="438">
        <f t="shared" si="30"/>
        <v>157487.18399999998</v>
      </c>
      <c r="E97" s="438">
        <f t="shared" si="30"/>
        <v>196906.29323318318</v>
      </c>
      <c r="F97" s="438">
        <f t="shared" si="30"/>
        <v>256240.67626838939</v>
      </c>
      <c r="G97" s="438">
        <f t="shared" si="30"/>
        <v>234674.60008571757</v>
      </c>
      <c r="H97" s="438">
        <f t="shared" si="30"/>
        <v>238381.2381972257</v>
      </c>
      <c r="I97" s="438">
        <f t="shared" si="30"/>
        <v>225891.22229313164</v>
      </c>
    </row>
    <row r="98" spans="1:9" x14ac:dyDescent="0.15">
      <c r="A98" s="416" t="s">
        <v>75</v>
      </c>
      <c r="B98" s="438">
        <f>B96-B97</f>
        <v>5138540.8</v>
      </c>
      <c r="C98" s="438">
        <f t="shared" ref="C98:I98" si="31">C96-C97</f>
        <v>28815636.800000001</v>
      </c>
      <c r="D98" s="438">
        <f t="shared" si="31"/>
        <v>67254355.937046662</v>
      </c>
      <c r="E98" s="438">
        <f>E96-E97</f>
        <v>85949925.145508483</v>
      </c>
      <c r="F98" s="438">
        <f t="shared" si="31"/>
        <v>113925535.60198635</v>
      </c>
      <c r="G98" s="438">
        <f t="shared" si="31"/>
        <v>109015959.56194326</v>
      </c>
      <c r="H98" s="438">
        <f t="shared" si="31"/>
        <v>114787170.87652037</v>
      </c>
      <c r="I98" s="438">
        <f t="shared" si="31"/>
        <v>112661523.48510009</v>
      </c>
    </row>
    <row r="99" spans="1:9" x14ac:dyDescent="0.15">
      <c r="A99" s="416" t="s">
        <v>76</v>
      </c>
      <c r="B99" s="438">
        <v>2989000</v>
      </c>
      <c r="C99" s="438">
        <f>C72-B72</f>
        <v>4068000</v>
      </c>
      <c r="D99" s="438">
        <f t="shared" ref="D99:I99" si="32">D72-C72</f>
        <v>11252657.880586937</v>
      </c>
      <c r="E99" s="438">
        <f>E72-D72</f>
        <v>6217604.0186501518</v>
      </c>
      <c r="F99" s="438">
        <f t="shared" si="32"/>
        <v>8091173.8896087259</v>
      </c>
      <c r="G99" s="438">
        <f t="shared" si="32"/>
        <v>6514656.1855268255</v>
      </c>
      <c r="H99" s="438">
        <f t="shared" si="32"/>
        <v>4038575.8402585387</v>
      </c>
      <c r="I99" s="438">
        <f t="shared" si="32"/>
        <v>4444228.027885437</v>
      </c>
    </row>
    <row r="100" spans="1:9" x14ac:dyDescent="0.15">
      <c r="A100" s="448" t="s">
        <v>77</v>
      </c>
      <c r="B100" s="438">
        <f>B99+B98</f>
        <v>8127540.7999999998</v>
      </c>
      <c r="C100" s="438">
        <f t="shared" ref="C100:I100" si="33">C99+C98</f>
        <v>32883636.800000001</v>
      </c>
      <c r="D100" s="438">
        <f t="shared" si="33"/>
        <v>78507013.817633599</v>
      </c>
      <c r="E100" s="438">
        <f>E99+E98</f>
        <v>92167529.164158642</v>
      </c>
      <c r="F100" s="438">
        <f t="shared" si="33"/>
        <v>122016709.49159507</v>
      </c>
      <c r="G100" s="438">
        <f t="shared" si="33"/>
        <v>115530615.74747008</v>
      </c>
      <c r="H100" s="438">
        <f t="shared" si="33"/>
        <v>118825746.7167789</v>
      </c>
      <c r="I100" s="438">
        <f t="shared" si="33"/>
        <v>117105751.51298553</v>
      </c>
    </row>
    <row r="101" spans="1:9" x14ac:dyDescent="0.15">
      <c r="A101" s="416" t="s">
        <v>78</v>
      </c>
      <c r="B101" s="438" t="e">
        <f>B92-B100</f>
        <v>#VALUE!</v>
      </c>
      <c r="C101" s="438">
        <f t="shared" ref="C101:I101" si="34">C92-C100</f>
        <v>-22562636.800000001</v>
      </c>
      <c r="D101" s="438">
        <f>D92-D100</f>
        <v>-36076142.677623197</v>
      </c>
      <c r="E101" s="438">
        <f>E92-E100</f>
        <v>-44023403.511342891</v>
      </c>
      <c r="F101" s="438">
        <f t="shared" si="34"/>
        <v>-59526167.663290523</v>
      </c>
      <c r="G101" s="438">
        <f t="shared" si="34"/>
        <v>-38798468.214283511</v>
      </c>
      <c r="H101" s="438">
        <f t="shared" si="34"/>
        <v>-44075344.227207631</v>
      </c>
      <c r="I101" s="438">
        <f t="shared" si="34"/>
        <v>-69225583.979230002</v>
      </c>
    </row>
    <row r="102" spans="1:9" x14ac:dyDescent="0.15">
      <c r="A102" s="416" t="s">
        <v>79</v>
      </c>
      <c r="B102" s="416" t="e">
        <f t="shared" ref="B102:I102" si="35">MAX(B17*B101,0)</f>
        <v>#VALUE!</v>
      </c>
      <c r="C102" s="437">
        <f t="shared" si="35"/>
        <v>0</v>
      </c>
      <c r="D102" s="437">
        <f t="shared" si="35"/>
        <v>0</v>
      </c>
      <c r="E102" s="437">
        <f t="shared" si="35"/>
        <v>0</v>
      </c>
      <c r="F102" s="437">
        <f t="shared" si="35"/>
        <v>0</v>
      </c>
      <c r="G102" s="437">
        <f t="shared" si="35"/>
        <v>0</v>
      </c>
      <c r="H102" s="437">
        <f t="shared" si="35"/>
        <v>0</v>
      </c>
      <c r="I102" s="437">
        <f t="shared" si="35"/>
        <v>0</v>
      </c>
    </row>
    <row r="103" spans="1:9" x14ac:dyDescent="0.15">
      <c r="A103" s="416" t="s">
        <v>80</v>
      </c>
      <c r="B103" s="438" t="e">
        <f>MAX(B101-B102,0)</f>
        <v>#VALUE!</v>
      </c>
      <c r="C103" s="438">
        <f t="shared" ref="C103:I103" si="36">MAX(C101-C102,0)</f>
        <v>0</v>
      </c>
      <c r="D103" s="438">
        <f t="shared" si="36"/>
        <v>0</v>
      </c>
      <c r="E103" s="438">
        <f t="shared" si="36"/>
        <v>0</v>
      </c>
      <c r="F103" s="438">
        <f t="shared" si="36"/>
        <v>0</v>
      </c>
      <c r="G103" s="438">
        <f t="shared" si="36"/>
        <v>0</v>
      </c>
      <c r="H103" s="438">
        <f t="shared" si="36"/>
        <v>0</v>
      </c>
      <c r="I103" s="438">
        <f t="shared" si="36"/>
        <v>0</v>
      </c>
    </row>
    <row r="104" spans="1:9" x14ac:dyDescent="0.15">
      <c r="A104" s="448" t="s">
        <v>81</v>
      </c>
      <c r="B104" s="438" t="e">
        <f>B102+B103</f>
        <v>#VALUE!</v>
      </c>
      <c r="C104" s="438">
        <f t="shared" ref="C104:I104" si="37">C102+C103</f>
        <v>0</v>
      </c>
      <c r="D104" s="438">
        <f t="shared" si="37"/>
        <v>0</v>
      </c>
      <c r="E104" s="438">
        <f t="shared" si="37"/>
        <v>0</v>
      </c>
      <c r="F104" s="438">
        <f t="shared" si="37"/>
        <v>0</v>
      </c>
      <c r="G104" s="438">
        <f t="shared" si="37"/>
        <v>0</v>
      </c>
      <c r="H104" s="438">
        <f t="shared" si="37"/>
        <v>0</v>
      </c>
      <c r="I104" s="438">
        <f t="shared" si="37"/>
        <v>0</v>
      </c>
    </row>
    <row r="105" spans="1:9" ht="14" x14ac:dyDescent="0.15">
      <c r="A105" s="446" t="s">
        <v>82</v>
      </c>
      <c r="B105" s="438" t="e">
        <f>B100+B104</f>
        <v>#VALUE!</v>
      </c>
      <c r="C105" s="438">
        <f t="shared" ref="C105:I105" si="38">C100+C104</f>
        <v>32883636.800000001</v>
      </c>
      <c r="D105" s="438">
        <f>D100+D104</f>
        <v>78507013.817633599</v>
      </c>
      <c r="E105" s="438">
        <f t="shared" si="38"/>
        <v>92167529.164158642</v>
      </c>
      <c r="F105" s="438">
        <f t="shared" si="38"/>
        <v>122016709.49159507</v>
      </c>
      <c r="G105" s="438">
        <f t="shared" si="38"/>
        <v>115530615.74747008</v>
      </c>
      <c r="H105" s="438">
        <f t="shared" si="38"/>
        <v>118825746.7167789</v>
      </c>
      <c r="I105" s="438">
        <f t="shared" si="38"/>
        <v>117105751.51298553</v>
      </c>
    </row>
    <row r="107" spans="1:9" x14ac:dyDescent="0.15">
      <c r="A107" s="417" t="s">
        <v>83</v>
      </c>
      <c r="B107" s="417">
        <f>B82</f>
        <v>2023</v>
      </c>
      <c r="C107" s="417">
        <f t="shared" ref="C107:I107" si="39">C82</f>
        <v>2024</v>
      </c>
      <c r="D107" s="417">
        <f t="shared" si="39"/>
        <v>2025</v>
      </c>
      <c r="E107" s="417">
        <f t="shared" si="39"/>
        <v>2026</v>
      </c>
      <c r="F107" s="417">
        <f t="shared" si="39"/>
        <v>2027</v>
      </c>
      <c r="G107" s="417">
        <f t="shared" si="39"/>
        <v>2028</v>
      </c>
      <c r="H107" s="417">
        <f t="shared" si="39"/>
        <v>2029</v>
      </c>
      <c r="I107" s="417">
        <f t="shared" si="39"/>
        <v>2030</v>
      </c>
    </row>
    <row r="108" spans="1:9" x14ac:dyDescent="0.15">
      <c r="A108" s="417"/>
      <c r="B108" s="417"/>
      <c r="C108" s="417"/>
      <c r="D108" s="417">
        <v>0</v>
      </c>
      <c r="E108" s="417">
        <v>1</v>
      </c>
      <c r="F108" s="417">
        <v>2</v>
      </c>
      <c r="G108" s="417">
        <v>3</v>
      </c>
      <c r="H108" s="417">
        <v>4</v>
      </c>
      <c r="I108" s="417">
        <v>5</v>
      </c>
    </row>
    <row r="110" spans="1:9" x14ac:dyDescent="0.15">
      <c r="A110" s="416" t="s">
        <v>84</v>
      </c>
      <c r="B110" s="438">
        <f t="shared" ref="B110:I110" si="40">B45+B55-B50</f>
        <v>5202000</v>
      </c>
      <c r="C110" s="438">
        <f t="shared" si="40"/>
        <v>29729000</v>
      </c>
      <c r="D110" s="438">
        <f t="shared" si="40"/>
        <v>68698503.121046662</v>
      </c>
      <c r="E110" s="438">
        <f t="shared" si="40"/>
        <v>87821204.680520445</v>
      </c>
      <c r="F110" s="438">
        <f t="shared" si="40"/>
        <v>116360693.59346212</v>
      </c>
      <c r="G110" s="438">
        <f t="shared" si="40"/>
        <v>111757841.42790203</v>
      </c>
      <c r="H110" s="438">
        <f t="shared" si="40"/>
        <v>117784594.22348177</v>
      </c>
      <c r="I110" s="438">
        <f t="shared" si="40"/>
        <v>115923587.05004285</v>
      </c>
    </row>
    <row r="111" spans="1:9" x14ac:dyDescent="0.15">
      <c r="A111" s="416" t="s">
        <v>85</v>
      </c>
      <c r="B111" s="438">
        <f>B64-'Projected BS'!I16</f>
        <v>791000</v>
      </c>
      <c r="C111" s="438">
        <f>C63-B63+C95</f>
        <v>1737000</v>
      </c>
      <c r="D111" s="438">
        <f>D63-C63+D95</f>
        <v>20153192.479697049</v>
      </c>
      <c r="E111" s="438">
        <f t="shared" ref="E111:G111" si="41">E63-D63+E95</f>
        <v>28549730.486294694</v>
      </c>
      <c r="F111" s="438">
        <f t="shared" si="41"/>
        <v>44340323.188025139</v>
      </c>
      <c r="G111" s="438">
        <f t="shared" si="41"/>
        <v>49673221.478336796</v>
      </c>
      <c r="H111" s="438">
        <f>H63-G63+H95</f>
        <v>55882199.431405507</v>
      </c>
      <c r="I111" s="438">
        <f>I63-H63+I95</f>
        <v>35393886.118381009</v>
      </c>
    </row>
    <row r="112" spans="1:9" x14ac:dyDescent="0.15">
      <c r="A112" s="416" t="s">
        <v>86</v>
      </c>
      <c r="B112" s="438">
        <f>(B62-B72)-('Projected BS'!I14-'Projected BS'!I30)</f>
        <v>-7984000</v>
      </c>
      <c r="C112" s="438">
        <f>(C62-C72)-(B62-B72)</f>
        <v>17204000</v>
      </c>
      <c r="D112" s="438">
        <f>(D62-D72)-(C62-C72)</f>
        <v>33934100.779726416</v>
      </c>
      <c r="E112" s="438">
        <f t="shared" ref="E112:H112" si="42">(E62-E72)-(D62-D72)</f>
        <v>28109894.33546415</v>
      </c>
      <c r="F112" s="438">
        <f t="shared" si="42"/>
        <v>29231719.540958375</v>
      </c>
      <c r="G112" s="438">
        <f t="shared" si="42"/>
        <v>20483251.665252715</v>
      </c>
      <c r="H112" s="438">
        <f t="shared" si="42"/>
        <v>23140177.033314705</v>
      </c>
      <c r="I112" s="438">
        <f>(I62-I72)-(H62-H72)</f>
        <v>17187351.105708361</v>
      </c>
    </row>
    <row r="114" spans="1:10" x14ac:dyDescent="0.15">
      <c r="A114" s="416" t="s">
        <v>473</v>
      </c>
      <c r="B114" s="438">
        <f>B110-B111-B112</f>
        <v>12395000</v>
      </c>
      <c r="C114" s="438">
        <f t="shared" ref="C114:I114" si="43">C110-C111-C112</f>
        <v>10788000</v>
      </c>
      <c r="D114" s="438">
        <f>D110-D111-D112</f>
        <v>14611209.861623198</v>
      </c>
      <c r="E114" s="438">
        <f t="shared" si="43"/>
        <v>31161579.858761601</v>
      </c>
      <c r="F114" s="438">
        <f t="shared" si="43"/>
        <v>42788650.864478618</v>
      </c>
      <c r="G114" s="438">
        <f t="shared" si="43"/>
        <v>41601368.284312516</v>
      </c>
      <c r="H114" s="438">
        <f t="shared" si="43"/>
        <v>38762217.758761562</v>
      </c>
      <c r="I114" s="438">
        <f t="shared" si="43"/>
        <v>63342349.825953484</v>
      </c>
    </row>
    <row r="115" spans="1:10" x14ac:dyDescent="0.15">
      <c r="I115" s="438">
        <f>(I114*(1+D12))/(D13-D12)</f>
        <v>1269187360.4521947</v>
      </c>
      <c r="J115" s="417" t="s">
        <v>87</v>
      </c>
    </row>
    <row r="116" spans="1:10" x14ac:dyDescent="0.15">
      <c r="A116" s="417"/>
      <c r="I116" s="438">
        <f>I114+I115</f>
        <v>1332529710.2781482</v>
      </c>
    </row>
    <row r="117" spans="1:10" ht="14" thickBot="1" x14ac:dyDescent="0.2">
      <c r="A117" s="417"/>
    </row>
    <row r="118" spans="1:10" ht="15" thickBot="1" x14ac:dyDescent="0.2">
      <c r="A118" s="446" t="s">
        <v>88</v>
      </c>
      <c r="B118" s="449">
        <f>SUM(D118:I118)</f>
        <v>1042276806.8409855</v>
      </c>
      <c r="D118" s="437">
        <f t="shared" ref="D118:H118" si="44">D114/((1+D11)^D108)</f>
        <v>14611209.861623198</v>
      </c>
      <c r="E118" s="437">
        <f t="shared" si="44"/>
        <v>28815826.502089184</v>
      </c>
      <c r="F118" s="437">
        <f t="shared" si="44"/>
        <v>36589107.737926207</v>
      </c>
      <c r="G118" s="437">
        <f t="shared" si="44"/>
        <v>32895951.553166516</v>
      </c>
      <c r="H118" s="437">
        <f t="shared" si="44"/>
        <v>28343603.775717229</v>
      </c>
      <c r="I118" s="437">
        <f>I116/((1+I11)^I108)</f>
        <v>901021107.41046321</v>
      </c>
    </row>
    <row r="119" spans="1:10" ht="14" thickBot="1" x14ac:dyDescent="0.2"/>
    <row r="120" spans="1:10" ht="14" thickBot="1" x14ac:dyDescent="0.2">
      <c r="A120" s="417" t="s">
        <v>89</v>
      </c>
      <c r="B120" s="450">
        <f>B118/D33</f>
        <v>42.300195082832204</v>
      </c>
    </row>
    <row r="121" spans="1:10" x14ac:dyDescent="0.15">
      <c r="D121" s="416" t="s">
        <v>474</v>
      </c>
      <c r="E121" s="492">
        <f>B118/'Income Statement'!K9</f>
        <v>17.108381321049631</v>
      </c>
    </row>
    <row r="122" spans="1:10" x14ac:dyDescent="0.15">
      <c r="A122" s="416" t="s">
        <v>90</v>
      </c>
      <c r="B122" s="438">
        <f>D74-D71-D59</f>
        <v>-14320994.263769895</v>
      </c>
      <c r="D122" s="416" t="s">
        <v>475</v>
      </c>
      <c r="E122" s="492">
        <f>B118/('Income Statement'!K16+('Balance Sheet'!K16-'Balance Sheet'!J16))</f>
        <v>30.848456709414435</v>
      </c>
    </row>
    <row r="123" spans="1:10" ht="14" thickBot="1" x14ac:dyDescent="0.2"/>
    <row r="124" spans="1:10" ht="14" thickBot="1" x14ac:dyDescent="0.2">
      <c r="A124" s="417" t="s">
        <v>91</v>
      </c>
      <c r="B124" s="451">
        <f>B118-B122</f>
        <v>1056597801.1047554</v>
      </c>
    </row>
    <row r="125" spans="1:10" ht="14" thickBot="1" x14ac:dyDescent="0.2"/>
    <row r="126" spans="1:10" ht="14" thickBot="1" x14ac:dyDescent="0.2">
      <c r="A126" s="417" t="s">
        <v>92</v>
      </c>
      <c r="B126" s="491">
        <f>B124/D33</f>
        <v>42.881404265615075</v>
      </c>
    </row>
    <row r="128" spans="1:10" x14ac:dyDescent="0.15">
      <c r="A128" s="417" t="s">
        <v>93</v>
      </c>
    </row>
    <row r="130" spans="1:9" x14ac:dyDescent="0.15">
      <c r="A130" s="416" t="s">
        <v>94</v>
      </c>
      <c r="B130" s="438">
        <f>B7*B73</f>
        <v>0</v>
      </c>
      <c r="C130" s="438">
        <f>C7*C73</f>
        <v>0</v>
      </c>
      <c r="D130" s="438">
        <f t="shared" ref="D130:I130" si="45">C131*D7</f>
        <v>848330.00000000012</v>
      </c>
      <c r="E130" s="438">
        <f t="shared" si="45"/>
        <v>848330.00000000012</v>
      </c>
      <c r="F130" s="438">
        <f t="shared" si="45"/>
        <v>848330.00000000012</v>
      </c>
      <c r="G130" s="438">
        <f t="shared" si="45"/>
        <v>848330.00000000012</v>
      </c>
      <c r="H130" s="438">
        <f t="shared" si="45"/>
        <v>848330.00000000012</v>
      </c>
      <c r="I130" s="438">
        <f t="shared" si="45"/>
        <v>848330.00000000012</v>
      </c>
    </row>
    <row r="131" spans="1:9" x14ac:dyDescent="0.15">
      <c r="A131" s="416" t="s">
        <v>95</v>
      </c>
      <c r="B131" s="438">
        <f>B73</f>
        <v>12518000</v>
      </c>
      <c r="C131" s="438">
        <f>C73</f>
        <v>12119000</v>
      </c>
      <c r="D131" s="438">
        <f>C131+D102</f>
        <v>12119000</v>
      </c>
      <c r="E131" s="438">
        <f t="shared" ref="E131:I131" si="46">D131+E102</f>
        <v>12119000</v>
      </c>
      <c r="F131" s="438">
        <f t="shared" si="46"/>
        <v>12119000</v>
      </c>
      <c r="G131" s="438">
        <f t="shared" si="46"/>
        <v>12119000</v>
      </c>
      <c r="H131" s="438">
        <f t="shared" si="46"/>
        <v>12119000</v>
      </c>
      <c r="I131" s="438">
        <f t="shared" si="46"/>
        <v>12119000</v>
      </c>
    </row>
    <row r="132" spans="1:9" x14ac:dyDescent="0.15">
      <c r="A132" s="416" t="s">
        <v>96</v>
      </c>
      <c r="B132" s="438">
        <f t="shared" ref="B132:I132" si="47">B73+B72</f>
        <v>19081000</v>
      </c>
      <c r="C132" s="438">
        <f t="shared" si="47"/>
        <v>22750000</v>
      </c>
      <c r="D132" s="438">
        <f t="shared" si="47"/>
        <v>40314413.850833043</v>
      </c>
      <c r="E132" s="438">
        <f t="shared" si="47"/>
        <v>49461888.142033845</v>
      </c>
      <c r="F132" s="438">
        <f t="shared" si="47"/>
        <v>61339559.92046643</v>
      </c>
      <c r="G132" s="438">
        <f t="shared" si="47"/>
        <v>79446427.584932119</v>
      </c>
      <c r="H132" s="438">
        <f t="shared" si="47"/>
        <v>85513319.775451541</v>
      </c>
      <c r="I132" s="438">
        <f t="shared" si="47"/>
        <v>92172977.673322231</v>
      </c>
    </row>
    <row r="135" spans="1:9" x14ac:dyDescent="0.15">
      <c r="B135" s="416" t="s">
        <v>87</v>
      </c>
      <c r="C135" s="452">
        <f>I114/(D13-D12)</f>
        <v>1232220738.3031015</v>
      </c>
    </row>
  </sheetData>
  <pageMargins left="0.7" right="0.7" top="0.75" bottom="0.75" header="0.3" footer="0.3"/>
  <pageSetup orientation="portrait"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AE470-BEB6-42AE-9803-73AAFFCDE6A5}">
  <sheetPr>
    <tabColor theme="3"/>
  </sheetPr>
  <dimension ref="A4:L37"/>
  <sheetViews>
    <sheetView topLeftCell="A4" zoomScale="105" workbookViewId="0">
      <selection activeCell="L18" sqref="L18"/>
    </sheetView>
  </sheetViews>
  <sheetFormatPr baseColWidth="10" defaultColWidth="8.83203125" defaultRowHeight="13" x14ac:dyDescent="0.15"/>
  <cols>
    <col min="1" max="1" width="50" style="52" customWidth="1"/>
    <col min="2" max="191" width="12" style="52" customWidth="1"/>
    <col min="192" max="16384" width="8.83203125" style="52"/>
  </cols>
  <sheetData>
    <row r="4" spans="1:12" x14ac:dyDescent="0.15">
      <c r="A4" s="51" t="s">
        <v>212</v>
      </c>
    </row>
    <row r="5" spans="1:12" ht="20" x14ac:dyDescent="0.2">
      <c r="A5" s="53" t="s">
        <v>213</v>
      </c>
    </row>
    <row r="7" spans="1:12" ht="14" x14ac:dyDescent="0.15">
      <c r="A7" s="54" t="s">
        <v>214</v>
      </c>
    </row>
    <row r="10" spans="1:12" ht="14" x14ac:dyDescent="0.15">
      <c r="A10" s="55" t="s">
        <v>252</v>
      </c>
    </row>
    <row r="11" spans="1:12" ht="14" x14ac:dyDescent="0.15">
      <c r="A11" s="57" t="s">
        <v>131</v>
      </c>
      <c r="B11" s="58" t="s">
        <v>121</v>
      </c>
      <c r="C11" s="58" t="s">
        <v>122</v>
      </c>
      <c r="D11" s="58" t="s">
        <v>123</v>
      </c>
      <c r="E11" s="58" t="s">
        <v>124</v>
      </c>
      <c r="F11" s="58" t="s">
        <v>125</v>
      </c>
      <c r="G11" s="58" t="s">
        <v>126</v>
      </c>
      <c r="H11" s="58" t="s">
        <v>127</v>
      </c>
      <c r="I11" s="58" t="s">
        <v>128</v>
      </c>
      <c r="J11" s="58" t="s">
        <v>129</v>
      </c>
      <c r="K11" s="58" t="s">
        <v>130</v>
      </c>
      <c r="L11" s="57"/>
    </row>
    <row r="12" spans="1:12" ht="14" x14ac:dyDescent="0.15">
      <c r="A12" s="57" t="s">
        <v>142</v>
      </c>
      <c r="B12" s="58" t="s">
        <v>143</v>
      </c>
      <c r="C12" s="58" t="s">
        <v>143</v>
      </c>
      <c r="D12" s="58" t="s">
        <v>143</v>
      </c>
      <c r="E12" s="58" t="s">
        <v>143</v>
      </c>
      <c r="F12" s="58" t="s">
        <v>143</v>
      </c>
      <c r="G12" s="58" t="s">
        <v>143</v>
      </c>
      <c r="H12" s="58" t="s">
        <v>143</v>
      </c>
      <c r="I12" s="58" t="s">
        <v>143</v>
      </c>
      <c r="J12" s="58" t="s">
        <v>143</v>
      </c>
      <c r="K12" s="58" t="s">
        <v>143</v>
      </c>
      <c r="L12" s="57"/>
    </row>
    <row r="13" spans="1:12" ht="14" x14ac:dyDescent="0.15">
      <c r="A13" s="57" t="s">
        <v>144</v>
      </c>
      <c r="B13" s="58" t="s">
        <v>145</v>
      </c>
      <c r="C13" s="58" t="s">
        <v>145</v>
      </c>
      <c r="D13" s="58" t="s">
        <v>145</v>
      </c>
      <c r="E13" s="58" t="s">
        <v>145</v>
      </c>
      <c r="F13" s="58" t="s">
        <v>145</v>
      </c>
      <c r="G13" s="58" t="s">
        <v>145</v>
      </c>
      <c r="H13" s="58" t="s">
        <v>145</v>
      </c>
      <c r="I13" s="58" t="s">
        <v>145</v>
      </c>
      <c r="J13" s="58" t="s">
        <v>145</v>
      </c>
      <c r="K13" s="58" t="s">
        <v>145</v>
      </c>
      <c r="L13" s="57"/>
    </row>
    <row r="14" spans="1:12" ht="14" x14ac:dyDescent="0.15">
      <c r="A14" s="57" t="s">
        <v>146</v>
      </c>
      <c r="B14" s="58" t="s">
        <v>147</v>
      </c>
      <c r="C14" s="58" t="s">
        <v>147</v>
      </c>
      <c r="D14" s="58" t="s">
        <v>147</v>
      </c>
      <c r="E14" s="58" t="s">
        <v>147</v>
      </c>
      <c r="F14" s="58" t="s">
        <v>147</v>
      </c>
      <c r="G14" s="58" t="s">
        <v>147</v>
      </c>
      <c r="H14" s="58" t="s">
        <v>147</v>
      </c>
      <c r="I14" s="58" t="s">
        <v>147</v>
      </c>
      <c r="J14" s="58" t="s">
        <v>147</v>
      </c>
      <c r="K14" s="58" t="s">
        <v>147</v>
      </c>
      <c r="L14" s="57"/>
    </row>
    <row r="15" spans="1:12" ht="14" x14ac:dyDescent="0.15">
      <c r="A15" s="57" t="s">
        <v>148</v>
      </c>
      <c r="B15" s="58" t="s">
        <v>149</v>
      </c>
      <c r="C15" s="58" t="s">
        <v>149</v>
      </c>
      <c r="D15" s="58" t="s">
        <v>149</v>
      </c>
      <c r="E15" s="58" t="s">
        <v>149</v>
      </c>
      <c r="F15" s="58" t="s">
        <v>149</v>
      </c>
      <c r="G15" s="58" t="s">
        <v>149</v>
      </c>
      <c r="H15" s="58" t="s">
        <v>149</v>
      </c>
      <c r="I15" s="58" t="s">
        <v>149</v>
      </c>
      <c r="J15" s="58" t="s">
        <v>149</v>
      </c>
      <c r="K15" s="58" t="s">
        <v>149</v>
      </c>
      <c r="L15" s="57"/>
    </row>
    <row r="16" spans="1:12" x14ac:dyDescent="0.15">
      <c r="A16" s="59" t="s">
        <v>40</v>
      </c>
      <c r="B16" s="8">
        <v>630587</v>
      </c>
      <c r="C16" s="8">
        <v>614000</v>
      </c>
      <c r="D16" s="8">
        <v>1666000</v>
      </c>
      <c r="E16" s="8">
        <v>3047000</v>
      </c>
      <c r="F16" s="8">
        <v>4141000</v>
      </c>
      <c r="G16" s="8">
        <v>2796000</v>
      </c>
      <c r="H16" s="8">
        <v>4332000</v>
      </c>
      <c r="I16" s="8">
        <v>9752000</v>
      </c>
      <c r="J16" s="8">
        <v>4368000</v>
      </c>
      <c r="K16" s="8">
        <v>29760000</v>
      </c>
      <c r="L16" s="59"/>
    </row>
    <row r="17" spans="1:12" x14ac:dyDescent="0.15">
      <c r="A17" s="59" t="s">
        <v>253</v>
      </c>
      <c r="B17" s="8">
        <v>477596</v>
      </c>
      <c r="C17" s="8">
        <v>612000</v>
      </c>
      <c r="D17" s="8">
        <v>685000</v>
      </c>
      <c r="E17" s="8">
        <v>270000</v>
      </c>
      <c r="F17" s="8">
        <v>459000</v>
      </c>
      <c r="G17" s="8">
        <v>1248000</v>
      </c>
      <c r="H17" s="8">
        <v>2193000</v>
      </c>
      <c r="I17" s="8">
        <v>2719000</v>
      </c>
      <c r="J17" s="8">
        <v>3480000</v>
      </c>
      <c r="K17" s="8">
        <v>2052000</v>
      </c>
      <c r="L17" s="59"/>
    </row>
    <row r="18" spans="1:12" x14ac:dyDescent="0.15">
      <c r="A18" s="59" t="s">
        <v>254</v>
      </c>
      <c r="B18" s="8">
        <v>-202527</v>
      </c>
      <c r="C18" s="8">
        <v>-51000</v>
      </c>
      <c r="D18" s="8">
        <v>-679000</v>
      </c>
      <c r="E18" s="8">
        <v>185000</v>
      </c>
      <c r="F18" s="8">
        <v>-857000</v>
      </c>
      <c r="G18" s="8">
        <v>717000</v>
      </c>
      <c r="H18" s="8">
        <v>-703000</v>
      </c>
      <c r="I18" s="8">
        <v>-3363000</v>
      </c>
      <c r="J18" s="8">
        <v>-2207000</v>
      </c>
      <c r="K18" s="8">
        <v>-3722000</v>
      </c>
      <c r="L18" s="261"/>
    </row>
    <row r="19" spans="1:12" x14ac:dyDescent="0.15">
      <c r="A19" s="60" t="s">
        <v>255</v>
      </c>
      <c r="B19" s="13">
        <v>905656</v>
      </c>
      <c r="C19" s="13">
        <v>1175000</v>
      </c>
      <c r="D19" s="13">
        <v>1672000</v>
      </c>
      <c r="E19" s="13">
        <v>3502000</v>
      </c>
      <c r="F19" s="13">
        <v>3743000</v>
      </c>
      <c r="G19" s="13">
        <v>4761000</v>
      </c>
      <c r="H19" s="13">
        <v>5822000</v>
      </c>
      <c r="I19" s="13">
        <v>9108000</v>
      </c>
      <c r="J19" s="13">
        <v>5641000</v>
      </c>
      <c r="K19" s="13">
        <v>28090000</v>
      </c>
      <c r="L19" s="59"/>
    </row>
    <row r="20" spans="1:12" x14ac:dyDescent="0.15">
      <c r="A20" s="59" t="s">
        <v>256</v>
      </c>
      <c r="B20" s="8">
        <v>-122381</v>
      </c>
      <c r="C20" s="8">
        <v>-86000</v>
      </c>
      <c r="D20" s="8">
        <v>-176000</v>
      </c>
      <c r="E20" s="8">
        <v>-593000</v>
      </c>
      <c r="F20" s="8">
        <v>-600000</v>
      </c>
      <c r="G20" s="8">
        <v>-489000</v>
      </c>
      <c r="H20" s="8">
        <v>-1128000</v>
      </c>
      <c r="I20" s="8">
        <v>-976000</v>
      </c>
      <c r="J20" s="8">
        <v>-1833000</v>
      </c>
      <c r="K20" s="8">
        <v>-1069000</v>
      </c>
      <c r="L20" s="59"/>
    </row>
    <row r="21" spans="1:12" x14ac:dyDescent="0.15">
      <c r="A21" s="59" t="s">
        <v>257</v>
      </c>
      <c r="B21" s="8">
        <v>-2861809</v>
      </c>
      <c r="C21" s="8">
        <v>-3477000</v>
      </c>
      <c r="D21" s="8">
        <v>-3134000</v>
      </c>
      <c r="E21" s="8">
        <v>-36000</v>
      </c>
      <c r="F21" s="8">
        <v>-11157000</v>
      </c>
      <c r="G21" s="8">
        <v>-1461000</v>
      </c>
      <c r="H21" s="8">
        <v>-19308000</v>
      </c>
      <c r="I21" s="8">
        <v>-24787000</v>
      </c>
      <c r="J21" s="8">
        <v>-11897000</v>
      </c>
      <c r="K21" s="8">
        <v>-18211000</v>
      </c>
      <c r="L21" s="59"/>
    </row>
    <row r="22" spans="1:12" x14ac:dyDescent="0.15">
      <c r="A22" s="59" t="s">
        <v>258</v>
      </c>
      <c r="B22" s="8">
        <v>2236780</v>
      </c>
      <c r="C22" s="8">
        <v>3138000</v>
      </c>
      <c r="D22" s="8">
        <v>2515000</v>
      </c>
      <c r="E22" s="8">
        <v>1941000</v>
      </c>
      <c r="F22" s="8">
        <v>7660000</v>
      </c>
      <c r="G22" s="8">
        <v>8109000</v>
      </c>
      <c r="H22" s="8">
        <v>9319000</v>
      </c>
      <c r="I22" s="8">
        <v>16220000</v>
      </c>
      <c r="J22" s="8">
        <v>21231000</v>
      </c>
      <c r="K22" s="8">
        <v>9782000</v>
      </c>
      <c r="L22" s="59"/>
    </row>
    <row r="23" spans="1:12" x14ac:dyDescent="0.15">
      <c r="A23" s="59" t="s">
        <v>259</v>
      </c>
      <c r="B23" s="9" t="s">
        <v>154</v>
      </c>
      <c r="C23" s="9" t="s">
        <v>154</v>
      </c>
      <c r="D23" s="9" t="s">
        <v>154</v>
      </c>
      <c r="E23" s="9" t="s">
        <v>154</v>
      </c>
      <c r="F23" s="9" t="s">
        <v>154</v>
      </c>
      <c r="G23" s="9" t="s">
        <v>154</v>
      </c>
      <c r="H23" s="8">
        <v>-8524000</v>
      </c>
      <c r="I23" s="8">
        <v>-263000</v>
      </c>
      <c r="J23" s="8">
        <v>-49000</v>
      </c>
      <c r="K23" s="8">
        <v>-83000</v>
      </c>
      <c r="L23" s="59"/>
    </row>
    <row r="24" spans="1:12" x14ac:dyDescent="0.15">
      <c r="A24" s="59" t="s">
        <v>260</v>
      </c>
      <c r="B24" s="8">
        <v>20362</v>
      </c>
      <c r="C24" s="8">
        <v>25000</v>
      </c>
      <c r="D24" s="8">
        <v>2000</v>
      </c>
      <c r="E24" s="8">
        <v>-34000</v>
      </c>
      <c r="F24" s="8">
        <v>0</v>
      </c>
      <c r="G24" s="8">
        <v>-14000</v>
      </c>
      <c r="H24" s="8">
        <v>-34000</v>
      </c>
      <c r="I24" s="8">
        <v>-24000</v>
      </c>
      <c r="J24" s="8">
        <v>-77000</v>
      </c>
      <c r="K24" s="8">
        <v>-985000</v>
      </c>
      <c r="L24" s="59"/>
    </row>
    <row r="25" spans="1:12" x14ac:dyDescent="0.15">
      <c r="A25" s="60" t="s">
        <v>261</v>
      </c>
      <c r="B25" s="13">
        <v>-727048</v>
      </c>
      <c r="C25" s="13">
        <v>-400000</v>
      </c>
      <c r="D25" s="13">
        <v>-793000</v>
      </c>
      <c r="E25" s="13">
        <v>1278000</v>
      </c>
      <c r="F25" s="13">
        <v>-4097000</v>
      </c>
      <c r="G25" s="13">
        <v>6145000</v>
      </c>
      <c r="H25" s="13">
        <v>-19675000</v>
      </c>
      <c r="I25" s="13">
        <v>-9830000</v>
      </c>
      <c r="J25" s="13">
        <v>7375000</v>
      </c>
      <c r="K25" s="13">
        <v>-10566000</v>
      </c>
      <c r="L25" s="59"/>
    </row>
    <row r="26" spans="1:12" x14ac:dyDescent="0.15">
      <c r="A26" s="59" t="s">
        <v>262</v>
      </c>
      <c r="B26" s="8">
        <v>-2917</v>
      </c>
      <c r="C26" s="8">
        <v>-3000</v>
      </c>
      <c r="D26" s="8">
        <v>1315000</v>
      </c>
      <c r="E26" s="8">
        <v>-812000</v>
      </c>
      <c r="F26" s="8">
        <v>-16000</v>
      </c>
      <c r="G26" s="9" t="s">
        <v>154</v>
      </c>
      <c r="H26" s="8">
        <v>4968000</v>
      </c>
      <c r="I26" s="8">
        <v>3977000</v>
      </c>
      <c r="J26" s="9" t="s">
        <v>154</v>
      </c>
      <c r="K26" s="8">
        <v>-1250000</v>
      </c>
      <c r="L26" s="59"/>
    </row>
    <row r="27" spans="1:12" x14ac:dyDescent="0.15">
      <c r="A27" s="59" t="s">
        <v>263</v>
      </c>
      <c r="B27" s="8">
        <v>-813600</v>
      </c>
      <c r="C27" s="8">
        <v>-587000</v>
      </c>
      <c r="D27" s="8">
        <v>-739000</v>
      </c>
      <c r="E27" s="8">
        <v>-909000</v>
      </c>
      <c r="F27" s="8">
        <v>-1442000</v>
      </c>
      <c r="G27" s="8">
        <v>149000</v>
      </c>
      <c r="H27" s="8">
        <v>194000</v>
      </c>
      <c r="I27" s="8">
        <v>281000</v>
      </c>
      <c r="J27" s="8">
        <v>-9684000</v>
      </c>
      <c r="K27" s="8">
        <v>-9130000</v>
      </c>
      <c r="L27" s="59"/>
    </row>
    <row r="28" spans="1:12" x14ac:dyDescent="0.15">
      <c r="A28" s="59" t="s">
        <v>264</v>
      </c>
      <c r="B28" s="8">
        <v>-186452</v>
      </c>
      <c r="C28" s="8">
        <v>-213000</v>
      </c>
      <c r="D28" s="8">
        <v>-261000</v>
      </c>
      <c r="E28" s="8">
        <v>-341000</v>
      </c>
      <c r="F28" s="8">
        <v>-371000</v>
      </c>
      <c r="G28" s="8">
        <v>-390000</v>
      </c>
      <c r="H28" s="8">
        <v>-395000</v>
      </c>
      <c r="I28" s="8">
        <v>-399000</v>
      </c>
      <c r="J28" s="8">
        <v>-398000</v>
      </c>
      <c r="K28" s="8">
        <v>-395000</v>
      </c>
      <c r="L28" s="59"/>
    </row>
    <row r="29" spans="1:12" x14ac:dyDescent="0.15">
      <c r="A29" s="59" t="s">
        <v>265</v>
      </c>
      <c r="B29" s="8">
        <v>169428</v>
      </c>
      <c r="C29" s="8">
        <v>127000</v>
      </c>
      <c r="D29" s="8">
        <v>-24000</v>
      </c>
      <c r="E29" s="8">
        <v>-482000</v>
      </c>
      <c r="F29" s="8">
        <v>-1037000</v>
      </c>
      <c r="G29" s="8">
        <v>-551000</v>
      </c>
      <c r="H29" s="8">
        <v>-963000</v>
      </c>
      <c r="I29" s="8">
        <v>-1994000</v>
      </c>
      <c r="J29" s="8">
        <v>-1535000</v>
      </c>
      <c r="K29" s="8">
        <v>-2858000</v>
      </c>
      <c r="L29" s="59"/>
    </row>
    <row r="30" spans="1:12" x14ac:dyDescent="0.15">
      <c r="A30" s="60" t="s">
        <v>266</v>
      </c>
      <c r="B30" s="13">
        <v>-833541</v>
      </c>
      <c r="C30" s="13">
        <v>-676000</v>
      </c>
      <c r="D30" s="13">
        <v>291000</v>
      </c>
      <c r="E30" s="13">
        <v>-2544000</v>
      </c>
      <c r="F30" s="13">
        <v>-2866000</v>
      </c>
      <c r="G30" s="13">
        <v>-792000</v>
      </c>
      <c r="H30" s="13">
        <v>3804000</v>
      </c>
      <c r="I30" s="13">
        <v>1865000</v>
      </c>
      <c r="J30" s="13">
        <v>-11617000</v>
      </c>
      <c r="K30" s="13">
        <v>-13633000</v>
      </c>
      <c r="L30" s="59"/>
    </row>
    <row r="31" spans="1:12" x14ac:dyDescent="0.15">
      <c r="A31" s="59" t="s">
        <v>267</v>
      </c>
      <c r="B31" s="8">
        <v>-654933</v>
      </c>
      <c r="C31" s="8">
        <v>99000</v>
      </c>
      <c r="D31" s="8">
        <v>1170000</v>
      </c>
      <c r="E31" s="8">
        <v>2236000</v>
      </c>
      <c r="F31" s="8">
        <v>-3220000</v>
      </c>
      <c r="G31" s="8">
        <v>10114000</v>
      </c>
      <c r="H31" s="8">
        <v>-10049000</v>
      </c>
      <c r="I31" s="8">
        <v>1143000</v>
      </c>
      <c r="J31" s="8">
        <v>1399000</v>
      </c>
      <c r="K31" s="8">
        <v>3891000</v>
      </c>
      <c r="L31" s="59"/>
    </row>
    <row r="32" spans="1:12" x14ac:dyDescent="0.15">
      <c r="A32" s="59" t="s">
        <v>268</v>
      </c>
      <c r="B32" s="8">
        <v>1151587</v>
      </c>
      <c r="C32" s="8">
        <v>497000</v>
      </c>
      <c r="D32" s="8">
        <v>596000</v>
      </c>
      <c r="E32" s="8">
        <v>1766000</v>
      </c>
      <c r="F32" s="8">
        <v>4002000</v>
      </c>
      <c r="G32" s="8">
        <v>782000</v>
      </c>
      <c r="H32" s="8">
        <v>10896000</v>
      </c>
      <c r="I32" s="8">
        <v>847000</v>
      </c>
      <c r="J32" s="8">
        <v>1990000</v>
      </c>
      <c r="K32" s="8">
        <v>3389000</v>
      </c>
      <c r="L32" s="59"/>
    </row>
    <row r="33" spans="1:12" x14ac:dyDescent="0.15">
      <c r="A33" s="60" t="s">
        <v>269</v>
      </c>
      <c r="B33" s="13">
        <v>496654</v>
      </c>
      <c r="C33" s="13">
        <v>596000</v>
      </c>
      <c r="D33" s="13">
        <v>1766000</v>
      </c>
      <c r="E33" s="13">
        <v>4002000</v>
      </c>
      <c r="F33" s="13">
        <v>782000</v>
      </c>
      <c r="G33" s="13">
        <v>10896000</v>
      </c>
      <c r="H33" s="13">
        <v>847000</v>
      </c>
      <c r="I33" s="13">
        <v>1990000</v>
      </c>
      <c r="J33" s="13">
        <v>3389000</v>
      </c>
      <c r="K33" s="13">
        <v>7280000</v>
      </c>
      <c r="L33" s="59"/>
    </row>
    <row r="34" spans="1:12" x14ac:dyDescent="0.15">
      <c r="A34" s="59" t="s">
        <v>270</v>
      </c>
      <c r="B34" s="8">
        <v>248092</v>
      </c>
      <c r="C34" s="8">
        <v>226000</v>
      </c>
      <c r="D34" s="8">
        <v>212000</v>
      </c>
      <c r="E34" s="8">
        <v>202000</v>
      </c>
      <c r="F34" s="8">
        <v>262000</v>
      </c>
      <c r="G34" s="8">
        <v>381000</v>
      </c>
      <c r="H34" s="8">
        <v>1098000</v>
      </c>
      <c r="I34" s="8">
        <v>1174000</v>
      </c>
      <c r="J34" s="8">
        <v>1544000</v>
      </c>
      <c r="K34" s="8">
        <v>1508000</v>
      </c>
      <c r="L34" s="59"/>
    </row>
    <row r="35" spans="1:12" x14ac:dyDescent="0.15">
      <c r="A35" s="59" t="s">
        <v>271</v>
      </c>
      <c r="B35" s="8">
        <v>-122381</v>
      </c>
      <c r="C35" s="8">
        <v>-86000</v>
      </c>
      <c r="D35" s="8">
        <v>-176000</v>
      </c>
      <c r="E35" s="8">
        <v>-593000</v>
      </c>
      <c r="F35" s="8">
        <v>-600000</v>
      </c>
      <c r="G35" s="8">
        <v>-489000</v>
      </c>
      <c r="H35" s="8">
        <v>-1128000</v>
      </c>
      <c r="I35" s="8">
        <v>-976000</v>
      </c>
      <c r="J35" s="8">
        <v>-1833000</v>
      </c>
      <c r="K35" s="8">
        <v>-1069000</v>
      </c>
      <c r="L35" s="59"/>
    </row>
    <row r="37" spans="1:12" x14ac:dyDescent="0.15">
      <c r="A37" s="59"/>
      <c r="B37" s="80"/>
      <c r="C37" s="80"/>
      <c r="D37" s="80"/>
      <c r="E37" s="80"/>
      <c r="F37" s="80"/>
      <c r="G37" s="80"/>
      <c r="H37" s="80"/>
      <c r="I37" s="80"/>
      <c r="J37" s="80"/>
      <c r="K37" s="80"/>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W88"/>
  <sheetViews>
    <sheetView zoomScale="109" zoomScaleNormal="100" workbookViewId="0">
      <pane ySplit="2" topLeftCell="A3" activePane="bottomLeft" state="frozen"/>
      <selection activeCell="L23" sqref="L23"/>
      <selection pane="bottomLeft" activeCell="B15" sqref="B15"/>
    </sheetView>
  </sheetViews>
  <sheetFormatPr baseColWidth="10" defaultColWidth="8.83203125" defaultRowHeight="13" x14ac:dyDescent="0.15"/>
  <cols>
    <col min="1" max="1" width="50" customWidth="1"/>
    <col min="2" max="13" width="12" customWidth="1"/>
    <col min="14" max="14" width="27.6640625" bestFit="1" customWidth="1"/>
    <col min="15" max="15" width="13.33203125" bestFit="1" customWidth="1"/>
    <col min="16" max="191" width="12" customWidth="1"/>
  </cols>
  <sheetData>
    <row r="1" spans="1:12" ht="14" x14ac:dyDescent="0.15">
      <c r="A1" s="4" t="s">
        <v>272</v>
      </c>
    </row>
    <row r="2" spans="1:12" ht="14" x14ac:dyDescent="0.15">
      <c r="A2" s="5" t="s">
        <v>131</v>
      </c>
      <c r="B2" s="21" t="s">
        <v>132</v>
      </c>
      <c r="C2" s="21" t="s">
        <v>133</v>
      </c>
      <c r="D2" s="21" t="s">
        <v>134</v>
      </c>
      <c r="E2" s="21" t="s">
        <v>135</v>
      </c>
      <c r="F2" s="21" t="s">
        <v>136</v>
      </c>
      <c r="G2" s="21" t="s">
        <v>137</v>
      </c>
      <c r="H2" s="21" t="s">
        <v>138</v>
      </c>
      <c r="I2" s="21" t="s">
        <v>139</v>
      </c>
      <c r="J2" s="21" t="s">
        <v>140</v>
      </c>
      <c r="K2" s="21" t="s">
        <v>141</v>
      </c>
      <c r="L2" s="5"/>
    </row>
    <row r="3" spans="1:12" ht="14" x14ac:dyDescent="0.15">
      <c r="A3" s="5" t="s">
        <v>142</v>
      </c>
      <c r="B3" s="6" t="s">
        <v>143</v>
      </c>
      <c r="C3" s="6" t="s">
        <v>143</v>
      </c>
      <c r="D3" s="6" t="s">
        <v>143</v>
      </c>
      <c r="E3" s="6" t="s">
        <v>143</v>
      </c>
      <c r="F3" s="6" t="s">
        <v>143</v>
      </c>
      <c r="G3" s="6" t="s">
        <v>143</v>
      </c>
      <c r="H3" s="6" t="s">
        <v>143</v>
      </c>
      <c r="I3" s="6" t="s">
        <v>143</v>
      </c>
      <c r="J3" s="6" t="s">
        <v>143</v>
      </c>
      <c r="K3" s="6" t="s">
        <v>143</v>
      </c>
      <c r="L3" s="5"/>
    </row>
    <row r="4" spans="1:12" ht="14" x14ac:dyDescent="0.15">
      <c r="A4" s="5" t="s">
        <v>144</v>
      </c>
      <c r="B4" s="6" t="s">
        <v>145</v>
      </c>
      <c r="C4" s="6" t="s">
        <v>145</v>
      </c>
      <c r="D4" s="6" t="s">
        <v>145</v>
      </c>
      <c r="E4" s="6" t="s">
        <v>145</v>
      </c>
      <c r="F4" s="6" t="s">
        <v>145</v>
      </c>
      <c r="G4" s="6" t="s">
        <v>145</v>
      </c>
      <c r="H4" s="6" t="s">
        <v>145</v>
      </c>
      <c r="I4" s="6" t="s">
        <v>145</v>
      </c>
      <c r="J4" s="6" t="s">
        <v>145</v>
      </c>
      <c r="K4" s="6" t="s">
        <v>145</v>
      </c>
      <c r="L4" s="5"/>
    </row>
    <row r="5" spans="1:12" ht="14" x14ac:dyDescent="0.15">
      <c r="A5" s="5" t="s">
        <v>146</v>
      </c>
      <c r="B5" s="6" t="s">
        <v>147</v>
      </c>
      <c r="C5" s="6" t="s">
        <v>147</v>
      </c>
      <c r="D5" s="6" t="s">
        <v>147</v>
      </c>
      <c r="E5" s="6" t="s">
        <v>147</v>
      </c>
      <c r="F5" s="6" t="s">
        <v>147</v>
      </c>
      <c r="G5" s="6" t="s">
        <v>147</v>
      </c>
      <c r="H5" s="6" t="s">
        <v>147</v>
      </c>
      <c r="I5" s="6" t="s">
        <v>147</v>
      </c>
      <c r="J5" s="6" t="s">
        <v>147</v>
      </c>
      <c r="K5" s="6" t="s">
        <v>147</v>
      </c>
      <c r="L5" s="5"/>
    </row>
    <row r="6" spans="1:12" ht="14" x14ac:dyDescent="0.15">
      <c r="A6" s="5" t="s">
        <v>148</v>
      </c>
      <c r="B6" s="6" t="s">
        <v>149</v>
      </c>
      <c r="C6" s="6" t="s">
        <v>149</v>
      </c>
      <c r="D6" s="6" t="s">
        <v>149</v>
      </c>
      <c r="E6" s="6" t="s">
        <v>149</v>
      </c>
      <c r="F6" s="6" t="s">
        <v>149</v>
      </c>
      <c r="G6" s="6" t="s">
        <v>149</v>
      </c>
      <c r="H6" s="6" t="s">
        <v>149</v>
      </c>
      <c r="I6" s="6" t="s">
        <v>149</v>
      </c>
      <c r="J6" s="6" t="s">
        <v>149</v>
      </c>
      <c r="K6" s="6" t="s">
        <v>149</v>
      </c>
      <c r="L6" s="5"/>
    </row>
    <row r="7" spans="1:12" x14ac:dyDescent="0.15">
      <c r="A7" s="5"/>
      <c r="B7" s="6"/>
      <c r="C7" s="6"/>
      <c r="D7" s="6"/>
      <c r="E7" s="6"/>
      <c r="F7" s="6"/>
      <c r="G7" s="6"/>
      <c r="H7" s="6"/>
      <c r="I7" s="6"/>
      <c r="J7" s="6"/>
      <c r="K7" s="6"/>
      <c r="L7" s="5"/>
    </row>
    <row r="8" spans="1:12" x14ac:dyDescent="0.15">
      <c r="A8" s="7"/>
      <c r="B8" s="9"/>
      <c r="C8" s="9"/>
      <c r="D8" s="9"/>
      <c r="E8" s="9"/>
      <c r="F8" s="9"/>
      <c r="G8" s="9"/>
      <c r="H8" s="9"/>
      <c r="I8" s="9"/>
      <c r="J8" s="9"/>
      <c r="K8" s="8"/>
      <c r="L8" s="7"/>
    </row>
    <row r="9" spans="1:12" x14ac:dyDescent="0.15">
      <c r="A9" s="20" t="s">
        <v>28</v>
      </c>
      <c r="B9" s="24">
        <v>4681507</v>
      </c>
      <c r="C9" s="24">
        <v>5010000</v>
      </c>
      <c r="D9" s="24">
        <v>6910000</v>
      </c>
      <c r="E9" s="24">
        <v>9714000</v>
      </c>
      <c r="F9" s="24">
        <v>11716000</v>
      </c>
      <c r="G9" s="24">
        <v>10918000</v>
      </c>
      <c r="H9" s="24">
        <v>16675000</v>
      </c>
      <c r="I9" s="24">
        <v>26914000</v>
      </c>
      <c r="J9" s="24">
        <v>26974000</v>
      </c>
      <c r="K9" s="24">
        <v>60922000</v>
      </c>
      <c r="L9" s="7"/>
    </row>
    <row r="10" spans="1:12" x14ac:dyDescent="0.15">
      <c r="A10" s="7" t="s">
        <v>29</v>
      </c>
      <c r="B10" s="8">
        <v>2082030</v>
      </c>
      <c r="C10" s="8">
        <v>2199000</v>
      </c>
      <c r="D10" s="8">
        <v>2847000</v>
      </c>
      <c r="E10" s="8">
        <v>3892000</v>
      </c>
      <c r="F10" s="8">
        <v>4545000</v>
      </c>
      <c r="G10" s="8">
        <v>4150000</v>
      </c>
      <c r="H10" s="8">
        <v>6279000</v>
      </c>
      <c r="I10" s="8">
        <v>9439000</v>
      </c>
      <c r="J10" s="8">
        <v>11618000</v>
      </c>
      <c r="K10" s="8">
        <v>16621000</v>
      </c>
      <c r="L10" s="20" t="s">
        <v>273</v>
      </c>
    </row>
    <row r="11" spans="1:12" x14ac:dyDescent="0.15">
      <c r="A11" s="12" t="s">
        <v>30</v>
      </c>
      <c r="B11" s="13">
        <v>2599477</v>
      </c>
      <c r="C11" s="13">
        <v>2811000</v>
      </c>
      <c r="D11" s="13">
        <v>4063000</v>
      </c>
      <c r="E11" s="13">
        <v>5822000</v>
      </c>
      <c r="F11" s="13">
        <v>7171000</v>
      </c>
      <c r="G11" s="13">
        <v>6768000</v>
      </c>
      <c r="H11" s="13">
        <v>10396000</v>
      </c>
      <c r="I11" s="13">
        <v>17475000</v>
      </c>
      <c r="J11" s="13">
        <v>15356000</v>
      </c>
      <c r="K11" s="13">
        <v>44301000</v>
      </c>
      <c r="L11" s="7"/>
    </row>
    <row r="12" spans="1:12" x14ac:dyDescent="0.15">
      <c r="A12" s="7" t="s">
        <v>31</v>
      </c>
      <c r="B12" s="8">
        <v>480763</v>
      </c>
      <c r="C12" s="8">
        <v>602000</v>
      </c>
      <c r="D12" s="8">
        <v>663000</v>
      </c>
      <c r="E12" s="8">
        <v>815000</v>
      </c>
      <c r="F12" s="8">
        <v>991000</v>
      </c>
      <c r="G12" s="8">
        <v>1093000</v>
      </c>
      <c r="H12" s="8">
        <v>1940000</v>
      </c>
      <c r="I12" s="8">
        <v>2166000</v>
      </c>
      <c r="J12" s="8">
        <v>2440000</v>
      </c>
      <c r="K12" s="8">
        <v>2654000</v>
      </c>
      <c r="L12" s="7"/>
    </row>
    <row r="13" spans="1:12" x14ac:dyDescent="0.15">
      <c r="A13" s="7" t="s">
        <v>32</v>
      </c>
      <c r="B13" s="8">
        <v>1359725</v>
      </c>
      <c r="C13" s="8">
        <v>1331000</v>
      </c>
      <c r="D13" s="8">
        <v>1463000</v>
      </c>
      <c r="E13" s="8">
        <v>1797000</v>
      </c>
      <c r="F13" s="8">
        <v>2376000</v>
      </c>
      <c r="G13" s="8">
        <v>2829000</v>
      </c>
      <c r="H13" s="8">
        <v>3924000</v>
      </c>
      <c r="I13" s="8">
        <v>5268000</v>
      </c>
      <c r="J13" s="8">
        <v>7339000</v>
      </c>
      <c r="K13" s="8">
        <v>8675000</v>
      </c>
      <c r="L13" s="7"/>
    </row>
    <row r="14" spans="1:12" x14ac:dyDescent="0.15">
      <c r="A14" s="7" t="s">
        <v>274</v>
      </c>
      <c r="B14" s="9">
        <v>0</v>
      </c>
      <c r="C14" s="8">
        <v>131000</v>
      </c>
      <c r="D14" s="8">
        <v>3000</v>
      </c>
      <c r="E14" s="9">
        <v>0</v>
      </c>
      <c r="F14" s="9">
        <v>0</v>
      </c>
      <c r="G14" s="9">
        <v>0</v>
      </c>
      <c r="H14" s="9">
        <v>0</v>
      </c>
      <c r="I14" s="9">
        <v>0</v>
      </c>
      <c r="J14" s="8">
        <v>1353000</v>
      </c>
      <c r="K14" s="9">
        <v>0</v>
      </c>
      <c r="L14" s="7"/>
    </row>
    <row r="15" spans="1:12" x14ac:dyDescent="0.15">
      <c r="A15" s="12" t="s">
        <v>33</v>
      </c>
      <c r="B15" s="13">
        <v>1840488</v>
      </c>
      <c r="C15" s="13">
        <v>2064000</v>
      </c>
      <c r="D15" s="13">
        <v>2129000</v>
      </c>
      <c r="E15" s="13">
        <v>2612000</v>
      </c>
      <c r="F15" s="13">
        <v>3367000</v>
      </c>
      <c r="G15" s="13">
        <v>3922000</v>
      </c>
      <c r="H15" s="13">
        <v>5864000</v>
      </c>
      <c r="I15" s="13">
        <v>7434000</v>
      </c>
      <c r="J15" s="13">
        <v>11132000</v>
      </c>
      <c r="K15" s="13">
        <v>11329000</v>
      </c>
      <c r="L15" s="7"/>
    </row>
    <row r="16" spans="1:12" x14ac:dyDescent="0.15">
      <c r="A16" s="12" t="s">
        <v>275</v>
      </c>
      <c r="B16" s="13">
        <v>758989</v>
      </c>
      <c r="C16" s="13">
        <v>747000</v>
      </c>
      <c r="D16" s="13">
        <v>1934000</v>
      </c>
      <c r="E16" s="13">
        <v>3210000</v>
      </c>
      <c r="F16" s="13">
        <v>3804000</v>
      </c>
      <c r="G16" s="13">
        <v>2846000</v>
      </c>
      <c r="H16" s="13">
        <v>4532000</v>
      </c>
      <c r="I16" s="13">
        <v>10041000</v>
      </c>
      <c r="J16" s="13">
        <v>4224000</v>
      </c>
      <c r="K16" s="13">
        <v>32972000</v>
      </c>
      <c r="L16" s="7"/>
    </row>
    <row r="17" spans="1:23" x14ac:dyDescent="0.15">
      <c r="A17" s="7" t="s">
        <v>276</v>
      </c>
      <c r="B17" s="8">
        <v>-18043</v>
      </c>
      <c r="C17" s="8">
        <v>-8000</v>
      </c>
      <c r="D17" s="8">
        <v>-4000</v>
      </c>
      <c r="E17" s="8">
        <v>8000</v>
      </c>
      <c r="F17" s="8">
        <v>78000</v>
      </c>
      <c r="G17" s="8">
        <v>126000</v>
      </c>
      <c r="H17" s="8">
        <v>-127000</v>
      </c>
      <c r="I17" s="8">
        <v>-207000</v>
      </c>
      <c r="J17" s="8">
        <v>5000</v>
      </c>
      <c r="K17" s="8">
        <v>609000</v>
      </c>
      <c r="L17" s="20" t="s">
        <v>277</v>
      </c>
    </row>
    <row r="18" spans="1:23" x14ac:dyDescent="0.15">
      <c r="A18" s="7" t="s">
        <v>278</v>
      </c>
      <c r="B18" s="8">
        <v>13890</v>
      </c>
      <c r="C18" s="8">
        <v>4000</v>
      </c>
      <c r="D18" s="8">
        <v>-25000</v>
      </c>
      <c r="E18" s="8">
        <v>-22000</v>
      </c>
      <c r="F18" s="8">
        <v>14000</v>
      </c>
      <c r="G18" s="8">
        <v>-2000</v>
      </c>
      <c r="H18" s="8">
        <v>4000</v>
      </c>
      <c r="I18" s="8">
        <v>107000</v>
      </c>
      <c r="J18" s="8">
        <v>-48000</v>
      </c>
      <c r="K18" s="8">
        <v>237000</v>
      </c>
      <c r="L18" t="s">
        <v>279</v>
      </c>
    </row>
    <row r="19" spans="1:23" x14ac:dyDescent="0.15">
      <c r="A19" s="12" t="s">
        <v>280</v>
      </c>
      <c r="B19" s="13">
        <v>-4153</v>
      </c>
      <c r="C19" s="13">
        <v>-4000</v>
      </c>
      <c r="D19" s="13">
        <v>-29000</v>
      </c>
      <c r="E19" s="13">
        <v>-14000</v>
      </c>
      <c r="F19" s="13">
        <v>92000</v>
      </c>
      <c r="G19" s="13">
        <v>124000</v>
      </c>
      <c r="H19" s="13">
        <v>-123000</v>
      </c>
      <c r="I19" s="13">
        <v>-100000</v>
      </c>
      <c r="J19" s="13">
        <v>-43000</v>
      </c>
      <c r="K19" s="13">
        <v>846000</v>
      </c>
      <c r="L19" s="7"/>
    </row>
    <row r="20" spans="1:23" x14ac:dyDescent="0.15">
      <c r="A20" s="12" t="s">
        <v>281</v>
      </c>
      <c r="B20" s="13">
        <v>754836</v>
      </c>
      <c r="C20" s="13">
        <v>743000</v>
      </c>
      <c r="D20" s="13">
        <v>1905000</v>
      </c>
      <c r="E20" s="13">
        <v>3196000</v>
      </c>
      <c r="F20" s="13">
        <v>3896000</v>
      </c>
      <c r="G20" s="13">
        <v>2970000</v>
      </c>
      <c r="H20" s="13">
        <v>4409000</v>
      </c>
      <c r="I20" s="13">
        <v>9941000</v>
      </c>
      <c r="J20" s="13">
        <v>4181000</v>
      </c>
      <c r="K20" s="13">
        <v>33818000</v>
      </c>
      <c r="L20" s="7"/>
    </row>
    <row r="21" spans="1:23" x14ac:dyDescent="0.15">
      <c r="A21" s="7" t="s">
        <v>39</v>
      </c>
      <c r="B21" s="8">
        <v>124249</v>
      </c>
      <c r="C21" s="8">
        <v>129000</v>
      </c>
      <c r="D21" s="8">
        <v>239000</v>
      </c>
      <c r="E21" s="8">
        <v>149000</v>
      </c>
      <c r="F21" s="8">
        <v>-245000</v>
      </c>
      <c r="G21" s="8">
        <v>174000</v>
      </c>
      <c r="H21" s="8">
        <v>77000</v>
      </c>
      <c r="I21" s="8">
        <v>189000</v>
      </c>
      <c r="J21" s="8">
        <v>-187000</v>
      </c>
      <c r="K21" s="8">
        <v>4058000</v>
      </c>
      <c r="L21" s="20" t="s">
        <v>282</v>
      </c>
    </row>
    <row r="22" spans="1:23" x14ac:dyDescent="0.15">
      <c r="A22" s="12" t="s">
        <v>40</v>
      </c>
      <c r="B22" s="13">
        <v>630587</v>
      </c>
      <c r="C22" s="13">
        <v>614000</v>
      </c>
      <c r="D22" s="13">
        <v>1666000</v>
      </c>
      <c r="E22" s="13">
        <v>3047000</v>
      </c>
      <c r="F22" s="13">
        <v>4141000</v>
      </c>
      <c r="G22" s="13">
        <v>2796000</v>
      </c>
      <c r="H22" s="13">
        <v>4332000</v>
      </c>
      <c r="I22" s="13">
        <v>9752000</v>
      </c>
      <c r="J22" s="13">
        <v>4368000</v>
      </c>
      <c r="K22" s="13">
        <v>29760000</v>
      </c>
      <c r="L22" s="7"/>
    </row>
    <row r="23" spans="1:23" x14ac:dyDescent="0.15">
      <c r="A23" s="10"/>
      <c r="B23" s="15"/>
      <c r="C23" s="15"/>
      <c r="D23" s="15"/>
      <c r="E23" s="15"/>
      <c r="F23" s="15"/>
      <c r="G23" s="15"/>
      <c r="H23" s="15"/>
      <c r="I23" s="15"/>
      <c r="J23" s="15"/>
      <c r="K23" s="15"/>
      <c r="L23" s="7"/>
      <c r="N23" s="19" t="s">
        <v>283</v>
      </c>
      <c r="O23" s="19" t="s">
        <v>284</v>
      </c>
    </row>
    <row r="24" spans="1:23" x14ac:dyDescent="0.15">
      <c r="A24" s="10"/>
      <c r="B24" s="15"/>
      <c r="C24" s="15"/>
      <c r="D24" s="15"/>
      <c r="E24" s="15"/>
      <c r="F24" s="15"/>
      <c r="G24" s="15"/>
      <c r="H24" s="15"/>
      <c r="I24" s="15"/>
      <c r="J24" s="15"/>
      <c r="K24" s="15"/>
      <c r="L24" s="7"/>
      <c r="N24" t="s">
        <v>285</v>
      </c>
      <c r="O24" t="s">
        <v>286</v>
      </c>
    </row>
    <row r="25" spans="1:23" x14ac:dyDescent="0.15">
      <c r="A25" s="7" t="s">
        <v>287</v>
      </c>
      <c r="B25" s="8">
        <v>630587</v>
      </c>
      <c r="C25" s="8">
        <v>614000</v>
      </c>
      <c r="D25" s="8">
        <v>1666000</v>
      </c>
      <c r="E25" s="8">
        <v>3047000</v>
      </c>
      <c r="F25" s="8">
        <v>4141000</v>
      </c>
      <c r="G25" s="8">
        <v>2796000</v>
      </c>
      <c r="H25" s="8">
        <v>4332000</v>
      </c>
      <c r="I25" s="8">
        <v>9752000</v>
      </c>
      <c r="J25" s="8">
        <v>4368000</v>
      </c>
      <c r="K25" s="8">
        <v>29760000</v>
      </c>
      <c r="L25" s="7"/>
      <c r="N25" s="16" t="s">
        <v>288</v>
      </c>
      <c r="O25" t="s">
        <v>289</v>
      </c>
      <c r="P25" t="s">
        <v>290</v>
      </c>
    </row>
    <row r="26" spans="1:23" x14ac:dyDescent="0.15">
      <c r="A26" s="7" t="s">
        <v>291</v>
      </c>
      <c r="B26" s="8">
        <v>22092760</v>
      </c>
      <c r="C26" s="8">
        <v>21720000</v>
      </c>
      <c r="D26" s="8">
        <v>21640000</v>
      </c>
      <c r="E26" s="8">
        <v>23960000</v>
      </c>
      <c r="F26" s="8">
        <v>24320000</v>
      </c>
      <c r="G26" s="8">
        <v>24360000</v>
      </c>
      <c r="H26" s="8">
        <v>24680000</v>
      </c>
      <c r="I26" s="8">
        <v>24960000</v>
      </c>
      <c r="J26" s="8">
        <v>24870000</v>
      </c>
      <c r="K26" s="8">
        <v>24690000</v>
      </c>
      <c r="L26" s="7"/>
      <c r="N26" s="16" t="s">
        <v>292</v>
      </c>
    </row>
    <row r="27" spans="1:23" x14ac:dyDescent="0.15">
      <c r="A27" s="7" t="s">
        <v>293</v>
      </c>
      <c r="B27" s="14">
        <v>0.03</v>
      </c>
      <c r="C27" s="14">
        <v>0.03</v>
      </c>
      <c r="D27" s="14">
        <v>0.08</v>
      </c>
      <c r="E27" s="14">
        <v>0.13</v>
      </c>
      <c r="F27" s="14">
        <v>0.17</v>
      </c>
      <c r="G27" s="14">
        <v>0.11</v>
      </c>
      <c r="H27" s="14">
        <v>0.18</v>
      </c>
      <c r="I27" s="14">
        <v>0.39</v>
      </c>
      <c r="J27" s="14">
        <v>0.18</v>
      </c>
      <c r="K27" s="14">
        <v>1.21</v>
      </c>
      <c r="L27" s="7"/>
      <c r="N27" s="16" t="s">
        <v>294</v>
      </c>
    </row>
    <row r="28" spans="1:23" ht="14" x14ac:dyDescent="0.15">
      <c r="A28" s="7" t="s">
        <v>295</v>
      </c>
      <c r="B28" s="14">
        <v>0.03</v>
      </c>
      <c r="C28" s="14">
        <v>0.03</v>
      </c>
      <c r="D28" s="14">
        <v>0.08</v>
      </c>
      <c r="E28" s="14">
        <v>0.13</v>
      </c>
      <c r="F28" s="14">
        <v>0.17</v>
      </c>
      <c r="G28" s="14">
        <v>0.11</v>
      </c>
      <c r="H28" s="14">
        <v>0.18</v>
      </c>
      <c r="I28" s="14">
        <v>0.39</v>
      </c>
      <c r="J28" s="14">
        <v>0.18</v>
      </c>
      <c r="K28" s="14">
        <v>1.21</v>
      </c>
      <c r="L28" s="7"/>
      <c r="M28" s="7"/>
      <c r="N28" s="17" t="s">
        <v>296</v>
      </c>
      <c r="R28" s="7"/>
      <c r="S28" s="7"/>
      <c r="T28" s="7"/>
      <c r="U28" s="7"/>
      <c r="V28" s="7"/>
      <c r="W28" s="7"/>
    </row>
    <row r="29" spans="1:23" ht="14" x14ac:dyDescent="0.15">
      <c r="A29" s="7" t="s">
        <v>297</v>
      </c>
      <c r="B29" s="8">
        <v>22522720</v>
      </c>
      <c r="C29" s="8">
        <v>22760000</v>
      </c>
      <c r="D29" s="8">
        <v>25960000</v>
      </c>
      <c r="E29" s="8">
        <v>25280000</v>
      </c>
      <c r="F29" s="8">
        <v>25000000</v>
      </c>
      <c r="G29" s="8">
        <v>24720000</v>
      </c>
      <c r="H29" s="8">
        <v>25120000</v>
      </c>
      <c r="I29" s="8">
        <v>25350000</v>
      </c>
      <c r="J29" s="8">
        <v>25070000</v>
      </c>
      <c r="K29" s="8">
        <v>24940000</v>
      </c>
      <c r="L29" s="7"/>
      <c r="N29" s="17" t="s">
        <v>298</v>
      </c>
    </row>
    <row r="30" spans="1:23" x14ac:dyDescent="0.15">
      <c r="A30" s="7" t="s">
        <v>299</v>
      </c>
      <c r="B30" s="14">
        <v>0.03</v>
      </c>
      <c r="C30" s="14">
        <v>0.03</v>
      </c>
      <c r="D30" s="14">
        <v>0.06</v>
      </c>
      <c r="E30" s="14">
        <v>0.12</v>
      </c>
      <c r="F30" s="14">
        <v>0.17</v>
      </c>
      <c r="G30" s="14">
        <v>0.11</v>
      </c>
      <c r="H30" s="14">
        <v>0.17</v>
      </c>
      <c r="I30" s="14">
        <v>0.39</v>
      </c>
      <c r="J30" s="14">
        <v>0.17</v>
      </c>
      <c r="K30" s="14">
        <v>1.19</v>
      </c>
      <c r="L30" s="7"/>
    </row>
    <row r="31" spans="1:23" x14ac:dyDescent="0.15">
      <c r="A31" s="7" t="s">
        <v>300</v>
      </c>
      <c r="B31" s="14">
        <v>0.03</v>
      </c>
      <c r="C31" s="14">
        <v>0.03</v>
      </c>
      <c r="D31" s="14">
        <v>0.06</v>
      </c>
      <c r="E31" s="14">
        <v>0.12</v>
      </c>
      <c r="F31" s="14">
        <v>0.17</v>
      </c>
      <c r="G31" s="14">
        <v>0.11</v>
      </c>
      <c r="H31" s="14">
        <v>0.17</v>
      </c>
      <c r="I31" s="14">
        <v>0.39</v>
      </c>
      <c r="J31" s="14">
        <v>0.17</v>
      </c>
      <c r="K31" s="14">
        <v>1.19</v>
      </c>
      <c r="L31" s="7"/>
      <c r="N31" s="19" t="s">
        <v>301</v>
      </c>
    </row>
    <row r="32" spans="1:23" x14ac:dyDescent="0.15">
      <c r="A32" s="10" t="s">
        <v>302</v>
      </c>
      <c r="B32" s="11">
        <v>21796520</v>
      </c>
      <c r="C32" s="11">
        <v>21560000</v>
      </c>
      <c r="D32" s="11">
        <v>23400000</v>
      </c>
      <c r="E32" s="11">
        <v>24240000</v>
      </c>
      <c r="F32" s="11">
        <v>24240000</v>
      </c>
      <c r="G32" s="11">
        <v>24480000</v>
      </c>
      <c r="H32" s="11">
        <v>24800000</v>
      </c>
      <c r="I32" s="11">
        <v>25060000</v>
      </c>
      <c r="J32" s="11">
        <v>24660000</v>
      </c>
      <c r="K32" s="11">
        <v>24640000</v>
      </c>
      <c r="L32" s="7"/>
      <c r="N32" s="16" t="s">
        <v>99</v>
      </c>
    </row>
    <row r="33" spans="1:14" x14ac:dyDescent="0.15">
      <c r="A33" s="20" t="s">
        <v>303</v>
      </c>
      <c r="B33" s="27">
        <v>0.51775000000000004</v>
      </c>
      <c r="C33" s="27">
        <v>0.73224999999999996</v>
      </c>
      <c r="D33" s="27">
        <v>2.7942499999999999</v>
      </c>
      <c r="E33" s="27">
        <v>6.1712499999999997</v>
      </c>
      <c r="F33" s="27">
        <v>4.0037500000000001</v>
      </c>
      <c r="G33" s="27">
        <v>6.2619999999999996</v>
      </c>
      <c r="H33" s="27">
        <v>12.989699999999999</v>
      </c>
      <c r="I33" s="27">
        <v>22.84</v>
      </c>
      <c r="J33" s="27">
        <v>20.364999999999998</v>
      </c>
      <c r="K33" s="27">
        <v>61.030999999999999</v>
      </c>
      <c r="N33" s="16" t="s">
        <v>100</v>
      </c>
    </row>
    <row r="34" spans="1:14" x14ac:dyDescent="0.15">
      <c r="N34" s="16" t="s">
        <v>101</v>
      </c>
    </row>
    <row r="35" spans="1:14" x14ac:dyDescent="0.15">
      <c r="A35" s="10" t="s">
        <v>304</v>
      </c>
      <c r="N35" s="16" t="s">
        <v>305</v>
      </c>
    </row>
    <row r="36" spans="1:14" x14ac:dyDescent="0.15">
      <c r="A36" t="s">
        <v>306</v>
      </c>
      <c r="B36" s="23" t="str">
        <f t="shared" ref="B36:K36" si="0">_xlfn.CONCAT(TEXT(B2,"mmm"),"-",TEXT(B2,"yy"))</f>
        <v>Jan-15</v>
      </c>
      <c r="C36" s="23" t="str">
        <f t="shared" si="0"/>
        <v>Jan-16</v>
      </c>
      <c r="D36" s="23" t="str">
        <f t="shared" si="0"/>
        <v>Jan-17</v>
      </c>
      <c r="E36" s="23" t="str">
        <f t="shared" si="0"/>
        <v>Jan-18</v>
      </c>
      <c r="F36" s="23" t="str">
        <f t="shared" si="0"/>
        <v>Jan-19</v>
      </c>
      <c r="G36" s="23" t="str">
        <f t="shared" si="0"/>
        <v>Jan-20</v>
      </c>
      <c r="H36" s="23" t="str">
        <f t="shared" si="0"/>
        <v>Jan-21</v>
      </c>
      <c r="I36" s="23" t="str">
        <f t="shared" si="0"/>
        <v>Jan-22</v>
      </c>
      <c r="J36" s="23" t="str">
        <f t="shared" si="0"/>
        <v>Jan-23</v>
      </c>
      <c r="K36" s="23" t="str">
        <f t="shared" si="0"/>
        <v>Jan-24</v>
      </c>
    </row>
    <row r="37" spans="1:14" x14ac:dyDescent="0.15">
      <c r="A37" s="7" t="s">
        <v>29</v>
      </c>
      <c r="B37" s="18">
        <f t="shared" ref="B37:K37" si="1">B10</f>
        <v>2082030</v>
      </c>
      <c r="C37" s="18">
        <f t="shared" si="1"/>
        <v>2199000</v>
      </c>
      <c r="D37" s="18">
        <f t="shared" si="1"/>
        <v>2847000</v>
      </c>
      <c r="E37" s="18">
        <f t="shared" si="1"/>
        <v>3892000</v>
      </c>
      <c r="F37" s="18">
        <f t="shared" si="1"/>
        <v>4545000</v>
      </c>
      <c r="G37" s="18">
        <f t="shared" si="1"/>
        <v>4150000</v>
      </c>
      <c r="H37" s="18">
        <f t="shared" si="1"/>
        <v>6279000</v>
      </c>
      <c r="I37" s="18">
        <f t="shared" si="1"/>
        <v>9439000</v>
      </c>
      <c r="J37" s="18">
        <f t="shared" si="1"/>
        <v>11618000</v>
      </c>
      <c r="K37" s="18">
        <f t="shared" si="1"/>
        <v>16621000</v>
      </c>
    </row>
    <row r="38" spans="1:14" x14ac:dyDescent="0.15">
      <c r="A38" s="7" t="s">
        <v>307</v>
      </c>
      <c r="B38" s="18">
        <f t="shared" ref="B38:K38" si="2">SUM(B12:B14)</f>
        <v>1840488</v>
      </c>
      <c r="C38" s="18">
        <f t="shared" si="2"/>
        <v>2064000</v>
      </c>
      <c r="D38" s="18">
        <f t="shared" si="2"/>
        <v>2129000</v>
      </c>
      <c r="E38" s="18">
        <f t="shared" si="2"/>
        <v>2612000</v>
      </c>
      <c r="F38" s="18">
        <f t="shared" si="2"/>
        <v>3367000</v>
      </c>
      <c r="G38" s="18">
        <f t="shared" si="2"/>
        <v>3922000</v>
      </c>
      <c r="H38" s="18">
        <f t="shared" si="2"/>
        <v>5864000</v>
      </c>
      <c r="I38" s="18">
        <f t="shared" si="2"/>
        <v>7434000</v>
      </c>
      <c r="J38" s="18">
        <f t="shared" si="2"/>
        <v>11132000</v>
      </c>
      <c r="K38" s="18">
        <f t="shared" si="2"/>
        <v>11329000</v>
      </c>
    </row>
    <row r="39" spans="1:14" x14ac:dyDescent="0.15">
      <c r="A39" s="7"/>
      <c r="B39" s="18"/>
      <c r="C39" s="18"/>
      <c r="D39" s="18"/>
      <c r="E39" s="18"/>
      <c r="F39" s="18"/>
      <c r="G39" s="18"/>
      <c r="H39" s="18"/>
      <c r="I39" s="18"/>
      <c r="J39" s="18"/>
      <c r="K39" s="18"/>
    </row>
    <row r="40" spans="1:14" x14ac:dyDescent="0.15">
      <c r="A40" s="19" t="s">
        <v>308</v>
      </c>
    </row>
    <row r="41" spans="1:14" x14ac:dyDescent="0.15">
      <c r="A41" s="16" t="s">
        <v>31</v>
      </c>
      <c r="B41" s="22">
        <f t="shared" ref="B41:K41" si="3">B12/B$15</f>
        <v>0.26121496038007314</v>
      </c>
      <c r="C41" s="22">
        <f t="shared" si="3"/>
        <v>0.29166666666666669</v>
      </c>
      <c r="D41" s="22">
        <f t="shared" si="3"/>
        <v>0.3114138093001409</v>
      </c>
      <c r="E41" s="22">
        <f t="shared" si="3"/>
        <v>0.31202143950995403</v>
      </c>
      <c r="F41" s="22">
        <f t="shared" si="3"/>
        <v>0.29432729432729432</v>
      </c>
      <c r="G41" s="22">
        <f t="shared" si="3"/>
        <v>0.27868434472208059</v>
      </c>
      <c r="H41" s="22">
        <f t="shared" si="3"/>
        <v>0.33083219645293316</v>
      </c>
      <c r="I41" s="22">
        <f t="shared" si="3"/>
        <v>0.29136400322841</v>
      </c>
      <c r="J41" s="22">
        <f t="shared" si="3"/>
        <v>0.21918792669780812</v>
      </c>
      <c r="K41" s="22">
        <f t="shared" si="3"/>
        <v>0.23426604289875541</v>
      </c>
      <c r="L41" s="32">
        <f>AVERAGE(B41:K41)</f>
        <v>0.28249786841841168</v>
      </c>
    </row>
    <row r="42" spans="1:14" x14ac:dyDescent="0.15">
      <c r="A42" t="s">
        <v>32</v>
      </c>
      <c r="B42" s="22">
        <f t="shared" ref="B42:K42" si="4">B13/B$15</f>
        <v>0.73878503961992692</v>
      </c>
      <c r="C42" s="22">
        <f t="shared" si="4"/>
        <v>0.64486434108527135</v>
      </c>
      <c r="D42" s="22">
        <f t="shared" si="4"/>
        <v>0.6871770784405824</v>
      </c>
      <c r="E42" s="22">
        <f t="shared" si="4"/>
        <v>0.68797856049004591</v>
      </c>
      <c r="F42" s="22">
        <f t="shared" si="4"/>
        <v>0.70567270567270568</v>
      </c>
      <c r="G42" s="22">
        <f t="shared" si="4"/>
        <v>0.72131565527791941</v>
      </c>
      <c r="H42" s="22">
        <f t="shared" si="4"/>
        <v>0.66916780354706684</v>
      </c>
      <c r="I42" s="22">
        <f t="shared" si="4"/>
        <v>0.70863599677158995</v>
      </c>
      <c r="J42" s="22">
        <f t="shared" si="4"/>
        <v>0.65927057132590727</v>
      </c>
      <c r="K42" s="22">
        <f t="shared" si="4"/>
        <v>0.76573395710124459</v>
      </c>
      <c r="L42" s="32">
        <f>AVERAGE(B42:K42)</f>
        <v>0.69886017093322605</v>
      </c>
    </row>
    <row r="43" spans="1:14" x14ac:dyDescent="0.15">
      <c r="A43" t="s">
        <v>274</v>
      </c>
      <c r="B43" s="22"/>
      <c r="C43" s="22">
        <f>C14/C$15</f>
        <v>6.3468992248062017E-2</v>
      </c>
      <c r="D43" s="31">
        <f>D14/D$15</f>
        <v>1.4091122592766556E-3</v>
      </c>
      <c r="E43" s="22"/>
      <c r="F43" s="22"/>
      <c r="G43" s="22"/>
      <c r="H43" s="22"/>
      <c r="I43" s="22"/>
      <c r="J43" s="22">
        <f>J14/J$15</f>
        <v>0.12154150197628459</v>
      </c>
      <c r="K43" s="22"/>
    </row>
    <row r="45" spans="1:14" x14ac:dyDescent="0.15">
      <c r="A45" s="19" t="s">
        <v>309</v>
      </c>
    </row>
    <row r="46" spans="1:14" x14ac:dyDescent="0.15">
      <c r="A46" s="16" t="s">
        <v>310</v>
      </c>
      <c r="B46" s="25">
        <f t="shared" ref="B46:K46" si="5">B11/B9</f>
        <v>0.55526500334187257</v>
      </c>
      <c r="C46" s="25">
        <f t="shared" si="5"/>
        <v>0.56107784431137719</v>
      </c>
      <c r="D46" s="25">
        <f t="shared" si="5"/>
        <v>0.58798842257597683</v>
      </c>
      <c r="E46" s="25">
        <f t="shared" si="5"/>
        <v>0.59934115709285563</v>
      </c>
      <c r="F46" s="25">
        <f t="shared" si="5"/>
        <v>0.61206896551724133</v>
      </c>
      <c r="G46" s="25">
        <f t="shared" si="5"/>
        <v>0.61989375343469499</v>
      </c>
      <c r="H46" s="25">
        <f t="shared" si="5"/>
        <v>0.62344827586206897</v>
      </c>
      <c r="I46" s="25">
        <f t="shared" si="5"/>
        <v>0.64929033216913135</v>
      </c>
      <c r="J46" s="25">
        <f>J11/J9</f>
        <v>0.56928894490991322</v>
      </c>
      <c r="K46" s="25">
        <f t="shared" si="5"/>
        <v>0.72717573290436954</v>
      </c>
    </row>
    <row r="47" spans="1:14" x14ac:dyDescent="0.15">
      <c r="A47" s="16" t="s">
        <v>311</v>
      </c>
      <c r="B47" s="25">
        <f t="shared" ref="B47:K47" si="6">B16/B9</f>
        <v>0.16212493113862694</v>
      </c>
      <c r="C47" s="25">
        <f t="shared" si="6"/>
        <v>0.14910179640718563</v>
      </c>
      <c r="D47" s="25">
        <f t="shared" si="6"/>
        <v>0.27988422575976846</v>
      </c>
      <c r="E47" s="25">
        <f t="shared" si="6"/>
        <v>0.33045089561457691</v>
      </c>
      <c r="F47" s="25">
        <f t="shared" si="6"/>
        <v>0.32468419255718678</v>
      </c>
      <c r="G47" s="25">
        <f t="shared" si="6"/>
        <v>0.2606704524638212</v>
      </c>
      <c r="H47" s="25">
        <f t="shared" si="6"/>
        <v>0.27178410794602698</v>
      </c>
      <c r="I47" s="25">
        <f t="shared" si="6"/>
        <v>0.37307720888756779</v>
      </c>
      <c r="J47" s="25">
        <f t="shared" si="6"/>
        <v>0.1565952398606065</v>
      </c>
      <c r="K47" s="25">
        <f t="shared" si="6"/>
        <v>0.54121663766783756</v>
      </c>
    </row>
    <row r="48" spans="1:14" x14ac:dyDescent="0.15">
      <c r="A48" t="s">
        <v>312</v>
      </c>
      <c r="B48" s="25">
        <f t="shared" ref="B48:K48" si="7">B22/B9</f>
        <v>0.13469743823943872</v>
      </c>
      <c r="C48" s="25">
        <f t="shared" si="7"/>
        <v>0.12255489021956088</v>
      </c>
      <c r="D48" s="25">
        <f t="shared" si="7"/>
        <v>0.24109985528219971</v>
      </c>
      <c r="E48" s="25">
        <f t="shared" si="7"/>
        <v>0.3136709903232448</v>
      </c>
      <c r="F48" s="25">
        <f t="shared" si="7"/>
        <v>0.35344827586206895</v>
      </c>
      <c r="G48" s="25">
        <f t="shared" si="7"/>
        <v>0.25609085913170909</v>
      </c>
      <c r="H48" s="25">
        <f t="shared" si="7"/>
        <v>0.25979010494752625</v>
      </c>
      <c r="I48" s="25">
        <f t="shared" si="7"/>
        <v>0.36233930296499961</v>
      </c>
      <c r="J48" s="25">
        <f t="shared" si="7"/>
        <v>0.16193371394676356</v>
      </c>
      <c r="K48" s="25">
        <f t="shared" si="7"/>
        <v>0.4884934834706674</v>
      </c>
    </row>
    <row r="51" spans="1:13" x14ac:dyDescent="0.15">
      <c r="A51" s="19" t="s">
        <v>313</v>
      </c>
      <c r="L51" t="s">
        <v>111</v>
      </c>
    </row>
    <row r="52" spans="1:13" x14ac:dyDescent="0.15">
      <c r="A52" s="16" t="s">
        <v>314</v>
      </c>
      <c r="B52" s="25">
        <f t="shared" ref="B52:K52" si="8">B13/B9</f>
        <v>0.29044600381885577</v>
      </c>
      <c r="C52" s="25">
        <f t="shared" si="8"/>
        <v>0.26566866267465072</v>
      </c>
      <c r="D52" s="25">
        <f t="shared" si="8"/>
        <v>0.21172214182344429</v>
      </c>
      <c r="E52" s="25">
        <f t="shared" si="8"/>
        <v>0.18499073502161828</v>
      </c>
      <c r="F52" s="25">
        <f t="shared" si="8"/>
        <v>0.20279959030385797</v>
      </c>
      <c r="G52" s="25">
        <f t="shared" si="8"/>
        <v>0.25911339073090311</v>
      </c>
      <c r="H52" s="25">
        <f t="shared" si="8"/>
        <v>0.2353223388305847</v>
      </c>
      <c r="I52" s="25">
        <f t="shared" si="8"/>
        <v>0.19573456193802483</v>
      </c>
      <c r="J52" s="25">
        <f t="shared" si="8"/>
        <v>0.27207681471046191</v>
      </c>
      <c r="K52" s="25">
        <f t="shared" si="8"/>
        <v>0.14239519385443683</v>
      </c>
      <c r="L52" s="26">
        <f>AVERAGE(B52:K52)</f>
        <v>0.22602694337068385</v>
      </c>
      <c r="M52" s="16" t="s">
        <v>315</v>
      </c>
    </row>
    <row r="53" spans="1:13" x14ac:dyDescent="0.15">
      <c r="A53" s="16"/>
    </row>
    <row r="55" spans="1:13" x14ac:dyDescent="0.15">
      <c r="A55" s="100" t="s">
        <v>316</v>
      </c>
      <c r="B55" s="100" t="str">
        <f t="shared" ref="B55:K55" si="9">B36</f>
        <v>Jan-15</v>
      </c>
      <c r="C55" s="100" t="str">
        <f t="shared" si="9"/>
        <v>Jan-16</v>
      </c>
      <c r="D55" s="100" t="str">
        <f t="shared" si="9"/>
        <v>Jan-17</v>
      </c>
      <c r="E55" s="100" t="str">
        <f t="shared" si="9"/>
        <v>Jan-18</v>
      </c>
      <c r="F55" s="100" t="str">
        <f t="shared" si="9"/>
        <v>Jan-19</v>
      </c>
      <c r="G55" s="100" t="str">
        <f t="shared" si="9"/>
        <v>Jan-20</v>
      </c>
      <c r="H55" s="100" t="str">
        <f t="shared" si="9"/>
        <v>Jan-21</v>
      </c>
      <c r="I55" s="100" t="str">
        <f t="shared" si="9"/>
        <v>Jan-22</v>
      </c>
      <c r="J55" s="100" t="str">
        <f t="shared" si="9"/>
        <v>Jan-23</v>
      </c>
      <c r="K55" s="100" t="str">
        <f t="shared" si="9"/>
        <v>Jan-24</v>
      </c>
      <c r="L55" s="100" t="s">
        <v>186</v>
      </c>
    </row>
    <row r="56" spans="1:13" x14ac:dyDescent="0.15">
      <c r="A56" s="16" t="s">
        <v>317</v>
      </c>
      <c r="B56" s="96">
        <f>'[3]Ratios Original'!B39</f>
        <v>0.2</v>
      </c>
      <c r="C56" s="96">
        <f>'[3]Ratios Original'!C39</f>
        <v>0.21</v>
      </c>
      <c r="D56" s="96">
        <f>'[3]Ratios Original'!D39</f>
        <v>0.25</v>
      </c>
      <c r="E56" s="96">
        <f>'[3]Ratios Original'!E39</f>
        <v>0.31</v>
      </c>
      <c r="F56" s="96">
        <f>'[3]Ratios Original'!F39</f>
        <v>0.39</v>
      </c>
      <c r="G56" s="96">
        <f>'[3]Ratios Original'!G39</f>
        <v>0.5</v>
      </c>
      <c r="H56" s="96">
        <f>'[3]Ratios Original'!H39</f>
        <v>0.68</v>
      </c>
      <c r="I56" s="96">
        <f>'[3]Ratios Original'!I39</f>
        <v>1.06</v>
      </c>
      <c r="J56" s="96">
        <f>'[3]Ratios Original'!J39</f>
        <v>0.9</v>
      </c>
      <c r="K56" s="96">
        <f>'[3]Ratios Original'!K39</f>
        <v>1.74</v>
      </c>
      <c r="L56" s="101"/>
    </row>
    <row r="57" spans="1:13" x14ac:dyDescent="0.15">
      <c r="A57" s="16" t="s">
        <v>318</v>
      </c>
      <c r="B57" s="97">
        <f t="shared" ref="B57:K57" si="10">B22/B26</f>
        <v>2.8542699056161386E-2</v>
      </c>
      <c r="C57" s="97">
        <f t="shared" si="10"/>
        <v>2.8268876611418046E-2</v>
      </c>
      <c r="D57" s="97">
        <f>D22/D26</f>
        <v>7.6987060998151571E-2</v>
      </c>
      <c r="E57" s="97">
        <f t="shared" si="10"/>
        <v>0.1271702838063439</v>
      </c>
      <c r="F57" s="97">
        <f t="shared" si="10"/>
        <v>0.17027138157894736</v>
      </c>
      <c r="G57" s="97">
        <f t="shared" si="10"/>
        <v>0.11477832512315271</v>
      </c>
      <c r="H57" s="97">
        <f t="shared" si="10"/>
        <v>0.17552674230145868</v>
      </c>
      <c r="I57" s="97">
        <f t="shared" si="10"/>
        <v>0.3907051282051282</v>
      </c>
      <c r="J57" s="97">
        <f t="shared" si="10"/>
        <v>0.17563329312424608</v>
      </c>
      <c r="K57" s="97">
        <f t="shared" si="10"/>
        <v>1.2053462940461726</v>
      </c>
      <c r="L57" s="101"/>
    </row>
    <row r="58" spans="1:13" x14ac:dyDescent="0.15">
      <c r="A58" t="s">
        <v>119</v>
      </c>
      <c r="B58">
        <v>30.2</v>
      </c>
      <c r="C58">
        <v>48.1</v>
      </c>
      <c r="D58">
        <v>43.9</v>
      </c>
      <c r="E58">
        <v>17.3</v>
      </c>
      <c r="F58">
        <v>59.4</v>
      </c>
      <c r="G58">
        <v>84.2</v>
      </c>
      <c r="H58">
        <v>89.2</v>
      </c>
      <c r="I58">
        <v>61.4</v>
      </c>
      <c r="J58">
        <v>64.7</v>
      </c>
      <c r="K58">
        <v>80.5</v>
      </c>
      <c r="L58" s="101"/>
    </row>
    <row r="59" spans="1:13" x14ac:dyDescent="0.15">
      <c r="A59" t="s">
        <v>319</v>
      </c>
      <c r="B59" s="98">
        <f>B33/'[3]Ratios Original'!$B$39</f>
        <v>2.5887500000000001</v>
      </c>
      <c r="C59" s="98">
        <f>C33/'[3]Ratios Original'!$B$39</f>
        <v>3.6612499999999994</v>
      </c>
      <c r="D59" s="98">
        <f>D33/'[3]Ratios Original'!$B$39</f>
        <v>13.97125</v>
      </c>
      <c r="E59" s="98">
        <f>E33/'[3]Ratios Original'!$B$39</f>
        <v>30.856249999999996</v>
      </c>
      <c r="F59" s="98">
        <f>F33/'[3]Ratios Original'!$B$39</f>
        <v>20.018750000000001</v>
      </c>
      <c r="G59" s="98">
        <f>G33/'[3]Ratios Original'!$B$39</f>
        <v>31.309999999999995</v>
      </c>
      <c r="H59" s="98">
        <f>H33/'[3]Ratios Original'!$B$39</f>
        <v>64.948499999999996</v>
      </c>
      <c r="I59" s="98">
        <f>I33/'[3]Ratios Original'!$B$39</f>
        <v>114.19999999999999</v>
      </c>
      <c r="J59" s="98">
        <f>J33/'[3]Ratios Original'!$B$39</f>
        <v>101.82499999999999</v>
      </c>
      <c r="K59" s="98">
        <f>K33/'[3]Ratios Original'!$B$39</f>
        <v>305.15499999999997</v>
      </c>
      <c r="L59" s="101"/>
    </row>
    <row r="60" spans="1:13" x14ac:dyDescent="0.15">
      <c r="A60" s="16" t="s">
        <v>320</v>
      </c>
      <c r="B60" s="99">
        <f>B33/'[3]Ratios Original'!$B$38</f>
        <v>12.943750000000001</v>
      </c>
      <c r="C60" s="99">
        <f>C33/'[3]Ratios Original'!$B$38</f>
        <v>18.306249999999999</v>
      </c>
      <c r="D60" s="99">
        <f>D33/'[3]Ratios Original'!$B$38</f>
        <v>69.856250000000003</v>
      </c>
      <c r="E60" s="99">
        <f>E33/'[3]Ratios Original'!$B$38</f>
        <v>154.28125</v>
      </c>
      <c r="F60" s="99">
        <f>F33/'[3]Ratios Original'!$B$38</f>
        <v>100.09375</v>
      </c>
      <c r="G60" s="99">
        <f>G33/'[3]Ratios Original'!$B$38</f>
        <v>156.54999999999998</v>
      </c>
      <c r="H60" s="99">
        <f>H33/'[3]Ratios Original'!$B$38</f>
        <v>324.74249999999995</v>
      </c>
      <c r="I60" s="99">
        <f>I33/'[3]Ratios Original'!$B$38</f>
        <v>571</v>
      </c>
      <c r="J60" s="99">
        <f>J33/'[3]Ratios Original'!$B$38</f>
        <v>509.12499999999994</v>
      </c>
      <c r="K60" s="99">
        <f>K33/'[3]Ratios Original'!$B$38</f>
        <v>1525.7749999999999</v>
      </c>
      <c r="L60" s="101"/>
    </row>
    <row r="61" spans="1:13" x14ac:dyDescent="0.15">
      <c r="A61" s="16"/>
      <c r="B61" s="99"/>
      <c r="C61" s="99"/>
      <c r="D61" s="99"/>
      <c r="E61" s="99"/>
      <c r="F61" s="99"/>
      <c r="G61" s="99"/>
      <c r="H61" s="99"/>
      <c r="I61" s="99"/>
      <c r="J61" s="99"/>
      <c r="K61" s="99"/>
      <c r="L61" s="101"/>
    </row>
    <row r="62" spans="1:13" x14ac:dyDescent="0.15">
      <c r="A62" s="16" t="s">
        <v>175</v>
      </c>
      <c r="B62" s="50">
        <v>563068</v>
      </c>
      <c r="C62" s="50">
        <v>569000</v>
      </c>
      <c r="D62" s="50">
        <v>649000</v>
      </c>
      <c r="E62" s="50">
        <v>632000</v>
      </c>
      <c r="F62" s="50">
        <v>625000</v>
      </c>
      <c r="G62" s="50">
        <v>618000</v>
      </c>
      <c r="H62" s="50">
        <v>628000</v>
      </c>
      <c r="I62" s="50">
        <v>2535000</v>
      </c>
      <c r="J62" s="50">
        <v>2507000</v>
      </c>
      <c r="K62" s="50">
        <v>2494000</v>
      </c>
    </row>
    <row r="64" spans="1:13" x14ac:dyDescent="0.15">
      <c r="A64" s="19" t="s">
        <v>321</v>
      </c>
      <c r="B64" s="19"/>
      <c r="C64" s="16"/>
      <c r="D64" s="29"/>
      <c r="E64" s="16"/>
      <c r="F64" s="16"/>
      <c r="G64" s="16"/>
      <c r="H64" s="16"/>
      <c r="I64" s="16"/>
      <c r="J64" s="16"/>
      <c r="K64" s="16"/>
      <c r="L64" s="19"/>
    </row>
    <row r="65" spans="1:12" x14ac:dyDescent="0.15">
      <c r="A65" s="16" t="s">
        <v>28</v>
      </c>
      <c r="B65" s="30">
        <v>4681507</v>
      </c>
      <c r="C65" s="30">
        <v>5010000</v>
      </c>
      <c r="D65" s="30">
        <v>6910000</v>
      </c>
      <c r="E65" s="30">
        <v>9714000</v>
      </c>
      <c r="F65" s="30">
        <v>11716000</v>
      </c>
      <c r="G65" s="30">
        <v>10918000</v>
      </c>
      <c r="H65" s="30">
        <v>16675000</v>
      </c>
      <c r="I65" s="30">
        <v>26914000</v>
      </c>
      <c r="J65" s="30">
        <v>26974000</v>
      </c>
      <c r="K65" s="30">
        <v>60922000</v>
      </c>
      <c r="L65" s="19"/>
    </row>
    <row r="66" spans="1:12" x14ac:dyDescent="0.15">
      <c r="A66" s="16" t="s">
        <v>40</v>
      </c>
      <c r="B66" s="30">
        <v>630587</v>
      </c>
      <c r="C66" s="30">
        <v>614000</v>
      </c>
      <c r="D66" s="30">
        <v>1666000</v>
      </c>
      <c r="E66" s="30">
        <v>3047000</v>
      </c>
      <c r="F66" s="30">
        <v>4141000</v>
      </c>
      <c r="G66" s="30">
        <v>2796000</v>
      </c>
      <c r="H66" s="30">
        <v>4332000</v>
      </c>
      <c r="I66" s="30">
        <v>9752000</v>
      </c>
      <c r="J66" s="30">
        <v>4368000</v>
      </c>
      <c r="K66" s="30">
        <v>29760000</v>
      </c>
      <c r="L66" s="19"/>
    </row>
    <row r="67" spans="1:12" x14ac:dyDescent="0.15">
      <c r="A67" s="16" t="s">
        <v>322</v>
      </c>
      <c r="B67" s="16"/>
      <c r="C67" s="29">
        <f>C65/B65-1</f>
        <v>7.0168217200145211E-2</v>
      </c>
      <c r="D67" s="29">
        <f t="shared" ref="D67:K68" si="11">D65/C65-1</f>
        <v>0.37924151696606789</v>
      </c>
      <c r="E67" s="29">
        <f t="shared" si="11"/>
        <v>0.40578871201157751</v>
      </c>
      <c r="F67" s="29">
        <f t="shared" si="11"/>
        <v>0.20609429689108505</v>
      </c>
      <c r="G67" s="29">
        <f t="shared" si="11"/>
        <v>-6.8111983612154314E-2</v>
      </c>
      <c r="H67" s="29">
        <f t="shared" si="11"/>
        <v>0.52729437625938824</v>
      </c>
      <c r="I67" s="29">
        <f t="shared" si="11"/>
        <v>0.61403298350824587</v>
      </c>
      <c r="J67" s="29">
        <f t="shared" si="11"/>
        <v>2.2293230289069932E-3</v>
      </c>
      <c r="K67" s="29">
        <f t="shared" si="11"/>
        <v>1.2585452658115224</v>
      </c>
      <c r="L67" s="28">
        <f>AVERAGE(C67:K67)</f>
        <v>0.37725363422942054</v>
      </c>
    </row>
    <row r="68" spans="1:12" x14ac:dyDescent="0.15">
      <c r="A68" s="16" t="s">
        <v>323</v>
      </c>
      <c r="B68" s="19"/>
      <c r="C68" s="29">
        <f>C66/B66-1</f>
        <v>-2.6304062722510957E-2</v>
      </c>
      <c r="D68" s="29">
        <f t="shared" si="11"/>
        <v>1.7133550488599347</v>
      </c>
      <c r="E68" s="29">
        <f t="shared" si="11"/>
        <v>0.82893157262905159</v>
      </c>
      <c r="F68" s="29">
        <f t="shared" si="11"/>
        <v>0.35904168034131922</v>
      </c>
      <c r="G68" s="29">
        <f t="shared" si="11"/>
        <v>-0.3248007727602028</v>
      </c>
      <c r="H68" s="29">
        <f t="shared" si="11"/>
        <v>0.54935622317596566</v>
      </c>
      <c r="I68" s="29">
        <f t="shared" si="11"/>
        <v>1.2511542012927053</v>
      </c>
      <c r="J68" s="29">
        <f t="shared" si="11"/>
        <v>-0.55209187858900743</v>
      </c>
      <c r="K68" s="29">
        <f t="shared" si="11"/>
        <v>5.813186813186813</v>
      </c>
      <c r="L68" s="28">
        <f>AVERAGE(C68:K68)</f>
        <v>1.0679809806015632</v>
      </c>
    </row>
    <row r="69" spans="1:12" x14ac:dyDescent="0.15">
      <c r="D69" s="26"/>
    </row>
    <row r="70" spans="1:12" x14ac:dyDescent="0.15">
      <c r="D70" s="26"/>
    </row>
    <row r="71" spans="1:12" x14ac:dyDescent="0.15">
      <c r="D71" s="26"/>
    </row>
    <row r="72" spans="1:12" x14ac:dyDescent="0.15">
      <c r="D72" s="26"/>
    </row>
    <row r="73" spans="1:12" x14ac:dyDescent="0.15">
      <c r="D73" s="26"/>
    </row>
    <row r="87" spans="1:12" x14ac:dyDescent="0.15">
      <c r="A87" s="19" t="s">
        <v>29</v>
      </c>
      <c r="C87" s="25">
        <f t="shared" ref="C87:K87" si="12">C10/B10-1</f>
        <v>5.6180746675119853E-2</v>
      </c>
      <c r="D87" s="25">
        <f t="shared" si="12"/>
        <v>0.29467939972714863</v>
      </c>
      <c r="E87" s="25">
        <f t="shared" si="12"/>
        <v>0.36705303828591496</v>
      </c>
      <c r="F87" s="25">
        <f t="shared" si="12"/>
        <v>0.16778006166495385</v>
      </c>
      <c r="G87" s="25">
        <f t="shared" si="12"/>
        <v>-8.6908690869086924E-2</v>
      </c>
      <c r="H87" s="25">
        <f t="shared" si="12"/>
        <v>0.51301204819277113</v>
      </c>
      <c r="I87" s="25">
        <f t="shared" si="12"/>
        <v>0.5032648510909381</v>
      </c>
      <c r="J87" s="25">
        <f t="shared" si="12"/>
        <v>0.23085072571246945</v>
      </c>
      <c r="K87" s="25">
        <f t="shared" si="12"/>
        <v>0.43062489240833179</v>
      </c>
      <c r="L87" s="28">
        <f>AVERAGE(H87:K87)</f>
        <v>0.41943812935112762</v>
      </c>
    </row>
    <row r="88" spans="1:12" x14ac:dyDescent="0.15">
      <c r="A88" s="19" t="s">
        <v>307</v>
      </c>
      <c r="C88" s="25">
        <f t="shared" ref="C88:K88" si="13">C15/B15-1</f>
        <v>0.12144170459139092</v>
      </c>
      <c r="D88" s="25">
        <f t="shared" si="13"/>
        <v>3.1492248062015449E-2</v>
      </c>
      <c r="E88" s="25">
        <f t="shared" si="13"/>
        <v>0.22686707374354165</v>
      </c>
      <c r="F88" s="25">
        <f t="shared" si="13"/>
        <v>0.28905053598774888</v>
      </c>
      <c r="G88" s="25">
        <f t="shared" si="13"/>
        <v>0.16483516483516492</v>
      </c>
      <c r="H88" s="25">
        <f t="shared" si="13"/>
        <v>0.49515553289138192</v>
      </c>
      <c r="I88" s="25">
        <f t="shared" si="13"/>
        <v>0.26773533424283769</v>
      </c>
      <c r="J88" s="25">
        <f t="shared" si="13"/>
        <v>0.49744417541027719</v>
      </c>
      <c r="K88" s="25">
        <f t="shared" si="13"/>
        <v>1.7696730147322981E-2</v>
      </c>
      <c r="L88" s="28">
        <f>AVERAGE(H88:K88)</f>
        <v>0.31950794317295494</v>
      </c>
    </row>
  </sheetData>
  <sheetProtection formatCells="0" formatColumns="0" formatRows="0" insertColumns="0" insertRows="0" insertHyperlinks="0" deleteColumns="0" deleteRows="0" sort="0" autoFilter="0" pivotTables="0"/>
  <sortState xmlns:xlrd2="http://schemas.microsoft.com/office/spreadsheetml/2017/richdata2" columnSort="1" ref="B58:J58">
    <sortCondition ref="B58:J58"/>
  </sortState>
  <pageMargins left="0.7" right="0.7" top="0.75" bottom="0.75" header="0.3" footer="0.3"/>
  <pageSetup orientation="portrait"/>
  <drawing r:id="rId1"/>
  <extLst>
    <ext xmlns:x14="http://schemas.microsoft.com/office/spreadsheetml/2009/9/main" uri="{05C60535-1F16-4fd2-B633-F4F36F0B64E0}">
      <x14:sparklineGroups xmlns:xm="http://schemas.microsoft.com/office/excel/2006/main">
        <x14:sparklineGroup displayEmptyCellsAs="gap" xr2:uid="{D391A661-6B61-4046-B0BE-ABDBDD95FBD7}">
          <x14:colorSeries rgb="FF00B050"/>
          <x14:colorNegative rgb="FFFF0000"/>
          <x14:colorAxis rgb="FF000000"/>
          <x14:colorMarkers rgb="FF0070C0"/>
          <x14:colorFirst rgb="FFFFC000"/>
          <x14:colorLast rgb="FFFFC000"/>
          <x14:colorHigh rgb="FF00B050"/>
          <x14:colorLow rgb="FFFF0000"/>
          <x14:sparklines>
            <x14:sparkline>
              <xm:f>'Income Statement'!B56:K56</xm:f>
              <xm:sqref>L56</xm:sqref>
            </x14:sparkline>
            <x14:sparkline>
              <xm:f>'Income Statement'!B57:K57</xm:f>
              <xm:sqref>L57</xm:sqref>
            </x14:sparkline>
            <x14:sparkline>
              <xm:f>'Income Statement'!B58:K58</xm:f>
              <xm:sqref>L58</xm:sqref>
            </x14:sparkline>
            <x14:sparkline>
              <xm:f>'Income Statement'!B59:K59</xm:f>
              <xm:sqref>L59</xm:sqref>
            </x14:sparkline>
            <x14:sparkline>
              <xm:f>'Income Statement'!B60:K60</xm:f>
              <xm:sqref>L60</xm:sqref>
            </x14:sparkline>
            <x14:sparkline>
              <xm:f>'Income Statement'!B61:K61</xm:f>
              <xm:sqref>L61</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0CB33-A9EE-1042-BEFC-1093642BEAD4}">
  <sheetPr>
    <tabColor rgb="FF00B050"/>
  </sheetPr>
  <dimension ref="A1:X26"/>
  <sheetViews>
    <sheetView zoomScale="115" zoomScaleNormal="100" workbookViewId="0">
      <pane xSplit="1" ySplit="2" topLeftCell="B3" activePane="bottomRight" state="frozen"/>
      <selection pane="topRight" activeCell="B1" sqref="B1"/>
      <selection pane="bottomLeft" activeCell="A3" sqref="A3"/>
      <selection pane="bottomRight" activeCell="C8" sqref="C8"/>
    </sheetView>
  </sheetViews>
  <sheetFormatPr baseColWidth="10" defaultColWidth="8.83203125" defaultRowHeight="13" x14ac:dyDescent="0.15"/>
  <cols>
    <col min="1" max="1" width="32.6640625" customWidth="1"/>
    <col min="2" max="9" width="12" customWidth="1"/>
    <col min="10" max="11" width="12.5" bestFit="1" customWidth="1"/>
    <col min="12" max="17" width="16.33203125" bestFit="1" customWidth="1"/>
    <col min="18" max="181" width="12" customWidth="1"/>
  </cols>
  <sheetData>
    <row r="1" spans="1:24" ht="28" x14ac:dyDescent="0.15">
      <c r="A1" s="4" t="s">
        <v>272</v>
      </c>
      <c r="B1" s="238">
        <v>42035</v>
      </c>
      <c r="C1" s="238">
        <v>42400</v>
      </c>
      <c r="D1" s="238">
        <v>42766</v>
      </c>
      <c r="E1" s="238">
        <v>43131</v>
      </c>
      <c r="F1" s="238">
        <v>43496</v>
      </c>
      <c r="G1" s="238">
        <v>43861</v>
      </c>
      <c r="H1" s="238">
        <v>44227</v>
      </c>
      <c r="I1" s="238">
        <v>44592</v>
      </c>
      <c r="J1" s="238">
        <v>44957</v>
      </c>
      <c r="K1" s="238">
        <v>45322</v>
      </c>
      <c r="L1" s="238" t="s">
        <v>177</v>
      </c>
      <c r="M1" s="238" t="s">
        <v>178</v>
      </c>
      <c r="N1" s="238" t="s">
        <v>179</v>
      </c>
      <c r="O1" s="238" t="s">
        <v>180</v>
      </c>
      <c r="P1" s="238" t="s">
        <v>181</v>
      </c>
      <c r="Q1" s="238" t="s">
        <v>182</v>
      </c>
    </row>
    <row r="2" spans="1:24" ht="14" x14ac:dyDescent="0.15">
      <c r="A2" s="5" t="s">
        <v>131</v>
      </c>
      <c r="B2" s="21" t="s">
        <v>132</v>
      </c>
      <c r="C2" s="21" t="s">
        <v>133</v>
      </c>
      <c r="D2" s="21" t="s">
        <v>134</v>
      </c>
      <c r="E2" s="21" t="s">
        <v>135</v>
      </c>
      <c r="F2" s="21" t="s">
        <v>136</v>
      </c>
      <c r="G2" s="21" t="s">
        <v>137</v>
      </c>
      <c r="H2" s="21" t="s">
        <v>138</v>
      </c>
      <c r="I2" s="21" t="s">
        <v>139</v>
      </c>
      <c r="J2" s="21" t="s">
        <v>140</v>
      </c>
      <c r="K2" s="21" t="s">
        <v>141</v>
      </c>
      <c r="L2" s="240">
        <v>45685</v>
      </c>
      <c r="M2" s="240">
        <v>46050</v>
      </c>
      <c r="N2" s="240">
        <v>46415</v>
      </c>
      <c r="O2" s="240">
        <v>46780</v>
      </c>
      <c r="P2" s="240">
        <v>47146</v>
      </c>
      <c r="Q2" s="240">
        <v>47511</v>
      </c>
    </row>
    <row r="3" spans="1:24" ht="14" x14ac:dyDescent="0.15">
      <c r="A3" s="5" t="s">
        <v>142</v>
      </c>
      <c r="B3" s="6" t="s">
        <v>143</v>
      </c>
      <c r="C3" s="6" t="s">
        <v>143</v>
      </c>
      <c r="D3" s="6" t="s">
        <v>143</v>
      </c>
      <c r="E3" s="6" t="s">
        <v>143</v>
      </c>
      <c r="F3" s="6" t="s">
        <v>143</v>
      </c>
      <c r="G3" s="6" t="s">
        <v>143</v>
      </c>
      <c r="H3" s="6" t="s">
        <v>143</v>
      </c>
      <c r="I3" s="6" t="s">
        <v>143</v>
      </c>
      <c r="J3" s="6" t="s">
        <v>143</v>
      </c>
      <c r="K3" s="6" t="s">
        <v>143</v>
      </c>
    </row>
    <row r="4" spans="1:24" ht="14" x14ac:dyDescent="0.15">
      <c r="A4" s="5" t="s">
        <v>144</v>
      </c>
      <c r="B4" s="6" t="s">
        <v>145</v>
      </c>
      <c r="C4" s="6" t="s">
        <v>145</v>
      </c>
      <c r="D4" s="6" t="s">
        <v>145</v>
      </c>
      <c r="E4" s="6" t="s">
        <v>145</v>
      </c>
      <c r="F4" s="6" t="s">
        <v>145</v>
      </c>
      <c r="G4" s="6" t="s">
        <v>145</v>
      </c>
      <c r="H4" s="6" t="s">
        <v>145</v>
      </c>
      <c r="I4" s="6" t="s">
        <v>145</v>
      </c>
      <c r="J4" s="6" t="s">
        <v>145</v>
      </c>
      <c r="K4" s="6" t="s">
        <v>145</v>
      </c>
    </row>
    <row r="5" spans="1:24" ht="14" x14ac:dyDescent="0.15">
      <c r="A5" s="5" t="s">
        <v>146</v>
      </c>
      <c r="B5" s="6" t="s">
        <v>147</v>
      </c>
      <c r="C5" s="6" t="s">
        <v>147</v>
      </c>
      <c r="D5" s="6" t="s">
        <v>147</v>
      </c>
      <c r="E5" s="6" t="s">
        <v>147</v>
      </c>
      <c r="F5" s="6" t="s">
        <v>147</v>
      </c>
      <c r="G5" s="6" t="s">
        <v>147</v>
      </c>
      <c r="H5" s="6" t="s">
        <v>147</v>
      </c>
      <c r="I5" s="6" t="s">
        <v>147</v>
      </c>
      <c r="J5" s="6" t="s">
        <v>147</v>
      </c>
      <c r="K5" s="6" t="s">
        <v>147</v>
      </c>
    </row>
    <row r="6" spans="1:24" ht="14" x14ac:dyDescent="0.15">
      <c r="A6" s="5" t="s">
        <v>148</v>
      </c>
      <c r="B6" s="6" t="s">
        <v>149</v>
      </c>
      <c r="C6" s="6" t="s">
        <v>149</v>
      </c>
      <c r="D6" s="6" t="s">
        <v>149</v>
      </c>
      <c r="E6" s="6" t="s">
        <v>149</v>
      </c>
      <c r="F6" s="6" t="s">
        <v>149</v>
      </c>
      <c r="G6" s="6" t="s">
        <v>149</v>
      </c>
      <c r="H6" s="6" t="s">
        <v>149</v>
      </c>
      <c r="I6" s="6" t="s">
        <v>149</v>
      </c>
      <c r="J6" s="6" t="s">
        <v>149</v>
      </c>
      <c r="K6" s="6" t="s">
        <v>149</v>
      </c>
    </row>
    <row r="7" spans="1:24" x14ac:dyDescent="0.15">
      <c r="A7" s="5"/>
      <c r="B7" s="6"/>
      <c r="C7" s="6"/>
      <c r="D7" s="6"/>
      <c r="E7" s="6"/>
      <c r="F7" s="6"/>
      <c r="G7" s="6"/>
      <c r="H7" s="6"/>
      <c r="I7" s="6"/>
      <c r="J7" s="6"/>
      <c r="K7" s="6"/>
    </row>
    <row r="8" spans="1:24" x14ac:dyDescent="0.15">
      <c r="A8" s="7"/>
      <c r="B8" s="9"/>
      <c r="C8" s="9"/>
      <c r="D8" s="9"/>
      <c r="E8" s="9"/>
      <c r="F8" s="9"/>
      <c r="G8" s="9"/>
      <c r="H8" s="9"/>
      <c r="I8" s="9"/>
      <c r="J8" s="9"/>
      <c r="K8" s="8"/>
      <c r="L8" s="241"/>
    </row>
    <row r="9" spans="1:24" x14ac:dyDescent="0.15">
      <c r="A9" s="20" t="s">
        <v>28</v>
      </c>
      <c r="B9" s="24">
        <v>4681507</v>
      </c>
      <c r="C9" s="24">
        <v>5010000</v>
      </c>
      <c r="D9" s="24">
        <v>6910000</v>
      </c>
      <c r="E9" s="24">
        <v>9714000</v>
      </c>
      <c r="F9" s="24">
        <v>11716000</v>
      </c>
      <c r="G9" s="24">
        <v>10918000</v>
      </c>
      <c r="H9" s="24">
        <v>16675000</v>
      </c>
      <c r="I9" s="24">
        <v>26914000</v>
      </c>
      <c r="J9" s="24">
        <v>26974000</v>
      </c>
      <c r="K9" s="24">
        <v>60922000</v>
      </c>
      <c r="L9" s="244">
        <f>SUM('Quarterly IS'!J8:M8)</f>
        <v>128666000</v>
      </c>
      <c r="M9" s="244">
        <f>L9*(1+$L$26)</f>
        <v>167437324.17787692</v>
      </c>
      <c r="N9" s="244">
        <f t="shared" ref="N9" si="0">M9*(1+$L$26)</f>
        <v>217891731.52073932</v>
      </c>
      <c r="O9" s="244">
        <f>N9*(1+$L$26/2)</f>
        <v>250720726.5873051</v>
      </c>
      <c r="P9" s="244">
        <f>O9*(1+$L$26/3)</f>
        <v>275904210.87641865</v>
      </c>
      <c r="Q9" s="244">
        <f>P9*(1+$L$26/3)</f>
        <v>303617234.26496196</v>
      </c>
      <c r="R9" s="236">
        <f>K9/J9-1</f>
        <v>1.2585452658115224</v>
      </c>
      <c r="S9" s="236">
        <f t="shared" ref="S9:X9" si="1">L9/K9-1</f>
        <v>1.1119792521584979</v>
      </c>
      <c r="T9" s="236">
        <f t="shared" si="1"/>
        <v>0.30133309637259975</v>
      </c>
      <c r="U9" s="236">
        <f t="shared" si="1"/>
        <v>0.30133309637259975</v>
      </c>
      <c r="V9" s="236">
        <f t="shared" si="1"/>
        <v>0.15066654818629988</v>
      </c>
      <c r="W9" s="236">
        <f t="shared" si="1"/>
        <v>0.10044436545753332</v>
      </c>
      <c r="X9" s="236">
        <f t="shared" si="1"/>
        <v>0.10044436545753332</v>
      </c>
    </row>
    <row r="10" spans="1:24" x14ac:dyDescent="0.15">
      <c r="A10" s="7" t="s">
        <v>29</v>
      </c>
      <c r="B10" s="8">
        <v>2082030</v>
      </c>
      <c r="C10" s="8">
        <v>2199000</v>
      </c>
      <c r="D10" s="8">
        <v>2847000</v>
      </c>
      <c r="E10" s="8">
        <v>3892000</v>
      </c>
      <c r="F10" s="8">
        <v>4545000</v>
      </c>
      <c r="G10" s="8">
        <v>4150000</v>
      </c>
      <c r="H10" s="8">
        <v>6279000</v>
      </c>
      <c r="I10" s="8">
        <v>9439000</v>
      </c>
      <c r="J10" s="8">
        <v>11618000</v>
      </c>
      <c r="K10" s="8">
        <v>16621000</v>
      </c>
      <c r="L10" s="244">
        <f>L9*0.25</f>
        <v>32166500</v>
      </c>
      <c r="M10" s="244">
        <f t="shared" ref="M10:N10" si="2">M9*0.25</f>
        <v>41859331.04446923</v>
      </c>
      <c r="N10" s="244">
        <f t="shared" si="2"/>
        <v>54472932.880184829</v>
      </c>
      <c r="O10" s="244">
        <f>O9*0.3</f>
        <v>75216217.976191521</v>
      </c>
      <c r="P10" s="244">
        <f>P9*0.3</f>
        <v>82771263.262925595</v>
      </c>
      <c r="Q10" s="244">
        <f>Q9*0.33</f>
        <v>100193687.30743745</v>
      </c>
    </row>
    <row r="11" spans="1:24" x14ac:dyDescent="0.15">
      <c r="A11" s="12" t="s">
        <v>30</v>
      </c>
      <c r="B11" s="13">
        <v>2599477</v>
      </c>
      <c r="C11" s="13">
        <v>2811000</v>
      </c>
      <c r="D11" s="13">
        <v>4063000</v>
      </c>
      <c r="E11" s="13">
        <v>5822000</v>
      </c>
      <c r="F11" s="13">
        <v>7171000</v>
      </c>
      <c r="G11" s="13">
        <v>6768000</v>
      </c>
      <c r="H11" s="13">
        <v>10396000</v>
      </c>
      <c r="I11" s="13">
        <v>17475000</v>
      </c>
      <c r="J11" s="13">
        <v>15356000</v>
      </c>
      <c r="K11" s="13">
        <v>44301000</v>
      </c>
      <c r="L11" s="245">
        <f>L9-L10</f>
        <v>96499500</v>
      </c>
      <c r="M11" s="245">
        <f t="shared" ref="M11:Q11" si="3">M9-M10</f>
        <v>125577993.13340768</v>
      </c>
      <c r="N11" s="245">
        <f t="shared" si="3"/>
        <v>163418798.64055449</v>
      </c>
      <c r="O11" s="245">
        <f t="shared" si="3"/>
        <v>175504508.61111358</v>
      </c>
      <c r="P11" s="245">
        <f t="shared" si="3"/>
        <v>193132947.61349306</v>
      </c>
      <c r="Q11" s="245">
        <f t="shared" si="3"/>
        <v>203423546.95752451</v>
      </c>
    </row>
    <row r="12" spans="1:24" x14ac:dyDescent="0.15">
      <c r="A12" s="7" t="s">
        <v>31</v>
      </c>
      <c r="B12" s="8">
        <v>480763</v>
      </c>
      <c r="C12" s="8">
        <v>602000</v>
      </c>
      <c r="D12" s="8">
        <v>663000</v>
      </c>
      <c r="E12" s="8">
        <v>815000</v>
      </c>
      <c r="F12" s="8">
        <v>991000</v>
      </c>
      <c r="G12" s="8">
        <v>1093000</v>
      </c>
      <c r="H12" s="8">
        <v>1940000</v>
      </c>
      <c r="I12" s="8">
        <v>2166000</v>
      </c>
      <c r="J12" s="8">
        <v>2440000</v>
      </c>
      <c r="K12" s="8">
        <v>2654000</v>
      </c>
      <c r="L12" s="244">
        <f>L9*0.03</f>
        <v>3859980</v>
      </c>
      <c r="M12" s="244">
        <f>M9*0.05</f>
        <v>8371866.2088938467</v>
      </c>
      <c r="N12" s="244">
        <f>N9*0.05</f>
        <v>10894586.576036967</v>
      </c>
      <c r="O12" s="244">
        <f>O9*0.07</f>
        <v>17550450.861111358</v>
      </c>
      <c r="P12" s="244">
        <f>P9*0.07</f>
        <v>19313294.761349306</v>
      </c>
      <c r="Q12" s="244">
        <f>Q9*0.09</f>
        <v>27325551.083846577</v>
      </c>
    </row>
    <row r="13" spans="1:24" x14ac:dyDescent="0.15">
      <c r="A13" s="7" t="s">
        <v>32</v>
      </c>
      <c r="B13" s="8">
        <v>1359725</v>
      </c>
      <c r="C13" s="8">
        <v>1331000</v>
      </c>
      <c r="D13" s="8">
        <v>1463000</v>
      </c>
      <c r="E13" s="8">
        <v>1797000</v>
      </c>
      <c r="F13" s="8">
        <v>2376000</v>
      </c>
      <c r="G13" s="8">
        <v>2829000</v>
      </c>
      <c r="H13" s="8">
        <v>3924000</v>
      </c>
      <c r="I13" s="8">
        <v>5268000</v>
      </c>
      <c r="J13" s="8">
        <v>7339000</v>
      </c>
      <c r="K13" s="8">
        <v>8675000</v>
      </c>
      <c r="L13" s="246">
        <f>L9*0.1</f>
        <v>12866600</v>
      </c>
      <c r="M13" s="246">
        <f t="shared" ref="M13:N13" si="4">M9*0.1</f>
        <v>16743732.417787693</v>
      </c>
      <c r="N13" s="246">
        <f t="shared" si="4"/>
        <v>21789173.152073935</v>
      </c>
      <c r="O13" s="244">
        <f>O9*0.15</f>
        <v>37608108.98809576</v>
      </c>
      <c r="P13" s="244">
        <f>P9*0.2</f>
        <v>55180842.17528373</v>
      </c>
      <c r="Q13" s="244">
        <f>Q9*0.2</f>
        <v>60723446.852992393</v>
      </c>
    </row>
    <row r="14" spans="1:24" x14ac:dyDescent="0.15">
      <c r="A14" s="7" t="s">
        <v>274</v>
      </c>
      <c r="B14" s="9">
        <v>0</v>
      </c>
      <c r="C14" s="8">
        <v>131000</v>
      </c>
      <c r="D14" s="8">
        <v>3000</v>
      </c>
      <c r="E14" s="9">
        <v>0</v>
      </c>
      <c r="F14" s="9">
        <v>0</v>
      </c>
      <c r="G14" s="9">
        <v>0</v>
      </c>
      <c r="H14" s="9">
        <v>0</v>
      </c>
      <c r="I14" s="9">
        <v>0</v>
      </c>
      <c r="J14" s="8">
        <v>1353000</v>
      </c>
      <c r="K14" s="9">
        <v>0</v>
      </c>
      <c r="L14" s="246">
        <f>L9*0.01</f>
        <v>1286660</v>
      </c>
      <c r="M14" s="246">
        <f t="shared" ref="M14:Q14" si="5">M9*0.01</f>
        <v>1674373.2417787693</v>
      </c>
      <c r="N14" s="246">
        <f t="shared" si="5"/>
        <v>2178917.3152073934</v>
      </c>
      <c r="O14" s="246">
        <f t="shared" si="5"/>
        <v>2507207.2658730512</v>
      </c>
      <c r="P14" s="246">
        <f t="shared" si="5"/>
        <v>2759042.1087641865</v>
      </c>
      <c r="Q14" s="246">
        <f t="shared" si="5"/>
        <v>3036172.3426496196</v>
      </c>
    </row>
    <row r="15" spans="1:24" x14ac:dyDescent="0.15">
      <c r="A15" s="12" t="s">
        <v>33</v>
      </c>
      <c r="B15" s="13">
        <v>1840488</v>
      </c>
      <c r="C15" s="13">
        <v>2064000</v>
      </c>
      <c r="D15" s="13">
        <v>2129000</v>
      </c>
      <c r="E15" s="13">
        <v>2612000</v>
      </c>
      <c r="F15" s="13">
        <v>3367000</v>
      </c>
      <c r="G15" s="13">
        <v>3922000</v>
      </c>
      <c r="H15" s="13">
        <v>5864000</v>
      </c>
      <c r="I15" s="13">
        <v>7434000</v>
      </c>
      <c r="J15" s="13">
        <v>11132000</v>
      </c>
      <c r="K15" s="13">
        <v>11329000</v>
      </c>
      <c r="L15" s="245">
        <f>SUM(L12:L14)</f>
        <v>18013240</v>
      </c>
      <c r="M15" s="245">
        <f t="shared" ref="M15:Q15" si="6">SUM(M12:M14)</f>
        <v>26789971.868460309</v>
      </c>
      <c r="N15" s="245">
        <f t="shared" si="6"/>
        <v>34862677.043318294</v>
      </c>
      <c r="O15" s="245">
        <f t="shared" si="6"/>
        <v>57665767.11508017</v>
      </c>
      <c r="P15" s="245">
        <f t="shared" si="6"/>
        <v>77253179.045397222</v>
      </c>
      <c r="Q15" s="245">
        <f t="shared" si="6"/>
        <v>91085170.279488593</v>
      </c>
    </row>
    <row r="16" spans="1:24" x14ac:dyDescent="0.15">
      <c r="A16" s="12" t="s">
        <v>275</v>
      </c>
      <c r="B16" s="13">
        <v>758989</v>
      </c>
      <c r="C16" s="13">
        <v>747000</v>
      </c>
      <c r="D16" s="13">
        <v>1934000</v>
      </c>
      <c r="E16" s="13">
        <v>3210000</v>
      </c>
      <c r="F16" s="13">
        <v>3804000</v>
      </c>
      <c r="G16" s="13">
        <v>2846000</v>
      </c>
      <c r="H16" s="13">
        <v>4532000</v>
      </c>
      <c r="I16" s="13">
        <v>10041000</v>
      </c>
      <c r="J16" s="13">
        <v>4224000</v>
      </c>
      <c r="K16" s="13">
        <v>32972000</v>
      </c>
      <c r="L16" s="245">
        <f>L11-L15</f>
        <v>78486260</v>
      </c>
      <c r="M16" s="245">
        <f t="shared" ref="M16:Q16" si="7">M11-M15</f>
        <v>98788021.26494737</v>
      </c>
      <c r="N16" s="245">
        <f t="shared" si="7"/>
        <v>128556121.59723619</v>
      </c>
      <c r="O16" s="245">
        <f t="shared" si="7"/>
        <v>117838741.4960334</v>
      </c>
      <c r="P16" s="245">
        <f t="shared" si="7"/>
        <v>115879768.56809583</v>
      </c>
      <c r="Q16" s="245">
        <f t="shared" si="7"/>
        <v>112338376.67803591</v>
      </c>
    </row>
    <row r="17" spans="1:24" x14ac:dyDescent="0.15">
      <c r="A17" s="7" t="s">
        <v>276</v>
      </c>
      <c r="B17" s="8">
        <v>-18043</v>
      </c>
      <c r="C17" s="8">
        <v>-8000</v>
      </c>
      <c r="D17" s="8">
        <v>-4000</v>
      </c>
      <c r="E17" s="8">
        <v>8000</v>
      </c>
      <c r="F17" s="8">
        <v>78000</v>
      </c>
      <c r="G17" s="8">
        <v>126000</v>
      </c>
      <c r="H17" s="8">
        <v>-127000</v>
      </c>
      <c r="I17" s="8">
        <v>-207000</v>
      </c>
      <c r="J17" s="8">
        <v>5000</v>
      </c>
      <c r="K17" s="8">
        <v>609000</v>
      </c>
      <c r="L17" s="244">
        <f>L9*0.008</f>
        <v>1029328</v>
      </c>
      <c r="M17" s="244">
        <f t="shared" ref="M17:Q17" si="8">M9*0.008</f>
        <v>1339498.5934230154</v>
      </c>
      <c r="N17" s="244">
        <f t="shared" si="8"/>
        <v>1743133.8521659146</v>
      </c>
      <c r="O17" s="244">
        <f t="shared" si="8"/>
        <v>2005765.8126984409</v>
      </c>
      <c r="P17" s="244">
        <f t="shared" si="8"/>
        <v>2207233.687011349</v>
      </c>
      <c r="Q17" s="244">
        <f t="shared" si="8"/>
        <v>2428937.8741196957</v>
      </c>
    </row>
    <row r="18" spans="1:24" x14ac:dyDescent="0.15">
      <c r="A18" s="7" t="s">
        <v>278</v>
      </c>
      <c r="B18" s="8">
        <v>13890</v>
      </c>
      <c r="C18" s="8">
        <v>4000</v>
      </c>
      <c r="D18" s="8">
        <v>-25000</v>
      </c>
      <c r="E18" s="8">
        <v>-22000</v>
      </c>
      <c r="F18" s="8">
        <v>14000</v>
      </c>
      <c r="G18" s="8">
        <v>-2000</v>
      </c>
      <c r="H18" s="8">
        <v>4000</v>
      </c>
      <c r="I18" s="8">
        <v>107000</v>
      </c>
      <c r="J18" s="8">
        <v>-48000</v>
      </c>
      <c r="K18" s="8">
        <v>237000</v>
      </c>
      <c r="L18" s="244">
        <f>L9*0.002</f>
        <v>257332</v>
      </c>
      <c r="M18" s="244">
        <f t="shared" ref="M18:Q18" si="9">M9*0.002</f>
        <v>334874.64835575386</v>
      </c>
      <c r="N18" s="244">
        <f t="shared" si="9"/>
        <v>435783.46304147865</v>
      </c>
      <c r="O18" s="244">
        <f t="shared" si="9"/>
        <v>501441.45317461021</v>
      </c>
      <c r="P18" s="244">
        <f t="shared" si="9"/>
        <v>551808.42175283725</v>
      </c>
      <c r="Q18" s="244">
        <f t="shared" si="9"/>
        <v>607234.46852992394</v>
      </c>
    </row>
    <row r="19" spans="1:24" x14ac:dyDescent="0.15">
      <c r="A19" s="12" t="s">
        <v>280</v>
      </c>
      <c r="B19" s="13">
        <v>-4153</v>
      </c>
      <c r="C19" s="13">
        <v>-4000</v>
      </c>
      <c r="D19" s="13">
        <v>-29000</v>
      </c>
      <c r="E19" s="13">
        <v>-14000</v>
      </c>
      <c r="F19" s="13">
        <v>92000</v>
      </c>
      <c r="G19" s="13">
        <v>124000</v>
      </c>
      <c r="H19" s="13">
        <v>-123000</v>
      </c>
      <c r="I19" s="13">
        <v>-100000</v>
      </c>
      <c r="J19" s="13">
        <v>-43000</v>
      </c>
      <c r="K19" s="13">
        <v>846000</v>
      </c>
      <c r="L19" s="245">
        <f>L17+L18</f>
        <v>1286660</v>
      </c>
      <c r="M19" s="245">
        <f t="shared" ref="M19:Q19" si="10">M17+M18</f>
        <v>1674373.2417787693</v>
      </c>
      <c r="N19" s="245">
        <f t="shared" si="10"/>
        <v>2178917.3152073934</v>
      </c>
      <c r="O19" s="245">
        <f t="shared" si="10"/>
        <v>2507207.2658730512</v>
      </c>
      <c r="P19" s="245">
        <f t="shared" si="10"/>
        <v>2759042.1087641865</v>
      </c>
      <c r="Q19" s="245">
        <f t="shared" si="10"/>
        <v>3036172.3426496196</v>
      </c>
    </row>
    <row r="20" spans="1:24" x14ac:dyDescent="0.15">
      <c r="A20" s="12" t="s">
        <v>281</v>
      </c>
      <c r="B20" s="13">
        <v>754836</v>
      </c>
      <c r="C20" s="13">
        <v>743000</v>
      </c>
      <c r="D20" s="13">
        <v>1905000</v>
      </c>
      <c r="E20" s="13">
        <v>3196000</v>
      </c>
      <c r="F20" s="13">
        <v>3896000</v>
      </c>
      <c r="G20" s="13">
        <v>2970000</v>
      </c>
      <c r="H20" s="13">
        <v>4409000</v>
      </c>
      <c r="I20" s="13">
        <v>9941000</v>
      </c>
      <c r="J20" s="13">
        <v>4181000</v>
      </c>
      <c r="K20" s="13">
        <v>33818000</v>
      </c>
      <c r="L20" s="248">
        <f>L16-L19</f>
        <v>77199600</v>
      </c>
      <c r="M20" s="248">
        <f t="shared" ref="M20:Q20" si="11">M16-M19</f>
        <v>97113648.023168594</v>
      </c>
      <c r="N20" s="248">
        <f t="shared" si="11"/>
        <v>126377204.28202879</v>
      </c>
      <c r="O20" s="248">
        <f t="shared" si="11"/>
        <v>115331534.23016036</v>
      </c>
      <c r="P20" s="248">
        <f t="shared" si="11"/>
        <v>113120726.45933165</v>
      </c>
      <c r="Q20" s="248">
        <f t="shared" si="11"/>
        <v>109302204.33538629</v>
      </c>
    </row>
    <row r="21" spans="1:24" x14ac:dyDescent="0.15">
      <c r="A21" s="7" t="s">
        <v>39</v>
      </c>
      <c r="B21" s="8">
        <v>124249</v>
      </c>
      <c r="C21" s="8">
        <v>129000</v>
      </c>
      <c r="D21" s="8">
        <v>239000</v>
      </c>
      <c r="E21" s="8">
        <v>149000</v>
      </c>
      <c r="F21" s="8">
        <v>-245000</v>
      </c>
      <c r="G21" s="8">
        <v>174000</v>
      </c>
      <c r="H21" s="8">
        <v>77000</v>
      </c>
      <c r="I21" s="8">
        <v>189000</v>
      </c>
      <c r="J21" s="8">
        <v>-187000</v>
      </c>
      <c r="K21" s="8">
        <v>4058000</v>
      </c>
      <c r="L21" s="244">
        <f>L9*0.09</f>
        <v>11579940</v>
      </c>
      <c r="M21" s="244">
        <f t="shared" ref="M21" si="12">M9*0.09</f>
        <v>15069359.176008923</v>
      </c>
      <c r="N21" s="244">
        <f>N9*0.09</f>
        <v>19610255.836866539</v>
      </c>
      <c r="O21" s="244">
        <f>O9*0.07</f>
        <v>17550450.861111358</v>
      </c>
      <c r="P21" s="244">
        <f>P9*0.05</f>
        <v>13795210.543820933</v>
      </c>
      <c r="Q21" s="244">
        <f>Q9*0.05</f>
        <v>15180861.713248098</v>
      </c>
    </row>
    <row r="22" spans="1:24" x14ac:dyDescent="0.15">
      <c r="A22" s="12" t="s">
        <v>40</v>
      </c>
      <c r="B22" s="13">
        <v>630587</v>
      </c>
      <c r="C22" s="13">
        <v>614000</v>
      </c>
      <c r="D22" s="13">
        <v>1666000</v>
      </c>
      <c r="E22" s="13">
        <v>3047000</v>
      </c>
      <c r="F22" s="13">
        <v>4141000</v>
      </c>
      <c r="G22" s="13">
        <v>2796000</v>
      </c>
      <c r="H22" s="13">
        <v>4332000</v>
      </c>
      <c r="I22" s="13">
        <v>9752000</v>
      </c>
      <c r="J22" s="13">
        <v>4368000</v>
      </c>
      <c r="K22" s="13">
        <v>29760000</v>
      </c>
      <c r="L22" s="245">
        <f>L20-L21</f>
        <v>65619660</v>
      </c>
      <c r="M22" s="245">
        <f t="shared" ref="M22:Q22" si="13">M20-M21</f>
        <v>82044288.847159669</v>
      </c>
      <c r="N22" s="245">
        <f t="shared" si="13"/>
        <v>106766948.44516225</v>
      </c>
      <c r="O22" s="245">
        <f t="shared" si="13"/>
        <v>97781083.369048998</v>
      </c>
      <c r="P22" s="245">
        <f t="shared" si="13"/>
        <v>99325515.915510714</v>
      </c>
      <c r="Q22" s="245">
        <f t="shared" si="13"/>
        <v>94121342.622138187</v>
      </c>
      <c r="R22" s="236">
        <f>K22/J22-1</f>
        <v>5.813186813186813</v>
      </c>
      <c r="S22" s="236">
        <f t="shared" ref="S22" si="14">L22/K22-1</f>
        <v>1.2049616935483871</v>
      </c>
      <c r="T22" s="236">
        <f t="shared" ref="T22" si="15">M22/L22-1</f>
        <v>0.25030042592661506</v>
      </c>
      <c r="U22" s="236">
        <f t="shared" ref="U22" si="16">N22/M22-1</f>
        <v>0.30133309637259975</v>
      </c>
      <c r="V22" s="236">
        <f t="shared" ref="V22" si="17">O22/N22-1</f>
        <v>-8.4163359606822308E-2</v>
      </c>
      <c r="W22" s="236">
        <f t="shared" ref="W22" si="18">P22/O22-1</f>
        <v>1.5794798883876693E-2</v>
      </c>
      <c r="X22" s="236">
        <f t="shared" ref="X22" si="19">Q22/P22-1</f>
        <v>-5.2395129744902125E-2</v>
      </c>
    </row>
    <row r="23" spans="1:24" x14ac:dyDescent="0.15">
      <c r="A23" s="10"/>
      <c r="B23" s="15"/>
      <c r="C23" s="15"/>
      <c r="D23" s="15"/>
      <c r="E23" s="15"/>
      <c r="F23" s="15"/>
      <c r="G23" s="15"/>
      <c r="H23" s="15"/>
      <c r="I23" s="15"/>
      <c r="J23" s="15"/>
      <c r="K23" s="15"/>
      <c r="L23" s="16" t="s">
        <v>324</v>
      </c>
    </row>
    <row r="24" spans="1:24" x14ac:dyDescent="0.15">
      <c r="A24" s="10" t="s">
        <v>325</v>
      </c>
      <c r="C24" s="25">
        <f>C9/B9-1</f>
        <v>7.0168217200145211E-2</v>
      </c>
      <c r="D24" s="25">
        <f t="shared" ref="D24:K24" si="20">D9/C9-1</f>
        <v>0.37924151696606789</v>
      </c>
      <c r="E24" s="25">
        <f t="shared" si="20"/>
        <v>0.40578871201157751</v>
      </c>
      <c r="F24" s="25">
        <f t="shared" si="20"/>
        <v>0.20609429689108505</v>
      </c>
      <c r="G24" s="25">
        <f t="shared" si="20"/>
        <v>-6.8111983612154314E-2</v>
      </c>
      <c r="H24" s="25">
        <f t="shared" si="20"/>
        <v>0.52729437625938824</v>
      </c>
      <c r="I24" s="25">
        <f t="shared" si="20"/>
        <v>0.61403298350824587</v>
      </c>
      <c r="J24" s="25">
        <f t="shared" si="20"/>
        <v>2.2293230289069932E-3</v>
      </c>
      <c r="K24" s="25">
        <f t="shared" si="20"/>
        <v>1.2585452658115224</v>
      </c>
      <c r="L24" s="26">
        <f>AVERAGE(C24:K24)</f>
        <v>0.37725363422942054</v>
      </c>
    </row>
    <row r="25" spans="1:24" x14ac:dyDescent="0.15">
      <c r="L25" s="16" t="s">
        <v>326</v>
      </c>
    </row>
    <row r="26" spans="1:24" x14ac:dyDescent="0.15">
      <c r="L26" s="25">
        <f>((K9/B9)^1/10)-1</f>
        <v>0.30133309637259975</v>
      </c>
    </row>
  </sheetData>
  <sheetProtection formatCells="0" formatColumns="0" formatRows="0" insertColumns="0" insertRows="0" insertHyperlinks="0" deleteColumns="0" deleteRows="0" sort="0" autoFilter="0" pivotTables="0"/>
  <phoneticPr fontId="14" type="noConversion"/>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B1751-1677-0141-AECC-660CB48EAE1A}">
  <sheetPr>
    <tabColor rgb="FF00B050"/>
  </sheetPr>
  <dimension ref="A1:P43"/>
  <sheetViews>
    <sheetView zoomScale="116" workbookViewId="0">
      <pane xSplit="1" ySplit="2" topLeftCell="E3" activePane="bottomRight" state="frozen"/>
      <selection pane="topRight" activeCell="B1" sqref="B1"/>
      <selection pane="bottomLeft" activeCell="A3" sqref="A3"/>
      <selection pane="bottomRight" activeCell="L23" sqref="L23"/>
    </sheetView>
  </sheetViews>
  <sheetFormatPr baseColWidth="10" defaultColWidth="8.83203125" defaultRowHeight="13" x14ac:dyDescent="0.15"/>
  <cols>
    <col min="1" max="1" width="50" style="52" customWidth="1"/>
    <col min="2" max="12" width="12" style="52" customWidth="1"/>
    <col min="13" max="13" width="14.33203125" style="52" customWidth="1"/>
    <col min="14" max="190" width="12" style="52" customWidth="1"/>
    <col min="191" max="16384" width="8.83203125" style="52"/>
  </cols>
  <sheetData>
    <row r="1" spans="1:16" ht="14" x14ac:dyDescent="0.15">
      <c r="A1" s="55" t="s">
        <v>327</v>
      </c>
      <c r="M1" s="52" t="s">
        <v>328</v>
      </c>
    </row>
    <row r="2" spans="1:16" ht="14" x14ac:dyDescent="0.15">
      <c r="A2" s="57" t="s">
        <v>131</v>
      </c>
      <c r="B2" s="58" t="s">
        <v>198</v>
      </c>
      <c r="C2" s="58" t="s">
        <v>199</v>
      </c>
      <c r="D2" s="58" t="s">
        <v>200</v>
      </c>
      <c r="E2" s="58" t="s">
        <v>140</v>
      </c>
      <c r="F2" s="58" t="s">
        <v>201</v>
      </c>
      <c r="G2" s="58" t="s">
        <v>202</v>
      </c>
      <c r="H2" s="58" t="s">
        <v>203</v>
      </c>
      <c r="I2" s="58" t="s">
        <v>141</v>
      </c>
      <c r="J2" s="58" t="s">
        <v>204</v>
      </c>
      <c r="K2" s="58" t="s">
        <v>205</v>
      </c>
      <c r="L2" s="58" t="s">
        <v>206</v>
      </c>
      <c r="M2" s="57"/>
    </row>
    <row r="3" spans="1:16" ht="14" x14ac:dyDescent="0.15">
      <c r="A3" s="57"/>
      <c r="B3" s="58" t="s">
        <v>207</v>
      </c>
      <c r="C3" s="58" t="s">
        <v>208</v>
      </c>
      <c r="D3" s="58" t="s">
        <v>209</v>
      </c>
      <c r="E3" s="58" t="s">
        <v>210</v>
      </c>
      <c r="F3" s="58" t="s">
        <v>207</v>
      </c>
      <c r="G3" s="58" t="s">
        <v>208</v>
      </c>
      <c r="H3" s="58" t="s">
        <v>209</v>
      </c>
      <c r="I3" s="58" t="s">
        <v>210</v>
      </c>
      <c r="J3" s="58" t="s">
        <v>207</v>
      </c>
      <c r="K3" s="58" t="s">
        <v>208</v>
      </c>
      <c r="L3" s="58" t="s">
        <v>209</v>
      </c>
      <c r="M3" s="57"/>
    </row>
    <row r="4" spans="1:16" ht="14" x14ac:dyDescent="0.15">
      <c r="A4" s="57" t="s">
        <v>142</v>
      </c>
      <c r="B4" s="58" t="s">
        <v>143</v>
      </c>
      <c r="C4" s="58" t="s">
        <v>143</v>
      </c>
      <c r="D4" s="58" t="s">
        <v>143</v>
      </c>
      <c r="E4" s="58" t="s">
        <v>143</v>
      </c>
      <c r="F4" s="58" t="s">
        <v>143</v>
      </c>
      <c r="G4" s="58" t="s">
        <v>143</v>
      </c>
      <c r="H4" s="58" t="s">
        <v>143</v>
      </c>
      <c r="I4" s="58" t="s">
        <v>143</v>
      </c>
      <c r="J4" s="58" t="s">
        <v>143</v>
      </c>
      <c r="K4" s="58" t="s">
        <v>143</v>
      </c>
      <c r="L4" s="58" t="s">
        <v>143</v>
      </c>
      <c r="M4" s="57"/>
    </row>
    <row r="5" spans="1:16" ht="14" x14ac:dyDescent="0.15">
      <c r="A5" s="57" t="s">
        <v>144</v>
      </c>
      <c r="B5" s="58" t="s">
        <v>145</v>
      </c>
      <c r="C5" s="58" t="s">
        <v>145</v>
      </c>
      <c r="D5" s="58" t="s">
        <v>145</v>
      </c>
      <c r="E5" s="58" t="s">
        <v>145</v>
      </c>
      <c r="F5" s="58" t="s">
        <v>145</v>
      </c>
      <c r="G5" s="58" t="s">
        <v>145</v>
      </c>
      <c r="H5" s="58" t="s">
        <v>145</v>
      </c>
      <c r="I5" s="58" t="s">
        <v>145</v>
      </c>
      <c r="J5" s="58" t="s">
        <v>145</v>
      </c>
      <c r="K5" s="58" t="s">
        <v>145</v>
      </c>
      <c r="L5" s="58" t="s">
        <v>145</v>
      </c>
      <c r="M5" s="57"/>
    </row>
    <row r="6" spans="1:16" ht="14" x14ac:dyDescent="0.15">
      <c r="A6" s="57" t="s">
        <v>146</v>
      </c>
      <c r="B6" s="58" t="s">
        <v>147</v>
      </c>
      <c r="C6" s="58" t="s">
        <v>147</v>
      </c>
      <c r="D6" s="58" t="s">
        <v>147</v>
      </c>
      <c r="E6" s="58" t="s">
        <v>147</v>
      </c>
      <c r="F6" s="58" t="s">
        <v>147</v>
      </c>
      <c r="G6" s="58" t="s">
        <v>147</v>
      </c>
      <c r="H6" s="58" t="s">
        <v>147</v>
      </c>
      <c r="I6" s="58" t="s">
        <v>147</v>
      </c>
      <c r="J6" s="58" t="s">
        <v>147</v>
      </c>
      <c r="K6" s="58" t="s">
        <v>147</v>
      </c>
      <c r="L6" s="58" t="s">
        <v>147</v>
      </c>
      <c r="M6" s="57"/>
    </row>
    <row r="7" spans="1:16" ht="14" x14ac:dyDescent="0.15">
      <c r="A7" s="57" t="s">
        <v>148</v>
      </c>
      <c r="B7" s="58" t="s">
        <v>149</v>
      </c>
      <c r="C7" s="58" t="s">
        <v>149</v>
      </c>
      <c r="D7" s="58" t="s">
        <v>149</v>
      </c>
      <c r="E7" s="58" t="s">
        <v>149</v>
      </c>
      <c r="F7" s="58" t="s">
        <v>149</v>
      </c>
      <c r="G7" s="58" t="s">
        <v>149</v>
      </c>
      <c r="H7" s="58" t="s">
        <v>149</v>
      </c>
      <c r="I7" s="58" t="s">
        <v>149</v>
      </c>
      <c r="J7" s="58" t="s">
        <v>149</v>
      </c>
      <c r="K7" s="58" t="s">
        <v>149</v>
      </c>
      <c r="L7" s="58" t="s">
        <v>149</v>
      </c>
      <c r="M7" s="57"/>
    </row>
    <row r="8" spans="1:16" x14ac:dyDescent="0.15">
      <c r="A8" s="59" t="s">
        <v>28</v>
      </c>
      <c r="B8" s="8">
        <v>8288000</v>
      </c>
      <c r="C8" s="8">
        <v>6704000</v>
      </c>
      <c r="D8" s="8">
        <v>5931000</v>
      </c>
      <c r="E8" s="8">
        <v>6051000</v>
      </c>
      <c r="F8" s="8">
        <v>7192000</v>
      </c>
      <c r="G8" s="8">
        <v>13507000</v>
      </c>
      <c r="H8" s="8">
        <v>18120000</v>
      </c>
      <c r="I8" s="8">
        <v>22103000</v>
      </c>
      <c r="J8" s="8">
        <v>26044000</v>
      </c>
      <c r="K8" s="8">
        <v>30040000</v>
      </c>
      <c r="L8" s="8">
        <v>35082000</v>
      </c>
      <c r="M8" s="62">
        <v>37500000</v>
      </c>
    </row>
    <row r="9" spans="1:16" x14ac:dyDescent="0.15">
      <c r="A9" s="59" t="s">
        <v>29</v>
      </c>
      <c r="B9" s="8">
        <v>2857000</v>
      </c>
      <c r="C9" s="8">
        <v>3789000</v>
      </c>
      <c r="D9" s="8">
        <v>2754000</v>
      </c>
      <c r="E9" s="8">
        <v>2218000</v>
      </c>
      <c r="F9" s="8">
        <v>2544000</v>
      </c>
      <c r="G9" s="8">
        <v>4045000</v>
      </c>
      <c r="H9" s="8">
        <v>4720000</v>
      </c>
      <c r="I9" s="8">
        <v>5312000</v>
      </c>
      <c r="J9" s="8">
        <v>5638000</v>
      </c>
      <c r="K9" s="8">
        <v>7466000</v>
      </c>
      <c r="L9" s="8">
        <v>8926000</v>
      </c>
      <c r="M9" s="59"/>
      <c r="N9" s="243">
        <f>J9/J$8</f>
        <v>0.21647980340961451</v>
      </c>
      <c r="O9" s="243">
        <f t="shared" ref="O9:P9" si="0">K9/K$8</f>
        <v>0.24853528628495339</v>
      </c>
      <c r="P9" s="243">
        <f t="shared" si="0"/>
        <v>0.25443247249301637</v>
      </c>
    </row>
    <row r="10" spans="1:16" x14ac:dyDescent="0.15">
      <c r="A10" s="60" t="s">
        <v>30</v>
      </c>
      <c r="B10" s="13">
        <v>5431000</v>
      </c>
      <c r="C10" s="13">
        <v>2915000</v>
      </c>
      <c r="D10" s="13">
        <v>3177000</v>
      </c>
      <c r="E10" s="13">
        <v>3833000</v>
      </c>
      <c r="F10" s="13">
        <v>4648000</v>
      </c>
      <c r="G10" s="13">
        <v>9462000</v>
      </c>
      <c r="H10" s="13">
        <v>13400000</v>
      </c>
      <c r="I10" s="13">
        <v>16791000</v>
      </c>
      <c r="J10" s="13">
        <v>20406000</v>
      </c>
      <c r="K10" s="13">
        <v>22574000</v>
      </c>
      <c r="L10" s="13">
        <v>26156000</v>
      </c>
      <c r="M10" s="59"/>
      <c r="N10" s="243">
        <f t="shared" ref="N10:N12" si="1">J10/J$8</f>
        <v>0.78352019659038552</v>
      </c>
      <c r="O10" s="243">
        <f t="shared" ref="O10:O12" si="2">K10/K$8</f>
        <v>0.75146471371504664</v>
      </c>
      <c r="P10" s="243">
        <f t="shared" ref="P10:P12" si="3">L10/L$8</f>
        <v>0.74556752750698363</v>
      </c>
    </row>
    <row r="11" spans="1:16" x14ac:dyDescent="0.15">
      <c r="A11" s="59" t="s">
        <v>31</v>
      </c>
      <c r="B11" s="8">
        <v>592000</v>
      </c>
      <c r="C11" s="8">
        <v>592000</v>
      </c>
      <c r="D11" s="8">
        <v>631000</v>
      </c>
      <c r="E11" s="8">
        <v>625000</v>
      </c>
      <c r="F11" s="8">
        <v>633000</v>
      </c>
      <c r="G11" s="8">
        <v>622000</v>
      </c>
      <c r="H11" s="8">
        <v>689000</v>
      </c>
      <c r="I11" s="8">
        <v>712000</v>
      </c>
      <c r="J11" s="8">
        <v>777000</v>
      </c>
      <c r="K11" s="8">
        <v>842000</v>
      </c>
      <c r="L11" s="8">
        <v>897000</v>
      </c>
      <c r="M11" s="59"/>
      <c r="N11" s="243">
        <f t="shared" si="1"/>
        <v>2.9834126862233145E-2</v>
      </c>
      <c r="O11" s="243">
        <f t="shared" si="2"/>
        <v>2.8029294274300932E-2</v>
      </c>
      <c r="P11" s="243">
        <f t="shared" si="3"/>
        <v>2.5568667692833932E-2</v>
      </c>
    </row>
    <row r="12" spans="1:16" x14ac:dyDescent="0.15">
      <c r="A12" s="59" t="s">
        <v>32</v>
      </c>
      <c r="B12" s="8">
        <v>1618000</v>
      </c>
      <c r="C12" s="8">
        <v>1824000</v>
      </c>
      <c r="D12" s="8">
        <v>1945000</v>
      </c>
      <c r="E12" s="8">
        <v>1952000</v>
      </c>
      <c r="F12" s="8">
        <v>1875000</v>
      </c>
      <c r="G12" s="8">
        <v>2040000</v>
      </c>
      <c r="H12" s="8">
        <v>2294000</v>
      </c>
      <c r="I12" s="8">
        <v>2465000</v>
      </c>
      <c r="J12" s="8">
        <v>2720000</v>
      </c>
      <c r="K12" s="8">
        <v>3090000</v>
      </c>
      <c r="L12" s="8">
        <v>3390000</v>
      </c>
      <c r="M12" s="59"/>
      <c r="N12" s="243">
        <f t="shared" si="1"/>
        <v>0.10443864229765012</v>
      </c>
      <c r="O12" s="243">
        <f t="shared" si="2"/>
        <v>0.10286284953395473</v>
      </c>
      <c r="P12" s="243">
        <f t="shared" si="3"/>
        <v>9.6630750812382413E-2</v>
      </c>
    </row>
    <row r="13" spans="1:16" x14ac:dyDescent="0.15">
      <c r="A13" s="59" t="s">
        <v>329</v>
      </c>
      <c r="B13" s="9" t="s">
        <v>154</v>
      </c>
      <c r="C13" s="9" t="s">
        <v>154</v>
      </c>
      <c r="D13" s="9" t="s">
        <v>154</v>
      </c>
      <c r="E13" s="8">
        <v>1353000</v>
      </c>
      <c r="F13" s="9" t="s">
        <v>154</v>
      </c>
      <c r="G13" s="9" t="s">
        <v>154</v>
      </c>
      <c r="H13" s="9" t="s">
        <v>154</v>
      </c>
      <c r="I13" s="9" t="s">
        <v>154</v>
      </c>
      <c r="J13" s="9" t="s">
        <v>154</v>
      </c>
      <c r="K13" s="9" t="s">
        <v>154</v>
      </c>
      <c r="L13" s="9" t="s">
        <v>154</v>
      </c>
      <c r="M13" s="59"/>
      <c r="N13" s="243" t="e">
        <f t="shared" ref="N13:N23" si="4">J13/J$8</f>
        <v>#VALUE!</v>
      </c>
      <c r="O13" s="243" t="e">
        <f t="shared" ref="O13:O23" si="5">K13/K$8</f>
        <v>#VALUE!</v>
      </c>
      <c r="P13" s="243" t="e">
        <f t="shared" ref="P13:P23" si="6">L13/L$8</f>
        <v>#VALUE!</v>
      </c>
    </row>
    <row r="14" spans="1:16" x14ac:dyDescent="0.15">
      <c r="A14" s="59" t="s">
        <v>274</v>
      </c>
      <c r="B14" s="8">
        <v>1353000</v>
      </c>
      <c r="C14" s="8">
        <v>0</v>
      </c>
      <c r="D14" s="8">
        <v>0</v>
      </c>
      <c r="E14" s="8">
        <v>-1353000</v>
      </c>
      <c r="F14" s="8">
        <v>0</v>
      </c>
      <c r="G14" s="8">
        <v>0</v>
      </c>
      <c r="H14" s="8">
        <v>0</v>
      </c>
      <c r="I14" s="8">
        <v>0</v>
      </c>
      <c r="J14" s="8">
        <v>0</v>
      </c>
      <c r="K14" s="8">
        <v>0</v>
      </c>
      <c r="L14" s="8">
        <v>0</v>
      </c>
      <c r="M14" s="59"/>
      <c r="N14" s="243">
        <f t="shared" si="4"/>
        <v>0</v>
      </c>
      <c r="O14" s="243">
        <f t="shared" si="5"/>
        <v>0</v>
      </c>
      <c r="P14" s="243">
        <f t="shared" si="6"/>
        <v>0</v>
      </c>
    </row>
    <row r="15" spans="1:16" x14ac:dyDescent="0.15">
      <c r="A15" s="60" t="s">
        <v>33</v>
      </c>
      <c r="B15" s="13">
        <v>3563000</v>
      </c>
      <c r="C15" s="13">
        <v>2416000</v>
      </c>
      <c r="D15" s="13">
        <v>2576000</v>
      </c>
      <c r="E15" s="13">
        <v>2577000</v>
      </c>
      <c r="F15" s="13">
        <v>2508000</v>
      </c>
      <c r="G15" s="13">
        <v>2662000</v>
      </c>
      <c r="H15" s="13">
        <v>2983000</v>
      </c>
      <c r="I15" s="13">
        <v>3177000</v>
      </c>
      <c r="J15" s="13">
        <v>3497000</v>
      </c>
      <c r="K15" s="13">
        <v>3932000</v>
      </c>
      <c r="L15" s="13">
        <v>4287000</v>
      </c>
      <c r="M15" s="59"/>
      <c r="N15" s="243">
        <f t="shared" si="4"/>
        <v>0.13427276915988329</v>
      </c>
      <c r="O15" s="243">
        <f t="shared" si="5"/>
        <v>0.13089214380825565</v>
      </c>
      <c r="P15" s="243">
        <f t="shared" si="6"/>
        <v>0.12219941850521635</v>
      </c>
    </row>
    <row r="16" spans="1:16" x14ac:dyDescent="0.15">
      <c r="A16" s="60" t="s">
        <v>275</v>
      </c>
      <c r="B16" s="13">
        <v>1868000</v>
      </c>
      <c r="C16" s="13">
        <v>499000</v>
      </c>
      <c r="D16" s="13">
        <v>601000</v>
      </c>
      <c r="E16" s="13">
        <v>1256000</v>
      </c>
      <c r="F16" s="13">
        <v>2140000</v>
      </c>
      <c r="G16" s="13">
        <v>6800000</v>
      </c>
      <c r="H16" s="13">
        <v>10417000</v>
      </c>
      <c r="I16" s="13">
        <v>13614000</v>
      </c>
      <c r="J16" s="13">
        <v>16909000</v>
      </c>
      <c r="K16" s="13">
        <v>18642000</v>
      </c>
      <c r="L16" s="13">
        <v>21869000</v>
      </c>
      <c r="M16" s="59"/>
      <c r="N16" s="243">
        <f t="shared" si="4"/>
        <v>0.64924742743050223</v>
      </c>
      <c r="O16" s="243">
        <f t="shared" si="5"/>
        <v>0.62057256990679099</v>
      </c>
      <c r="P16" s="243">
        <f t="shared" si="6"/>
        <v>0.62336810900176731</v>
      </c>
    </row>
    <row r="17" spans="1:16" x14ac:dyDescent="0.15">
      <c r="A17" s="59" t="s">
        <v>276</v>
      </c>
      <c r="B17" s="8">
        <v>-50000</v>
      </c>
      <c r="C17" s="8">
        <v>-19000</v>
      </c>
      <c r="D17" s="8">
        <v>23000</v>
      </c>
      <c r="E17" s="8">
        <v>51000</v>
      </c>
      <c r="F17" s="8">
        <v>84000</v>
      </c>
      <c r="G17" s="8">
        <v>122000</v>
      </c>
      <c r="H17" s="8">
        <v>171000</v>
      </c>
      <c r="I17" s="8">
        <v>231000</v>
      </c>
      <c r="J17" s="8">
        <v>295000</v>
      </c>
      <c r="K17" s="8">
        <v>383000</v>
      </c>
      <c r="L17" s="8">
        <v>411000</v>
      </c>
      <c r="M17" s="59"/>
      <c r="N17" s="243">
        <f t="shared" si="4"/>
        <v>1.1326985102134849E-2</v>
      </c>
      <c r="O17" s="243">
        <f t="shared" si="5"/>
        <v>1.2749667110519308E-2</v>
      </c>
      <c r="P17" s="243">
        <f t="shared" si="6"/>
        <v>1.1715409611766718E-2</v>
      </c>
    </row>
    <row r="18" spans="1:16" x14ac:dyDescent="0.15">
      <c r="A18" s="59" t="s">
        <v>278</v>
      </c>
      <c r="B18" s="8">
        <v>-13000</v>
      </c>
      <c r="C18" s="8">
        <v>-5000</v>
      </c>
      <c r="D18" s="8">
        <v>-11000</v>
      </c>
      <c r="E18" s="8">
        <v>-19000</v>
      </c>
      <c r="F18" s="8">
        <v>-15000</v>
      </c>
      <c r="G18" s="8">
        <v>59000</v>
      </c>
      <c r="H18" s="8">
        <v>-66000</v>
      </c>
      <c r="I18" s="8">
        <v>261000</v>
      </c>
      <c r="J18" s="8">
        <v>75000</v>
      </c>
      <c r="K18" s="8">
        <v>189000</v>
      </c>
      <c r="L18" s="8">
        <v>36000</v>
      </c>
      <c r="M18" s="59"/>
      <c r="N18" s="243">
        <f t="shared" si="4"/>
        <v>2.8797419751190293E-3</v>
      </c>
      <c r="O18" s="243">
        <f t="shared" si="5"/>
        <v>6.291611185086551E-3</v>
      </c>
      <c r="P18" s="243">
        <f t="shared" si="6"/>
        <v>1.026167265264238E-3</v>
      </c>
    </row>
    <row r="19" spans="1:16" x14ac:dyDescent="0.15">
      <c r="A19" s="59" t="s">
        <v>280</v>
      </c>
      <c r="B19" s="8">
        <v>-63000</v>
      </c>
      <c r="C19" s="8">
        <v>-24000</v>
      </c>
      <c r="D19" s="8">
        <v>12000</v>
      </c>
      <c r="E19" s="8">
        <v>32000</v>
      </c>
      <c r="F19" s="8">
        <v>69000</v>
      </c>
      <c r="G19" s="8">
        <v>181000</v>
      </c>
      <c r="H19" s="8">
        <v>105000</v>
      </c>
      <c r="I19" s="8">
        <v>492000</v>
      </c>
      <c r="J19" s="8">
        <v>370000</v>
      </c>
      <c r="K19" s="8">
        <v>572000</v>
      </c>
      <c r="L19" s="8">
        <v>447000</v>
      </c>
      <c r="M19" s="59"/>
      <c r="N19" s="243">
        <f t="shared" si="4"/>
        <v>1.4206727077253877E-2</v>
      </c>
      <c r="O19" s="243">
        <f t="shared" si="5"/>
        <v>1.9041278295605858E-2</v>
      </c>
      <c r="P19" s="243">
        <f t="shared" si="6"/>
        <v>1.2741576877030956E-2</v>
      </c>
    </row>
    <row r="20" spans="1:16" x14ac:dyDescent="0.15">
      <c r="A20" s="60" t="s">
        <v>281</v>
      </c>
      <c r="B20" s="13">
        <v>1805000</v>
      </c>
      <c r="C20" s="13">
        <v>475000</v>
      </c>
      <c r="D20" s="13">
        <v>613000</v>
      </c>
      <c r="E20" s="13">
        <v>1288000</v>
      </c>
      <c r="F20" s="13">
        <v>2209000</v>
      </c>
      <c r="G20" s="13">
        <v>6981000</v>
      </c>
      <c r="H20" s="13">
        <v>10522000</v>
      </c>
      <c r="I20" s="13">
        <v>14106000</v>
      </c>
      <c r="J20" s="13">
        <v>17279000</v>
      </c>
      <c r="K20" s="13">
        <v>19214000</v>
      </c>
      <c r="L20" s="13">
        <v>22316000</v>
      </c>
      <c r="M20" s="59"/>
      <c r="N20" s="243">
        <f t="shared" si="4"/>
        <v>0.66345415450775613</v>
      </c>
      <c r="O20" s="243">
        <f t="shared" si="5"/>
        <v>0.63961384820239675</v>
      </c>
      <c r="P20" s="243">
        <f t="shared" si="6"/>
        <v>0.63610968587879824</v>
      </c>
    </row>
    <row r="21" spans="1:16" x14ac:dyDescent="0.15">
      <c r="A21" s="59" t="s">
        <v>39</v>
      </c>
      <c r="B21" s="8">
        <v>187000</v>
      </c>
      <c r="C21" s="8">
        <v>-181000</v>
      </c>
      <c r="D21" s="8">
        <v>-67000</v>
      </c>
      <c r="E21" s="8">
        <v>-126000</v>
      </c>
      <c r="F21" s="8">
        <v>166000</v>
      </c>
      <c r="G21" s="8">
        <v>793000</v>
      </c>
      <c r="H21" s="8">
        <v>1279000</v>
      </c>
      <c r="I21" s="8">
        <v>1821000</v>
      </c>
      <c r="J21" s="8">
        <v>2398000</v>
      </c>
      <c r="K21" s="8">
        <v>2615000</v>
      </c>
      <c r="L21" s="8">
        <v>3007000</v>
      </c>
      <c r="M21" s="59"/>
      <c r="N21" s="243">
        <f t="shared" si="4"/>
        <v>9.2074950084472432E-2</v>
      </c>
      <c r="O21" s="243">
        <f t="shared" si="5"/>
        <v>8.705059920106524E-2</v>
      </c>
      <c r="P21" s="243">
        <f t="shared" si="6"/>
        <v>8.5713471295821214E-2</v>
      </c>
    </row>
    <row r="22" spans="1:16" x14ac:dyDescent="0.15">
      <c r="A22" s="59" t="s">
        <v>330</v>
      </c>
      <c r="B22" s="9" t="s">
        <v>154</v>
      </c>
      <c r="C22" s="9" t="s">
        <v>154</v>
      </c>
      <c r="D22" s="9" t="s">
        <v>154</v>
      </c>
      <c r="E22" s="9" t="s">
        <v>154</v>
      </c>
      <c r="F22" s="9" t="s">
        <v>154</v>
      </c>
      <c r="G22" s="9" t="s">
        <v>154</v>
      </c>
      <c r="H22" s="9" t="s">
        <v>154</v>
      </c>
      <c r="I22" s="9" t="s">
        <v>154</v>
      </c>
      <c r="J22" s="8">
        <v>14881000</v>
      </c>
      <c r="K22" s="8">
        <v>16599000</v>
      </c>
      <c r="L22" s="8">
        <v>19309000</v>
      </c>
      <c r="M22" s="59"/>
      <c r="N22" s="243">
        <f t="shared" si="4"/>
        <v>0.57137920442328372</v>
      </c>
      <c r="O22" s="243">
        <f t="shared" si="5"/>
        <v>0.55256324900133158</v>
      </c>
      <c r="P22" s="243">
        <f t="shared" si="6"/>
        <v>0.55039621458297705</v>
      </c>
    </row>
    <row r="23" spans="1:16" x14ac:dyDescent="0.15">
      <c r="A23" s="60" t="s">
        <v>40</v>
      </c>
      <c r="B23" s="13">
        <v>1618000</v>
      </c>
      <c r="C23" s="13">
        <v>656000</v>
      </c>
      <c r="D23" s="13">
        <v>680000</v>
      </c>
      <c r="E23" s="13">
        <v>1414000</v>
      </c>
      <c r="F23" s="13">
        <v>2043000</v>
      </c>
      <c r="G23" s="13">
        <v>6188000</v>
      </c>
      <c r="H23" s="13">
        <v>9243000</v>
      </c>
      <c r="I23" s="13">
        <v>12285000</v>
      </c>
      <c r="J23" s="13">
        <v>14881000</v>
      </c>
      <c r="K23" s="13">
        <v>16599000</v>
      </c>
      <c r="L23" s="13">
        <v>19309000</v>
      </c>
      <c r="M23" s="59"/>
      <c r="N23" s="243">
        <f t="shared" si="4"/>
        <v>0.57137920442328372</v>
      </c>
      <c r="O23" s="243">
        <f t="shared" si="5"/>
        <v>0.55256324900133158</v>
      </c>
      <c r="P23" s="243">
        <f t="shared" si="6"/>
        <v>0.55039621458297705</v>
      </c>
    </row>
    <row r="24" spans="1:16" x14ac:dyDescent="0.15">
      <c r="A24" s="59"/>
      <c r="B24" s="8"/>
      <c r="C24" s="8"/>
      <c r="D24" s="8"/>
      <c r="E24" s="8"/>
      <c r="F24" s="8"/>
      <c r="G24" s="8"/>
      <c r="H24" s="8"/>
      <c r="I24" s="8"/>
      <c r="J24" s="8"/>
      <c r="K24" s="8"/>
      <c r="L24" s="8"/>
      <c r="M24" s="59"/>
    </row>
    <row r="25" spans="1:16" x14ac:dyDescent="0.15">
      <c r="A25" s="59" t="s">
        <v>331</v>
      </c>
      <c r="B25" s="8">
        <v>0</v>
      </c>
      <c r="C25" s="8">
        <v>0</v>
      </c>
      <c r="D25" s="8">
        <v>0</v>
      </c>
      <c r="E25" s="8">
        <v>0</v>
      </c>
      <c r="F25" s="8">
        <v>0</v>
      </c>
      <c r="G25" s="8">
        <v>0</v>
      </c>
      <c r="H25" s="8">
        <v>0</v>
      </c>
      <c r="I25" s="8">
        <v>0</v>
      </c>
      <c r="J25" s="8">
        <v>0</v>
      </c>
      <c r="K25" s="8">
        <v>0</v>
      </c>
      <c r="L25" s="8">
        <v>0</v>
      </c>
      <c r="M25" s="59"/>
    </row>
    <row r="26" spans="1:16" x14ac:dyDescent="0.15">
      <c r="A26" s="59" t="s">
        <v>287</v>
      </c>
      <c r="B26" s="8">
        <v>1618000</v>
      </c>
      <c r="C26" s="8">
        <v>656000</v>
      </c>
      <c r="D26" s="8">
        <v>680000</v>
      </c>
      <c r="E26" s="8">
        <v>1414000</v>
      </c>
      <c r="F26" s="8">
        <v>2043000</v>
      </c>
      <c r="G26" s="8">
        <v>6188000</v>
      </c>
      <c r="H26" s="8">
        <v>9243000</v>
      </c>
      <c r="I26" s="8">
        <v>12285000</v>
      </c>
      <c r="J26" s="8">
        <v>14881000</v>
      </c>
      <c r="K26" s="8">
        <v>16599000</v>
      </c>
      <c r="L26" s="8">
        <v>19309000</v>
      </c>
      <c r="M26" s="59"/>
    </row>
    <row r="27" spans="1:16" x14ac:dyDescent="0.15">
      <c r="A27" s="59" t="s">
        <v>291</v>
      </c>
      <c r="B27" s="8">
        <v>25060000</v>
      </c>
      <c r="C27" s="8">
        <v>24950000</v>
      </c>
      <c r="D27" s="8">
        <v>24830000</v>
      </c>
      <c r="E27" s="8">
        <v>24630000</v>
      </c>
      <c r="F27" s="8">
        <v>24700000</v>
      </c>
      <c r="G27" s="8">
        <v>24730000</v>
      </c>
      <c r="H27" s="8">
        <v>24680000</v>
      </c>
      <c r="I27" s="8">
        <v>24660000</v>
      </c>
      <c r="J27" s="8">
        <v>24620000</v>
      </c>
      <c r="K27" s="8">
        <v>24578000</v>
      </c>
      <c r="L27" s="8">
        <v>24533000</v>
      </c>
      <c r="M27" s="59"/>
    </row>
    <row r="28" spans="1:16" x14ac:dyDescent="0.15">
      <c r="A28" s="59" t="s">
        <v>293</v>
      </c>
      <c r="B28" s="14">
        <v>7.0000000000000007E-2</v>
      </c>
      <c r="C28" s="14">
        <v>0.03</v>
      </c>
      <c r="D28" s="14">
        <v>0.03</v>
      </c>
      <c r="E28" s="14">
        <v>0.06</v>
      </c>
      <c r="F28" s="14">
        <v>0.08</v>
      </c>
      <c r="G28" s="14">
        <v>0.25</v>
      </c>
      <c r="H28" s="14">
        <v>0.38</v>
      </c>
      <c r="I28" s="14">
        <v>0.5</v>
      </c>
      <c r="J28" s="14">
        <v>0.6</v>
      </c>
      <c r="K28" s="14">
        <v>0.68</v>
      </c>
      <c r="L28" s="14">
        <v>0.79</v>
      </c>
      <c r="M28" s="59"/>
    </row>
    <row r="29" spans="1:16" x14ac:dyDescent="0.15">
      <c r="A29" s="59" t="s">
        <v>295</v>
      </c>
      <c r="B29" s="14">
        <v>7.0000000000000007E-2</v>
      </c>
      <c r="C29" s="14">
        <v>0.03</v>
      </c>
      <c r="D29" s="14">
        <v>0.03</v>
      </c>
      <c r="E29" s="14">
        <v>0.06</v>
      </c>
      <c r="F29" s="14">
        <v>0.08</v>
      </c>
      <c r="G29" s="14">
        <v>0.25</v>
      </c>
      <c r="H29" s="14">
        <v>0.38</v>
      </c>
      <c r="I29" s="14">
        <v>0.5</v>
      </c>
      <c r="J29" s="14">
        <v>0.6</v>
      </c>
      <c r="K29" s="14">
        <v>0.68</v>
      </c>
      <c r="L29" s="14">
        <v>0.79</v>
      </c>
      <c r="M29" s="59"/>
    </row>
    <row r="30" spans="1:16" x14ac:dyDescent="0.15">
      <c r="A30" s="59" t="s">
        <v>297</v>
      </c>
      <c r="B30" s="8">
        <v>25370000</v>
      </c>
      <c r="C30" s="8">
        <v>25160000</v>
      </c>
      <c r="D30" s="8">
        <v>24990000</v>
      </c>
      <c r="E30" s="8">
        <v>24770000</v>
      </c>
      <c r="F30" s="8">
        <v>24900000</v>
      </c>
      <c r="G30" s="8">
        <v>24990000</v>
      </c>
      <c r="H30" s="8">
        <v>24940000</v>
      </c>
      <c r="I30" s="8">
        <v>24940000</v>
      </c>
      <c r="J30" s="8">
        <v>24890000</v>
      </c>
      <c r="K30" s="8">
        <v>24848000</v>
      </c>
      <c r="L30" s="8">
        <v>24774000</v>
      </c>
      <c r="M30" s="59"/>
    </row>
    <row r="31" spans="1:16" x14ac:dyDescent="0.15">
      <c r="A31" s="59" t="s">
        <v>299</v>
      </c>
      <c r="B31" s="14">
        <v>0.06</v>
      </c>
      <c r="C31" s="14">
        <v>0.03</v>
      </c>
      <c r="D31" s="14">
        <v>0.03</v>
      </c>
      <c r="E31" s="14">
        <v>0.06</v>
      </c>
      <c r="F31" s="14">
        <v>0.08</v>
      </c>
      <c r="G31" s="14">
        <v>0.25</v>
      </c>
      <c r="H31" s="14">
        <v>0.37</v>
      </c>
      <c r="I31" s="14">
        <v>0.49</v>
      </c>
      <c r="J31" s="14">
        <v>0.6</v>
      </c>
      <c r="K31" s="14">
        <v>0.67</v>
      </c>
      <c r="L31" s="14">
        <v>0.78</v>
      </c>
      <c r="M31" s="59"/>
    </row>
    <row r="32" spans="1:16" x14ac:dyDescent="0.15">
      <c r="A32" s="59" t="s">
        <v>300</v>
      </c>
      <c r="B32" s="14">
        <v>0.06</v>
      </c>
      <c r="C32" s="14">
        <v>0.03</v>
      </c>
      <c r="D32" s="14">
        <v>0.03</v>
      </c>
      <c r="E32" s="14">
        <v>0.06</v>
      </c>
      <c r="F32" s="14">
        <v>0.08</v>
      </c>
      <c r="G32" s="14">
        <v>0.25</v>
      </c>
      <c r="H32" s="14">
        <v>0.37</v>
      </c>
      <c r="I32" s="14">
        <v>0.49</v>
      </c>
      <c r="J32" s="14">
        <v>0.6</v>
      </c>
      <c r="K32" s="14">
        <v>0.67</v>
      </c>
      <c r="L32" s="14">
        <v>0.78</v>
      </c>
      <c r="M32" s="59"/>
    </row>
    <row r="33" spans="1:16" x14ac:dyDescent="0.15">
      <c r="A33" s="59" t="s">
        <v>302</v>
      </c>
      <c r="B33" s="8">
        <v>25040000</v>
      </c>
      <c r="C33" s="8">
        <v>24890000</v>
      </c>
      <c r="D33" s="8">
        <v>24680000</v>
      </c>
      <c r="E33" s="8">
        <v>24660000</v>
      </c>
      <c r="F33" s="8">
        <v>24730000</v>
      </c>
      <c r="G33" s="8">
        <v>24690000</v>
      </c>
      <c r="H33" s="8">
        <v>24660000</v>
      </c>
      <c r="I33" s="8">
        <v>24640000</v>
      </c>
      <c r="J33" s="8">
        <v>24590000</v>
      </c>
      <c r="K33" s="8">
        <v>24562000</v>
      </c>
      <c r="L33" s="8">
        <v>24508000</v>
      </c>
      <c r="M33" s="59"/>
    </row>
    <row r="34" spans="1:16" x14ac:dyDescent="0.15">
      <c r="F34" s="52" t="s">
        <v>332</v>
      </c>
      <c r="G34" s="52" t="s">
        <v>333</v>
      </c>
      <c r="H34" s="52" t="s">
        <v>334</v>
      </c>
      <c r="I34" s="52" t="s">
        <v>335</v>
      </c>
      <c r="J34" s="52" t="s">
        <v>332</v>
      </c>
      <c r="K34" s="52" t="s">
        <v>333</v>
      </c>
      <c r="L34" s="52" t="s">
        <v>334</v>
      </c>
      <c r="M34" s="52" t="s">
        <v>335</v>
      </c>
    </row>
    <row r="35" spans="1:16" x14ac:dyDescent="0.15">
      <c r="A35" s="66" t="s">
        <v>186</v>
      </c>
      <c r="B35" s="94"/>
      <c r="C35" s="94"/>
      <c r="D35" s="94"/>
      <c r="E35" s="94"/>
      <c r="F35" s="236">
        <f>F8/B8-1</f>
        <v>-0.13223938223938225</v>
      </c>
      <c r="G35" s="236">
        <f>G8/C8-1</f>
        <v>1.0147673031026252</v>
      </c>
      <c r="H35" s="236">
        <f>H8/D8-1</f>
        <v>2.0551340414769852</v>
      </c>
      <c r="I35" s="236">
        <f>I8/E8-1</f>
        <v>2.6527846636919516</v>
      </c>
      <c r="J35" s="236">
        <f>J8/F8-1</f>
        <v>2.6212458286985538</v>
      </c>
      <c r="K35" s="236">
        <f t="shared" ref="K35:L35" si="7">K8/G8-1</f>
        <v>1.2240319834160065</v>
      </c>
      <c r="L35" s="236">
        <f t="shared" si="7"/>
        <v>0.93609271523178816</v>
      </c>
      <c r="M35" s="25">
        <f>M8/I8-1</f>
        <v>0.69660227118490692</v>
      </c>
    </row>
    <row r="41" spans="1:16" x14ac:dyDescent="0.15">
      <c r="M41" s="52" t="s">
        <v>332</v>
      </c>
      <c r="N41" s="52" t="s">
        <v>333</v>
      </c>
      <c r="O41" s="52" t="s">
        <v>334</v>
      </c>
      <c r="P41" s="52" t="s">
        <v>335</v>
      </c>
    </row>
    <row r="42" spans="1:16" x14ac:dyDescent="0.15">
      <c r="L42" s="52">
        <v>2023</v>
      </c>
      <c r="M42" s="52">
        <v>-0.13223938223938225</v>
      </c>
      <c r="N42" s="52">
        <v>1.0147673031026252</v>
      </c>
      <c r="O42" s="52">
        <v>2.0551340414769852</v>
      </c>
      <c r="P42" s="52">
        <v>2.6527846636919516</v>
      </c>
    </row>
    <row r="43" spans="1:16" x14ac:dyDescent="0.15">
      <c r="L43" s="52">
        <v>2024</v>
      </c>
      <c r="M43" s="52">
        <v>2.6212458286985538</v>
      </c>
      <c r="N43" s="52">
        <v>1.2240319834160065</v>
      </c>
      <c r="O43" s="52">
        <v>0.93609271523178816</v>
      </c>
      <c r="P43" s="52">
        <v>0.69660227118490692</v>
      </c>
    </row>
  </sheetData>
  <sheetProtection formatCells="0" formatColumns="0" formatRows="0" insertColumns="0" insertRows="0" insertHyperlinks="0" deleteColumns="0" deleteRows="0" sort="0" autoFilter="0" pivotTables="0"/>
  <sortState xmlns:xlrd2="http://schemas.microsoft.com/office/spreadsheetml/2017/richdata2" columnSort="1" ref="B2:L33">
    <sortCondition ref="B2:L2"/>
  </sortState>
  <pageMargins left="0.7" right="0.7" top="0.75" bottom="0.75" header="0.3" footer="0.3"/>
  <pageSetup orientation="portrait"/>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E5D3D-CC9A-4686-9DDD-899BD28E2053}">
  <sheetPr>
    <tabColor rgb="FF00B050"/>
  </sheetPr>
  <dimension ref="A1:X41"/>
  <sheetViews>
    <sheetView topLeftCell="A28" zoomScale="115" zoomScaleNormal="100" workbookViewId="0">
      <selection activeCell="H71" sqref="H71"/>
    </sheetView>
  </sheetViews>
  <sheetFormatPr baseColWidth="10" defaultColWidth="8.83203125" defaultRowHeight="13" x14ac:dyDescent="0.15"/>
  <cols>
    <col min="1" max="1" width="32.6640625" customWidth="1"/>
    <col min="2" max="2" width="28.5" bestFit="1" customWidth="1"/>
    <col min="3" max="4" width="12.33203125" bestFit="1" customWidth="1"/>
    <col min="5" max="10" width="16.33203125" bestFit="1" customWidth="1"/>
    <col min="11" max="11" width="12.5" bestFit="1" customWidth="1"/>
    <col min="12" max="17" width="16.33203125" bestFit="1" customWidth="1"/>
    <col min="18" max="181" width="12" customWidth="1"/>
  </cols>
  <sheetData>
    <row r="1" spans="1:24" ht="28" x14ac:dyDescent="0.15">
      <c r="A1" s="4" t="s">
        <v>272</v>
      </c>
      <c r="B1" s="238">
        <v>42035</v>
      </c>
      <c r="C1" s="238">
        <v>42400</v>
      </c>
      <c r="D1" s="238">
        <v>42766</v>
      </c>
      <c r="E1" s="238">
        <v>43131</v>
      </c>
      <c r="F1" s="238">
        <v>43496</v>
      </c>
      <c r="G1" s="238">
        <v>43861</v>
      </c>
      <c r="H1" s="238">
        <v>44227</v>
      </c>
      <c r="I1" s="238">
        <v>44592</v>
      </c>
      <c r="J1" s="279">
        <v>44957</v>
      </c>
      <c r="K1" s="280">
        <v>45322</v>
      </c>
      <c r="L1" s="280" t="s">
        <v>177</v>
      </c>
      <c r="M1" s="280" t="s">
        <v>178</v>
      </c>
      <c r="N1" s="280" t="s">
        <v>179</v>
      </c>
      <c r="O1" s="280" t="s">
        <v>180</v>
      </c>
      <c r="P1" s="280" t="s">
        <v>181</v>
      </c>
      <c r="Q1" s="281" t="s">
        <v>182</v>
      </c>
    </row>
    <row r="2" spans="1:24" ht="14" x14ac:dyDescent="0.15">
      <c r="A2" s="5" t="s">
        <v>131</v>
      </c>
      <c r="B2" s="21" t="s">
        <v>132</v>
      </c>
      <c r="C2" s="21" t="s">
        <v>133</v>
      </c>
      <c r="D2" s="21" t="s">
        <v>134</v>
      </c>
      <c r="E2" s="21" t="s">
        <v>135</v>
      </c>
      <c r="F2" s="21" t="s">
        <v>136</v>
      </c>
      <c r="G2" s="21" t="s">
        <v>137</v>
      </c>
      <c r="H2" s="21" t="s">
        <v>138</v>
      </c>
      <c r="I2" s="21" t="s">
        <v>139</v>
      </c>
      <c r="J2" s="282" t="s">
        <v>140</v>
      </c>
      <c r="K2" s="269" t="s">
        <v>141</v>
      </c>
      <c r="L2" s="270">
        <v>45685</v>
      </c>
      <c r="M2" s="270">
        <v>46050</v>
      </c>
      <c r="N2" s="270">
        <v>46415</v>
      </c>
      <c r="O2" s="270">
        <v>46780</v>
      </c>
      <c r="P2" s="270">
        <v>47146</v>
      </c>
      <c r="Q2" s="283">
        <v>47511</v>
      </c>
    </row>
    <row r="3" spans="1:24" ht="14" x14ac:dyDescent="0.15">
      <c r="A3" s="5" t="s">
        <v>148</v>
      </c>
      <c r="B3" s="6" t="s">
        <v>149</v>
      </c>
      <c r="C3" s="6" t="s">
        <v>149</v>
      </c>
      <c r="D3" s="6" t="s">
        <v>149</v>
      </c>
      <c r="E3" s="6" t="s">
        <v>149</v>
      </c>
      <c r="F3" s="6" t="s">
        <v>149</v>
      </c>
      <c r="G3" s="6" t="s">
        <v>149</v>
      </c>
      <c r="H3" s="6" t="s">
        <v>149</v>
      </c>
      <c r="I3" s="6" t="s">
        <v>149</v>
      </c>
      <c r="J3" s="284" t="s">
        <v>149</v>
      </c>
      <c r="K3" s="33"/>
      <c r="L3" s="271"/>
      <c r="M3" s="271"/>
      <c r="N3" s="271"/>
      <c r="O3" s="271"/>
      <c r="P3" s="271"/>
      <c r="Q3" s="285"/>
    </row>
    <row r="4" spans="1:24" x14ac:dyDescent="0.15">
      <c r="A4" s="20" t="s">
        <v>28</v>
      </c>
      <c r="B4" s="24">
        <v>4681507</v>
      </c>
      <c r="C4" s="24">
        <v>5010000</v>
      </c>
      <c r="D4" s="24">
        <v>6910000</v>
      </c>
      <c r="E4" s="24">
        <v>9714000</v>
      </c>
      <c r="F4" s="24">
        <v>11716000</v>
      </c>
      <c r="G4" s="24">
        <v>10918000</v>
      </c>
      <c r="H4" s="24">
        <v>16675000</v>
      </c>
      <c r="I4" s="24">
        <v>26914000</v>
      </c>
      <c r="J4" s="286">
        <v>26974000</v>
      </c>
      <c r="K4" s="272">
        <v>60922000</v>
      </c>
      <c r="L4" s="273">
        <f>SUM('Quarterly IS'!J8:M8)</f>
        <v>128666000</v>
      </c>
      <c r="M4" s="273">
        <f>L4*(1+$L$21)</f>
        <v>167437324.17787692</v>
      </c>
      <c r="N4" s="273">
        <f t="shared" ref="N4" si="0">M4*(1+$L$21)</f>
        <v>217891731.52073932</v>
      </c>
      <c r="O4" s="273">
        <f>N4*(1+$L$21/2)</f>
        <v>250720726.5873051</v>
      </c>
      <c r="P4" s="273">
        <f>O4*(1+$L$21/3)</f>
        <v>275904210.87641865</v>
      </c>
      <c r="Q4" s="287">
        <f>P4*(1+$L$21/3)</f>
        <v>303617234.26496196</v>
      </c>
      <c r="R4" s="236"/>
      <c r="S4" s="236"/>
      <c r="T4" s="236"/>
      <c r="U4" s="236"/>
      <c r="V4" s="236"/>
      <c r="W4" s="236">
        <f t="shared" ref="W4:X4" si="1">P4/O4-1</f>
        <v>0.10044436545753332</v>
      </c>
      <c r="X4" s="236">
        <f t="shared" si="1"/>
        <v>0.10044436545753332</v>
      </c>
    </row>
    <row r="5" spans="1:24" x14ac:dyDescent="0.15">
      <c r="A5" s="7" t="s">
        <v>29</v>
      </c>
      <c r="B5" s="8">
        <v>2082030</v>
      </c>
      <c r="C5" s="8">
        <v>2199000</v>
      </c>
      <c r="D5" s="8">
        <v>2847000</v>
      </c>
      <c r="E5" s="8">
        <v>3892000</v>
      </c>
      <c r="F5" s="8">
        <v>4545000</v>
      </c>
      <c r="G5" s="8">
        <v>4150000</v>
      </c>
      <c r="H5" s="8">
        <v>6279000</v>
      </c>
      <c r="I5" s="8">
        <v>9439000</v>
      </c>
      <c r="J5" s="288">
        <v>11618000</v>
      </c>
      <c r="K5" s="274">
        <v>16621000</v>
      </c>
      <c r="L5" s="273">
        <f>L4*0.25</f>
        <v>32166500</v>
      </c>
      <c r="M5" s="273">
        <f t="shared" ref="M5:N5" si="2">M4*0.25</f>
        <v>41859331.04446923</v>
      </c>
      <c r="N5" s="273">
        <f t="shared" si="2"/>
        <v>54472932.880184829</v>
      </c>
      <c r="O5" s="273">
        <f>O4*0.3</f>
        <v>75216217.976191521</v>
      </c>
      <c r="P5" s="273">
        <f>P4*0.3</f>
        <v>82771263.262925595</v>
      </c>
      <c r="Q5" s="287">
        <f>Q4*0.33</f>
        <v>100193687.30743745</v>
      </c>
    </row>
    <row r="6" spans="1:24" x14ac:dyDescent="0.15">
      <c r="A6" s="12" t="s">
        <v>30</v>
      </c>
      <c r="B6" s="13">
        <v>2599477</v>
      </c>
      <c r="C6" s="13">
        <v>2811000</v>
      </c>
      <c r="D6" s="13">
        <v>4063000</v>
      </c>
      <c r="E6" s="13">
        <v>5822000</v>
      </c>
      <c r="F6" s="13">
        <v>7171000</v>
      </c>
      <c r="G6" s="13">
        <v>6768000</v>
      </c>
      <c r="H6" s="13">
        <v>10396000</v>
      </c>
      <c r="I6" s="13">
        <v>17475000</v>
      </c>
      <c r="J6" s="289">
        <v>15356000</v>
      </c>
      <c r="K6" s="275">
        <v>44301000</v>
      </c>
      <c r="L6" s="276">
        <f>L4-L5</f>
        <v>96499500</v>
      </c>
      <c r="M6" s="276">
        <f t="shared" ref="M6:Q6" si="3">M4-M5</f>
        <v>125577993.13340768</v>
      </c>
      <c r="N6" s="276">
        <f t="shared" si="3"/>
        <v>163418798.64055449</v>
      </c>
      <c r="O6" s="276">
        <f t="shared" si="3"/>
        <v>175504508.61111358</v>
      </c>
      <c r="P6" s="276">
        <f t="shared" si="3"/>
        <v>193132947.61349306</v>
      </c>
      <c r="Q6" s="290">
        <f t="shared" si="3"/>
        <v>203423546.95752451</v>
      </c>
    </row>
    <row r="7" spans="1:24" x14ac:dyDescent="0.15">
      <c r="A7" s="7" t="s">
        <v>31</v>
      </c>
      <c r="B7" s="8">
        <v>480763</v>
      </c>
      <c r="C7" s="8">
        <v>602000</v>
      </c>
      <c r="D7" s="8">
        <v>663000</v>
      </c>
      <c r="E7" s="8">
        <v>815000</v>
      </c>
      <c r="F7" s="8">
        <v>991000</v>
      </c>
      <c r="G7" s="8">
        <v>1093000</v>
      </c>
      <c r="H7" s="8">
        <v>1940000</v>
      </c>
      <c r="I7" s="8">
        <v>2166000</v>
      </c>
      <c r="J7" s="288">
        <v>2440000</v>
      </c>
      <c r="K7" s="274">
        <v>2654000</v>
      </c>
      <c r="L7" s="273">
        <f>L4*0.03</f>
        <v>3859980</v>
      </c>
      <c r="M7" s="273">
        <f>M4*0.05</f>
        <v>8371866.2088938467</v>
      </c>
      <c r="N7" s="273">
        <f>N4*0.05</f>
        <v>10894586.576036967</v>
      </c>
      <c r="O7" s="273">
        <f>O4*0.07</f>
        <v>17550450.861111358</v>
      </c>
      <c r="P7" s="273">
        <f>P4*0.07</f>
        <v>19313294.761349306</v>
      </c>
      <c r="Q7" s="287">
        <f>Q4*0.09</f>
        <v>27325551.083846577</v>
      </c>
    </row>
    <row r="8" spans="1:24" x14ac:dyDescent="0.15">
      <c r="A8" s="7" t="s">
        <v>32</v>
      </c>
      <c r="B8" s="8">
        <v>1359725</v>
      </c>
      <c r="C8" s="8">
        <v>1331000</v>
      </c>
      <c r="D8" s="8">
        <v>1463000</v>
      </c>
      <c r="E8" s="8">
        <v>1797000</v>
      </c>
      <c r="F8" s="8">
        <v>2376000</v>
      </c>
      <c r="G8" s="8">
        <v>2829000</v>
      </c>
      <c r="H8" s="8">
        <v>3924000</v>
      </c>
      <c r="I8" s="8">
        <v>5268000</v>
      </c>
      <c r="J8" s="288">
        <v>7339000</v>
      </c>
      <c r="K8" s="274">
        <v>8675000</v>
      </c>
      <c r="L8" s="277">
        <f>L4*0.1</f>
        <v>12866600</v>
      </c>
      <c r="M8" s="277">
        <f t="shared" ref="M8:N8" si="4">M4*0.1</f>
        <v>16743732.417787693</v>
      </c>
      <c r="N8" s="277">
        <f t="shared" si="4"/>
        <v>21789173.152073935</v>
      </c>
      <c r="O8" s="273">
        <f>O4*0.15</f>
        <v>37608108.98809576</v>
      </c>
      <c r="P8" s="273">
        <f>P4*0.2</f>
        <v>55180842.17528373</v>
      </c>
      <c r="Q8" s="287">
        <f>Q4*0.2</f>
        <v>60723446.852992393</v>
      </c>
    </row>
    <row r="9" spans="1:24" x14ac:dyDescent="0.15">
      <c r="A9" s="7" t="s">
        <v>274</v>
      </c>
      <c r="B9" s="9">
        <v>0</v>
      </c>
      <c r="C9" s="8">
        <v>131000</v>
      </c>
      <c r="D9" s="8">
        <v>3000</v>
      </c>
      <c r="E9" s="9">
        <v>0</v>
      </c>
      <c r="F9" s="9">
        <v>0</v>
      </c>
      <c r="G9" s="9">
        <v>0</v>
      </c>
      <c r="H9" s="9">
        <v>0</v>
      </c>
      <c r="I9" s="9">
        <v>0</v>
      </c>
      <c r="J9" s="288">
        <v>1353000</v>
      </c>
      <c r="K9" s="278">
        <v>0</v>
      </c>
      <c r="L9" s="277">
        <f>L4*0.01</f>
        <v>1286660</v>
      </c>
      <c r="M9" s="277">
        <f t="shared" ref="M9:Q9" si="5">M4*0.01</f>
        <v>1674373.2417787693</v>
      </c>
      <c r="N9" s="277">
        <f t="shared" si="5"/>
        <v>2178917.3152073934</v>
      </c>
      <c r="O9" s="277">
        <f t="shared" si="5"/>
        <v>2507207.2658730512</v>
      </c>
      <c r="P9" s="277">
        <f t="shared" si="5"/>
        <v>2759042.1087641865</v>
      </c>
      <c r="Q9" s="291">
        <f t="shared" si="5"/>
        <v>3036172.3426496196</v>
      </c>
    </row>
    <row r="10" spans="1:24" x14ac:dyDescent="0.15">
      <c r="A10" s="12" t="s">
        <v>33</v>
      </c>
      <c r="B10" s="13">
        <v>1840488</v>
      </c>
      <c r="C10" s="13">
        <v>2064000</v>
      </c>
      <c r="D10" s="13">
        <v>2129000</v>
      </c>
      <c r="E10" s="13">
        <v>2612000</v>
      </c>
      <c r="F10" s="13">
        <v>3367000</v>
      </c>
      <c r="G10" s="13">
        <v>3922000</v>
      </c>
      <c r="H10" s="13">
        <v>5864000</v>
      </c>
      <c r="I10" s="13">
        <v>7434000</v>
      </c>
      <c r="J10" s="289">
        <v>11132000</v>
      </c>
      <c r="K10" s="275">
        <v>11329000</v>
      </c>
      <c r="L10" s="276">
        <f>SUM(L7:L9)</f>
        <v>18013240</v>
      </c>
      <c r="M10" s="276">
        <f t="shared" ref="M10:Q10" si="6">SUM(M7:M9)</f>
        <v>26789971.868460309</v>
      </c>
      <c r="N10" s="276">
        <f t="shared" si="6"/>
        <v>34862677.043318294</v>
      </c>
      <c r="O10" s="276">
        <f t="shared" si="6"/>
        <v>57665767.11508017</v>
      </c>
      <c r="P10" s="276">
        <f t="shared" si="6"/>
        <v>77253179.045397222</v>
      </c>
      <c r="Q10" s="290">
        <f t="shared" si="6"/>
        <v>91085170.279488593</v>
      </c>
    </row>
    <row r="11" spans="1:24" x14ac:dyDescent="0.15">
      <c r="A11" s="12" t="s">
        <v>275</v>
      </c>
      <c r="B11" s="13">
        <v>758989</v>
      </c>
      <c r="C11" s="13">
        <v>747000</v>
      </c>
      <c r="D11" s="13">
        <v>1934000</v>
      </c>
      <c r="E11" s="13">
        <v>3210000</v>
      </c>
      <c r="F11" s="13">
        <v>3804000</v>
      </c>
      <c r="G11" s="13">
        <v>2846000</v>
      </c>
      <c r="H11" s="13">
        <v>4532000</v>
      </c>
      <c r="I11" s="13">
        <v>10041000</v>
      </c>
      <c r="J11" s="289">
        <v>4224000</v>
      </c>
      <c r="K11" s="275">
        <v>32972000</v>
      </c>
      <c r="L11" s="276">
        <f>L6-L10</f>
        <v>78486260</v>
      </c>
      <c r="M11" s="276">
        <f t="shared" ref="M11:Q11" si="7">M6-M10</f>
        <v>98788021.26494737</v>
      </c>
      <c r="N11" s="276">
        <f t="shared" si="7"/>
        <v>128556121.59723619</v>
      </c>
      <c r="O11" s="276">
        <f t="shared" si="7"/>
        <v>117838741.4960334</v>
      </c>
      <c r="P11" s="276">
        <f t="shared" si="7"/>
        <v>115879768.56809583</v>
      </c>
      <c r="Q11" s="290">
        <f t="shared" si="7"/>
        <v>112338376.67803591</v>
      </c>
    </row>
    <row r="12" spans="1:24" x14ac:dyDescent="0.15">
      <c r="A12" s="7" t="s">
        <v>276</v>
      </c>
      <c r="B12" s="8">
        <v>-18043</v>
      </c>
      <c r="C12" s="8">
        <v>-8000</v>
      </c>
      <c r="D12" s="8">
        <v>-4000</v>
      </c>
      <c r="E12" s="8">
        <v>8000</v>
      </c>
      <c r="F12" s="8">
        <v>78000</v>
      </c>
      <c r="G12" s="8">
        <v>126000</v>
      </c>
      <c r="H12" s="8">
        <v>-127000</v>
      </c>
      <c r="I12" s="8">
        <v>-207000</v>
      </c>
      <c r="J12" s="288">
        <v>5000</v>
      </c>
      <c r="K12" s="274">
        <v>609000</v>
      </c>
      <c r="L12" s="273">
        <f>L4*0.005</f>
        <v>643330</v>
      </c>
      <c r="M12" s="273">
        <f t="shared" ref="M12:Q12" si="8">M4*0.005</f>
        <v>837186.62088938465</v>
      </c>
      <c r="N12" s="273">
        <f t="shared" si="8"/>
        <v>1089458.6576036967</v>
      </c>
      <c r="O12" s="273">
        <f t="shared" si="8"/>
        <v>1253603.6329365256</v>
      </c>
      <c r="P12" s="273">
        <f t="shared" si="8"/>
        <v>1379521.0543820933</v>
      </c>
      <c r="Q12" s="287">
        <f t="shared" si="8"/>
        <v>1518086.1713248098</v>
      </c>
    </row>
    <row r="13" spans="1:24" x14ac:dyDescent="0.15">
      <c r="A13" s="7" t="s">
        <v>278</v>
      </c>
      <c r="B13" s="8">
        <v>13890</v>
      </c>
      <c r="C13" s="8">
        <v>4000</v>
      </c>
      <c r="D13" s="8">
        <v>-25000</v>
      </c>
      <c r="E13" s="8">
        <v>-22000</v>
      </c>
      <c r="F13" s="8">
        <v>14000</v>
      </c>
      <c r="G13" s="8">
        <v>-2000</v>
      </c>
      <c r="H13" s="8">
        <v>4000</v>
      </c>
      <c r="I13" s="8">
        <v>107000</v>
      </c>
      <c r="J13" s="288">
        <v>-48000</v>
      </c>
      <c r="K13" s="274">
        <v>237000</v>
      </c>
      <c r="L13" s="273">
        <f>L4*0.005</f>
        <v>643330</v>
      </c>
      <c r="M13" s="273">
        <f t="shared" ref="M13:Q13" si="9">M4*0.005</f>
        <v>837186.62088938465</v>
      </c>
      <c r="N13" s="273">
        <f t="shared" si="9"/>
        <v>1089458.6576036967</v>
      </c>
      <c r="O13" s="273">
        <f t="shared" si="9"/>
        <v>1253603.6329365256</v>
      </c>
      <c r="P13" s="273">
        <f t="shared" si="9"/>
        <v>1379521.0543820933</v>
      </c>
      <c r="Q13" s="287">
        <f t="shared" si="9"/>
        <v>1518086.1713248098</v>
      </c>
    </row>
    <row r="14" spans="1:24" x14ac:dyDescent="0.15">
      <c r="A14" s="12" t="s">
        <v>280</v>
      </c>
      <c r="B14" s="13">
        <v>-4153</v>
      </c>
      <c r="C14" s="13">
        <v>-4000</v>
      </c>
      <c r="D14" s="13">
        <v>-29000</v>
      </c>
      <c r="E14" s="13">
        <v>-14000</v>
      </c>
      <c r="F14" s="13">
        <v>92000</v>
      </c>
      <c r="G14" s="13">
        <v>124000</v>
      </c>
      <c r="H14" s="13">
        <v>-123000</v>
      </c>
      <c r="I14" s="13">
        <v>-100000</v>
      </c>
      <c r="J14" s="289">
        <v>-43000</v>
      </c>
      <c r="K14" s="275">
        <v>846000</v>
      </c>
      <c r="L14" s="276">
        <f>L12+L13</f>
        <v>1286660</v>
      </c>
      <c r="M14" s="276">
        <f t="shared" ref="M14:Q14" si="10">M12+M13</f>
        <v>1674373.2417787693</v>
      </c>
      <c r="N14" s="276">
        <f t="shared" si="10"/>
        <v>2178917.3152073934</v>
      </c>
      <c r="O14" s="276">
        <f t="shared" si="10"/>
        <v>2507207.2658730512</v>
      </c>
      <c r="P14" s="276">
        <f t="shared" si="10"/>
        <v>2759042.1087641865</v>
      </c>
      <c r="Q14" s="290">
        <f t="shared" si="10"/>
        <v>3036172.3426496196</v>
      </c>
    </row>
    <row r="15" spans="1:24" x14ac:dyDescent="0.15">
      <c r="A15" s="12" t="s">
        <v>281</v>
      </c>
      <c r="B15" s="13">
        <v>754836</v>
      </c>
      <c r="C15" s="13">
        <v>743000</v>
      </c>
      <c r="D15" s="13">
        <v>1905000</v>
      </c>
      <c r="E15" s="13">
        <v>3196000</v>
      </c>
      <c r="F15" s="13">
        <v>3896000</v>
      </c>
      <c r="G15" s="13">
        <v>2970000</v>
      </c>
      <c r="H15" s="13">
        <v>4409000</v>
      </c>
      <c r="I15" s="13">
        <v>9941000</v>
      </c>
      <c r="J15" s="289">
        <v>4181000</v>
      </c>
      <c r="K15" s="275">
        <v>33818000</v>
      </c>
      <c r="L15" s="276">
        <f>L11-L14</f>
        <v>77199600</v>
      </c>
      <c r="M15" s="276">
        <f t="shared" ref="M15:Q15" si="11">M11-M14</f>
        <v>97113648.023168594</v>
      </c>
      <c r="N15" s="276">
        <f t="shared" si="11"/>
        <v>126377204.28202879</v>
      </c>
      <c r="O15" s="276">
        <f t="shared" si="11"/>
        <v>115331534.23016036</v>
      </c>
      <c r="P15" s="276">
        <f t="shared" si="11"/>
        <v>113120726.45933165</v>
      </c>
      <c r="Q15" s="290">
        <f t="shared" si="11"/>
        <v>109302204.33538629</v>
      </c>
    </row>
    <row r="16" spans="1:24" x14ac:dyDescent="0.15">
      <c r="A16" s="7" t="s">
        <v>39</v>
      </c>
      <c r="B16" s="8">
        <v>124249</v>
      </c>
      <c r="C16" s="8">
        <v>129000</v>
      </c>
      <c r="D16" s="8">
        <v>239000</v>
      </c>
      <c r="E16" s="8">
        <v>149000</v>
      </c>
      <c r="F16" s="8">
        <v>-245000</v>
      </c>
      <c r="G16" s="8">
        <v>174000</v>
      </c>
      <c r="H16" s="8">
        <v>77000</v>
      </c>
      <c r="I16" s="8">
        <v>189000</v>
      </c>
      <c r="J16" s="288">
        <v>-187000</v>
      </c>
      <c r="K16" s="274">
        <v>4058000</v>
      </c>
      <c r="L16" s="273">
        <f>L4*0.09</f>
        <v>11579940</v>
      </c>
      <c r="M16" s="273">
        <f t="shared" ref="M16" si="12">M4*0.09</f>
        <v>15069359.176008923</v>
      </c>
      <c r="N16" s="273">
        <f>N4*0.09</f>
        <v>19610255.836866539</v>
      </c>
      <c r="O16" s="273">
        <f>O4*0.07</f>
        <v>17550450.861111358</v>
      </c>
      <c r="P16" s="273">
        <f>P4*0.05</f>
        <v>13795210.543820933</v>
      </c>
      <c r="Q16" s="287">
        <f>Q4*0.05</f>
        <v>15180861.713248098</v>
      </c>
    </row>
    <row r="17" spans="1:24" ht="14" thickBot="1" x14ac:dyDescent="0.2">
      <c r="A17" s="12" t="s">
        <v>40</v>
      </c>
      <c r="B17" s="13">
        <v>630587</v>
      </c>
      <c r="C17" s="13">
        <v>614000</v>
      </c>
      <c r="D17" s="13">
        <v>1666000</v>
      </c>
      <c r="E17" s="13">
        <v>3047000</v>
      </c>
      <c r="F17" s="13">
        <v>4141000</v>
      </c>
      <c r="G17" s="13">
        <v>2796000</v>
      </c>
      <c r="H17" s="13">
        <v>4332000</v>
      </c>
      <c r="I17" s="13">
        <v>9752000</v>
      </c>
      <c r="J17" s="292">
        <v>4368000</v>
      </c>
      <c r="K17" s="293">
        <v>29760000</v>
      </c>
      <c r="L17" s="294">
        <f>L15-L16</f>
        <v>65619660</v>
      </c>
      <c r="M17" s="294">
        <f t="shared" ref="M17:Q17" si="13">M15-M16</f>
        <v>82044288.847159669</v>
      </c>
      <c r="N17" s="294">
        <f t="shared" si="13"/>
        <v>106766948.44516225</v>
      </c>
      <c r="O17" s="294">
        <f t="shared" si="13"/>
        <v>97781083.369048998</v>
      </c>
      <c r="P17" s="294">
        <f t="shared" si="13"/>
        <v>99325515.915510714</v>
      </c>
      <c r="Q17" s="295">
        <f t="shared" si="13"/>
        <v>94121342.622138187</v>
      </c>
      <c r="R17" s="236"/>
      <c r="S17" s="236"/>
      <c r="T17" s="236"/>
      <c r="U17" s="236"/>
      <c r="V17" s="236"/>
      <c r="W17" s="236">
        <f t="shared" ref="W17:X17" si="14">P17/O17-1</f>
        <v>1.5794798883876693E-2</v>
      </c>
      <c r="X17" s="236">
        <f t="shared" si="14"/>
        <v>-5.2395129744902125E-2</v>
      </c>
    </row>
    <row r="18" spans="1:24" x14ac:dyDescent="0.15">
      <c r="A18" s="10"/>
      <c r="B18" s="15"/>
      <c r="C18" s="15"/>
      <c r="D18" s="15"/>
      <c r="E18" s="15"/>
      <c r="F18" s="15"/>
      <c r="G18" s="15"/>
      <c r="H18" s="15"/>
      <c r="I18" s="15"/>
      <c r="J18" s="15"/>
      <c r="K18" s="15"/>
      <c r="L18" s="16" t="s">
        <v>324</v>
      </c>
    </row>
    <row r="19" spans="1:24" x14ac:dyDescent="0.15">
      <c r="A19" s="10" t="s">
        <v>325</v>
      </c>
      <c r="C19" s="25">
        <f>C4/B4-1</f>
        <v>7.0168217200145211E-2</v>
      </c>
      <c r="D19" s="25">
        <f t="shared" ref="D19:K19" si="15">D4/C4-1</f>
        <v>0.37924151696606789</v>
      </c>
      <c r="E19" s="25">
        <f t="shared" si="15"/>
        <v>0.40578871201157751</v>
      </c>
      <c r="F19" s="25">
        <f t="shared" si="15"/>
        <v>0.20609429689108505</v>
      </c>
      <c r="G19" s="25">
        <f t="shared" si="15"/>
        <v>-6.8111983612154314E-2</v>
      </c>
      <c r="H19" s="25">
        <f t="shared" si="15"/>
        <v>0.52729437625938824</v>
      </c>
      <c r="I19" s="25">
        <f t="shared" si="15"/>
        <v>0.61403298350824587</v>
      </c>
      <c r="J19" s="25">
        <f t="shared" si="15"/>
        <v>2.2293230289069932E-3</v>
      </c>
      <c r="K19" s="25">
        <f t="shared" si="15"/>
        <v>1.2585452658115224</v>
      </c>
      <c r="L19" s="26">
        <f>AVERAGE(C19:K19)</f>
        <v>0.37725363422942054</v>
      </c>
    </row>
    <row r="20" spans="1:24" x14ac:dyDescent="0.15">
      <c r="L20" s="16" t="s">
        <v>326</v>
      </c>
    </row>
    <row r="21" spans="1:24" x14ac:dyDescent="0.15">
      <c r="L21" s="25">
        <f>((K4/B4)^1/10)-1</f>
        <v>0.30133309637259975</v>
      </c>
    </row>
    <row r="25" spans="1:24" ht="14" thickBot="1" x14ac:dyDescent="0.2"/>
    <row r="26" spans="1:24" ht="29" thickBot="1" x14ac:dyDescent="0.2">
      <c r="B26" s="299" t="s">
        <v>272</v>
      </c>
      <c r="C26" s="300">
        <v>44957</v>
      </c>
      <c r="D26" s="300">
        <v>45322</v>
      </c>
      <c r="E26" s="300" t="s">
        <v>177</v>
      </c>
      <c r="F26" s="300" t="s">
        <v>178</v>
      </c>
      <c r="G26" s="300" t="s">
        <v>179</v>
      </c>
      <c r="H26" s="300" t="s">
        <v>180</v>
      </c>
      <c r="I26" s="300" t="s">
        <v>181</v>
      </c>
      <c r="J26" s="301" t="s">
        <v>182</v>
      </c>
    </row>
    <row r="27" spans="1:24" ht="14" x14ac:dyDescent="0.15">
      <c r="B27" s="297" t="s">
        <v>148</v>
      </c>
      <c r="C27" s="296" t="s">
        <v>149</v>
      </c>
      <c r="D27" s="33"/>
      <c r="E27" s="271"/>
      <c r="F27" s="271"/>
      <c r="G27" s="271"/>
      <c r="H27" s="271"/>
      <c r="I27" s="271"/>
      <c r="J27" s="285"/>
    </row>
    <row r="28" spans="1:24" x14ac:dyDescent="0.15">
      <c r="B28" s="298" t="s">
        <v>28</v>
      </c>
      <c r="C28" s="302">
        <v>26974000</v>
      </c>
      <c r="D28" s="303">
        <v>60922000</v>
      </c>
      <c r="E28" s="304">
        <v>128666000</v>
      </c>
      <c r="F28" s="304">
        <v>167437324.17787692</v>
      </c>
      <c r="G28" s="304">
        <v>217891731.52073932</v>
      </c>
      <c r="H28" s="304">
        <v>250720726.5873051</v>
      </c>
      <c r="I28" s="304">
        <v>275904210.87641865</v>
      </c>
      <c r="J28" s="305">
        <v>303617234.26496196</v>
      </c>
    </row>
    <row r="29" spans="1:24" ht="14" thickBot="1" x14ac:dyDescent="0.2">
      <c r="B29" s="306" t="s">
        <v>29</v>
      </c>
      <c r="C29" s="307">
        <v>11618000</v>
      </c>
      <c r="D29" s="308">
        <v>16621000</v>
      </c>
      <c r="E29" s="309">
        <v>32166500</v>
      </c>
      <c r="F29" s="309">
        <v>41859331.04446923</v>
      </c>
      <c r="G29" s="309">
        <v>54472932.880184829</v>
      </c>
      <c r="H29" s="309">
        <v>75216217.976191521</v>
      </c>
      <c r="I29" s="309">
        <v>82771263.262925595</v>
      </c>
      <c r="J29" s="310">
        <v>100193687.30743745</v>
      </c>
    </row>
    <row r="30" spans="1:24" ht="14" thickBot="1" x14ac:dyDescent="0.2">
      <c r="B30" s="322" t="s">
        <v>30</v>
      </c>
      <c r="C30" s="323">
        <v>15356000</v>
      </c>
      <c r="D30" s="324">
        <v>44301000</v>
      </c>
      <c r="E30" s="325">
        <v>96499500</v>
      </c>
      <c r="F30" s="325">
        <v>125577993.13340768</v>
      </c>
      <c r="G30" s="325">
        <v>163418798.64055449</v>
      </c>
      <c r="H30" s="325">
        <v>175504508.61111358</v>
      </c>
      <c r="I30" s="325">
        <v>193132947.61349306</v>
      </c>
      <c r="J30" s="326">
        <v>203423546.95752451</v>
      </c>
    </row>
    <row r="31" spans="1:24" x14ac:dyDescent="0.15">
      <c r="B31" s="312" t="s">
        <v>31</v>
      </c>
      <c r="C31" s="313">
        <v>2440000</v>
      </c>
      <c r="D31" s="314">
        <v>2654000</v>
      </c>
      <c r="E31" s="315">
        <v>3859980</v>
      </c>
      <c r="F31" s="315">
        <v>8371866.2088938467</v>
      </c>
      <c r="G31" s="315">
        <v>10894586.576036967</v>
      </c>
      <c r="H31" s="315">
        <v>17550450.861111358</v>
      </c>
      <c r="I31" s="315">
        <v>19313294.761349306</v>
      </c>
      <c r="J31" s="316">
        <v>27325551.083846577</v>
      </c>
    </row>
    <row r="32" spans="1:24" x14ac:dyDescent="0.15">
      <c r="B32" s="214" t="s">
        <v>32</v>
      </c>
      <c r="C32" s="137">
        <v>7339000</v>
      </c>
      <c r="D32" s="133">
        <v>8675000</v>
      </c>
      <c r="E32" s="304">
        <v>12866600</v>
      </c>
      <c r="F32" s="304">
        <v>16743732.417787693</v>
      </c>
      <c r="G32" s="304">
        <v>21789173.152073935</v>
      </c>
      <c r="H32" s="304">
        <v>37608108.98809576</v>
      </c>
      <c r="I32" s="304">
        <v>55180842.17528373</v>
      </c>
      <c r="J32" s="305">
        <v>60723446.852992393</v>
      </c>
    </row>
    <row r="33" spans="2:10" ht="14" thickBot="1" x14ac:dyDescent="0.2">
      <c r="B33" s="306" t="s">
        <v>274</v>
      </c>
      <c r="C33" s="307">
        <v>1353000</v>
      </c>
      <c r="D33" s="311">
        <v>0</v>
      </c>
      <c r="E33" s="309">
        <v>1286660</v>
      </c>
      <c r="F33" s="309">
        <v>1674373.2417787693</v>
      </c>
      <c r="G33" s="309">
        <v>2178917.3152073934</v>
      </c>
      <c r="H33" s="309">
        <v>2507207.2658730512</v>
      </c>
      <c r="I33" s="309">
        <v>2759042.1087641865</v>
      </c>
      <c r="J33" s="310">
        <v>3036172.3426496196</v>
      </c>
    </row>
    <row r="34" spans="2:10" ht="14" thickBot="1" x14ac:dyDescent="0.2">
      <c r="B34" s="322" t="s">
        <v>33</v>
      </c>
      <c r="C34" s="323">
        <v>11132000</v>
      </c>
      <c r="D34" s="324">
        <v>11329000</v>
      </c>
      <c r="E34" s="325">
        <v>18013240</v>
      </c>
      <c r="F34" s="325">
        <v>26789971.868460309</v>
      </c>
      <c r="G34" s="325">
        <v>34862677.043318294</v>
      </c>
      <c r="H34" s="325">
        <v>57665767.11508017</v>
      </c>
      <c r="I34" s="325">
        <v>77253179.045397222</v>
      </c>
      <c r="J34" s="326">
        <v>91085170.279488593</v>
      </c>
    </row>
    <row r="35" spans="2:10" ht="14" thickBot="1" x14ac:dyDescent="0.2">
      <c r="B35" s="322" t="s">
        <v>275</v>
      </c>
      <c r="C35" s="323">
        <v>4224000</v>
      </c>
      <c r="D35" s="324">
        <v>32972000</v>
      </c>
      <c r="E35" s="325">
        <v>78486260</v>
      </c>
      <c r="F35" s="325">
        <v>98788021.26494737</v>
      </c>
      <c r="G35" s="325">
        <v>128556121.59723619</v>
      </c>
      <c r="H35" s="325">
        <v>117838741.4960334</v>
      </c>
      <c r="I35" s="325">
        <v>115879768.56809583</v>
      </c>
      <c r="J35" s="326">
        <v>112338376.67803591</v>
      </c>
    </row>
    <row r="36" spans="2:10" x14ac:dyDescent="0.15">
      <c r="B36" s="312" t="s">
        <v>276</v>
      </c>
      <c r="C36" s="313">
        <v>5000</v>
      </c>
      <c r="D36" s="314">
        <v>609000</v>
      </c>
      <c r="E36" s="315">
        <v>643330</v>
      </c>
      <c r="F36" s="315">
        <v>837186.62088938465</v>
      </c>
      <c r="G36" s="315">
        <v>1089458.6576036967</v>
      </c>
      <c r="H36" s="315">
        <v>1253603.6329365256</v>
      </c>
      <c r="I36" s="315">
        <v>1379521.0543820933</v>
      </c>
      <c r="J36" s="316">
        <v>1518086.1713248098</v>
      </c>
    </row>
    <row r="37" spans="2:10" ht="14" thickBot="1" x14ac:dyDescent="0.2">
      <c r="B37" s="306" t="s">
        <v>278</v>
      </c>
      <c r="C37" s="307">
        <v>-48000</v>
      </c>
      <c r="D37" s="308">
        <v>237000</v>
      </c>
      <c r="E37" s="309">
        <v>643330</v>
      </c>
      <c r="F37" s="309">
        <v>837186.62088938465</v>
      </c>
      <c r="G37" s="309">
        <v>1089458.6576036967</v>
      </c>
      <c r="H37" s="309">
        <v>1253603.6329365256</v>
      </c>
      <c r="I37" s="309">
        <v>1379521.0543820933</v>
      </c>
      <c r="J37" s="310">
        <v>1518086.1713248098</v>
      </c>
    </row>
    <row r="38" spans="2:10" ht="14" thickBot="1" x14ac:dyDescent="0.2">
      <c r="B38" s="322" t="s">
        <v>280</v>
      </c>
      <c r="C38" s="323">
        <v>-43000</v>
      </c>
      <c r="D38" s="324">
        <v>846000</v>
      </c>
      <c r="E38" s="325">
        <v>1286660</v>
      </c>
      <c r="F38" s="325">
        <v>1674373.2417787693</v>
      </c>
      <c r="G38" s="325">
        <v>2178917.3152073934</v>
      </c>
      <c r="H38" s="325">
        <v>2507207.2658730512</v>
      </c>
      <c r="I38" s="325">
        <v>2759042.1087641865</v>
      </c>
      <c r="J38" s="326">
        <v>3036172.3426496196</v>
      </c>
    </row>
    <row r="39" spans="2:10" ht="14" thickBot="1" x14ac:dyDescent="0.2">
      <c r="B39" s="322" t="s">
        <v>281</v>
      </c>
      <c r="C39" s="323">
        <v>4181000</v>
      </c>
      <c r="D39" s="324">
        <v>33818000</v>
      </c>
      <c r="E39" s="325">
        <v>77199600</v>
      </c>
      <c r="F39" s="325">
        <v>97113648.023168594</v>
      </c>
      <c r="G39" s="325">
        <v>126377204.28202879</v>
      </c>
      <c r="H39" s="325">
        <v>115331534.23016036</v>
      </c>
      <c r="I39" s="325">
        <v>113120726.45933165</v>
      </c>
      <c r="J39" s="326">
        <v>109302204.33538629</v>
      </c>
    </row>
    <row r="40" spans="2:10" ht="14" thickBot="1" x14ac:dyDescent="0.2">
      <c r="B40" s="317" t="s">
        <v>39</v>
      </c>
      <c r="C40" s="318">
        <v>-187000</v>
      </c>
      <c r="D40" s="319">
        <v>4058000</v>
      </c>
      <c r="E40" s="320">
        <v>11579940</v>
      </c>
      <c r="F40" s="320">
        <v>15069359.176008923</v>
      </c>
      <c r="G40" s="320">
        <v>19610255.836866539</v>
      </c>
      <c r="H40" s="320">
        <v>17550450.861111358</v>
      </c>
      <c r="I40" s="320">
        <v>13795210.543820933</v>
      </c>
      <c r="J40" s="321">
        <v>15180861.713248098</v>
      </c>
    </row>
    <row r="41" spans="2:10" ht="14" thickBot="1" x14ac:dyDescent="0.2">
      <c r="B41" s="322" t="s">
        <v>40</v>
      </c>
      <c r="C41" s="323">
        <v>4368000</v>
      </c>
      <c r="D41" s="324">
        <v>29760000</v>
      </c>
      <c r="E41" s="325">
        <v>65619660</v>
      </c>
      <c r="F41" s="325">
        <v>82044288.847159669</v>
      </c>
      <c r="G41" s="325">
        <v>106766948.44516225</v>
      </c>
      <c r="H41" s="325">
        <v>97781083.369048998</v>
      </c>
      <c r="I41" s="325">
        <v>99325515.915510714</v>
      </c>
      <c r="J41" s="326">
        <v>94121342.622138187</v>
      </c>
    </row>
  </sheetData>
  <sheetProtection formatCells="0" formatColumns="0" formatRows="0" insertColumns="0" insertRows="0" insertHyperlinks="0" deleteColumns="0" deleteRows="0" sort="0" autoFilter="0" pivotTables="0"/>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59D03-D1D8-F843-A4A4-B1F3C28C72F2}">
  <sheetPr>
    <tabColor rgb="FF00B050"/>
  </sheetPr>
  <dimension ref="A1:L24"/>
  <sheetViews>
    <sheetView zoomScale="125" zoomScaleNormal="85" workbookViewId="0">
      <selection activeCell="L17" sqref="L17"/>
    </sheetView>
  </sheetViews>
  <sheetFormatPr baseColWidth="10" defaultColWidth="8.83203125" defaultRowHeight="13" x14ac:dyDescent="0.15"/>
  <cols>
    <col min="1" max="1" width="34.5" bestFit="1" customWidth="1"/>
    <col min="2" max="191" width="12" customWidth="1"/>
  </cols>
  <sheetData>
    <row r="1" spans="1:12" ht="14" x14ac:dyDescent="0.15">
      <c r="A1" s="4" t="s">
        <v>272</v>
      </c>
    </row>
    <row r="2" spans="1:12" ht="14" x14ac:dyDescent="0.15">
      <c r="A2" s="5" t="s">
        <v>131</v>
      </c>
      <c r="B2" s="6" t="s">
        <v>132</v>
      </c>
      <c r="C2" s="6" t="s">
        <v>133</v>
      </c>
      <c r="D2" s="6" t="s">
        <v>134</v>
      </c>
      <c r="E2" s="6" t="s">
        <v>135</v>
      </c>
      <c r="F2" s="6" t="s">
        <v>136</v>
      </c>
      <c r="G2" s="6" t="s">
        <v>137</v>
      </c>
      <c r="H2" s="6" t="s">
        <v>138</v>
      </c>
      <c r="I2" s="6" t="s">
        <v>139</v>
      </c>
      <c r="J2" s="6" t="s">
        <v>140</v>
      </c>
      <c r="K2" s="6" t="s">
        <v>141</v>
      </c>
      <c r="L2" s="5"/>
    </row>
    <row r="3" spans="1:12" ht="14" x14ac:dyDescent="0.15">
      <c r="A3" s="5" t="s">
        <v>142</v>
      </c>
      <c r="B3" s="6" t="s">
        <v>143</v>
      </c>
      <c r="C3" s="6" t="s">
        <v>143</v>
      </c>
      <c r="D3" s="6" t="s">
        <v>143</v>
      </c>
      <c r="E3" s="6" t="s">
        <v>143</v>
      </c>
      <c r="F3" s="6" t="s">
        <v>143</v>
      </c>
      <c r="G3" s="6" t="s">
        <v>143</v>
      </c>
      <c r="H3" s="6" t="s">
        <v>143</v>
      </c>
      <c r="I3" s="6" t="s">
        <v>143</v>
      </c>
      <c r="J3" s="6" t="s">
        <v>143</v>
      </c>
      <c r="K3" s="6" t="s">
        <v>143</v>
      </c>
      <c r="L3" s="5"/>
    </row>
    <row r="4" spans="1:12" ht="14" x14ac:dyDescent="0.15">
      <c r="A4" s="5" t="s">
        <v>144</v>
      </c>
      <c r="B4" s="6" t="s">
        <v>145</v>
      </c>
      <c r="C4" s="6" t="s">
        <v>145</v>
      </c>
      <c r="D4" s="6" t="s">
        <v>145</v>
      </c>
      <c r="E4" s="6" t="s">
        <v>145</v>
      </c>
      <c r="F4" s="6" t="s">
        <v>145</v>
      </c>
      <c r="G4" s="6" t="s">
        <v>145</v>
      </c>
      <c r="H4" s="6" t="s">
        <v>145</v>
      </c>
      <c r="I4" s="6" t="s">
        <v>145</v>
      </c>
      <c r="J4" s="6" t="s">
        <v>145</v>
      </c>
      <c r="K4" s="6" t="s">
        <v>145</v>
      </c>
      <c r="L4" s="5"/>
    </row>
    <row r="5" spans="1:12" ht="14" x14ac:dyDescent="0.15">
      <c r="A5" s="5" t="s">
        <v>146</v>
      </c>
      <c r="B5" s="6" t="s">
        <v>147</v>
      </c>
      <c r="C5" s="6" t="s">
        <v>147</v>
      </c>
      <c r="D5" s="6" t="s">
        <v>147</v>
      </c>
      <c r="E5" s="6" t="s">
        <v>147</v>
      </c>
      <c r="F5" s="6" t="s">
        <v>147</v>
      </c>
      <c r="G5" s="6" t="s">
        <v>147</v>
      </c>
      <c r="H5" s="6" t="s">
        <v>147</v>
      </c>
      <c r="I5" s="6" t="s">
        <v>147</v>
      </c>
      <c r="J5" s="6" t="s">
        <v>147</v>
      </c>
      <c r="K5" s="6" t="s">
        <v>147</v>
      </c>
      <c r="L5" s="5"/>
    </row>
    <row r="6" spans="1:12" ht="14" x14ac:dyDescent="0.15">
      <c r="A6" s="5" t="s">
        <v>148</v>
      </c>
      <c r="B6" s="6" t="s">
        <v>149</v>
      </c>
      <c r="C6" s="6" t="s">
        <v>149</v>
      </c>
      <c r="D6" s="6" t="s">
        <v>149</v>
      </c>
      <c r="E6" s="6" t="s">
        <v>149</v>
      </c>
      <c r="F6" s="6" t="s">
        <v>149</v>
      </c>
      <c r="G6" s="6" t="s">
        <v>149</v>
      </c>
      <c r="H6" s="6" t="s">
        <v>149</v>
      </c>
      <c r="I6" s="6" t="s">
        <v>149</v>
      </c>
      <c r="J6" s="6" t="s">
        <v>149</v>
      </c>
      <c r="K6" s="6" t="s">
        <v>149</v>
      </c>
      <c r="L6" s="5"/>
    </row>
    <row r="7" spans="1:12" ht="14" thickBot="1" x14ac:dyDescent="0.2">
      <c r="A7" s="5"/>
      <c r="B7" s="6"/>
      <c r="C7" s="6"/>
      <c r="D7" s="6"/>
      <c r="E7" s="6"/>
      <c r="F7" s="6"/>
      <c r="G7" s="6"/>
      <c r="H7" s="6"/>
      <c r="I7" s="6"/>
      <c r="J7" s="6"/>
      <c r="K7" s="6"/>
      <c r="L7" s="5"/>
    </row>
    <row r="8" spans="1:12" x14ac:dyDescent="0.15">
      <c r="A8" s="213"/>
      <c r="B8" s="208" t="s">
        <v>121</v>
      </c>
      <c r="C8" s="206" t="s">
        <v>122</v>
      </c>
      <c r="D8" s="206" t="s">
        <v>123</v>
      </c>
      <c r="E8" s="206" t="s">
        <v>124</v>
      </c>
      <c r="F8" s="206" t="s">
        <v>125</v>
      </c>
      <c r="G8" s="206" t="s">
        <v>126</v>
      </c>
      <c r="H8" s="206" t="s">
        <v>127</v>
      </c>
      <c r="I8" s="206" t="s">
        <v>128</v>
      </c>
      <c r="J8" s="206" t="s">
        <v>129</v>
      </c>
      <c r="K8" s="207" t="s">
        <v>130</v>
      </c>
      <c r="L8" s="20" t="s">
        <v>111</v>
      </c>
    </row>
    <row r="9" spans="1:12" x14ac:dyDescent="0.15">
      <c r="A9" s="214" t="s">
        <v>28</v>
      </c>
      <c r="B9" s="209">
        <f>'Income Statement'!B9/'Income Statement'!B$9</f>
        <v>1</v>
      </c>
      <c r="C9" s="34">
        <f>'Income Statement'!C9/'Income Statement'!C$9</f>
        <v>1</v>
      </c>
      <c r="D9" s="34">
        <f>'Income Statement'!D9/'Income Statement'!D$9</f>
        <v>1</v>
      </c>
      <c r="E9" s="34">
        <f>'Income Statement'!E9/'Income Statement'!E$9</f>
        <v>1</v>
      </c>
      <c r="F9" s="34">
        <f>'Income Statement'!F9/'Income Statement'!F$9</f>
        <v>1</v>
      </c>
      <c r="G9" s="34">
        <f>'Income Statement'!G9/'Income Statement'!G$9</f>
        <v>1</v>
      </c>
      <c r="H9" s="34">
        <f>'Income Statement'!H9/'Income Statement'!H$9</f>
        <v>1</v>
      </c>
      <c r="I9" s="34">
        <f>'Income Statement'!I9/'Income Statement'!I$9</f>
        <v>1</v>
      </c>
      <c r="J9" s="34">
        <f>'Income Statement'!J9/'Income Statement'!J$9</f>
        <v>1</v>
      </c>
      <c r="K9" s="40">
        <f>'Income Statement'!K9/'Income Statement'!K$9</f>
        <v>1</v>
      </c>
      <c r="L9" s="7"/>
    </row>
    <row r="10" spans="1:12" x14ac:dyDescent="0.15">
      <c r="A10" s="214" t="s">
        <v>29</v>
      </c>
      <c r="B10" s="209">
        <f>'Income Statement'!B10/'Income Statement'!B$9</f>
        <v>0.44473499665812738</v>
      </c>
      <c r="C10" s="34">
        <f>'Income Statement'!C10/'Income Statement'!C$9</f>
        <v>0.43892215568862275</v>
      </c>
      <c r="D10" s="34">
        <f>'Income Statement'!D10/'Income Statement'!D$9</f>
        <v>0.41201157742402317</v>
      </c>
      <c r="E10" s="34">
        <f>'Income Statement'!E10/'Income Statement'!E$9</f>
        <v>0.40065884290714432</v>
      </c>
      <c r="F10" s="34">
        <f>'Income Statement'!F10/'Income Statement'!F$9</f>
        <v>0.38793103448275862</v>
      </c>
      <c r="G10" s="34">
        <f>'Income Statement'!G10/'Income Statement'!G$9</f>
        <v>0.38010624656530501</v>
      </c>
      <c r="H10" s="34">
        <f>'Income Statement'!H10/'Income Statement'!H$9</f>
        <v>0.37655172413793103</v>
      </c>
      <c r="I10" s="34">
        <f>'Income Statement'!I10/'Income Statement'!I$9</f>
        <v>0.35070966783086871</v>
      </c>
      <c r="J10" s="34">
        <f>'Income Statement'!J10/'Income Statement'!J$9</f>
        <v>0.43071105509008673</v>
      </c>
      <c r="K10" s="40">
        <f>'Income Statement'!K10/'Income Statement'!K$9</f>
        <v>0.27282426709563046</v>
      </c>
      <c r="L10" s="242">
        <f>AVERAGE(B10:K10)</f>
        <v>0.38951615678804979</v>
      </c>
    </row>
    <row r="11" spans="1:12" x14ac:dyDescent="0.15">
      <c r="A11" s="215" t="s">
        <v>30</v>
      </c>
      <c r="B11" s="210">
        <f>'Income Statement'!B11/'Income Statement'!B$9</f>
        <v>0.55526500334187257</v>
      </c>
      <c r="C11" s="202">
        <f>'Income Statement'!C11/'Income Statement'!C$9</f>
        <v>0.56107784431137719</v>
      </c>
      <c r="D11" s="202">
        <f>'Income Statement'!D11/'Income Statement'!D$9</f>
        <v>0.58798842257597683</v>
      </c>
      <c r="E11" s="202">
        <f>'Income Statement'!E11/'Income Statement'!E$9</f>
        <v>0.59934115709285563</v>
      </c>
      <c r="F11" s="202">
        <f>'Income Statement'!F11/'Income Statement'!F$9</f>
        <v>0.61206896551724133</v>
      </c>
      <c r="G11" s="202">
        <f>'Income Statement'!G11/'Income Statement'!G$9</f>
        <v>0.61989375343469499</v>
      </c>
      <c r="H11" s="202">
        <f>'Income Statement'!H11/'Income Statement'!H$9</f>
        <v>0.62344827586206897</v>
      </c>
      <c r="I11" s="202">
        <f>'Income Statement'!I11/'Income Statement'!I$9</f>
        <v>0.64929033216913135</v>
      </c>
      <c r="J11" s="202">
        <f>'Income Statement'!J11/'Income Statement'!J$9</f>
        <v>0.56928894490991322</v>
      </c>
      <c r="K11" s="203">
        <f>'Income Statement'!K11/'Income Statement'!K$9</f>
        <v>0.72717573290436954</v>
      </c>
      <c r="L11" s="242">
        <f t="shared" ref="L11:L22" si="0">AVERAGE(B11:K11)</f>
        <v>0.61048384321195004</v>
      </c>
    </row>
    <row r="12" spans="1:12" x14ac:dyDescent="0.15">
      <c r="A12" s="214" t="s">
        <v>31</v>
      </c>
      <c r="B12" s="209">
        <f>'Income Statement'!B12/'Income Statement'!B$9</f>
        <v>0.10269406838438989</v>
      </c>
      <c r="C12" s="34">
        <f>'Income Statement'!C12/'Income Statement'!C$9</f>
        <v>0.12015968063872255</v>
      </c>
      <c r="D12" s="34">
        <f>'Income Statement'!D12/'Income Statement'!D$9</f>
        <v>9.5947901591895798E-2</v>
      </c>
      <c r="E12" s="34">
        <f>'Income Statement'!E12/'Income Statement'!E$9</f>
        <v>8.3899526456660489E-2</v>
      </c>
      <c r="F12" s="34">
        <f>'Income Statement'!F12/'Income Statement'!F$9</f>
        <v>8.4585182656196647E-2</v>
      </c>
      <c r="G12" s="34">
        <f>'Income Statement'!G12/'Income Statement'!G$9</f>
        <v>0.10010991023997069</v>
      </c>
      <c r="H12" s="34">
        <f>'Income Statement'!H12/'Income Statement'!H$9</f>
        <v>0.11634182908545727</v>
      </c>
      <c r="I12" s="34">
        <f>'Income Statement'!I12/'Income Statement'!I$9</f>
        <v>8.0478561343538674E-2</v>
      </c>
      <c r="J12" s="34">
        <f>'Income Statement'!J12/'Income Statement'!J$9</f>
        <v>9.0457477570994288E-2</v>
      </c>
      <c r="K12" s="40">
        <f>'Income Statement'!K12/'Income Statement'!K$9</f>
        <v>4.3563901382095135E-2</v>
      </c>
      <c r="L12" s="242">
        <f t="shared" si="0"/>
        <v>9.1823803934992149E-2</v>
      </c>
    </row>
    <row r="13" spans="1:12" x14ac:dyDescent="0.15">
      <c r="A13" s="214" t="s">
        <v>32</v>
      </c>
      <c r="B13" s="209">
        <f>'Income Statement'!B13/'Income Statement'!B$9</f>
        <v>0.29044600381885577</v>
      </c>
      <c r="C13" s="34">
        <f>'Income Statement'!C13/'Income Statement'!C$9</f>
        <v>0.26566866267465072</v>
      </c>
      <c r="D13" s="34">
        <f>'Income Statement'!D13/'Income Statement'!D$9</f>
        <v>0.21172214182344429</v>
      </c>
      <c r="E13" s="34">
        <f>'Income Statement'!E13/'Income Statement'!E$9</f>
        <v>0.18499073502161828</v>
      </c>
      <c r="F13" s="34">
        <f>'Income Statement'!F13/'Income Statement'!F$9</f>
        <v>0.20279959030385797</v>
      </c>
      <c r="G13" s="34">
        <f>'Income Statement'!G13/'Income Statement'!G$9</f>
        <v>0.25911339073090311</v>
      </c>
      <c r="H13" s="34">
        <f>'Income Statement'!H13/'Income Statement'!H$9</f>
        <v>0.2353223388305847</v>
      </c>
      <c r="I13" s="34">
        <f>'Income Statement'!I13/'Income Statement'!I$9</f>
        <v>0.19573456193802483</v>
      </c>
      <c r="J13" s="34">
        <f>'Income Statement'!J13/'Income Statement'!J$9</f>
        <v>0.27207681471046191</v>
      </c>
      <c r="K13" s="40">
        <f>'Income Statement'!K13/'Income Statement'!K$9</f>
        <v>0.14239519385443683</v>
      </c>
      <c r="L13" s="242">
        <f t="shared" si="0"/>
        <v>0.22602694337068385</v>
      </c>
    </row>
    <row r="14" spans="1:12" x14ac:dyDescent="0.15">
      <c r="A14" s="214" t="s">
        <v>274</v>
      </c>
      <c r="B14" s="211">
        <f>IFERROR('Income Statement'!B14/'Income Statement'!B$9,0)</f>
        <v>0</v>
      </c>
      <c r="C14" s="200">
        <f>IFERROR('Income Statement'!C14/'Income Statement'!C$9,0)</f>
        <v>2.6147704590818364E-2</v>
      </c>
      <c r="D14" s="200">
        <f>IFERROR('Income Statement'!D14/'Income Statement'!D$9,0)</f>
        <v>4.3415340086830681E-4</v>
      </c>
      <c r="E14" s="200">
        <f>IFERROR('Income Statement'!E14/'Income Statement'!E$9,0)</f>
        <v>0</v>
      </c>
      <c r="F14" s="200">
        <f>IFERROR('Income Statement'!F14/'Income Statement'!F$9,0)</f>
        <v>0</v>
      </c>
      <c r="G14" s="200">
        <f>IFERROR('Income Statement'!G14/'Income Statement'!G$9,0)</f>
        <v>0</v>
      </c>
      <c r="H14" s="200">
        <f>IFERROR('Income Statement'!H14/'Income Statement'!H$9,0)</f>
        <v>0</v>
      </c>
      <c r="I14" s="200">
        <f>IFERROR('Income Statement'!I14/'Income Statement'!I$9,0)</f>
        <v>0</v>
      </c>
      <c r="J14" s="200">
        <f>IFERROR('Income Statement'!J14/'Income Statement'!J$9,0)</f>
        <v>5.015941276785052E-2</v>
      </c>
      <c r="K14" s="201">
        <f>IFERROR('Income Statement'!K14/'Income Statement'!K$9,0)</f>
        <v>0</v>
      </c>
      <c r="L14" s="242">
        <f t="shared" si="0"/>
        <v>7.6741270759537183E-3</v>
      </c>
    </row>
    <row r="15" spans="1:12" x14ac:dyDescent="0.15">
      <c r="A15" s="215" t="s">
        <v>33</v>
      </c>
      <c r="B15" s="210">
        <f>'Income Statement'!B15/'Income Statement'!B$9</f>
        <v>0.39314007220324565</v>
      </c>
      <c r="C15" s="202">
        <f>'Income Statement'!C15/'Income Statement'!C$9</f>
        <v>0.41197604790419162</v>
      </c>
      <c r="D15" s="202">
        <f>'Income Statement'!D15/'Income Statement'!D$9</f>
        <v>0.30810419681620838</v>
      </c>
      <c r="E15" s="202">
        <f>'Income Statement'!E15/'Income Statement'!E$9</f>
        <v>0.26889026147827877</v>
      </c>
      <c r="F15" s="202">
        <f>'Income Statement'!F15/'Income Statement'!F$9</f>
        <v>0.2873847729600546</v>
      </c>
      <c r="G15" s="202">
        <f>'Income Statement'!G15/'Income Statement'!G$9</f>
        <v>0.35922330097087379</v>
      </c>
      <c r="H15" s="202">
        <f>'Income Statement'!H15/'Income Statement'!H$9</f>
        <v>0.35166416791604199</v>
      </c>
      <c r="I15" s="202">
        <f>'Income Statement'!I15/'Income Statement'!I$9</f>
        <v>0.2762131232815635</v>
      </c>
      <c r="J15" s="202">
        <f>'Income Statement'!J15/'Income Statement'!J$9</f>
        <v>0.41269370504930675</v>
      </c>
      <c r="K15" s="203">
        <f>'Income Statement'!K15/'Income Statement'!K$9</f>
        <v>0.18595909523653195</v>
      </c>
      <c r="L15" s="242">
        <f t="shared" si="0"/>
        <v>0.32552487438162969</v>
      </c>
    </row>
    <row r="16" spans="1:12" x14ac:dyDescent="0.15">
      <c r="A16" s="215" t="s">
        <v>275</v>
      </c>
      <c r="B16" s="210">
        <f>'Income Statement'!B16/'Income Statement'!B$9</f>
        <v>0.16212493113862694</v>
      </c>
      <c r="C16" s="202">
        <f>'Income Statement'!C16/'Income Statement'!C$9</f>
        <v>0.14910179640718563</v>
      </c>
      <c r="D16" s="202">
        <f>'Income Statement'!D16/'Income Statement'!D$9</f>
        <v>0.27988422575976846</v>
      </c>
      <c r="E16" s="202">
        <f>'Income Statement'!E16/'Income Statement'!E$9</f>
        <v>0.33045089561457691</v>
      </c>
      <c r="F16" s="202">
        <f>'Income Statement'!F16/'Income Statement'!F$9</f>
        <v>0.32468419255718678</v>
      </c>
      <c r="G16" s="202">
        <f>'Income Statement'!G16/'Income Statement'!G$9</f>
        <v>0.2606704524638212</v>
      </c>
      <c r="H16" s="202">
        <f>'Income Statement'!H16/'Income Statement'!H$9</f>
        <v>0.27178410794602698</v>
      </c>
      <c r="I16" s="202">
        <f>'Income Statement'!I16/'Income Statement'!I$9</f>
        <v>0.37307720888756779</v>
      </c>
      <c r="J16" s="202">
        <f>'Income Statement'!J16/'Income Statement'!J$9</f>
        <v>0.1565952398606065</v>
      </c>
      <c r="K16" s="203">
        <f>'Income Statement'!K16/'Income Statement'!K$9</f>
        <v>0.54121663766783756</v>
      </c>
      <c r="L16" s="242">
        <f t="shared" si="0"/>
        <v>0.28495896883032051</v>
      </c>
    </row>
    <row r="17" spans="1:12" x14ac:dyDescent="0.15">
      <c r="A17" s="214" t="s">
        <v>276</v>
      </c>
      <c r="B17" s="211">
        <f>'Income Statement'!B17/'Income Statement'!B$9</f>
        <v>-3.8541008269345747E-3</v>
      </c>
      <c r="C17" s="200">
        <f>'Income Statement'!C17/'Income Statement'!C$9</f>
        <v>-1.5968063872255488E-3</v>
      </c>
      <c r="D17" s="200">
        <f>'Income Statement'!D17/'Income Statement'!D$9</f>
        <v>-5.7887120115774238E-4</v>
      </c>
      <c r="E17" s="200">
        <f>'Income Statement'!E17/'Income Statement'!E$9</f>
        <v>8.2355363393040967E-4</v>
      </c>
      <c r="F17" s="200">
        <f>'Income Statement'!F17/'Income Statement'!F$9</f>
        <v>6.6575623079549338E-3</v>
      </c>
      <c r="G17" s="200">
        <f>'Income Statement'!G17/'Income Statement'!G$9</f>
        <v>1.1540575196922514E-2</v>
      </c>
      <c r="H17" s="200">
        <f>'Income Statement'!H17/'Income Statement'!H$9</f>
        <v>-7.6161919040479758E-3</v>
      </c>
      <c r="I17" s="200">
        <f>'Income Statement'!I17/'Income Statement'!I$9</f>
        <v>-7.6911644497287658E-3</v>
      </c>
      <c r="J17" s="200">
        <f>'Income Statement'!J17/'Income Statement'!J$9</f>
        <v>1.8536368354711945E-4</v>
      </c>
      <c r="K17" s="201">
        <f>'Income Statement'!K17/'Income Statement'!K$9</f>
        <v>9.996388825054988E-3</v>
      </c>
      <c r="L17" s="247">
        <f t="shared" si="0"/>
        <v>7.8663088783153569E-4</v>
      </c>
    </row>
    <row r="18" spans="1:12" x14ac:dyDescent="0.15">
      <c r="A18" s="214" t="s">
        <v>278</v>
      </c>
      <c r="B18" s="211">
        <f>'Income Statement'!B18/'Income Statement'!B$9</f>
        <v>2.966993320740522E-3</v>
      </c>
      <c r="C18" s="200">
        <f>'Income Statement'!C18/'Income Statement'!C$9</f>
        <v>7.9840319361277441E-4</v>
      </c>
      <c r="D18" s="200">
        <f>'Income Statement'!D18/'Income Statement'!D$9</f>
        <v>-3.6179450072358899E-3</v>
      </c>
      <c r="E18" s="200">
        <f>'Income Statement'!E18/'Income Statement'!E$9</f>
        <v>-2.2647724933086266E-3</v>
      </c>
      <c r="F18" s="200">
        <f>'Income Statement'!F18/'Income Statement'!F$9</f>
        <v>1.1949470809149881E-3</v>
      </c>
      <c r="G18" s="200">
        <f>'Income Statement'!G18/'Income Statement'!G$9</f>
        <v>-1.8318373328448433E-4</v>
      </c>
      <c r="H18" s="200">
        <f>'Income Statement'!H18/'Income Statement'!H$9</f>
        <v>2.39880059970015E-4</v>
      </c>
      <c r="I18" s="200">
        <f>'Income Statement'!I18/'Income Statement'!I$9</f>
        <v>3.9756260682172846E-3</v>
      </c>
      <c r="J18" s="200">
        <f>'Income Statement'!J18/'Income Statement'!J$9</f>
        <v>-1.7794913620523467E-3</v>
      </c>
      <c r="K18" s="201">
        <f>'Income Statement'!K18/'Income Statement'!K$9</f>
        <v>3.8902202816716459E-3</v>
      </c>
      <c r="L18" s="247">
        <f t="shared" si="0"/>
        <v>5.2206774092458815E-4</v>
      </c>
    </row>
    <row r="19" spans="1:12" x14ac:dyDescent="0.15">
      <c r="A19" s="215" t="s">
        <v>280</v>
      </c>
      <c r="B19" s="210">
        <f>'Income Statement'!B19/'Income Statement'!B$9</f>
        <v>-8.8710750619405243E-4</v>
      </c>
      <c r="C19" s="202">
        <f>'Income Statement'!C19/'Income Statement'!C$9</f>
        <v>-7.9840319361277441E-4</v>
      </c>
      <c r="D19" s="202">
        <f>'Income Statement'!D19/'Income Statement'!D$9</f>
        <v>-4.1968162083936321E-3</v>
      </c>
      <c r="E19" s="202">
        <f>'Income Statement'!E19/'Income Statement'!E$9</f>
        <v>-1.441218859378217E-3</v>
      </c>
      <c r="F19" s="202">
        <f>'Income Statement'!F19/'Income Statement'!F$9</f>
        <v>7.8525093888699212E-3</v>
      </c>
      <c r="G19" s="202">
        <f>'Income Statement'!G19/'Income Statement'!G$9</f>
        <v>1.1357391463638029E-2</v>
      </c>
      <c r="H19" s="202">
        <f>'Income Statement'!H19/'Income Statement'!H$9</f>
        <v>-7.3763118440779612E-3</v>
      </c>
      <c r="I19" s="202">
        <f>'Income Statement'!I19/'Income Statement'!I$9</f>
        <v>-3.7155383815114808E-3</v>
      </c>
      <c r="J19" s="202">
        <f>'Income Statement'!J19/'Income Statement'!J$9</f>
        <v>-1.5941276785052274E-3</v>
      </c>
      <c r="K19" s="203">
        <f>'Income Statement'!K19/'Income Statement'!K$9</f>
        <v>1.3886609106726634E-2</v>
      </c>
      <c r="L19" s="247">
        <f t="shared" si="0"/>
        <v>1.3086986287561236E-3</v>
      </c>
    </row>
    <row r="20" spans="1:12" x14ac:dyDescent="0.15">
      <c r="A20" s="215" t="s">
        <v>281</v>
      </c>
      <c r="B20" s="210">
        <f>'Income Statement'!B20/'Income Statement'!B$9</f>
        <v>0.16123782363243289</v>
      </c>
      <c r="C20" s="202">
        <f>'Income Statement'!C20/'Income Statement'!C$9</f>
        <v>0.14830339321357286</v>
      </c>
      <c r="D20" s="202">
        <f>'Income Statement'!D20/'Income Statement'!D$9</f>
        <v>0.27568740955137483</v>
      </c>
      <c r="E20" s="202">
        <f>'Income Statement'!E20/'Income Statement'!E$9</f>
        <v>0.32900967675519871</v>
      </c>
      <c r="F20" s="202">
        <f>'Income Statement'!F20/'Income Statement'!F$9</f>
        <v>0.33253670194605667</v>
      </c>
      <c r="G20" s="202">
        <f>'Income Statement'!G20/'Income Statement'!G$9</f>
        <v>0.27202784392745927</v>
      </c>
      <c r="H20" s="202">
        <f>'Income Statement'!H20/'Income Statement'!H$9</f>
        <v>0.26440779610194903</v>
      </c>
      <c r="I20" s="202">
        <f>'Income Statement'!I20/'Income Statement'!I$9</f>
        <v>0.36936167050605634</v>
      </c>
      <c r="J20" s="202">
        <f>'Income Statement'!J20/'Income Statement'!J$9</f>
        <v>0.15500111218210127</v>
      </c>
      <c r="K20" s="203">
        <f>'Income Statement'!K20/'Income Statement'!K$9</f>
        <v>0.55510324677456424</v>
      </c>
      <c r="L20" s="242">
        <f t="shared" si="0"/>
        <v>0.28626766745907661</v>
      </c>
    </row>
    <row r="21" spans="1:12" x14ac:dyDescent="0.15">
      <c r="A21" s="214" t="s">
        <v>39</v>
      </c>
      <c r="B21" s="209">
        <f>'Income Statement'!B21/'Income Statement'!B$9</f>
        <v>2.6540385392994179E-2</v>
      </c>
      <c r="C21" s="34">
        <f>'Income Statement'!C21/'Income Statement'!C$9</f>
        <v>2.5748502994011976E-2</v>
      </c>
      <c r="D21" s="34">
        <f>'Income Statement'!D21/'Income Statement'!D$9</f>
        <v>3.4587554269175105E-2</v>
      </c>
      <c r="E21" s="34">
        <f>'Income Statement'!E21/'Income Statement'!E$9</f>
        <v>1.5338686431953881E-2</v>
      </c>
      <c r="F21" s="34">
        <f>'Income Statement'!F21/'Income Statement'!F$9</f>
        <v>-2.091157391601229E-2</v>
      </c>
      <c r="G21" s="34">
        <f>'Income Statement'!G21/'Income Statement'!G$9</f>
        <v>1.5936984795750137E-2</v>
      </c>
      <c r="H21" s="34">
        <f>'Income Statement'!H21/'Income Statement'!H$9</f>
        <v>4.6176911544227889E-3</v>
      </c>
      <c r="I21" s="34">
        <f>'Income Statement'!I21/'Income Statement'!I$9</f>
        <v>7.0223675410566993E-3</v>
      </c>
      <c r="J21" s="34">
        <f>'Income Statement'!J21/'Income Statement'!J$9</f>
        <v>-6.9326017646622676E-3</v>
      </c>
      <c r="K21" s="40">
        <f>'Income Statement'!K21/'Income Statement'!K$9</f>
        <v>6.6609763303896785E-2</v>
      </c>
      <c r="L21" s="242">
        <f t="shared" si="0"/>
        <v>1.6855776020258697E-2</v>
      </c>
    </row>
    <row r="22" spans="1:12" ht="14" thickBot="1" x14ac:dyDescent="0.2">
      <c r="A22" s="216" t="s">
        <v>40</v>
      </c>
      <c r="B22" s="212">
        <f>'Income Statement'!B22/'Income Statement'!B$9</f>
        <v>0.13469743823943872</v>
      </c>
      <c r="C22" s="204">
        <f>'Income Statement'!C22/'Income Statement'!C$9</f>
        <v>0.12255489021956088</v>
      </c>
      <c r="D22" s="204">
        <f>'Income Statement'!D22/'Income Statement'!D$9</f>
        <v>0.24109985528219971</v>
      </c>
      <c r="E22" s="204">
        <f>'Income Statement'!E22/'Income Statement'!E$9</f>
        <v>0.3136709903232448</v>
      </c>
      <c r="F22" s="204">
        <f>'Income Statement'!F22/'Income Statement'!F$9</f>
        <v>0.35344827586206895</v>
      </c>
      <c r="G22" s="204">
        <f>'Income Statement'!G22/'Income Statement'!G$9</f>
        <v>0.25609085913170909</v>
      </c>
      <c r="H22" s="204">
        <f>'Income Statement'!H22/'Income Statement'!H$9</f>
        <v>0.25979010494752625</v>
      </c>
      <c r="I22" s="204">
        <f>'Income Statement'!I22/'Income Statement'!I$9</f>
        <v>0.36233930296499961</v>
      </c>
      <c r="J22" s="204">
        <f>'Income Statement'!J22/'Income Statement'!J$9</f>
        <v>0.16193371394676356</v>
      </c>
      <c r="K22" s="205">
        <f>'Income Statement'!K22/'Income Statement'!K$9</f>
        <v>0.4884934834706674</v>
      </c>
      <c r="L22" s="242">
        <f t="shared" si="0"/>
        <v>0.26941189143881789</v>
      </c>
    </row>
    <row r="23" spans="1:12" x14ac:dyDescent="0.15">
      <c r="A23" s="10"/>
      <c r="B23" s="15"/>
      <c r="C23" s="15"/>
      <c r="D23" s="15"/>
      <c r="E23" s="15"/>
      <c r="F23" s="15"/>
      <c r="G23" s="15"/>
      <c r="H23" s="15"/>
      <c r="I23" s="15"/>
      <c r="J23" s="15"/>
      <c r="K23" s="15"/>
      <c r="L23" s="7"/>
    </row>
    <row r="24" spans="1:12" x14ac:dyDescent="0.15">
      <c r="A24" s="10"/>
      <c r="B24" s="15"/>
      <c r="C24" s="15"/>
      <c r="D24" s="15"/>
      <c r="E24" s="15"/>
      <c r="F24" s="15"/>
      <c r="G24" s="15"/>
      <c r="H24" s="15"/>
      <c r="I24" s="15"/>
      <c r="J24" s="15"/>
      <c r="K24" s="15"/>
      <c r="L24" s="7"/>
    </row>
  </sheetData>
  <sheetProtection formatCells="0" formatColumns="0" formatRows="0" insertColumns="0" insertRows="0" insertHyperlinks="0" deleteColumns="0" deleteRows="0" sort="0" autoFilter="0" pivotTables="0"/>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813D5-BA12-42D8-9412-0EE5EF3E56A2}">
  <sheetPr>
    <tabColor rgb="FF00B050"/>
  </sheetPr>
  <dimension ref="A6:L21"/>
  <sheetViews>
    <sheetView workbookViewId="0">
      <selection activeCell="I43" sqref="I43"/>
    </sheetView>
  </sheetViews>
  <sheetFormatPr baseColWidth="10" defaultColWidth="8.83203125" defaultRowHeight="13" x14ac:dyDescent="0.15"/>
  <cols>
    <col min="2" max="2" width="28.5" bestFit="1" customWidth="1"/>
    <col min="3" max="11" width="12.5" bestFit="1" customWidth="1"/>
    <col min="12" max="12" width="12" bestFit="1" customWidth="1"/>
  </cols>
  <sheetData>
    <row r="6" spans="1:12" ht="14" thickBot="1" x14ac:dyDescent="0.2"/>
    <row r="7" spans="1:12" ht="14" x14ac:dyDescent="0.15">
      <c r="B7" s="139"/>
      <c r="C7" s="217" t="s">
        <v>121</v>
      </c>
      <c r="D7" s="218" t="s">
        <v>122</v>
      </c>
      <c r="E7" s="218" t="s">
        <v>123</v>
      </c>
      <c r="F7" s="218" t="s">
        <v>124</v>
      </c>
      <c r="G7" s="218" t="s">
        <v>125</v>
      </c>
      <c r="H7" s="218" t="s">
        <v>126</v>
      </c>
      <c r="I7" s="218" t="s">
        <v>127</v>
      </c>
      <c r="J7" s="218" t="s">
        <v>128</v>
      </c>
      <c r="K7" s="218" t="s">
        <v>129</v>
      </c>
      <c r="L7" s="219" t="s">
        <v>130</v>
      </c>
    </row>
    <row r="8" spans="1:12" x14ac:dyDescent="0.15">
      <c r="A8" s="7"/>
      <c r="B8" s="140" t="s">
        <v>28</v>
      </c>
      <c r="C8" s="189"/>
      <c r="D8" s="194">
        <f>('Income Statement'!C9/'Income Statement'!B9) - 1</f>
        <v>7.0168217200145211E-2</v>
      </c>
      <c r="E8" s="194">
        <f>('Income Statement'!D9/'Income Statement'!C9) - 1</f>
        <v>0.37924151696606789</v>
      </c>
      <c r="F8" s="194">
        <f>('Income Statement'!E9/'Income Statement'!D9) - 1</f>
        <v>0.40578871201157751</v>
      </c>
      <c r="G8" s="194">
        <f>('Income Statement'!F9/'Income Statement'!E9) - 1</f>
        <v>0.20609429689108505</v>
      </c>
      <c r="H8" s="194">
        <f>('Income Statement'!G9/'Income Statement'!F9) - 1</f>
        <v>-6.8111983612154314E-2</v>
      </c>
      <c r="I8" s="194">
        <f>('Income Statement'!H9/'Income Statement'!G9) - 1</f>
        <v>0.52729437625938824</v>
      </c>
      <c r="J8" s="194">
        <f>('Income Statement'!I9/'Income Statement'!H9) - 1</f>
        <v>0.61403298350824587</v>
      </c>
      <c r="K8" s="194">
        <f>('Income Statement'!J9/'Income Statement'!I9) - 1</f>
        <v>2.2293230289069932E-3</v>
      </c>
      <c r="L8" s="195">
        <f>('Income Statement'!K9/'Income Statement'!J9) - 1</f>
        <v>1.2585452658115224</v>
      </c>
    </row>
    <row r="9" spans="1:12" x14ac:dyDescent="0.15">
      <c r="A9" s="7"/>
      <c r="B9" s="140" t="s">
        <v>29</v>
      </c>
      <c r="C9" s="189"/>
      <c r="D9" s="194">
        <f>('Income Statement'!C10/'Income Statement'!B10) - 1</f>
        <v>5.6180746675119853E-2</v>
      </c>
      <c r="E9" s="194">
        <f>('Income Statement'!D10/'Income Statement'!C10) - 1</f>
        <v>0.29467939972714863</v>
      </c>
      <c r="F9" s="194">
        <f>('Income Statement'!E10/'Income Statement'!D10) - 1</f>
        <v>0.36705303828591496</v>
      </c>
      <c r="G9" s="194">
        <f>('Income Statement'!F10/'Income Statement'!E10) - 1</f>
        <v>0.16778006166495385</v>
      </c>
      <c r="H9" s="194">
        <f>('Income Statement'!G10/'Income Statement'!F10) - 1</f>
        <v>-8.6908690869086924E-2</v>
      </c>
      <c r="I9" s="194">
        <f>('Income Statement'!H10/'Income Statement'!G10) - 1</f>
        <v>0.51301204819277113</v>
      </c>
      <c r="J9" s="194">
        <f>('Income Statement'!I10/'Income Statement'!H10) - 1</f>
        <v>0.5032648510909381</v>
      </c>
      <c r="K9" s="194">
        <f>('Income Statement'!J10/'Income Statement'!I10) - 1</f>
        <v>0.23085072571246945</v>
      </c>
      <c r="L9" s="195">
        <f>('Income Statement'!K10/'Income Statement'!J10) - 1</f>
        <v>0.43062489240833179</v>
      </c>
    </row>
    <row r="10" spans="1:12" x14ac:dyDescent="0.15">
      <c r="A10" s="10"/>
      <c r="B10" s="192" t="s">
        <v>30</v>
      </c>
      <c r="C10" s="190"/>
      <c r="D10" s="196">
        <f>('Income Statement'!C11/'Income Statement'!B11) - 1</f>
        <v>8.1371368163672964E-2</v>
      </c>
      <c r="E10" s="196">
        <f>('Income Statement'!D11/'Income Statement'!C11) - 1</f>
        <v>0.44539309854144427</v>
      </c>
      <c r="F10" s="196">
        <f>('Income Statement'!E11/'Income Statement'!D11) - 1</f>
        <v>0.43293133152842733</v>
      </c>
      <c r="G10" s="196">
        <f>('Income Statement'!F11/'Income Statement'!E11) - 1</f>
        <v>0.23170731707317072</v>
      </c>
      <c r="H10" s="196">
        <f>('Income Statement'!G11/'Income Statement'!F11) - 1</f>
        <v>-5.6198577604239297E-2</v>
      </c>
      <c r="I10" s="196">
        <f>('Income Statement'!H11/'Income Statement'!G11) - 1</f>
        <v>0.53605200945626486</v>
      </c>
      <c r="J10" s="196">
        <f>('Income Statement'!I11/'Income Statement'!H11) - 1</f>
        <v>0.68093497499038103</v>
      </c>
      <c r="K10" s="196">
        <f>('Income Statement'!J11/'Income Statement'!I11) - 1</f>
        <v>-0.12125894134477821</v>
      </c>
      <c r="L10" s="197">
        <f>('Income Statement'!K11/'Income Statement'!J11) - 1</f>
        <v>1.8849309716071896</v>
      </c>
    </row>
    <row r="11" spans="1:12" x14ac:dyDescent="0.15">
      <c r="A11" s="7"/>
      <c r="B11" s="140" t="s">
        <v>31</v>
      </c>
      <c r="C11" s="189"/>
      <c r="D11" s="194">
        <f>('Income Statement'!C12/'Income Statement'!B12) - 1</f>
        <v>0.2521762282039175</v>
      </c>
      <c r="E11" s="194">
        <f>('Income Statement'!D12/'Income Statement'!C12) - 1</f>
        <v>0.1013289036544851</v>
      </c>
      <c r="F11" s="194">
        <f>('Income Statement'!E12/'Income Statement'!D12) - 1</f>
        <v>0.22926093514328816</v>
      </c>
      <c r="G11" s="194">
        <f>('Income Statement'!F12/'Income Statement'!E12) - 1</f>
        <v>0.21595092024539886</v>
      </c>
      <c r="H11" s="194">
        <f>('Income Statement'!G12/'Income Statement'!F12) - 1</f>
        <v>0.10292633703329979</v>
      </c>
      <c r="I11" s="194">
        <f>('Income Statement'!H12/'Income Statement'!G12) - 1</f>
        <v>0.77493138151875574</v>
      </c>
      <c r="J11" s="194">
        <f>('Income Statement'!I12/'Income Statement'!H12) - 1</f>
        <v>0.11649484536082477</v>
      </c>
      <c r="K11" s="194">
        <f>('Income Statement'!J12/'Income Statement'!I12) - 1</f>
        <v>0.12650046168051698</v>
      </c>
      <c r="L11" s="195">
        <f>('Income Statement'!K12/'Income Statement'!J12) - 1</f>
        <v>8.7704918032786905E-2</v>
      </c>
    </row>
    <row r="12" spans="1:12" x14ac:dyDescent="0.15">
      <c r="A12" s="7"/>
      <c r="B12" s="140" t="s">
        <v>32</v>
      </c>
      <c r="C12" s="189"/>
      <c r="D12" s="194">
        <f>('Income Statement'!C13/'Income Statement'!B13) - 1</f>
        <v>-2.1125595249039342E-2</v>
      </c>
      <c r="E12" s="194">
        <f>('Income Statement'!D13/'Income Statement'!C13) - 1</f>
        <v>9.9173553719008156E-2</v>
      </c>
      <c r="F12" s="194">
        <f>('Income Statement'!E13/'Income Statement'!D13) - 1</f>
        <v>0.228298017771702</v>
      </c>
      <c r="G12" s="194">
        <f>('Income Statement'!F13/'Income Statement'!E13) - 1</f>
        <v>0.32220367278798001</v>
      </c>
      <c r="H12" s="194">
        <f>('Income Statement'!G13/'Income Statement'!F13) - 1</f>
        <v>0.19065656565656575</v>
      </c>
      <c r="I12" s="194">
        <f>('Income Statement'!H13/'Income Statement'!G13) - 1</f>
        <v>0.38706256627783664</v>
      </c>
      <c r="J12" s="194">
        <f>('Income Statement'!I13/'Income Statement'!H13) - 1</f>
        <v>0.34250764525993893</v>
      </c>
      <c r="K12" s="194">
        <f>('Income Statement'!J13/'Income Statement'!I13) - 1</f>
        <v>0.39312832194381175</v>
      </c>
      <c r="L12" s="195">
        <f>('Income Statement'!K13/'Income Statement'!J13) - 1</f>
        <v>0.18204115002043886</v>
      </c>
    </row>
    <row r="13" spans="1:12" x14ac:dyDescent="0.15">
      <c r="A13" s="7"/>
      <c r="B13" s="140" t="s">
        <v>274</v>
      </c>
      <c r="C13" s="189"/>
      <c r="D13" s="194"/>
      <c r="E13" s="194">
        <f>('Income Statement'!D14/'Income Statement'!C14) - 1</f>
        <v>-0.97709923664122134</v>
      </c>
      <c r="F13" s="194">
        <f>('Income Statement'!E14/'Income Statement'!D14) - 1</f>
        <v>-1</v>
      </c>
      <c r="G13" s="194"/>
      <c r="H13" s="194"/>
      <c r="I13" s="194"/>
      <c r="J13" s="194"/>
      <c r="K13" s="194"/>
      <c r="L13" s="195">
        <f>('Income Statement'!K14/'Income Statement'!J14) - 1</f>
        <v>-1</v>
      </c>
    </row>
    <row r="14" spans="1:12" x14ac:dyDescent="0.15">
      <c r="A14" s="10"/>
      <c r="B14" s="192" t="s">
        <v>33</v>
      </c>
      <c r="C14" s="190"/>
      <c r="D14" s="196">
        <f>('Income Statement'!C15/'Income Statement'!B15) - 1</f>
        <v>0.12144170459139092</v>
      </c>
      <c r="E14" s="196">
        <f>('Income Statement'!D15/'Income Statement'!C15) - 1</f>
        <v>3.1492248062015449E-2</v>
      </c>
      <c r="F14" s="196">
        <f>('Income Statement'!E15/'Income Statement'!D15) - 1</f>
        <v>0.22686707374354165</v>
      </c>
      <c r="G14" s="196">
        <f>('Income Statement'!F15/'Income Statement'!E15) - 1</f>
        <v>0.28905053598774888</v>
      </c>
      <c r="H14" s="196">
        <f>('Income Statement'!G15/'Income Statement'!F15) - 1</f>
        <v>0.16483516483516492</v>
      </c>
      <c r="I14" s="196">
        <f>('Income Statement'!H15/'Income Statement'!G15) - 1</f>
        <v>0.49515553289138192</v>
      </c>
      <c r="J14" s="196">
        <f>('Income Statement'!I15/'Income Statement'!H15) - 1</f>
        <v>0.26773533424283769</v>
      </c>
      <c r="K14" s="196">
        <f>('Income Statement'!J15/'Income Statement'!I15) - 1</f>
        <v>0.49744417541027719</v>
      </c>
      <c r="L14" s="197">
        <f>('Income Statement'!K15/'Income Statement'!J15) - 1</f>
        <v>1.7696730147322981E-2</v>
      </c>
    </row>
    <row r="15" spans="1:12" x14ac:dyDescent="0.15">
      <c r="A15" s="10"/>
      <c r="B15" s="192" t="s">
        <v>275</v>
      </c>
      <c r="C15" s="190"/>
      <c r="D15" s="196">
        <f>('Income Statement'!C16/'Income Statement'!B16) - 1</f>
        <v>-1.5796012853941277E-2</v>
      </c>
      <c r="E15" s="196">
        <f>('Income Statement'!D16/'Income Statement'!C16) - 1</f>
        <v>1.5890227576974567</v>
      </c>
      <c r="F15" s="196">
        <f>('Income Statement'!E16/'Income Statement'!D16) - 1</f>
        <v>0.65977249224405377</v>
      </c>
      <c r="G15" s="196">
        <f>('Income Statement'!F16/'Income Statement'!E16) - 1</f>
        <v>0.18504672897196262</v>
      </c>
      <c r="H15" s="196">
        <f>('Income Statement'!G16/'Income Statement'!F16) - 1</f>
        <v>-0.25184016824395372</v>
      </c>
      <c r="I15" s="196">
        <f>('Income Statement'!H16/'Income Statement'!G16) - 1</f>
        <v>0.59241040056219263</v>
      </c>
      <c r="J15" s="196">
        <f>('Income Statement'!I16/'Income Statement'!H16) - 1</f>
        <v>1.215578111209179</v>
      </c>
      <c r="K15" s="196">
        <f>('Income Statement'!J16/'Income Statement'!I16) - 1</f>
        <v>-0.57932476844935765</v>
      </c>
      <c r="L15" s="197">
        <f>('Income Statement'!K16/'Income Statement'!J16) - 1</f>
        <v>6.8058712121212119</v>
      </c>
    </row>
    <row r="16" spans="1:12" x14ac:dyDescent="0.15">
      <c r="A16" s="7"/>
      <c r="B16" s="140" t="s">
        <v>276</v>
      </c>
      <c r="C16" s="189"/>
      <c r="D16" s="194">
        <f>('Income Statement'!C17/'Income Statement'!B17) - 1</f>
        <v>-0.55661475364407242</v>
      </c>
      <c r="E16" s="194">
        <f>('Income Statement'!D17/'Income Statement'!C17) - 1</f>
        <v>-0.5</v>
      </c>
      <c r="F16" s="194">
        <f>('Income Statement'!E17/'Income Statement'!D17) - 1</f>
        <v>-3</v>
      </c>
      <c r="G16" s="194">
        <f>('Income Statement'!F17/'Income Statement'!E17) - 1</f>
        <v>8.75</v>
      </c>
      <c r="H16" s="194">
        <f>('Income Statement'!G17/'Income Statement'!F17) - 1</f>
        <v>0.61538461538461542</v>
      </c>
      <c r="I16" s="194">
        <f>('Income Statement'!H17/'Income Statement'!G17) - 1</f>
        <v>-2.0079365079365079</v>
      </c>
      <c r="J16" s="194">
        <f>('Income Statement'!I17/'Income Statement'!H17) - 1</f>
        <v>0.62992125984251968</v>
      </c>
      <c r="K16" s="194">
        <f>('Income Statement'!J17/'Income Statement'!I17) - 1</f>
        <v>-1.0241545893719808</v>
      </c>
      <c r="L16" s="195">
        <f>('Income Statement'!K17/'Income Statement'!J17) - 1</f>
        <v>120.8</v>
      </c>
    </row>
    <row r="17" spans="1:12" x14ac:dyDescent="0.15">
      <c r="A17" s="7"/>
      <c r="B17" s="140" t="s">
        <v>278</v>
      </c>
      <c r="C17" s="189"/>
      <c r="D17" s="194">
        <f>('Income Statement'!C18/'Income Statement'!B18) - 1</f>
        <v>-0.71202303815694745</v>
      </c>
      <c r="E17" s="194">
        <f>('Income Statement'!D18/'Income Statement'!C18) - 1</f>
        <v>-7.25</v>
      </c>
      <c r="F17" s="194">
        <f>('Income Statement'!E18/'Income Statement'!D18) - 1</f>
        <v>-0.12</v>
      </c>
      <c r="G17" s="194">
        <f>('Income Statement'!F18/'Income Statement'!E18) - 1</f>
        <v>-1.6363636363636362</v>
      </c>
      <c r="H17" s="194">
        <f>('Income Statement'!G18/'Income Statement'!F18) - 1</f>
        <v>-1.1428571428571428</v>
      </c>
      <c r="I17" s="194">
        <f>('Income Statement'!H18/'Income Statement'!G18) - 1</f>
        <v>-3</v>
      </c>
      <c r="J17" s="194">
        <f>('Income Statement'!I18/'Income Statement'!H18) - 1</f>
        <v>25.75</v>
      </c>
      <c r="K17" s="194">
        <f>('Income Statement'!J18/'Income Statement'!I18) - 1</f>
        <v>-1.4485981308411215</v>
      </c>
      <c r="L17" s="195">
        <f>('Income Statement'!K18/'Income Statement'!J18) - 1</f>
        <v>-5.9375</v>
      </c>
    </row>
    <row r="18" spans="1:12" x14ac:dyDescent="0.15">
      <c r="A18" s="10"/>
      <c r="B18" s="192" t="s">
        <v>280</v>
      </c>
      <c r="C18" s="190"/>
      <c r="D18" s="196">
        <f>('Income Statement'!C19/'Income Statement'!B19) - 1</f>
        <v>-3.6840837948471039E-2</v>
      </c>
      <c r="E18" s="196">
        <f>('Income Statement'!D19/'Income Statement'!C19) - 1</f>
        <v>6.25</v>
      </c>
      <c r="F18" s="196">
        <f>('Income Statement'!E19/'Income Statement'!D19) - 1</f>
        <v>-0.51724137931034475</v>
      </c>
      <c r="G18" s="196">
        <f>('Income Statement'!F19/'Income Statement'!E19) - 1</f>
        <v>-7.5714285714285712</v>
      </c>
      <c r="H18" s="196">
        <f>('Income Statement'!G19/'Income Statement'!F19) - 1</f>
        <v>0.34782608695652173</v>
      </c>
      <c r="I18" s="196">
        <f>('Income Statement'!H19/'Income Statement'!G19) - 1</f>
        <v>-1.9919354838709677</v>
      </c>
      <c r="J18" s="196">
        <f>('Income Statement'!I19/'Income Statement'!H19) - 1</f>
        <v>-0.18699186991869921</v>
      </c>
      <c r="K18" s="196">
        <f>('Income Statement'!J19/'Income Statement'!I19) - 1</f>
        <v>-0.57000000000000006</v>
      </c>
      <c r="L18" s="197">
        <f>('Income Statement'!K19/'Income Statement'!J19) - 1</f>
        <v>-20.674418604651162</v>
      </c>
    </row>
    <row r="19" spans="1:12" x14ac:dyDescent="0.15">
      <c r="A19" s="10"/>
      <c r="B19" s="192" t="s">
        <v>281</v>
      </c>
      <c r="C19" s="190"/>
      <c r="D19" s="196">
        <f>('Income Statement'!C20/'Income Statement'!B20) - 1</f>
        <v>-1.5680227228166088E-2</v>
      </c>
      <c r="E19" s="196">
        <f>('Income Statement'!D20/'Income Statement'!C20) - 1</f>
        <v>1.56393001345895</v>
      </c>
      <c r="F19" s="196">
        <f>('Income Statement'!E20/'Income Statement'!D20) - 1</f>
        <v>0.67769028871391068</v>
      </c>
      <c r="G19" s="196">
        <f>('Income Statement'!F20/'Income Statement'!E20) - 1</f>
        <v>0.21902377972465592</v>
      </c>
      <c r="H19" s="196">
        <f>('Income Statement'!G20/'Income Statement'!F20) - 1</f>
        <v>-0.23767967145790558</v>
      </c>
      <c r="I19" s="196">
        <f>('Income Statement'!H20/'Income Statement'!G20) - 1</f>
        <v>0.48451178451178456</v>
      </c>
      <c r="J19" s="196">
        <f>('Income Statement'!I20/'Income Statement'!H20) - 1</f>
        <v>1.2547062826037649</v>
      </c>
      <c r="K19" s="196">
        <f>('Income Statement'!J20/'Income Statement'!I20) - 1</f>
        <v>-0.57941856956040638</v>
      </c>
      <c r="L19" s="197">
        <f>('Income Statement'!K20/'Income Statement'!J20) - 1</f>
        <v>7.0884955752212395</v>
      </c>
    </row>
    <row r="20" spans="1:12" x14ac:dyDescent="0.15">
      <c r="A20" s="7"/>
      <c r="B20" s="140" t="s">
        <v>39</v>
      </c>
      <c r="C20" s="189"/>
      <c r="D20" s="194">
        <f>('Income Statement'!C21/'Income Statement'!B21) - 1</f>
        <v>3.823773229563221E-2</v>
      </c>
      <c r="E20" s="194">
        <f>('Income Statement'!D21/'Income Statement'!C21) - 1</f>
        <v>0.8527131782945736</v>
      </c>
      <c r="F20" s="194">
        <f>('Income Statement'!E21/'Income Statement'!D21) - 1</f>
        <v>-0.37656903765690375</v>
      </c>
      <c r="G20" s="194">
        <f>('Income Statement'!F21/'Income Statement'!E21) - 1</f>
        <v>-2.6442953020134228</v>
      </c>
      <c r="H20" s="194">
        <f>('Income Statement'!G21/'Income Statement'!F21) - 1</f>
        <v>-1.7102040816326531</v>
      </c>
      <c r="I20" s="194">
        <f>('Income Statement'!H21/'Income Statement'!G21) - 1</f>
        <v>-0.55747126436781613</v>
      </c>
      <c r="J20" s="194">
        <f>('Income Statement'!I21/'Income Statement'!H21) - 1</f>
        <v>1.4545454545454546</v>
      </c>
      <c r="K20" s="194">
        <f>('Income Statement'!J21/'Income Statement'!I21) - 1</f>
        <v>-1.9894179894179893</v>
      </c>
      <c r="L20" s="195">
        <f>('Income Statement'!K21/'Income Statement'!J21) - 1</f>
        <v>-22.700534759358288</v>
      </c>
    </row>
    <row r="21" spans="1:12" ht="14" thickBot="1" x14ac:dyDescent="0.2">
      <c r="A21" s="10"/>
      <c r="B21" s="193" t="s">
        <v>40</v>
      </c>
      <c r="C21" s="191"/>
      <c r="D21" s="198">
        <f>('Income Statement'!C22/'Income Statement'!B22) - 1</f>
        <v>-2.6304062722510957E-2</v>
      </c>
      <c r="E21" s="198">
        <f>('Income Statement'!D22/'Income Statement'!C22) - 1</f>
        <v>1.7133550488599347</v>
      </c>
      <c r="F21" s="198">
        <f>('Income Statement'!E22/'Income Statement'!D22) - 1</f>
        <v>0.82893157262905159</v>
      </c>
      <c r="G21" s="198">
        <f>('Income Statement'!F22/'Income Statement'!E22) - 1</f>
        <v>0.35904168034131922</v>
      </c>
      <c r="H21" s="198">
        <f>('Income Statement'!G22/'Income Statement'!F22) - 1</f>
        <v>-0.3248007727602028</v>
      </c>
      <c r="I21" s="198">
        <f>('Income Statement'!H22/'Income Statement'!G22) - 1</f>
        <v>0.54935622317596566</v>
      </c>
      <c r="J21" s="198">
        <f>('Income Statement'!I22/'Income Statement'!H22) - 1</f>
        <v>1.2511542012927053</v>
      </c>
      <c r="K21" s="198">
        <f>('Income Statement'!J22/'Income Statement'!I22) - 1</f>
        <v>-0.55209187858900743</v>
      </c>
      <c r="L21" s="199">
        <f>('Income Statement'!K22/'Income Statement'!J22) - 1</f>
        <v>5.813186813186813</v>
      </c>
    </row>
  </sheetData>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CC096-104D-41EF-A3AC-064338AB445B}">
  <sheetPr>
    <tabColor rgb="FF00B050"/>
  </sheetPr>
  <dimension ref="A4:N28"/>
  <sheetViews>
    <sheetView zoomScale="125" workbookViewId="0">
      <selection activeCell="A11" sqref="A11"/>
    </sheetView>
  </sheetViews>
  <sheetFormatPr baseColWidth="10" defaultColWidth="8.83203125" defaultRowHeight="13" x14ac:dyDescent="0.15"/>
  <cols>
    <col min="1" max="1" width="28.5" bestFit="1" customWidth="1"/>
    <col min="2" max="11" width="9.83203125" bestFit="1" customWidth="1"/>
    <col min="12" max="191" width="12" customWidth="1"/>
  </cols>
  <sheetData>
    <row r="4" spans="1:14" x14ac:dyDescent="0.15">
      <c r="A4" s="1"/>
    </row>
    <row r="5" spans="1:14" ht="20" x14ac:dyDescent="0.2">
      <c r="A5" s="2"/>
    </row>
    <row r="7" spans="1:14" x14ac:dyDescent="0.15">
      <c r="A7" s="3"/>
    </row>
    <row r="10" spans="1:14" ht="17.25" customHeight="1" thickBot="1" x14ac:dyDescent="0.2">
      <c r="A10" s="4"/>
    </row>
    <row r="11" spans="1:14" ht="13.5" customHeight="1" x14ac:dyDescent="0.15">
      <c r="A11" s="36"/>
      <c r="B11" s="48" t="s">
        <v>132</v>
      </c>
      <c r="C11" s="48" t="s">
        <v>133</v>
      </c>
      <c r="D11" s="48" t="s">
        <v>134</v>
      </c>
      <c r="E11" s="48" t="s">
        <v>135</v>
      </c>
      <c r="F11" s="48" t="s">
        <v>136</v>
      </c>
      <c r="G11" s="48" t="s">
        <v>137</v>
      </c>
      <c r="H11" s="48" t="s">
        <v>138</v>
      </c>
      <c r="I11" s="48" t="s">
        <v>139</v>
      </c>
      <c r="J11" s="48" t="s">
        <v>140</v>
      </c>
      <c r="K11" s="49" t="s">
        <v>141</v>
      </c>
      <c r="L11" s="5"/>
    </row>
    <row r="12" spans="1:14" x14ac:dyDescent="0.15">
      <c r="A12" s="37" t="s">
        <v>336</v>
      </c>
      <c r="B12" s="33"/>
      <c r="C12" s="33"/>
      <c r="D12" s="33"/>
      <c r="E12" s="33"/>
      <c r="F12" s="33"/>
      <c r="G12" s="33"/>
      <c r="H12" s="33"/>
      <c r="I12" s="33"/>
      <c r="J12" s="33"/>
      <c r="K12" s="38"/>
      <c r="L12" s="5"/>
    </row>
    <row r="13" spans="1:14" x14ac:dyDescent="0.15">
      <c r="A13" s="39" t="s">
        <v>28</v>
      </c>
      <c r="B13" s="34">
        <f>'Income Statement'!B9/'Income Statement'!B$9</f>
        <v>1</v>
      </c>
      <c r="C13" s="34">
        <f>'Income Statement'!C9/'Income Statement'!C$9</f>
        <v>1</v>
      </c>
      <c r="D13" s="34">
        <f>'Income Statement'!D9/'Income Statement'!D$9</f>
        <v>1</v>
      </c>
      <c r="E13" s="34">
        <f>'Income Statement'!E9/'Income Statement'!E$9</f>
        <v>1</v>
      </c>
      <c r="F13" s="34">
        <f>'Income Statement'!F9/'Income Statement'!F$9</f>
        <v>1</v>
      </c>
      <c r="G13" s="34">
        <f>'Income Statement'!G9/'Income Statement'!G$9</f>
        <v>1</v>
      </c>
      <c r="H13" s="34">
        <f>'Income Statement'!H9/'Income Statement'!H$9</f>
        <v>1</v>
      </c>
      <c r="I13" s="34">
        <f>'Income Statement'!I9/'Income Statement'!I$9</f>
        <v>1</v>
      </c>
      <c r="J13" s="34">
        <f>'Income Statement'!J9/'Income Statement'!J$9</f>
        <v>1</v>
      </c>
      <c r="K13" s="40">
        <f>'Income Statement'!K9/'Income Statement'!K$9</f>
        <v>1</v>
      </c>
      <c r="L13" s="7"/>
    </row>
    <row r="14" spans="1:14" x14ac:dyDescent="0.15">
      <c r="A14" s="39" t="s">
        <v>29</v>
      </c>
      <c r="B14" s="35">
        <f>'Income Statement'!B10/'Income Statement'!B$9</f>
        <v>0.44473499665812738</v>
      </c>
      <c r="C14" s="35">
        <f>'Income Statement'!C10/'Income Statement'!C$9</f>
        <v>0.43892215568862275</v>
      </c>
      <c r="D14" s="35">
        <f>'Income Statement'!D10/'Income Statement'!D$9</f>
        <v>0.41201157742402317</v>
      </c>
      <c r="E14" s="35">
        <f>'Income Statement'!E10/'Income Statement'!E$9</f>
        <v>0.40065884290714432</v>
      </c>
      <c r="F14" s="35">
        <f>'Income Statement'!F10/'Income Statement'!F$9</f>
        <v>0.38793103448275862</v>
      </c>
      <c r="G14" s="35">
        <f>'Income Statement'!G10/'Income Statement'!G$9</f>
        <v>0.38010624656530501</v>
      </c>
      <c r="H14" s="35">
        <f>'Income Statement'!H10/'Income Statement'!H$9</f>
        <v>0.37655172413793103</v>
      </c>
      <c r="I14" s="35">
        <f>'Income Statement'!I10/'Income Statement'!I$9</f>
        <v>0.35070966783086871</v>
      </c>
      <c r="J14" s="35">
        <f>'Income Statement'!J10/'Income Statement'!J$9</f>
        <v>0.43071105509008673</v>
      </c>
      <c r="K14" s="41">
        <f>'Income Statement'!K10/'Income Statement'!K$9</f>
        <v>0.27282426709563046</v>
      </c>
      <c r="L14" s="7"/>
    </row>
    <row r="15" spans="1:14" x14ac:dyDescent="0.15">
      <c r="A15" s="42" t="s">
        <v>30</v>
      </c>
      <c r="B15" s="43">
        <f>'Income Statement'!B11/'Income Statement'!B$9</f>
        <v>0.55526500334187257</v>
      </c>
      <c r="C15" s="43">
        <f>'Income Statement'!C11/'Income Statement'!C$9</f>
        <v>0.56107784431137719</v>
      </c>
      <c r="D15" s="43">
        <f>'Income Statement'!D11/'Income Statement'!D$9</f>
        <v>0.58798842257597683</v>
      </c>
      <c r="E15" s="43">
        <f>'Income Statement'!E11/'Income Statement'!E$9</f>
        <v>0.59934115709285563</v>
      </c>
      <c r="F15" s="43">
        <f>'Income Statement'!F11/'Income Statement'!F$9</f>
        <v>0.61206896551724133</v>
      </c>
      <c r="G15" s="43">
        <f>'Income Statement'!G11/'Income Statement'!G$9</f>
        <v>0.61989375343469499</v>
      </c>
      <c r="H15" s="43">
        <f>'Income Statement'!H11/'Income Statement'!H$9</f>
        <v>0.62344827586206897</v>
      </c>
      <c r="I15" s="43">
        <f>'Income Statement'!I11/'Income Statement'!I$9</f>
        <v>0.64929033216913135</v>
      </c>
      <c r="J15" s="43">
        <f>'Income Statement'!J11/'Income Statement'!J$9</f>
        <v>0.56928894490991322</v>
      </c>
      <c r="K15" s="44">
        <f>'Income Statement'!K11/'Income Statement'!K$9</f>
        <v>0.72717573290436954</v>
      </c>
      <c r="L15" s="7"/>
      <c r="N15" s="16" t="s">
        <v>337</v>
      </c>
    </row>
    <row r="16" spans="1:14" x14ac:dyDescent="0.15">
      <c r="A16" s="39" t="s">
        <v>31</v>
      </c>
      <c r="B16" s="35">
        <f>'Income Statement'!B12/'Income Statement'!B$9</f>
        <v>0.10269406838438989</v>
      </c>
      <c r="C16" s="35">
        <f>'Income Statement'!C12/'Income Statement'!C$9</f>
        <v>0.12015968063872255</v>
      </c>
      <c r="D16" s="35">
        <f>'Income Statement'!D12/'Income Statement'!D$9</f>
        <v>9.5947901591895798E-2</v>
      </c>
      <c r="E16" s="35">
        <f>'Income Statement'!E12/'Income Statement'!E$9</f>
        <v>8.3899526456660489E-2</v>
      </c>
      <c r="F16" s="35">
        <f>'Income Statement'!F12/'Income Statement'!F$9</f>
        <v>8.4585182656196647E-2</v>
      </c>
      <c r="G16" s="35">
        <f>'Income Statement'!G12/'Income Statement'!G$9</f>
        <v>0.10010991023997069</v>
      </c>
      <c r="H16" s="35">
        <f>'Income Statement'!H12/'Income Statement'!H$9</f>
        <v>0.11634182908545727</v>
      </c>
      <c r="I16" s="35">
        <f>'Income Statement'!I12/'Income Statement'!I$9</f>
        <v>8.0478561343538674E-2</v>
      </c>
      <c r="J16" s="35">
        <f>'Income Statement'!J12/'Income Statement'!J$9</f>
        <v>9.0457477570994288E-2</v>
      </c>
      <c r="K16" s="41">
        <f>'Income Statement'!K12/'Income Statement'!K$9</f>
        <v>4.3563901382095135E-2</v>
      </c>
      <c r="L16" s="7"/>
    </row>
    <row r="17" spans="1:12" x14ac:dyDescent="0.15">
      <c r="A17" s="39" t="s">
        <v>32</v>
      </c>
      <c r="B17" s="35">
        <f>'Income Statement'!B13/'Income Statement'!B$9</f>
        <v>0.29044600381885577</v>
      </c>
      <c r="C17" s="35">
        <f>'Income Statement'!C13/'Income Statement'!C$9</f>
        <v>0.26566866267465072</v>
      </c>
      <c r="D17" s="35">
        <f>'Income Statement'!D13/'Income Statement'!D$9</f>
        <v>0.21172214182344429</v>
      </c>
      <c r="E17" s="35">
        <f>'Income Statement'!E13/'Income Statement'!E$9</f>
        <v>0.18499073502161828</v>
      </c>
      <c r="F17" s="35">
        <f>'Income Statement'!F13/'Income Statement'!F$9</f>
        <v>0.20279959030385797</v>
      </c>
      <c r="G17" s="35">
        <f>'Income Statement'!G13/'Income Statement'!G$9</f>
        <v>0.25911339073090311</v>
      </c>
      <c r="H17" s="35">
        <f>'Income Statement'!H13/'Income Statement'!H$9</f>
        <v>0.2353223388305847</v>
      </c>
      <c r="I17" s="35">
        <f>'Income Statement'!I13/'Income Statement'!I$9</f>
        <v>0.19573456193802483</v>
      </c>
      <c r="J17" s="35">
        <f>'Income Statement'!J13/'Income Statement'!J$9</f>
        <v>0.27207681471046191</v>
      </c>
      <c r="K17" s="41">
        <f>'Income Statement'!K13/'Income Statement'!K$9</f>
        <v>0.14239519385443683</v>
      </c>
      <c r="L17" s="7"/>
    </row>
    <row r="18" spans="1:12" x14ac:dyDescent="0.15">
      <c r="A18" s="39" t="s">
        <v>274</v>
      </c>
      <c r="B18" s="35">
        <f>IFERROR('Income Statement'!B14/'Income Statement'!B$9,0)</f>
        <v>0</v>
      </c>
      <c r="C18" s="35">
        <f>IFERROR('Income Statement'!C14/'Income Statement'!C$9,0)</f>
        <v>2.6147704590818364E-2</v>
      </c>
      <c r="D18" s="35">
        <f>IFERROR('Income Statement'!D14/'Income Statement'!D$9,0)</f>
        <v>4.3415340086830681E-4</v>
      </c>
      <c r="E18" s="35">
        <f>IFERROR('Income Statement'!E14/'Income Statement'!E$9,0)</f>
        <v>0</v>
      </c>
      <c r="F18" s="35">
        <f>IFERROR('Income Statement'!F14/'Income Statement'!F$9,0)</f>
        <v>0</v>
      </c>
      <c r="G18" s="35">
        <f>IFERROR('Income Statement'!G14/'Income Statement'!G$9,0)</f>
        <v>0</v>
      </c>
      <c r="H18" s="35">
        <f>IFERROR('Income Statement'!H14/'Income Statement'!H$9,0)</f>
        <v>0</v>
      </c>
      <c r="I18" s="35">
        <f>IFERROR('Income Statement'!I14/'Income Statement'!I$9,0)</f>
        <v>0</v>
      </c>
      <c r="J18" s="35">
        <f>IFERROR('Income Statement'!J14/'Income Statement'!J$9,0)</f>
        <v>5.015941276785052E-2</v>
      </c>
      <c r="K18" s="41">
        <f>IFERROR('Income Statement'!K14/'Income Statement'!K$9,0)</f>
        <v>0</v>
      </c>
      <c r="L18" s="7"/>
    </row>
    <row r="19" spans="1:12" x14ac:dyDescent="0.15">
      <c r="A19" s="42" t="s">
        <v>33</v>
      </c>
      <c r="B19" s="43">
        <f>'Income Statement'!B15/'Income Statement'!B$9</f>
        <v>0.39314007220324565</v>
      </c>
      <c r="C19" s="43">
        <f>'Income Statement'!C15/'Income Statement'!C$9</f>
        <v>0.41197604790419162</v>
      </c>
      <c r="D19" s="43">
        <f>'Income Statement'!D15/'Income Statement'!D$9</f>
        <v>0.30810419681620838</v>
      </c>
      <c r="E19" s="43">
        <f>'Income Statement'!E15/'Income Statement'!E$9</f>
        <v>0.26889026147827877</v>
      </c>
      <c r="F19" s="43">
        <f>'Income Statement'!F15/'Income Statement'!F$9</f>
        <v>0.2873847729600546</v>
      </c>
      <c r="G19" s="43">
        <f>'Income Statement'!G15/'Income Statement'!G$9</f>
        <v>0.35922330097087379</v>
      </c>
      <c r="H19" s="43">
        <f>'Income Statement'!H15/'Income Statement'!H$9</f>
        <v>0.35166416791604199</v>
      </c>
      <c r="I19" s="43">
        <f>'Income Statement'!I15/'Income Statement'!I$9</f>
        <v>0.2762131232815635</v>
      </c>
      <c r="J19" s="43">
        <f>'Income Statement'!J15/'Income Statement'!J$9</f>
        <v>0.41269370504930675</v>
      </c>
      <c r="K19" s="44">
        <f>'Income Statement'!K15/'Income Statement'!K$9</f>
        <v>0.18595909523653195</v>
      </c>
      <c r="L19" s="7"/>
    </row>
    <row r="20" spans="1:12" x14ac:dyDescent="0.15">
      <c r="A20" s="42" t="s">
        <v>275</v>
      </c>
      <c r="B20" s="43">
        <f>'Income Statement'!B16/'Income Statement'!B$9</f>
        <v>0.16212493113862694</v>
      </c>
      <c r="C20" s="43">
        <f>'Income Statement'!C16/'Income Statement'!C$9</f>
        <v>0.14910179640718563</v>
      </c>
      <c r="D20" s="43">
        <f>'Income Statement'!D16/'Income Statement'!D$9</f>
        <v>0.27988422575976846</v>
      </c>
      <c r="E20" s="43">
        <f>'Income Statement'!E16/'Income Statement'!E$9</f>
        <v>0.33045089561457691</v>
      </c>
      <c r="F20" s="43">
        <f>'Income Statement'!F16/'Income Statement'!F$9</f>
        <v>0.32468419255718678</v>
      </c>
      <c r="G20" s="43">
        <f>'Income Statement'!G16/'Income Statement'!G$9</f>
        <v>0.2606704524638212</v>
      </c>
      <c r="H20" s="43">
        <f>'Income Statement'!H16/'Income Statement'!H$9</f>
        <v>0.27178410794602698</v>
      </c>
      <c r="I20" s="43">
        <f>'Income Statement'!I16/'Income Statement'!I$9</f>
        <v>0.37307720888756779</v>
      </c>
      <c r="J20" s="43">
        <f>'Income Statement'!J16/'Income Statement'!J$9</f>
        <v>0.1565952398606065</v>
      </c>
      <c r="K20" s="44">
        <f>'Income Statement'!K16/'Income Statement'!K$9</f>
        <v>0.54121663766783756</v>
      </c>
      <c r="L20" s="7"/>
    </row>
    <row r="21" spans="1:12" x14ac:dyDescent="0.15">
      <c r="A21" s="39" t="s">
        <v>276</v>
      </c>
      <c r="B21" s="35">
        <f>'Income Statement'!B17/'Income Statement'!B$9</f>
        <v>-3.8541008269345747E-3</v>
      </c>
      <c r="C21" s="35">
        <f>'Income Statement'!C17/'Income Statement'!C$9</f>
        <v>-1.5968063872255488E-3</v>
      </c>
      <c r="D21" s="35">
        <f>'Income Statement'!D17/'Income Statement'!D$9</f>
        <v>-5.7887120115774238E-4</v>
      </c>
      <c r="E21" s="35">
        <f>'Income Statement'!E17/'Income Statement'!E$9</f>
        <v>8.2355363393040967E-4</v>
      </c>
      <c r="F21" s="35">
        <f>'Income Statement'!F17/'Income Statement'!F$9</f>
        <v>6.6575623079549338E-3</v>
      </c>
      <c r="G21" s="35">
        <f>'Income Statement'!G17/'Income Statement'!G$9</f>
        <v>1.1540575196922514E-2</v>
      </c>
      <c r="H21" s="35">
        <f>'Income Statement'!H17/'Income Statement'!H$9</f>
        <v>-7.6161919040479758E-3</v>
      </c>
      <c r="I21" s="35">
        <f>'Income Statement'!I17/'Income Statement'!I$9</f>
        <v>-7.6911644497287658E-3</v>
      </c>
      <c r="J21" s="35">
        <f>'Income Statement'!J17/'Income Statement'!J$9</f>
        <v>1.8536368354711945E-4</v>
      </c>
      <c r="K21" s="41">
        <f>'Income Statement'!K17/'Income Statement'!K$9</f>
        <v>9.996388825054988E-3</v>
      </c>
      <c r="L21" s="7"/>
    </row>
    <row r="22" spans="1:12" x14ac:dyDescent="0.15">
      <c r="A22" s="39" t="s">
        <v>278</v>
      </c>
      <c r="B22" s="35">
        <f>'Income Statement'!B18/'Income Statement'!B$9</f>
        <v>2.966993320740522E-3</v>
      </c>
      <c r="C22" s="35">
        <f>'Income Statement'!C18/'Income Statement'!C$9</f>
        <v>7.9840319361277441E-4</v>
      </c>
      <c r="D22" s="35">
        <f>'Income Statement'!D18/'Income Statement'!D$9</f>
        <v>-3.6179450072358899E-3</v>
      </c>
      <c r="E22" s="35">
        <f>'Income Statement'!E18/'Income Statement'!E$9</f>
        <v>-2.2647724933086266E-3</v>
      </c>
      <c r="F22" s="35">
        <f>'Income Statement'!F18/'Income Statement'!F$9</f>
        <v>1.1949470809149881E-3</v>
      </c>
      <c r="G22" s="35">
        <f>'Income Statement'!G18/'Income Statement'!G$9</f>
        <v>-1.8318373328448433E-4</v>
      </c>
      <c r="H22" s="35">
        <f>'Income Statement'!H18/'Income Statement'!H$9</f>
        <v>2.39880059970015E-4</v>
      </c>
      <c r="I22" s="35">
        <f>'Income Statement'!I18/'Income Statement'!I$9</f>
        <v>3.9756260682172846E-3</v>
      </c>
      <c r="J22" s="35">
        <f>'Income Statement'!J18/'Income Statement'!J$9</f>
        <v>-1.7794913620523467E-3</v>
      </c>
      <c r="K22" s="41">
        <f>'Income Statement'!K18/'Income Statement'!K$9</f>
        <v>3.8902202816716459E-3</v>
      </c>
      <c r="L22" s="7"/>
    </row>
    <row r="23" spans="1:12" x14ac:dyDescent="0.15">
      <c r="A23" s="42" t="s">
        <v>280</v>
      </c>
      <c r="B23" s="43">
        <f>'Income Statement'!B19/'Income Statement'!B$9</f>
        <v>-8.8710750619405243E-4</v>
      </c>
      <c r="C23" s="43">
        <f>'Income Statement'!C19/'Income Statement'!C$9</f>
        <v>-7.9840319361277441E-4</v>
      </c>
      <c r="D23" s="43">
        <f>'Income Statement'!D19/'Income Statement'!D$9</f>
        <v>-4.1968162083936321E-3</v>
      </c>
      <c r="E23" s="43">
        <f>'Income Statement'!E19/'Income Statement'!E$9</f>
        <v>-1.441218859378217E-3</v>
      </c>
      <c r="F23" s="43">
        <f>'Income Statement'!F19/'Income Statement'!F$9</f>
        <v>7.8525093888699212E-3</v>
      </c>
      <c r="G23" s="43">
        <f>'Income Statement'!G19/'Income Statement'!G$9</f>
        <v>1.1357391463638029E-2</v>
      </c>
      <c r="H23" s="43">
        <f>'Income Statement'!H19/'Income Statement'!H$9</f>
        <v>-7.3763118440779612E-3</v>
      </c>
      <c r="I23" s="43">
        <f>'Income Statement'!I19/'Income Statement'!I$9</f>
        <v>-3.7155383815114808E-3</v>
      </c>
      <c r="J23" s="43">
        <f>'Income Statement'!J19/'Income Statement'!J$9</f>
        <v>-1.5941276785052274E-3</v>
      </c>
      <c r="K23" s="44">
        <f>'Income Statement'!K19/'Income Statement'!K$9</f>
        <v>1.3886609106726634E-2</v>
      </c>
      <c r="L23" s="7"/>
    </row>
    <row r="24" spans="1:12" x14ac:dyDescent="0.15">
      <c r="A24" s="42" t="s">
        <v>281</v>
      </c>
      <c r="B24" s="43">
        <f>'Income Statement'!B20/'Income Statement'!B$9</f>
        <v>0.16123782363243289</v>
      </c>
      <c r="C24" s="43">
        <f>'Income Statement'!C20/'Income Statement'!C$9</f>
        <v>0.14830339321357286</v>
      </c>
      <c r="D24" s="43">
        <f>'Income Statement'!D20/'Income Statement'!D$9</f>
        <v>0.27568740955137483</v>
      </c>
      <c r="E24" s="43">
        <f>'Income Statement'!E20/'Income Statement'!E$9</f>
        <v>0.32900967675519871</v>
      </c>
      <c r="F24" s="43">
        <f>'Income Statement'!F20/'Income Statement'!F$9</f>
        <v>0.33253670194605667</v>
      </c>
      <c r="G24" s="43">
        <f>'Income Statement'!G20/'Income Statement'!G$9</f>
        <v>0.27202784392745927</v>
      </c>
      <c r="H24" s="43">
        <f>'Income Statement'!H20/'Income Statement'!H$9</f>
        <v>0.26440779610194903</v>
      </c>
      <c r="I24" s="43">
        <f>'Income Statement'!I20/'Income Statement'!I$9</f>
        <v>0.36936167050605634</v>
      </c>
      <c r="J24" s="43">
        <f>'Income Statement'!J20/'Income Statement'!J$9</f>
        <v>0.15500111218210127</v>
      </c>
      <c r="K24" s="44">
        <f>'Income Statement'!K20/'Income Statement'!K$9</f>
        <v>0.55510324677456424</v>
      </c>
      <c r="L24" s="7"/>
    </row>
    <row r="25" spans="1:12" x14ac:dyDescent="0.15">
      <c r="A25" s="39" t="s">
        <v>39</v>
      </c>
      <c r="B25" s="35">
        <f>'Income Statement'!B21/'Income Statement'!B$9</f>
        <v>2.6540385392994179E-2</v>
      </c>
      <c r="C25" s="35">
        <f>'Income Statement'!C21/'Income Statement'!C$9</f>
        <v>2.5748502994011976E-2</v>
      </c>
      <c r="D25" s="35">
        <f>'Income Statement'!D21/'Income Statement'!D$9</f>
        <v>3.4587554269175105E-2</v>
      </c>
      <c r="E25" s="35">
        <f>'Income Statement'!E21/'Income Statement'!E$9</f>
        <v>1.5338686431953881E-2</v>
      </c>
      <c r="F25" s="35">
        <f>'Income Statement'!F21/'Income Statement'!F$9</f>
        <v>-2.091157391601229E-2</v>
      </c>
      <c r="G25" s="35">
        <f>'Income Statement'!G21/'Income Statement'!G$9</f>
        <v>1.5936984795750137E-2</v>
      </c>
      <c r="H25" s="35">
        <f>'Income Statement'!H21/'Income Statement'!H$9</f>
        <v>4.6176911544227889E-3</v>
      </c>
      <c r="I25" s="35">
        <f>'Income Statement'!I21/'Income Statement'!I$9</f>
        <v>7.0223675410566993E-3</v>
      </c>
      <c r="J25" s="35">
        <f>'Income Statement'!J21/'Income Statement'!J$9</f>
        <v>-6.9326017646622676E-3</v>
      </c>
      <c r="K25" s="41">
        <f>'Income Statement'!K21/'Income Statement'!K$9</f>
        <v>6.6609763303896785E-2</v>
      </c>
      <c r="L25" s="7"/>
    </row>
    <row r="26" spans="1:12" ht="14" thickBot="1" x14ac:dyDescent="0.2">
      <c r="A26" s="45" t="s">
        <v>40</v>
      </c>
      <c r="B26" s="46">
        <f>'Income Statement'!B22/'Income Statement'!B$9</f>
        <v>0.13469743823943872</v>
      </c>
      <c r="C26" s="46">
        <f>'Income Statement'!C22/'Income Statement'!C$9</f>
        <v>0.12255489021956088</v>
      </c>
      <c r="D26" s="46">
        <f>'Income Statement'!D22/'Income Statement'!D$9</f>
        <v>0.24109985528219971</v>
      </c>
      <c r="E26" s="46">
        <f>'Income Statement'!E22/'Income Statement'!E$9</f>
        <v>0.3136709903232448</v>
      </c>
      <c r="F26" s="46">
        <f>'Income Statement'!F22/'Income Statement'!F$9</f>
        <v>0.35344827586206895</v>
      </c>
      <c r="G26" s="46">
        <f>'Income Statement'!G22/'Income Statement'!G$9</f>
        <v>0.25609085913170909</v>
      </c>
      <c r="H26" s="46">
        <f>'Income Statement'!H22/'Income Statement'!H$9</f>
        <v>0.25979010494752625</v>
      </c>
      <c r="I26" s="46">
        <f>'Income Statement'!I22/'Income Statement'!I$9</f>
        <v>0.36233930296499961</v>
      </c>
      <c r="J26" s="46">
        <f>'Income Statement'!J22/'Income Statement'!J$9</f>
        <v>0.16193371394676356</v>
      </c>
      <c r="K26" s="47">
        <f>'Income Statement'!K22/'Income Statement'!K$9</f>
        <v>0.4884934834706674</v>
      </c>
      <c r="L26" s="7"/>
    </row>
    <row r="27" spans="1:12" x14ac:dyDescent="0.15">
      <c r="A27" s="10"/>
      <c r="B27" s="15"/>
      <c r="C27" s="15"/>
      <c r="D27" s="15"/>
      <c r="E27" s="15"/>
      <c r="F27" s="15"/>
      <c r="G27" s="15"/>
      <c r="H27" s="15"/>
      <c r="I27" s="15"/>
      <c r="J27" s="15"/>
      <c r="K27" s="15"/>
      <c r="L27" s="7"/>
    </row>
    <row r="28" spans="1:12" x14ac:dyDescent="0.15">
      <c r="A28" s="10"/>
      <c r="B28" s="15"/>
      <c r="C28" s="15"/>
      <c r="D28" s="15"/>
      <c r="E28" s="15"/>
      <c r="F28" s="15"/>
      <c r="G28" s="15"/>
      <c r="H28" s="15"/>
      <c r="I28" s="15"/>
      <c r="J28" s="15"/>
      <c r="K28" s="15"/>
      <c r="L28" s="7"/>
    </row>
  </sheetData>
  <sheetProtection formatCells="0" formatColumns="0" formatRows="0" insertColumns="0" insertRows="0" insertHyperlinks="0" deleteColumns="0" deleteRows="0" sort="0" autoFilter="0" pivotTables="0"/>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7FAED-3527-FB4E-B7D9-FAC01A5BDDA9}">
  <sheetPr>
    <tabColor rgb="FF00B050"/>
  </sheetPr>
  <dimension ref="B59"/>
  <sheetViews>
    <sheetView workbookViewId="0">
      <selection activeCell="K31" sqref="K31"/>
    </sheetView>
  </sheetViews>
  <sheetFormatPr baseColWidth="10" defaultColWidth="11.5" defaultRowHeight="13" x14ac:dyDescent="0.15"/>
  <sheetData>
    <row r="59" spans="2:2" x14ac:dyDescent="0.15">
      <c r="B59" s="16" t="s">
        <v>338</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6013F-8CF1-4CD4-B126-E6ED8888DCD7}">
  <sheetPr>
    <tabColor theme="5"/>
  </sheetPr>
  <dimension ref="A4:M47"/>
  <sheetViews>
    <sheetView workbookViewId="0">
      <selection activeCell="I26" sqref="I26"/>
    </sheetView>
  </sheetViews>
  <sheetFormatPr baseColWidth="10" defaultColWidth="8.83203125" defaultRowHeight="13" x14ac:dyDescent="0.15"/>
  <cols>
    <col min="1" max="1" width="27.33203125" style="52" customWidth="1"/>
    <col min="2" max="8" width="10.1640625" style="52" bestFit="1" customWidth="1"/>
    <col min="9" max="11" width="10.33203125" style="52" bestFit="1" customWidth="1"/>
    <col min="12" max="191" width="12" style="52" customWidth="1"/>
    <col min="192" max="16384" width="8.83203125" style="52"/>
  </cols>
  <sheetData>
    <row r="4" spans="1:12" x14ac:dyDescent="0.15">
      <c r="A4" s="51"/>
    </row>
    <row r="5" spans="1:12" ht="20" x14ac:dyDescent="0.2">
      <c r="A5" s="53"/>
    </row>
    <row r="7" spans="1:12" x14ac:dyDescent="0.15">
      <c r="A7" s="54"/>
    </row>
    <row r="8" spans="1:12" ht="14" thickBot="1" x14ac:dyDescent="0.2"/>
    <row r="9" spans="1:12" ht="14" thickBot="1" x14ac:dyDescent="0.2">
      <c r="A9" s="83"/>
      <c r="B9" s="102" t="s">
        <v>121</v>
      </c>
      <c r="C9" s="102" t="s">
        <v>122</v>
      </c>
      <c r="D9" s="102" t="s">
        <v>123</v>
      </c>
      <c r="E9" s="102" t="s">
        <v>124</v>
      </c>
      <c r="F9" s="102" t="s">
        <v>125</v>
      </c>
      <c r="G9" s="102" t="s">
        <v>126</v>
      </c>
      <c r="H9" s="102" t="s">
        <v>127</v>
      </c>
      <c r="I9" s="102" t="s">
        <v>128</v>
      </c>
      <c r="J9" s="102" t="s">
        <v>129</v>
      </c>
      <c r="K9" s="102" t="s">
        <v>130</v>
      </c>
    </row>
    <row r="10" spans="1:12" ht="14" thickBot="1" x14ac:dyDescent="0.2">
      <c r="A10" s="153" t="s">
        <v>339</v>
      </c>
      <c r="B10" s="154"/>
      <c r="C10" s="155"/>
      <c r="D10" s="155"/>
      <c r="E10" s="155"/>
      <c r="F10" s="155"/>
      <c r="G10" s="155"/>
      <c r="H10" s="155"/>
      <c r="I10" s="155"/>
      <c r="J10" s="155"/>
      <c r="K10" s="156"/>
      <c r="L10" s="57"/>
    </row>
    <row r="11" spans="1:12" ht="14" thickBot="1" x14ac:dyDescent="0.2">
      <c r="A11" s="79" t="s">
        <v>340</v>
      </c>
      <c r="B11" s="84">
        <v>8.7499999999999994E-2</v>
      </c>
      <c r="C11" s="84">
        <v>8.2899999999999988E-2</v>
      </c>
      <c r="D11" s="84">
        <v>0.19409999999999999</v>
      </c>
      <c r="E11" s="84">
        <v>0.28989999999999999</v>
      </c>
      <c r="F11" s="84">
        <v>0.33850000000000002</v>
      </c>
      <c r="G11" s="84">
        <v>0.1832</v>
      </c>
      <c r="H11" s="84">
        <v>0.18489999999999998</v>
      </c>
      <c r="I11" s="84">
        <v>0.26800000000000002</v>
      </c>
      <c r="J11" s="84">
        <v>0.1026</v>
      </c>
      <c r="K11" s="84">
        <v>0.55830000000000002</v>
      </c>
      <c r="L11" s="59"/>
    </row>
    <row r="12" spans="1:12" ht="14" thickBot="1" x14ac:dyDescent="0.2">
      <c r="A12" s="79" t="s">
        <v>341</v>
      </c>
      <c r="B12" s="84">
        <v>0.14249999999999999</v>
      </c>
      <c r="C12" s="84">
        <v>0.1346</v>
      </c>
      <c r="D12" s="84">
        <v>0.32280000000000003</v>
      </c>
      <c r="E12" s="84">
        <v>0.4607</v>
      </c>
      <c r="F12" s="84">
        <v>0.49390000000000001</v>
      </c>
      <c r="G12" s="84">
        <v>0.26030000000000003</v>
      </c>
      <c r="H12" s="84">
        <v>0.29289999999999999</v>
      </c>
      <c r="I12" s="84">
        <v>0.44950000000000001</v>
      </c>
      <c r="J12" s="84">
        <v>0.17980000000000002</v>
      </c>
      <c r="K12" s="84">
        <v>0.91709999999999992</v>
      </c>
      <c r="L12" s="59"/>
    </row>
    <row r="13" spans="1:12" ht="14" thickBot="1" x14ac:dyDescent="0.2">
      <c r="A13" s="79" t="s">
        <v>342</v>
      </c>
      <c r="B13" s="84">
        <v>0.13070000000000001</v>
      </c>
      <c r="C13" s="84">
        <v>0.1246</v>
      </c>
      <c r="D13" s="84">
        <v>0.26640000000000003</v>
      </c>
      <c r="E13" s="84">
        <v>0.35670000000000002</v>
      </c>
      <c r="F13" s="84">
        <v>0.36680000000000001</v>
      </c>
      <c r="G13" s="84">
        <v>0.22359999999999999</v>
      </c>
      <c r="H13" s="84">
        <v>0.23440000000000003</v>
      </c>
      <c r="I13" s="84">
        <v>0.32789999999999997</v>
      </c>
      <c r="J13" s="84">
        <v>0.12</v>
      </c>
      <c r="K13" s="84">
        <v>0.7712</v>
      </c>
      <c r="L13" s="59"/>
    </row>
    <row r="14" spans="1:12" ht="14" thickBot="1" x14ac:dyDescent="0.2">
      <c r="A14" s="79" t="s">
        <v>343</v>
      </c>
      <c r="B14" s="84">
        <v>0.19570000000000001</v>
      </c>
      <c r="C14" s="84">
        <v>0.17469999999999999</v>
      </c>
      <c r="D14" s="84">
        <v>0.29330000000000001</v>
      </c>
      <c r="E14" s="84">
        <v>0.33990000000000004</v>
      </c>
      <c r="F14" s="84">
        <v>0.3458</v>
      </c>
      <c r="G14" s="84">
        <v>0.29299999999999998</v>
      </c>
      <c r="H14" s="84">
        <v>0.30120000000000002</v>
      </c>
      <c r="I14" s="84">
        <v>0.39979999999999999</v>
      </c>
      <c r="J14" s="84">
        <v>0.18609999999999999</v>
      </c>
      <c r="K14" s="84">
        <v>0.55979999999999996</v>
      </c>
      <c r="L14" s="59"/>
    </row>
    <row r="15" spans="1:12" ht="14" thickBot="1" x14ac:dyDescent="0.2">
      <c r="A15" s="79" t="s">
        <v>344</v>
      </c>
      <c r="B15" s="84">
        <v>0.1646</v>
      </c>
      <c r="C15" s="84">
        <v>0.1736</v>
      </c>
      <c r="D15" s="84">
        <v>0.1255</v>
      </c>
      <c r="E15" s="84">
        <v>4.6600000000000003E-2</v>
      </c>
      <c r="F15" s="84">
        <v>-6.2899999999999998E-2</v>
      </c>
      <c r="G15" s="84">
        <v>5.8600000000000006E-2</v>
      </c>
      <c r="H15" s="84">
        <v>1.7500000000000002E-2</v>
      </c>
      <c r="I15" s="84">
        <v>1.9E-2</v>
      </c>
      <c r="J15" s="84">
        <v>-4.4699999999999997E-2</v>
      </c>
      <c r="K15" s="84">
        <v>0.12</v>
      </c>
      <c r="L15" s="59"/>
    </row>
    <row r="16" spans="1:12" ht="14" thickBot="1" x14ac:dyDescent="0.2">
      <c r="A16" s="79" t="s">
        <v>345</v>
      </c>
      <c r="B16" s="85">
        <v>508709</v>
      </c>
      <c r="C16" s="85">
        <v>750682</v>
      </c>
      <c r="D16" s="85">
        <v>672782</v>
      </c>
      <c r="E16" s="85">
        <v>844959</v>
      </c>
      <c r="F16" s="85">
        <v>884853</v>
      </c>
      <c r="G16" s="85">
        <v>794773</v>
      </c>
      <c r="H16" s="85">
        <v>864576</v>
      </c>
      <c r="I16" s="85">
        <v>1200905</v>
      </c>
      <c r="J16" s="85">
        <v>1032528</v>
      </c>
      <c r="K16" s="85">
        <v>2063830</v>
      </c>
      <c r="L16" s="59"/>
    </row>
    <row r="17" spans="1:13" ht="14" thickBot="1" x14ac:dyDescent="0.2">
      <c r="A17" s="86"/>
      <c r="B17" s="87"/>
      <c r="C17" s="87"/>
      <c r="D17" s="87"/>
      <c r="E17" s="87"/>
      <c r="F17" s="87"/>
      <c r="G17" s="87"/>
      <c r="H17" s="87"/>
      <c r="I17" s="87"/>
      <c r="J17" s="87"/>
      <c r="K17" s="87"/>
    </row>
    <row r="18" spans="1:13" ht="14" thickBot="1" x14ac:dyDescent="0.2">
      <c r="A18" s="157" t="s">
        <v>346</v>
      </c>
      <c r="B18" s="158"/>
      <c r="C18" s="158"/>
      <c r="D18" s="158"/>
      <c r="E18" s="158"/>
      <c r="F18" s="158"/>
      <c r="G18" s="158"/>
      <c r="H18" s="158"/>
      <c r="I18" s="158"/>
      <c r="J18" s="158"/>
      <c r="K18" s="158"/>
      <c r="L18" s="57"/>
    </row>
    <row r="19" spans="1:13" ht="14" thickBot="1" x14ac:dyDescent="0.2">
      <c r="A19" s="79" t="s">
        <v>189</v>
      </c>
      <c r="B19" s="84">
        <v>5.6900000000000006E-2</v>
      </c>
      <c r="C19" s="84">
        <v>2.3599999999999999E-2</v>
      </c>
      <c r="D19" s="84">
        <v>4.2599999999999999E-2</v>
      </c>
      <c r="E19" s="84">
        <v>7.2599999999999998E-2</v>
      </c>
      <c r="F19" s="84">
        <v>6.6600000000000006E-2</v>
      </c>
      <c r="G19" s="84">
        <v>7.0400000000000004E-2</v>
      </c>
      <c r="H19" s="84">
        <v>3.56E-2</v>
      </c>
      <c r="I19" s="84">
        <v>5.96E-2</v>
      </c>
      <c r="J19" s="84">
        <v>2.6099999999999998E-2</v>
      </c>
      <c r="K19" s="84">
        <v>3.3799999999999997E-2</v>
      </c>
      <c r="L19" s="59"/>
      <c r="M19" s="8"/>
    </row>
    <row r="20" spans="1:13" ht="14" thickBot="1" x14ac:dyDescent="0.2">
      <c r="A20" s="79" t="s">
        <v>187</v>
      </c>
      <c r="B20" s="84">
        <v>6.3799999999999996E-2</v>
      </c>
      <c r="C20" s="84">
        <v>2.5699999999999997E-2</v>
      </c>
      <c r="D20" s="84">
        <v>4.7699999999999992E-2</v>
      </c>
      <c r="E20" s="84">
        <v>8.0299999999999996E-2</v>
      </c>
      <c r="F20" s="84">
        <v>7.9399999999999998E-2</v>
      </c>
      <c r="G20" s="84">
        <v>7.6700000000000004E-2</v>
      </c>
      <c r="H20" s="84">
        <v>4.0899999999999999E-2</v>
      </c>
      <c r="I20" s="84">
        <v>6.6500000000000004E-2</v>
      </c>
      <c r="J20" s="84">
        <v>3.5200000000000002E-2</v>
      </c>
      <c r="K20" s="84">
        <v>4.1700000000000001E-2</v>
      </c>
      <c r="L20" s="59"/>
    </row>
    <row r="21" spans="1:13" ht="14" thickBot="1" x14ac:dyDescent="0.2">
      <c r="A21" s="79" t="s">
        <v>347</v>
      </c>
      <c r="B21" s="84">
        <v>0.66890000000000005</v>
      </c>
      <c r="C21" s="84">
        <v>0.50229999999999997</v>
      </c>
      <c r="D21" s="84">
        <v>0.68569999999999998</v>
      </c>
      <c r="E21" s="84">
        <v>0.7208</v>
      </c>
      <c r="F21" s="84">
        <v>0.69430000000000003</v>
      </c>
      <c r="G21" s="84">
        <v>0.6876000000000001</v>
      </c>
      <c r="H21" s="84">
        <v>0.42130000000000001</v>
      </c>
      <c r="I21" s="84">
        <v>0.55430000000000001</v>
      </c>
      <c r="J21" s="84">
        <v>0.40090000000000003</v>
      </c>
      <c r="K21" s="84">
        <v>0.51290000000000002</v>
      </c>
      <c r="L21" s="59"/>
    </row>
    <row r="22" spans="1:13" ht="14" thickBot="1" x14ac:dyDescent="0.2">
      <c r="A22" s="86"/>
      <c r="B22" s="87"/>
      <c r="C22" s="87"/>
      <c r="D22" s="87"/>
      <c r="E22" s="87"/>
      <c r="F22" s="87"/>
      <c r="G22" s="87"/>
      <c r="H22" s="87"/>
      <c r="I22" s="87"/>
      <c r="J22" s="87"/>
      <c r="K22" s="87"/>
    </row>
    <row r="23" spans="1:13" ht="14" thickBot="1" x14ac:dyDescent="0.2">
      <c r="A23" s="157" t="s">
        <v>348</v>
      </c>
      <c r="B23" s="158"/>
      <c r="C23" s="158"/>
      <c r="D23" s="158"/>
      <c r="E23" s="158"/>
      <c r="F23" s="158"/>
      <c r="G23" s="158"/>
      <c r="H23" s="158"/>
      <c r="I23" s="158"/>
      <c r="J23" s="158"/>
      <c r="K23" s="158"/>
      <c r="L23" s="57"/>
    </row>
    <row r="24" spans="1:13" ht="14" thickBot="1" x14ac:dyDescent="0.2">
      <c r="A24" s="79" t="s">
        <v>349</v>
      </c>
      <c r="B24" s="88">
        <v>3.2000000000000002E-3</v>
      </c>
      <c r="C24" s="88">
        <v>0</v>
      </c>
      <c r="D24" s="88">
        <v>3.4000000000000002E-3</v>
      </c>
      <c r="E24" s="88">
        <v>2.7000000000000001E-3</v>
      </c>
      <c r="F24" s="88">
        <v>2.0999999999999999E-3</v>
      </c>
      <c r="G24" s="88">
        <v>1.6000000000000001E-3</v>
      </c>
      <c r="H24" s="88">
        <v>3.4999999999999996E-3</v>
      </c>
      <c r="I24" s="88">
        <v>4.0999999999999995E-3</v>
      </c>
      <c r="J24" s="88">
        <v>4.4000000000000003E-3</v>
      </c>
      <c r="K24" s="88">
        <v>2E-3</v>
      </c>
      <c r="L24" s="59"/>
    </row>
    <row r="25" spans="1:13" ht="14" thickBot="1" x14ac:dyDescent="0.2">
      <c r="A25" s="79" t="s">
        <v>350</v>
      </c>
      <c r="B25" s="88">
        <v>3.2000000000000002E-3</v>
      </c>
      <c r="C25" s="88">
        <v>3.0999999999999999E-3</v>
      </c>
      <c r="D25" s="88">
        <v>4.7999999999999996E-3</v>
      </c>
      <c r="E25" s="88">
        <v>2.7000000000000001E-3</v>
      </c>
      <c r="F25" s="88">
        <v>2.0999999999999999E-3</v>
      </c>
      <c r="G25" s="88">
        <v>1.6000000000000001E-3</v>
      </c>
      <c r="H25" s="88"/>
      <c r="I25" s="88">
        <v>4.0999999999999995E-3</v>
      </c>
      <c r="J25" s="88">
        <v>5.0000000000000001E-3</v>
      </c>
      <c r="K25" s="88">
        <v>2.3E-3</v>
      </c>
      <c r="L25" s="82"/>
    </row>
    <row r="26" spans="1:13" ht="14" thickBot="1" x14ac:dyDescent="0.2">
      <c r="A26" s="79" t="s">
        <v>351</v>
      </c>
      <c r="B26" s="88">
        <v>0.42070000000000002</v>
      </c>
      <c r="C26" s="88">
        <v>0.93379999999999996</v>
      </c>
      <c r="D26" s="88">
        <v>4.835</v>
      </c>
      <c r="E26" s="89">
        <v>0</v>
      </c>
      <c r="F26" s="89">
        <v>0</v>
      </c>
      <c r="G26" s="89">
        <v>0</v>
      </c>
      <c r="H26" s="88">
        <v>4.0999999999999995E-3</v>
      </c>
      <c r="I26" s="88">
        <v>0.48509999999999998</v>
      </c>
      <c r="J26" s="89">
        <v>0</v>
      </c>
      <c r="K26" s="89">
        <v>0</v>
      </c>
      <c r="L26" s="59"/>
    </row>
    <row r="27" spans="1:13" ht="14" thickBot="1" x14ac:dyDescent="0.2">
      <c r="A27" s="86"/>
      <c r="B27" s="87"/>
      <c r="C27" s="87"/>
      <c r="D27" s="87"/>
      <c r="E27" s="87"/>
      <c r="F27" s="87"/>
      <c r="G27" s="87"/>
      <c r="H27" s="88">
        <v>0.3569</v>
      </c>
      <c r="I27" s="87"/>
      <c r="J27" s="87"/>
      <c r="K27" s="87"/>
    </row>
    <row r="28" spans="1:13" ht="14" thickBot="1" x14ac:dyDescent="0.2">
      <c r="A28" s="157" t="s">
        <v>352</v>
      </c>
      <c r="B28" s="158"/>
      <c r="C28" s="158"/>
      <c r="D28" s="158"/>
      <c r="E28" s="158"/>
      <c r="F28" s="158"/>
      <c r="G28" s="158"/>
      <c r="H28" s="158"/>
      <c r="I28" s="158"/>
      <c r="J28" s="158"/>
      <c r="K28" s="158"/>
      <c r="L28" s="57"/>
    </row>
    <row r="29" spans="1:13" ht="14" thickBot="1" x14ac:dyDescent="0.2">
      <c r="A29" s="79" t="s">
        <v>353</v>
      </c>
      <c r="B29" s="90">
        <v>0.65</v>
      </c>
      <c r="C29" s="90">
        <v>0.68</v>
      </c>
      <c r="D29" s="90">
        <v>0.81000000000000016</v>
      </c>
      <c r="E29" s="90">
        <v>0.91999999999999993</v>
      </c>
      <c r="F29" s="90">
        <v>0.96</v>
      </c>
      <c r="G29" s="90">
        <v>0.72</v>
      </c>
      <c r="H29" s="90">
        <v>0.71</v>
      </c>
      <c r="I29" s="90">
        <v>0.74</v>
      </c>
      <c r="J29" s="90">
        <v>0.63</v>
      </c>
      <c r="K29" s="90">
        <v>1.1399999999999999</v>
      </c>
      <c r="L29" s="59"/>
    </row>
    <row r="30" spans="1:13" ht="14" thickBot="1" x14ac:dyDescent="0.2">
      <c r="A30" s="79" t="s">
        <v>354</v>
      </c>
      <c r="B30" s="90">
        <v>10.43</v>
      </c>
      <c r="C30" s="90">
        <v>10.07</v>
      </c>
      <c r="D30" s="90">
        <v>10.41</v>
      </c>
      <c r="E30" s="90">
        <v>9.32</v>
      </c>
      <c r="F30" s="90">
        <v>8.74</v>
      </c>
      <c r="G30" s="90">
        <v>7.1099999999999994</v>
      </c>
      <c r="H30" s="90">
        <v>8.0299999999999994</v>
      </c>
      <c r="I30" s="90">
        <v>7.62</v>
      </c>
      <c r="J30" s="90">
        <v>6.38</v>
      </c>
      <c r="K30" s="90">
        <v>8.84</v>
      </c>
      <c r="L30" s="59"/>
    </row>
    <row r="31" spans="1:13" ht="14" thickBot="1" x14ac:dyDescent="0.2">
      <c r="A31" s="79" t="s">
        <v>355</v>
      </c>
      <c r="B31" s="95">
        <f>365/B30</f>
        <v>34.995206136145733</v>
      </c>
      <c r="C31" s="95">
        <f t="shared" ref="C31:K31" si="0">365/C30</f>
        <v>36.246276067527305</v>
      </c>
      <c r="D31" s="95">
        <f t="shared" si="0"/>
        <v>35.062439961575407</v>
      </c>
      <c r="E31" s="95">
        <f t="shared" si="0"/>
        <v>39.163090128755364</v>
      </c>
      <c r="F31" s="95">
        <f t="shared" si="0"/>
        <v>41.762013729977113</v>
      </c>
      <c r="G31" s="95">
        <f t="shared" si="0"/>
        <v>51.336146272855139</v>
      </c>
      <c r="H31" s="95">
        <f>365/H30</f>
        <v>45.45454545454546</v>
      </c>
      <c r="I31" s="95">
        <f t="shared" si="0"/>
        <v>47.900262467191602</v>
      </c>
      <c r="J31" s="95">
        <f t="shared" si="0"/>
        <v>57.210031347962385</v>
      </c>
      <c r="K31" s="95">
        <f t="shared" si="0"/>
        <v>41.289592760180994</v>
      </c>
      <c r="L31" s="59"/>
    </row>
    <row r="32" spans="1:13" ht="14" thickBot="1" x14ac:dyDescent="0.2">
      <c r="A32" s="79" t="s">
        <v>356</v>
      </c>
      <c r="B32" s="90">
        <v>4.78</v>
      </c>
      <c r="C32" s="90">
        <v>4.88</v>
      </c>
      <c r="D32" s="90">
        <v>4.7</v>
      </c>
      <c r="E32" s="90">
        <v>4.9000000000000004</v>
      </c>
      <c r="F32" s="90">
        <v>3.83</v>
      </c>
      <c r="G32" s="90">
        <v>3.25</v>
      </c>
      <c r="H32" s="90">
        <v>4.4800000000000004</v>
      </c>
      <c r="I32" s="90">
        <v>4.26</v>
      </c>
      <c r="J32" s="90">
        <v>2.99</v>
      </c>
      <c r="K32" s="90">
        <v>3.18</v>
      </c>
      <c r="L32" s="59"/>
    </row>
    <row r="33" spans="1:12" ht="14" thickBot="1" x14ac:dyDescent="0.2">
      <c r="A33" s="79" t="s">
        <v>357</v>
      </c>
      <c r="B33" s="95">
        <f t="shared" ref="B33:K33" si="1">365/B32</f>
        <v>76.359832635983253</v>
      </c>
      <c r="C33" s="95">
        <f t="shared" si="1"/>
        <v>74.795081967213122</v>
      </c>
      <c r="D33" s="95">
        <f t="shared" si="1"/>
        <v>77.659574468085097</v>
      </c>
      <c r="E33" s="95">
        <f t="shared" si="1"/>
        <v>74.489795918367335</v>
      </c>
      <c r="F33" s="95">
        <f t="shared" si="1"/>
        <v>95.300261096605738</v>
      </c>
      <c r="G33" s="95">
        <f t="shared" si="1"/>
        <v>112.30769230769231</v>
      </c>
      <c r="H33" s="95">
        <f>365/H32</f>
        <v>81.473214285714278</v>
      </c>
      <c r="I33" s="95">
        <f t="shared" si="1"/>
        <v>85.680751173708927</v>
      </c>
      <c r="J33" s="95">
        <f t="shared" si="1"/>
        <v>122.07357859531771</v>
      </c>
      <c r="K33" s="95">
        <f t="shared" si="1"/>
        <v>114.77987421383648</v>
      </c>
      <c r="L33" s="59"/>
    </row>
    <row r="34" spans="1:12" ht="14" thickBot="1" x14ac:dyDescent="0.2">
      <c r="A34" s="79" t="s">
        <v>358</v>
      </c>
      <c r="B34" s="90">
        <v>15.2</v>
      </c>
      <c r="C34" s="90">
        <v>16.73</v>
      </c>
      <c r="D34" s="90">
        <v>17.739999999999998</v>
      </c>
      <c r="E34" s="90">
        <v>18.02</v>
      </c>
      <c r="F34" s="90">
        <v>21.23</v>
      </c>
      <c r="G34" s="90">
        <v>18.28</v>
      </c>
      <c r="H34" s="90">
        <v>17.38</v>
      </c>
      <c r="I34" s="90">
        <v>18.09</v>
      </c>
      <c r="J34" s="90">
        <v>18.18</v>
      </c>
      <c r="K34" s="90">
        <v>31.39</v>
      </c>
      <c r="L34" s="59"/>
    </row>
    <row r="35" spans="1:12" ht="14" thickBot="1" x14ac:dyDescent="0.2">
      <c r="A35" s="79" t="s">
        <v>359</v>
      </c>
      <c r="B35" s="90">
        <v>15.229999999999999</v>
      </c>
      <c r="C35" s="90">
        <v>17.260000000000002</v>
      </c>
      <c r="D35" s="90">
        <v>20.78</v>
      </c>
      <c r="E35" s="90">
        <v>24.72</v>
      </c>
      <c r="F35" s="90">
        <v>24.68</v>
      </c>
      <c r="G35" s="90">
        <v>18.45</v>
      </c>
      <c r="H35" s="90">
        <v>20.85</v>
      </c>
      <c r="I35" s="90">
        <v>23.11</v>
      </c>
      <c r="J35" s="90">
        <v>17.260000000000002</v>
      </c>
      <c r="K35" s="90">
        <v>18.73</v>
      </c>
      <c r="L35" s="59"/>
    </row>
    <row r="36" spans="1:12" ht="14" thickBot="1" x14ac:dyDescent="0.2">
      <c r="A36" s="79" t="s">
        <v>360</v>
      </c>
      <c r="B36" s="90">
        <v>8.24</v>
      </c>
      <c r="C36" s="90">
        <v>9.6300000000000008</v>
      </c>
      <c r="D36" s="90">
        <v>14.04</v>
      </c>
      <c r="E36" s="90">
        <v>12.83</v>
      </c>
      <c r="F36" s="90">
        <v>9.7899999999999991</v>
      </c>
      <c r="G36" s="90">
        <v>7.1099999999999994</v>
      </c>
      <c r="H36" s="90">
        <v>8.58</v>
      </c>
      <c r="I36" s="90">
        <v>10.96</v>
      </c>
      <c r="J36" s="90">
        <v>8.2200000000000006</v>
      </c>
      <c r="K36" s="90">
        <v>15.82</v>
      </c>
    </row>
    <row r="37" spans="1:12" ht="14" thickBot="1" x14ac:dyDescent="0.2">
      <c r="A37" s="79" t="s">
        <v>361</v>
      </c>
      <c r="B37" s="90">
        <v>5.7</v>
      </c>
      <c r="C37" s="90">
        <v>9.02</v>
      </c>
      <c r="D37" s="90">
        <v>5.87</v>
      </c>
      <c r="E37" s="90">
        <v>3.38</v>
      </c>
      <c r="F37" s="90">
        <v>4.91</v>
      </c>
      <c r="G37" s="90">
        <v>1.87</v>
      </c>
      <c r="H37" s="90">
        <v>2.79</v>
      </c>
      <c r="I37" s="90">
        <v>19.03</v>
      </c>
      <c r="J37" s="90">
        <v>10.06</v>
      </c>
      <c r="K37" s="90">
        <v>11.45</v>
      </c>
      <c r="L37" s="57"/>
    </row>
    <row r="38" spans="1:12" ht="14" thickBot="1" x14ac:dyDescent="0.2">
      <c r="A38" s="86"/>
      <c r="B38" s="87"/>
      <c r="C38" s="87"/>
      <c r="D38" s="87"/>
      <c r="E38" s="87"/>
      <c r="F38" s="87"/>
      <c r="G38" s="87"/>
      <c r="H38" s="87"/>
      <c r="I38" s="87"/>
      <c r="J38" s="87"/>
      <c r="K38" s="87"/>
      <c r="L38" s="59"/>
    </row>
    <row r="39" spans="1:12" ht="14" thickBot="1" x14ac:dyDescent="0.2">
      <c r="A39" s="157" t="s">
        <v>362</v>
      </c>
      <c r="B39" s="158"/>
      <c r="C39" s="158"/>
      <c r="D39" s="158"/>
      <c r="E39" s="158"/>
      <c r="F39" s="158"/>
      <c r="G39" s="158"/>
      <c r="H39" s="158"/>
      <c r="I39" s="158"/>
      <c r="J39" s="158"/>
      <c r="K39" s="158"/>
      <c r="L39" s="59"/>
    </row>
    <row r="40" spans="1:12" ht="14" thickBot="1" x14ac:dyDescent="0.2">
      <c r="A40" s="79" t="s">
        <v>363</v>
      </c>
      <c r="B40" s="91">
        <v>0.04</v>
      </c>
      <c r="C40" s="91">
        <v>0.05</v>
      </c>
      <c r="D40" s="91">
        <v>0.08</v>
      </c>
      <c r="E40" s="91">
        <v>0.15</v>
      </c>
      <c r="F40" s="91">
        <v>0.15</v>
      </c>
      <c r="G40" s="91">
        <v>0.2</v>
      </c>
      <c r="H40" s="91">
        <v>0.23</v>
      </c>
      <c r="I40" s="91">
        <v>0.37</v>
      </c>
      <c r="J40" s="91">
        <v>0.23</v>
      </c>
      <c r="K40" s="91">
        <v>1.1399999999999999</v>
      </c>
    </row>
    <row r="41" spans="1:12" ht="14" thickBot="1" x14ac:dyDescent="0.2">
      <c r="A41" s="92" t="s">
        <v>364</v>
      </c>
      <c r="B41" s="91">
        <v>0.2</v>
      </c>
      <c r="C41" s="91">
        <v>0.21</v>
      </c>
      <c r="D41" s="91">
        <v>0.25</v>
      </c>
      <c r="E41" s="91">
        <v>0.31</v>
      </c>
      <c r="F41" s="91">
        <v>0.39</v>
      </c>
      <c r="G41" s="91">
        <v>0.5</v>
      </c>
      <c r="H41" s="91">
        <v>0.68</v>
      </c>
      <c r="I41" s="91">
        <v>1.06</v>
      </c>
      <c r="J41" s="91">
        <v>0.9</v>
      </c>
      <c r="K41" s="91">
        <v>1.74</v>
      </c>
    </row>
    <row r="47" spans="1:12" x14ac:dyDescent="0.15">
      <c r="A47" s="52" t="s">
        <v>365</v>
      </c>
    </row>
  </sheetData>
  <sheetProtection formatCells="0" formatColumns="0" formatRows="0" insertColumns="0" insertRows="0" insertHyperlinks="0" deleteColumns="0" deleteRows="0" sort="0" autoFilter="0" pivotTables="0"/>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708C6-BE80-0F49-BB59-B5D432318E54}">
  <sheetPr>
    <tabColor rgb="FF7030A0"/>
  </sheetPr>
  <dimension ref="B1:O37"/>
  <sheetViews>
    <sheetView topLeftCell="A15" zoomScale="107" zoomScaleNormal="90" workbookViewId="0">
      <selection activeCell="F42" sqref="F42"/>
    </sheetView>
  </sheetViews>
  <sheetFormatPr baseColWidth="10" defaultColWidth="8.83203125" defaultRowHeight="13" x14ac:dyDescent="0.15"/>
  <cols>
    <col min="1" max="1" width="8.83203125" style="416"/>
    <col min="2" max="2" width="25.5" style="416" customWidth="1"/>
    <col min="3" max="3" width="18.6640625" style="416" bestFit="1" customWidth="1"/>
    <col min="4" max="4" width="13.6640625" style="416" customWidth="1"/>
    <col min="5" max="6" width="15" style="416" customWidth="1"/>
    <col min="7" max="7" width="16" style="416" customWidth="1"/>
    <col min="8" max="8" width="18.83203125" style="416" bestFit="1" customWidth="1"/>
    <col min="9" max="9" width="18.5" style="416" bestFit="1" customWidth="1"/>
    <col min="10" max="10" width="14" style="416" bestFit="1" customWidth="1"/>
    <col min="11" max="11" width="15" style="416" customWidth="1"/>
    <col min="12" max="14" width="8.83203125" style="416"/>
    <col min="15" max="15" width="16" style="416" customWidth="1"/>
    <col min="16" max="16384" width="8.83203125" style="416"/>
  </cols>
  <sheetData>
    <row r="1" spans="2:15" x14ac:dyDescent="0.15">
      <c r="E1" s="453" t="s">
        <v>97</v>
      </c>
      <c r="F1" s="453"/>
      <c r="G1" s="453"/>
      <c r="H1" s="453"/>
      <c r="I1" s="453"/>
      <c r="J1" s="453"/>
      <c r="K1" s="453"/>
      <c r="M1" s="453"/>
    </row>
    <row r="2" spans="2:15" s="454" customFormat="1" x14ac:dyDescent="0.15">
      <c r="C2" s="454" t="s">
        <v>98</v>
      </c>
      <c r="E2" s="454" t="s">
        <v>99</v>
      </c>
      <c r="F2" s="454" t="s">
        <v>100</v>
      </c>
      <c r="G2" s="454" t="s">
        <v>101</v>
      </c>
      <c r="H2" s="454" t="s">
        <v>102</v>
      </c>
    </row>
    <row r="3" spans="2:15" x14ac:dyDescent="0.15">
      <c r="B3" s="416" t="s">
        <v>103</v>
      </c>
      <c r="C3" s="452">
        <f>'DCF Model'!D34</f>
        <v>1516025280</v>
      </c>
      <c r="E3" s="473">
        <f>138.58*E4</f>
        <v>224499600.00000003</v>
      </c>
      <c r="F3" s="473">
        <f>42.98*F4</f>
        <v>185630620</v>
      </c>
      <c r="G3" s="473">
        <f>148.51*G4</f>
        <v>166331200</v>
      </c>
      <c r="H3" s="473">
        <f>118*H4</f>
        <v>526280000</v>
      </c>
      <c r="I3" s="455"/>
      <c r="J3" s="452"/>
      <c r="K3" s="452"/>
    </row>
    <row r="4" spans="2:15" x14ac:dyDescent="0.15">
      <c r="B4" s="416" t="s">
        <v>104</v>
      </c>
      <c r="C4" s="437">
        <f>'DCF Model'!D33</f>
        <v>24640000</v>
      </c>
      <c r="E4" s="474">
        <v>1620000</v>
      </c>
      <c r="F4" s="474">
        <v>4319000</v>
      </c>
      <c r="G4" s="474">
        <v>1120000</v>
      </c>
      <c r="H4" s="474">
        <v>4460000</v>
      </c>
      <c r="I4" s="456"/>
    </row>
    <row r="5" spans="2:15" x14ac:dyDescent="0.15">
      <c r="B5" s="416" t="s">
        <v>105</v>
      </c>
      <c r="C5" s="437">
        <f>'Income Statement'!K22</f>
        <v>29760000</v>
      </c>
      <c r="E5" s="467">
        <f>'[2]IS AMD'!$K$36</f>
        <v>854000</v>
      </c>
      <c r="F5" s="467">
        <f>'[2]IS Intel'!$K$37</f>
        <v>1689000</v>
      </c>
      <c r="G5" s="467">
        <f>'[2]IS Qual'!$K$39</f>
        <v>10142000</v>
      </c>
      <c r="H5" s="467">
        <f>'[2]IS Broad'!$K$38</f>
        <v>5895000</v>
      </c>
    </row>
    <row r="6" spans="2:15" x14ac:dyDescent="0.15">
      <c r="B6" s="416" t="s">
        <v>106</v>
      </c>
      <c r="C6" s="472">
        <f>'Projected IS'!L22</f>
        <v>65619660</v>
      </c>
      <c r="E6" s="473">
        <f>E5*(1+'[2]IS AMD'!$L$50)</f>
        <v>1972708.340789665</v>
      </c>
      <c r="F6" s="473">
        <f>F5*(1+'[2]IS Intel'!$L$50)</f>
        <v>1606429.3323895475</v>
      </c>
      <c r="G6" s="473">
        <f>G5*(1+'[2]IS Qual'!$L$53)</f>
        <v>12812954.793936767</v>
      </c>
      <c r="H6" s="473">
        <f>H5*(1+'[2]IS Broad'!$L$52)</f>
        <v>7815502.9275052706</v>
      </c>
      <c r="I6" s="452"/>
      <c r="J6" s="452"/>
      <c r="K6" s="452"/>
    </row>
    <row r="7" spans="2:15" x14ac:dyDescent="0.15">
      <c r="B7" s="416" t="s">
        <v>107</v>
      </c>
      <c r="C7" s="452">
        <f>'Income Statement'!C16+('Balance Sheet'!K16-'Balance Sheet'!J16)</f>
        <v>1562000</v>
      </c>
      <c r="E7" s="473">
        <f>'[2]IS AMD'!$K$26+('[2]BS AMD'!$K$26-'[2]BS AMD'!$J$26)</f>
        <v>681000</v>
      </c>
      <c r="F7" s="473">
        <f>'[2]IS Intel'!$K$26+('[2]BS Intel'!$K$26-'[2]BS Intel'!$J$26)</f>
        <v>4717000</v>
      </c>
      <c r="G7" s="473">
        <f>'[2]IS Qual'!$K$25+('[2]BS Qual'!$K$26-'[2]BS Qual'!$J$26)</f>
        <v>11279000</v>
      </c>
      <c r="H7" s="473">
        <f>'[2]IS Broad'!$K$26+('[2]BS Broad'!$K$25-'[2]BS Broad'!$J$25)</f>
        <v>13943000</v>
      </c>
      <c r="I7" s="452"/>
      <c r="J7" s="452"/>
      <c r="K7" s="452"/>
    </row>
    <row r="8" spans="2:15" x14ac:dyDescent="0.15">
      <c r="B8" s="416" t="s">
        <v>108</v>
      </c>
      <c r="C8" s="452">
        <f>'Income Statement'!K9</f>
        <v>60922000</v>
      </c>
      <c r="E8" s="473">
        <f>'[2]IS AMD'!$K$17</f>
        <v>22680000</v>
      </c>
      <c r="F8" s="473">
        <f>'[2]IS Intel'!$K$17</f>
        <v>54228000</v>
      </c>
      <c r="G8" s="473">
        <f>'[2]IS Qual'!$K$18</f>
        <v>38962000</v>
      </c>
      <c r="H8" s="473">
        <f>'[2]IS Broad'!$K$17</f>
        <v>51574000</v>
      </c>
      <c r="I8" s="452"/>
      <c r="J8" s="452"/>
      <c r="K8" s="452"/>
    </row>
    <row r="9" spans="2:15" x14ac:dyDescent="0.15">
      <c r="B9" s="416" t="s">
        <v>109</v>
      </c>
      <c r="C9" s="452">
        <f>'Balance Sheet'!K23-'Balance Sheet'!K35</f>
        <v>42978000</v>
      </c>
      <c r="E9" s="473">
        <f>'[2]BS AMD'!$K$33-'[2]BS AMD'!$K$45</f>
        <v>55892000</v>
      </c>
      <c r="F9" s="473">
        <f>'[2]BS Intel'!$K$34-'[2]BS Intel'!$K$46</f>
        <v>105590000</v>
      </c>
      <c r="G9" s="473">
        <f>'[2]BS Qual'!$K$33-'[2]BS Qual'!$K$45</f>
        <v>26274000</v>
      </c>
      <c r="H9" s="473">
        <f>'[2]BS Broad'!$K$29-'[2]BS Broad'!$K$43</f>
        <v>67678000</v>
      </c>
      <c r="I9" s="452"/>
      <c r="J9" s="452"/>
      <c r="K9" s="452"/>
    </row>
    <row r="11" spans="2:15" ht="16" x14ac:dyDescent="0.2">
      <c r="B11" s="416" t="s">
        <v>110</v>
      </c>
      <c r="C11" s="457">
        <f>C3/C5</f>
        <v>50.941709677419354</v>
      </c>
      <c r="D11" s="458"/>
      <c r="E11" s="458"/>
      <c r="F11" s="458"/>
      <c r="G11" s="458"/>
      <c r="H11" s="458"/>
      <c r="I11" s="458"/>
      <c r="J11" s="458"/>
      <c r="K11" s="458"/>
      <c r="L11" s="458"/>
      <c r="M11" s="458" t="s">
        <v>111</v>
      </c>
      <c r="N11" s="458"/>
    </row>
    <row r="12" spans="2:15" ht="16" x14ac:dyDescent="0.2">
      <c r="B12" s="416" t="s">
        <v>112</v>
      </c>
      <c r="C12" s="471">
        <f>C3/C6</f>
        <v>23.103217541815972</v>
      </c>
      <c r="D12" s="458"/>
      <c r="E12" s="458">
        <f t="shared" ref="E12:H12" si="0">E3/E6</f>
        <v>113.80273269901318</v>
      </c>
      <c r="F12" s="488">
        <f t="shared" si="0"/>
        <v>115.55479986404153</v>
      </c>
      <c r="G12" s="489">
        <f t="shared" si="0"/>
        <v>12.981486524771771</v>
      </c>
      <c r="H12" s="458">
        <f t="shared" si="0"/>
        <v>67.337956991590559</v>
      </c>
      <c r="I12" s="458"/>
      <c r="J12" s="458"/>
      <c r="K12" s="458"/>
      <c r="L12" s="458"/>
      <c r="M12" s="458">
        <f>AVERAGE(E12:F12,H12)</f>
        <v>98.898496518215083</v>
      </c>
      <c r="N12" s="458"/>
    </row>
    <row r="13" spans="2:15" ht="16" x14ac:dyDescent="0.2">
      <c r="B13" s="416" t="s">
        <v>113</v>
      </c>
      <c r="C13" s="457">
        <f>C3/C7</f>
        <v>970.56676056338029</v>
      </c>
      <c r="D13" s="458"/>
      <c r="E13" s="489">
        <f>E3/E7</f>
        <v>329.66167400881062</v>
      </c>
      <c r="F13" s="488">
        <f t="shared" ref="F13:H13" si="1">F3/F7</f>
        <v>39.353534025863894</v>
      </c>
      <c r="G13" s="458">
        <f t="shared" si="1"/>
        <v>14.746981115347106</v>
      </c>
      <c r="H13" s="458">
        <f t="shared" si="1"/>
        <v>37.745105070644769</v>
      </c>
      <c r="I13" s="458"/>
      <c r="J13" s="458"/>
      <c r="K13" s="458"/>
      <c r="L13" s="458"/>
      <c r="M13" s="458">
        <f>AVERAGE(F13:H13)</f>
        <v>30.615206737285252</v>
      </c>
      <c r="N13" s="458"/>
    </row>
    <row r="14" spans="2:15" ht="16" x14ac:dyDescent="0.2">
      <c r="B14" s="416" t="s">
        <v>114</v>
      </c>
      <c r="C14" s="457">
        <f>C3/C8</f>
        <v>24.884693214273991</v>
      </c>
      <c r="D14" s="458"/>
      <c r="E14" s="458">
        <f t="shared" ref="E14:H14" si="2">E3/E8</f>
        <v>9.8985714285714295</v>
      </c>
      <c r="F14" s="488">
        <f t="shared" si="2"/>
        <v>3.423150770819503</v>
      </c>
      <c r="G14" s="458">
        <f t="shared" si="2"/>
        <v>4.2690621631333094</v>
      </c>
      <c r="H14" s="458">
        <f t="shared" si="2"/>
        <v>10.204366541280491</v>
      </c>
      <c r="I14" s="458"/>
      <c r="J14" s="458"/>
      <c r="K14" s="458"/>
      <c r="L14" s="458"/>
      <c r="M14" s="458">
        <f t="shared" ref="M14:M15" si="3">AVERAGE(E14:H14)</f>
        <v>6.948787725951183</v>
      </c>
      <c r="N14" s="458"/>
      <c r="O14" s="460"/>
    </row>
    <row r="15" spans="2:15" ht="16" x14ac:dyDescent="0.2">
      <c r="B15" s="416" t="s">
        <v>115</v>
      </c>
      <c r="C15" s="457">
        <f>C3/C9</f>
        <v>35.274449253106241</v>
      </c>
      <c r="D15" s="458"/>
      <c r="E15" s="458">
        <f t="shared" ref="E15:H15" si="4">E3/E9</f>
        <v>4.0166678594432126</v>
      </c>
      <c r="F15" s="458">
        <f t="shared" si="4"/>
        <v>1.7580322000189412</v>
      </c>
      <c r="G15" s="458">
        <f t="shared" si="4"/>
        <v>6.3306386541828426</v>
      </c>
      <c r="H15" s="458">
        <f t="shared" si="4"/>
        <v>7.7762345222967584</v>
      </c>
      <c r="I15" s="459"/>
      <c r="J15" s="458"/>
      <c r="K15" s="458"/>
      <c r="L15" s="458"/>
      <c r="M15" s="458">
        <f t="shared" si="3"/>
        <v>4.9703933089854386</v>
      </c>
      <c r="N15" s="458"/>
    </row>
    <row r="17" spans="2:10" x14ac:dyDescent="0.15">
      <c r="B17" s="416" t="s">
        <v>116</v>
      </c>
    </row>
    <row r="18" spans="2:10" x14ac:dyDescent="0.15">
      <c r="C18" s="416" t="s">
        <v>117</v>
      </c>
      <c r="D18" s="416" t="s">
        <v>118</v>
      </c>
    </row>
    <row r="19" spans="2:10" x14ac:dyDescent="0.15">
      <c r="B19" s="416" t="s">
        <v>112</v>
      </c>
      <c r="C19" s="460">
        <f>M12*C6</f>
        <v>6489685716.036458</v>
      </c>
      <c r="D19" s="461">
        <f>C19/'DCF Model'!$D$33</f>
        <v>263.38010211186923</v>
      </c>
    </row>
    <row r="20" spans="2:10" x14ac:dyDescent="0.15">
      <c r="B20" s="416" t="s">
        <v>113</v>
      </c>
      <c r="C20" s="460">
        <f>M13*C7</f>
        <v>47820952.923639566</v>
      </c>
      <c r="D20" s="461">
        <f>C20/'DCF Model'!$D$33</f>
        <v>1.9407854270957616</v>
      </c>
    </row>
    <row r="21" spans="2:10" x14ac:dyDescent="0.15">
      <c r="B21" s="416" t="s">
        <v>114</v>
      </c>
      <c r="C21" s="460">
        <f>M14*C8</f>
        <v>423334045.84039795</v>
      </c>
      <c r="D21" s="461">
        <f>C21/'DCF Model'!$D$33</f>
        <v>17.180764847418747</v>
      </c>
    </row>
    <row r="22" spans="2:10" x14ac:dyDescent="0.15">
      <c r="B22" s="416" t="s">
        <v>115</v>
      </c>
      <c r="C22" s="460">
        <f>M15*C9</f>
        <v>213617563.63357618</v>
      </c>
      <c r="D22" s="461">
        <f>C22/'DCF Model'!$D$33</f>
        <v>8.6695439786353976</v>
      </c>
    </row>
    <row r="23" spans="2:10" ht="14" thickBot="1" x14ac:dyDescent="0.2"/>
    <row r="24" spans="2:10" ht="14" thickBot="1" x14ac:dyDescent="0.2">
      <c r="C24" s="416" t="s">
        <v>111</v>
      </c>
      <c r="D24" s="462">
        <f>AVERAGE(D19:D22)</f>
        <v>72.792799091254778</v>
      </c>
    </row>
    <row r="27" spans="2:10" ht="14" thickBot="1" x14ac:dyDescent="0.2"/>
    <row r="28" spans="2:10" ht="14" thickBot="1" x14ac:dyDescent="0.2">
      <c r="H28" s="517" t="s">
        <v>490</v>
      </c>
      <c r="I28" s="518"/>
      <c r="J28" s="519"/>
    </row>
    <row r="29" spans="2:10" ht="14" thickBot="1" x14ac:dyDescent="0.2">
      <c r="H29" s="494"/>
      <c r="I29" s="495" t="s">
        <v>117</v>
      </c>
      <c r="J29" s="496" t="s">
        <v>118</v>
      </c>
    </row>
    <row r="30" spans="2:10" ht="14" thickBot="1" x14ac:dyDescent="0.2">
      <c r="H30" s="497" t="s">
        <v>119</v>
      </c>
      <c r="I30" s="498">
        <v>6489685716.036458</v>
      </c>
      <c r="J30" s="499">
        <v>263.38010211186923</v>
      </c>
    </row>
    <row r="31" spans="2:10" ht="14" thickBot="1" x14ac:dyDescent="0.2">
      <c r="B31" s="514" t="s">
        <v>490</v>
      </c>
      <c r="C31" s="515"/>
      <c r="D31" s="516"/>
      <c r="H31" s="500" t="s">
        <v>113</v>
      </c>
      <c r="I31" s="498">
        <v>47820952.923639566</v>
      </c>
      <c r="J31" s="499">
        <v>1.9407854270957616</v>
      </c>
    </row>
    <row r="32" spans="2:10" ht="14" thickBot="1" x14ac:dyDescent="0.2">
      <c r="B32" s="482"/>
      <c r="C32" s="480" t="s">
        <v>117</v>
      </c>
      <c r="D32" s="481" t="s">
        <v>118</v>
      </c>
      <c r="H32" s="500" t="s">
        <v>114</v>
      </c>
      <c r="I32" s="498">
        <v>423334045.84039795</v>
      </c>
      <c r="J32" s="499">
        <v>17.180764847418747</v>
      </c>
    </row>
    <row r="33" spans="2:10" x14ac:dyDescent="0.15">
      <c r="B33" s="477" t="s">
        <v>119</v>
      </c>
      <c r="C33" s="476">
        <f>C19</f>
        <v>6489685716.036458</v>
      </c>
      <c r="D33" s="461">
        <f>C33/'DCF Model'!$D$33</f>
        <v>263.38010211186923</v>
      </c>
      <c r="H33" s="500" t="s">
        <v>115</v>
      </c>
      <c r="I33" s="498">
        <v>213617563.63357618</v>
      </c>
      <c r="J33" s="499">
        <v>8.6695439786353976</v>
      </c>
    </row>
    <row r="34" spans="2:10" ht="14" thickBot="1" x14ac:dyDescent="0.2">
      <c r="B34" s="478" t="s">
        <v>113</v>
      </c>
      <c r="C34" s="476">
        <f t="shared" ref="C34:C36" si="5">C20</f>
        <v>47820952.923639566</v>
      </c>
      <c r="D34" s="461">
        <f>C34/'DCF Model'!$D$33</f>
        <v>1.9407854270957616</v>
      </c>
      <c r="H34" s="501" t="s">
        <v>111</v>
      </c>
      <c r="I34" s="502"/>
      <c r="J34" s="493">
        <v>72.792799091254778</v>
      </c>
    </row>
    <row r="35" spans="2:10" x14ac:dyDescent="0.15">
      <c r="B35" s="478" t="s">
        <v>114</v>
      </c>
      <c r="C35" s="476">
        <f t="shared" si="5"/>
        <v>423334045.84039795</v>
      </c>
      <c r="D35" s="461">
        <f>C35/'DCF Model'!$D$33</f>
        <v>17.180764847418747</v>
      </c>
    </row>
    <row r="36" spans="2:10" x14ac:dyDescent="0.15">
      <c r="B36" s="478" t="s">
        <v>115</v>
      </c>
      <c r="C36" s="476">
        <f t="shared" si="5"/>
        <v>213617563.63357618</v>
      </c>
      <c r="D36" s="461">
        <f>C36/'DCF Model'!$D$33</f>
        <v>8.6695439786353976</v>
      </c>
    </row>
    <row r="37" spans="2:10" ht="14" thickBot="1" x14ac:dyDescent="0.2">
      <c r="B37" s="479" t="s">
        <v>111</v>
      </c>
      <c r="C37" s="475"/>
      <c r="D37" s="513">
        <f>AVERAGE(D33:D36)</f>
        <v>72.792799091254778</v>
      </c>
    </row>
  </sheetData>
  <mergeCells count="2">
    <mergeCell ref="B31:D31"/>
    <mergeCell ref="H28:J28"/>
  </mergeCells>
  <pageMargins left="0.7" right="0.7" top="0.75" bottom="0.75" header="0.3" footer="0.3"/>
  <pageSetup orientation="portrait"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0F891-F771-4D71-9BEE-58F6B4542AF2}">
  <dimension ref="A4:K23"/>
  <sheetViews>
    <sheetView topLeftCell="A3" zoomScale="136" workbookViewId="0">
      <selection activeCell="C16" sqref="C16"/>
    </sheetView>
  </sheetViews>
  <sheetFormatPr baseColWidth="10" defaultColWidth="9.1640625" defaultRowHeight="13" x14ac:dyDescent="0.15"/>
  <cols>
    <col min="1" max="1" width="50" style="52" customWidth="1"/>
    <col min="2" max="182" width="12" style="52" customWidth="1"/>
    <col min="183" max="16384" width="9.1640625" style="52"/>
  </cols>
  <sheetData>
    <row r="4" spans="1:11" x14ac:dyDescent="0.15">
      <c r="A4" s="51" t="s">
        <v>212</v>
      </c>
    </row>
    <row r="5" spans="1:11" ht="20" x14ac:dyDescent="0.2">
      <c r="A5" s="53" t="s">
        <v>213</v>
      </c>
    </row>
    <row r="7" spans="1:11" ht="14" x14ac:dyDescent="0.15">
      <c r="A7" s="54" t="s">
        <v>214</v>
      </c>
    </row>
    <row r="10" spans="1:11" ht="14" x14ac:dyDescent="0.15">
      <c r="A10" s="55" t="s">
        <v>366</v>
      </c>
      <c r="B10" s="52" t="s">
        <v>121</v>
      </c>
      <c r="C10" s="52" t="s">
        <v>122</v>
      </c>
      <c r="D10" s="52" t="s">
        <v>123</v>
      </c>
      <c r="E10" s="52" t="s">
        <v>124</v>
      </c>
      <c r="F10" s="52" t="s">
        <v>125</v>
      </c>
      <c r="G10" s="52" t="s">
        <v>126</v>
      </c>
      <c r="H10" s="52" t="s">
        <v>127</v>
      </c>
      <c r="I10" s="52" t="s">
        <v>128</v>
      </c>
      <c r="J10" s="52" t="s">
        <v>129</v>
      </c>
      <c r="K10" s="52" t="s">
        <v>130</v>
      </c>
    </row>
    <row r="11" spans="1:11" x14ac:dyDescent="0.15">
      <c r="A11" s="57" t="s">
        <v>131</v>
      </c>
      <c r="B11" s="52" t="s">
        <v>143</v>
      </c>
      <c r="C11" s="52" t="s">
        <v>143</v>
      </c>
      <c r="D11" s="52" t="s">
        <v>143</v>
      </c>
      <c r="E11" s="52" t="s">
        <v>143</v>
      </c>
      <c r="F11" s="52" t="s">
        <v>143</v>
      </c>
      <c r="G11" s="52" t="s">
        <v>143</v>
      </c>
      <c r="H11" s="52" t="s">
        <v>143</v>
      </c>
      <c r="I11" s="52" t="s">
        <v>143</v>
      </c>
      <c r="J11" s="52" t="s">
        <v>143</v>
      </c>
    </row>
    <row r="12" spans="1:11" x14ac:dyDescent="0.15">
      <c r="A12" s="57" t="s">
        <v>142</v>
      </c>
      <c r="B12" s="52" t="s">
        <v>145</v>
      </c>
      <c r="C12" s="52" t="s">
        <v>145</v>
      </c>
      <c r="D12" s="52" t="s">
        <v>145</v>
      </c>
      <c r="E12" s="52" t="s">
        <v>145</v>
      </c>
      <c r="F12" s="52" t="s">
        <v>145</v>
      </c>
      <c r="G12" s="52" t="s">
        <v>145</v>
      </c>
      <c r="H12" s="52" t="s">
        <v>145</v>
      </c>
      <c r="I12" s="52" t="s">
        <v>145</v>
      </c>
      <c r="J12" s="52" t="s">
        <v>145</v>
      </c>
    </row>
    <row r="13" spans="1:11" x14ac:dyDescent="0.15">
      <c r="A13" s="57" t="s">
        <v>144</v>
      </c>
      <c r="B13" s="52" t="s">
        <v>147</v>
      </c>
      <c r="C13" s="52" t="s">
        <v>147</v>
      </c>
      <c r="D13" s="52" t="s">
        <v>147</v>
      </c>
      <c r="E13" s="52" t="s">
        <v>147</v>
      </c>
      <c r="F13" s="52" t="s">
        <v>147</v>
      </c>
      <c r="G13" s="52" t="s">
        <v>147</v>
      </c>
      <c r="H13" s="52" t="s">
        <v>147</v>
      </c>
      <c r="I13" s="52" t="s">
        <v>147</v>
      </c>
      <c r="J13" s="52" t="s">
        <v>147</v>
      </c>
    </row>
    <row r="14" spans="1:11" x14ac:dyDescent="0.15">
      <c r="A14" s="57" t="s">
        <v>146</v>
      </c>
      <c r="B14" s="52" t="s">
        <v>149</v>
      </c>
      <c r="C14" s="52" t="s">
        <v>149</v>
      </c>
      <c r="D14" s="52" t="s">
        <v>149</v>
      </c>
      <c r="E14" s="52" t="s">
        <v>149</v>
      </c>
      <c r="F14" s="52" t="s">
        <v>149</v>
      </c>
      <c r="G14" s="52" t="s">
        <v>149</v>
      </c>
      <c r="H14" s="52" t="s">
        <v>149</v>
      </c>
      <c r="I14" s="52" t="s">
        <v>149</v>
      </c>
      <c r="J14" s="52" t="s">
        <v>149</v>
      </c>
    </row>
    <row r="15" spans="1:11" x14ac:dyDescent="0.15">
      <c r="A15" s="57" t="s">
        <v>148</v>
      </c>
      <c r="B15" s="265">
        <v>3504742</v>
      </c>
      <c r="C15" s="265">
        <v>3949000</v>
      </c>
      <c r="D15" s="265">
        <v>4350000</v>
      </c>
      <c r="E15" s="265">
        <v>6108000</v>
      </c>
      <c r="F15" s="265">
        <v>8787000</v>
      </c>
      <c r="G15" s="265">
        <v>12565000</v>
      </c>
      <c r="H15" s="265">
        <v>14971000</v>
      </c>
      <c r="I15" s="265">
        <v>18908000</v>
      </c>
      <c r="J15" s="265">
        <v>16235000</v>
      </c>
    </row>
    <row r="16" spans="1:11" x14ac:dyDescent="0.15">
      <c r="A16" s="59" t="s">
        <v>367</v>
      </c>
      <c r="B16" s="265" t="s">
        <v>154</v>
      </c>
      <c r="C16" s="265" t="s">
        <v>154</v>
      </c>
      <c r="D16" s="265" t="s">
        <v>154</v>
      </c>
      <c r="E16" s="265" t="s">
        <v>154</v>
      </c>
      <c r="F16" s="265">
        <v>8000</v>
      </c>
      <c r="G16" s="265" t="s">
        <v>154</v>
      </c>
      <c r="H16" s="265" t="s">
        <v>154</v>
      </c>
      <c r="I16" s="265" t="s">
        <v>154</v>
      </c>
      <c r="J16" s="265" t="s">
        <v>154</v>
      </c>
    </row>
    <row r="17" spans="1:10" x14ac:dyDescent="0.15">
      <c r="A17" s="59" t="s">
        <v>368</v>
      </c>
      <c r="B17" s="265" t="s">
        <v>154</v>
      </c>
      <c r="C17" s="265" t="s">
        <v>154</v>
      </c>
      <c r="D17" s="265">
        <v>-353000</v>
      </c>
      <c r="E17" s="265" t="s">
        <v>154</v>
      </c>
      <c r="F17" s="265" t="s">
        <v>154</v>
      </c>
      <c r="G17" s="265" t="s">
        <v>154</v>
      </c>
      <c r="H17" s="265" t="s">
        <v>154</v>
      </c>
      <c r="I17" s="265" t="s">
        <v>154</v>
      </c>
      <c r="J17" s="265" t="s">
        <v>154</v>
      </c>
    </row>
    <row r="18" spans="1:10" x14ac:dyDescent="0.15">
      <c r="A18" s="59" t="s">
        <v>369</v>
      </c>
      <c r="B18" s="265" t="s">
        <v>154</v>
      </c>
      <c r="C18" s="265" t="s">
        <v>154</v>
      </c>
      <c r="D18" s="265" t="s">
        <v>154</v>
      </c>
      <c r="E18" s="265">
        <v>-27000</v>
      </c>
      <c r="F18" s="265" t="s">
        <v>154</v>
      </c>
      <c r="G18" s="265" t="s">
        <v>154</v>
      </c>
      <c r="H18" s="265" t="s">
        <v>154</v>
      </c>
      <c r="I18" s="265" t="s">
        <v>154</v>
      </c>
      <c r="J18" s="265" t="s">
        <v>154</v>
      </c>
    </row>
    <row r="19" spans="1:10" x14ac:dyDescent="0.15">
      <c r="A19" s="59" t="s">
        <v>368</v>
      </c>
      <c r="B19" s="265">
        <v>186452</v>
      </c>
      <c r="C19" s="265">
        <v>213000</v>
      </c>
      <c r="D19" s="265">
        <v>261000</v>
      </c>
      <c r="E19" s="265">
        <v>341000</v>
      </c>
      <c r="F19" s="265">
        <v>371000</v>
      </c>
      <c r="G19" s="265">
        <v>390000</v>
      </c>
      <c r="H19" s="265">
        <v>395000</v>
      </c>
      <c r="I19" s="265">
        <v>399000</v>
      </c>
      <c r="J19" s="265">
        <v>398000</v>
      </c>
    </row>
    <row r="20" spans="1:10" x14ac:dyDescent="0.15">
      <c r="A20" s="59" t="s">
        <v>370</v>
      </c>
      <c r="B20" s="265" t="s">
        <v>154</v>
      </c>
      <c r="C20" s="265" t="s">
        <v>154</v>
      </c>
      <c r="D20" s="265" t="s">
        <v>154</v>
      </c>
      <c r="E20" s="265" t="s">
        <v>154</v>
      </c>
      <c r="F20" s="265" t="s">
        <v>154</v>
      </c>
      <c r="G20" s="265" t="s">
        <v>154</v>
      </c>
      <c r="H20" s="265" t="s">
        <v>154</v>
      </c>
      <c r="I20" s="265" t="s">
        <v>154</v>
      </c>
      <c r="J20" s="265">
        <v>10034000</v>
      </c>
    </row>
    <row r="21" spans="1:10" x14ac:dyDescent="0.15">
      <c r="A21" s="59" t="s">
        <v>371</v>
      </c>
      <c r="B21" s="265" t="s">
        <v>154</v>
      </c>
      <c r="C21" s="265" t="s">
        <v>154</v>
      </c>
      <c r="D21" s="265" t="s">
        <v>154</v>
      </c>
      <c r="E21" s="265" t="s">
        <v>154</v>
      </c>
      <c r="F21" s="265" t="s">
        <v>154</v>
      </c>
      <c r="G21" s="265" t="s">
        <v>154</v>
      </c>
      <c r="H21" s="265" t="s">
        <v>154</v>
      </c>
      <c r="I21" s="265">
        <v>12026000</v>
      </c>
      <c r="J21" s="265" t="s">
        <v>154</v>
      </c>
    </row>
    <row r="22" spans="1:10" x14ac:dyDescent="0.15">
      <c r="A22" s="59" t="s">
        <v>372</v>
      </c>
      <c r="B22" s="265">
        <v>3948877</v>
      </c>
      <c r="C22" s="265">
        <v>4350000</v>
      </c>
      <c r="D22" s="265">
        <v>6108000</v>
      </c>
      <c r="E22" s="265">
        <v>8787000</v>
      </c>
      <c r="F22" s="265">
        <v>12565000</v>
      </c>
      <c r="G22" s="265">
        <v>14971000</v>
      </c>
      <c r="H22" s="265">
        <v>18908000</v>
      </c>
      <c r="I22" s="265">
        <v>16235000</v>
      </c>
      <c r="J22" s="265">
        <v>10171000</v>
      </c>
    </row>
    <row r="23" spans="1:10" x14ac:dyDescent="0.15">
      <c r="A23" s="59" t="s">
        <v>373</v>
      </c>
      <c r="B23" s="265">
        <v>0</v>
      </c>
      <c r="C23" s="265">
        <v>0</v>
      </c>
      <c r="D23" s="265">
        <v>0</v>
      </c>
      <c r="E23" s="265">
        <v>0</v>
      </c>
      <c r="F23" s="265">
        <v>0</v>
      </c>
      <c r="G23" s="265">
        <v>0</v>
      </c>
      <c r="H23" s="265">
        <v>0</v>
      </c>
      <c r="I23" s="265">
        <v>0</v>
      </c>
      <c r="J23" s="265">
        <v>0</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F57DA-9C16-4BB2-B7AE-7B1CC9CFE505}">
  <dimension ref="A1:L34"/>
  <sheetViews>
    <sheetView zoomScaleNormal="100" workbookViewId="0">
      <selection activeCell="B6" sqref="B6"/>
    </sheetView>
  </sheetViews>
  <sheetFormatPr baseColWidth="10" defaultColWidth="11.5" defaultRowHeight="13" x14ac:dyDescent="0.15"/>
  <cols>
    <col min="1" max="1" width="37" bestFit="1" customWidth="1"/>
    <col min="2" max="3" width="16.1640625" bestFit="1" customWidth="1"/>
    <col min="4" max="5" width="15.83203125" bestFit="1" customWidth="1"/>
    <col min="8" max="8" width="37" bestFit="1" customWidth="1"/>
    <col min="9" max="10" width="16.1640625" bestFit="1" customWidth="1"/>
    <col min="11" max="12" width="15.83203125" bestFit="1" customWidth="1"/>
  </cols>
  <sheetData>
    <row r="1" spans="1:12" x14ac:dyDescent="0.15">
      <c r="A1" s="520" t="s">
        <v>374</v>
      </c>
      <c r="B1" s="520"/>
      <c r="C1" s="520"/>
      <c r="D1" s="520"/>
      <c r="E1" s="520"/>
      <c r="H1" s="520" t="s">
        <v>375</v>
      </c>
      <c r="I1" s="520"/>
      <c r="J1" s="520"/>
      <c r="K1" s="520"/>
      <c r="L1" s="520"/>
    </row>
    <row r="2" spans="1:12" x14ac:dyDescent="0.15">
      <c r="A2" t="s">
        <v>376</v>
      </c>
      <c r="B2" t="s">
        <v>377</v>
      </c>
      <c r="C2" t="s">
        <v>377</v>
      </c>
      <c r="D2" t="s">
        <v>377</v>
      </c>
      <c r="E2" t="s">
        <v>377</v>
      </c>
      <c r="H2" t="s">
        <v>376</v>
      </c>
      <c r="I2" t="s">
        <v>377</v>
      </c>
      <c r="J2" t="s">
        <v>377</v>
      </c>
      <c r="K2" s="16" t="s">
        <v>377</v>
      </c>
      <c r="L2" t="s">
        <v>377</v>
      </c>
    </row>
    <row r="3" spans="1:12" x14ac:dyDescent="0.15">
      <c r="B3" t="s">
        <v>378</v>
      </c>
      <c r="C3" t="s">
        <v>378</v>
      </c>
      <c r="D3" t="s">
        <v>379</v>
      </c>
      <c r="I3" t="s">
        <v>378</v>
      </c>
      <c r="J3" t="s">
        <v>378</v>
      </c>
      <c r="K3" t="s">
        <v>379</v>
      </c>
    </row>
    <row r="4" spans="1:12" x14ac:dyDescent="0.15">
      <c r="A4" s="16" t="s">
        <v>380</v>
      </c>
      <c r="B4" t="s">
        <v>381</v>
      </c>
      <c r="C4" t="s">
        <v>382</v>
      </c>
      <c r="D4" t="s">
        <v>381</v>
      </c>
      <c r="E4" t="s">
        <v>382</v>
      </c>
      <c r="H4" s="16" t="s">
        <v>380</v>
      </c>
      <c r="I4" t="s">
        <v>381</v>
      </c>
      <c r="J4" t="s">
        <v>382</v>
      </c>
      <c r="K4" t="s">
        <v>381</v>
      </c>
      <c r="L4" t="s">
        <v>382</v>
      </c>
    </row>
    <row r="5" spans="1:12" x14ac:dyDescent="0.15">
      <c r="A5" t="s">
        <v>383</v>
      </c>
      <c r="B5" s="93">
        <v>1</v>
      </c>
      <c r="C5" s="93">
        <v>1</v>
      </c>
      <c r="D5" s="93">
        <v>1</v>
      </c>
      <c r="E5" s="93">
        <v>1</v>
      </c>
      <c r="H5" t="s">
        <v>383</v>
      </c>
      <c r="I5" s="93">
        <v>1</v>
      </c>
      <c r="J5" s="93">
        <v>1</v>
      </c>
      <c r="K5" s="93">
        <v>1</v>
      </c>
      <c r="L5" s="93">
        <v>1</v>
      </c>
    </row>
    <row r="6" spans="1:12" x14ac:dyDescent="0.15">
      <c r="A6" t="s">
        <v>384</v>
      </c>
      <c r="B6" s="26">
        <v>0.41760000000000003</v>
      </c>
      <c r="C6" s="26">
        <v>0.38679999999999998</v>
      </c>
      <c r="D6" s="26">
        <v>0.4587</v>
      </c>
      <c r="E6" s="26">
        <v>0.43940000000000001</v>
      </c>
      <c r="H6" t="s">
        <v>384</v>
      </c>
      <c r="I6" s="26">
        <v>0.30259999999999998</v>
      </c>
      <c r="J6" s="26">
        <v>0.27560000000000001</v>
      </c>
      <c r="K6" s="26">
        <v>0.33879999999999999</v>
      </c>
      <c r="L6" s="26">
        <v>0.32029999999999997</v>
      </c>
    </row>
    <row r="7" spans="1:12" x14ac:dyDescent="0.15">
      <c r="A7" t="s">
        <v>385</v>
      </c>
      <c r="B7" s="26">
        <v>0.2</v>
      </c>
      <c r="C7" s="26">
        <v>0.22140000000000001</v>
      </c>
      <c r="D7" s="26">
        <v>0.17369999999999999</v>
      </c>
      <c r="E7" s="26">
        <v>0.18770000000000001</v>
      </c>
      <c r="H7" t="s">
        <v>385</v>
      </c>
      <c r="I7" s="26">
        <v>0.1449</v>
      </c>
      <c r="J7" s="26">
        <v>0.15770000000000001</v>
      </c>
      <c r="K7" s="26">
        <v>0.1283</v>
      </c>
      <c r="L7" s="26">
        <v>0.1368</v>
      </c>
    </row>
    <row r="8" spans="1:12" x14ac:dyDescent="0.15">
      <c r="A8" t="s">
        <v>305</v>
      </c>
      <c r="B8" s="26">
        <v>0.19009999999999999</v>
      </c>
      <c r="C8" s="26">
        <v>0.188</v>
      </c>
      <c r="D8" s="26">
        <v>0.1837</v>
      </c>
      <c r="E8" s="26">
        <v>0.19120000000000001</v>
      </c>
      <c r="H8" t="s">
        <v>386</v>
      </c>
      <c r="I8" s="26">
        <v>0.13969999999999999</v>
      </c>
      <c r="J8" s="26">
        <v>0.14749999999999999</v>
      </c>
      <c r="K8" s="26">
        <v>0.13170000000000001</v>
      </c>
      <c r="L8" s="26">
        <v>0.13969999999999999</v>
      </c>
    </row>
    <row r="9" spans="1:12" x14ac:dyDescent="0.15">
      <c r="A9" t="s">
        <v>387</v>
      </c>
      <c r="B9" s="26">
        <v>8.6199999999999999E-2</v>
      </c>
      <c r="C9" s="26">
        <v>8.9899999999999994E-2</v>
      </c>
      <c r="D9" s="26">
        <v>8.6099999999999996E-2</v>
      </c>
      <c r="E9" s="26">
        <v>8.2000000000000003E-2</v>
      </c>
      <c r="H9" t="s">
        <v>305</v>
      </c>
      <c r="I9" s="26">
        <v>0.13780000000000001</v>
      </c>
      <c r="J9" s="26">
        <v>0.13400000000000001</v>
      </c>
      <c r="K9" s="26">
        <v>0.13569999999999999</v>
      </c>
      <c r="L9" s="26">
        <v>0.1394</v>
      </c>
    </row>
    <row r="10" spans="1:12" x14ac:dyDescent="0.15">
      <c r="A10" t="s">
        <v>388</v>
      </c>
      <c r="B10" s="26">
        <v>4.7699999999999999E-2</v>
      </c>
      <c r="C10" s="26">
        <v>4.9599999999999998E-2</v>
      </c>
      <c r="D10" s="26">
        <v>4.4999999999999998E-2</v>
      </c>
      <c r="E10" s="26">
        <v>4.8399999999999999E-2</v>
      </c>
      <c r="H10" t="s">
        <v>389</v>
      </c>
      <c r="I10" s="26">
        <v>0.1041</v>
      </c>
      <c r="J10" s="26">
        <v>0.1069</v>
      </c>
      <c r="K10" s="26">
        <v>9.8900000000000002E-2</v>
      </c>
      <c r="L10" s="26">
        <v>0.1002</v>
      </c>
    </row>
    <row r="11" spans="1:12" x14ac:dyDescent="0.15">
      <c r="A11" t="s">
        <v>390</v>
      </c>
      <c r="B11" s="26">
        <v>2.1299999999999999E-2</v>
      </c>
      <c r="C11" s="26">
        <v>2.29E-2</v>
      </c>
      <c r="D11" s="26">
        <v>1.9800000000000002E-2</v>
      </c>
      <c r="E11" s="26">
        <v>1.8599999999999998E-2</v>
      </c>
      <c r="H11" t="s">
        <v>387</v>
      </c>
      <c r="I11" s="26">
        <v>6.25E-2</v>
      </c>
      <c r="J11" s="26">
        <v>6.4100000000000004E-2</v>
      </c>
      <c r="K11" s="26">
        <v>6.3600000000000004E-2</v>
      </c>
      <c r="L11" s="26">
        <v>5.9799999999999999E-2</v>
      </c>
    </row>
    <row r="12" spans="1:12" x14ac:dyDescent="0.15">
      <c r="A12" t="s">
        <v>391</v>
      </c>
      <c r="B12" s="26">
        <v>1.54E-2</v>
      </c>
      <c r="C12" s="26">
        <v>1.7600000000000001E-2</v>
      </c>
      <c r="D12" s="26">
        <v>1.34E-2</v>
      </c>
      <c r="E12" s="26">
        <v>1.32E-2</v>
      </c>
      <c r="H12" t="s">
        <v>388</v>
      </c>
      <c r="I12" s="26">
        <v>3.4599999999999999E-2</v>
      </c>
      <c r="J12" s="26">
        <v>3.5299999999999998E-2</v>
      </c>
      <c r="K12" s="26">
        <v>3.3300000000000003E-2</v>
      </c>
      <c r="L12" s="26">
        <v>3.5299999999999998E-2</v>
      </c>
    </row>
    <row r="13" spans="1:12" x14ac:dyDescent="0.15">
      <c r="A13" t="s">
        <v>392</v>
      </c>
      <c r="B13" s="26">
        <v>1.46E-2</v>
      </c>
      <c r="C13" s="26">
        <v>1.61E-2</v>
      </c>
      <c r="D13" s="26">
        <v>1.37E-2</v>
      </c>
      <c r="E13" s="26">
        <v>1.2999999999999999E-2</v>
      </c>
      <c r="H13" t="s">
        <v>393</v>
      </c>
      <c r="I13" s="26">
        <v>1.77E-2</v>
      </c>
      <c r="J13" s="26">
        <v>1.8100000000000002E-2</v>
      </c>
      <c r="K13" s="26">
        <v>1.7500000000000002E-2</v>
      </c>
      <c r="L13" s="26">
        <v>1.7999999999999999E-2</v>
      </c>
    </row>
    <row r="14" spans="1:12" x14ac:dyDescent="0.15">
      <c r="A14" t="s">
        <v>394</v>
      </c>
      <c r="B14" s="26">
        <v>3.0000000000000001E-3</v>
      </c>
      <c r="C14" s="26">
        <v>3.2000000000000002E-3</v>
      </c>
      <c r="D14" s="26">
        <v>2.5000000000000001E-3</v>
      </c>
      <c r="E14" s="26">
        <v>2.8999999999999998E-3</v>
      </c>
      <c r="H14" t="s">
        <v>390</v>
      </c>
      <c r="I14" s="26">
        <v>1.55E-2</v>
      </c>
      <c r="J14" s="26">
        <v>1.6299999999999999E-2</v>
      </c>
      <c r="K14" s="26">
        <v>1.46E-2</v>
      </c>
      <c r="L14" s="26">
        <v>1.3599999999999999E-2</v>
      </c>
    </row>
    <row r="15" spans="1:12" x14ac:dyDescent="0.15">
      <c r="A15" t="s">
        <v>395</v>
      </c>
      <c r="B15" s="26">
        <v>2.3999999999999998E-3</v>
      </c>
      <c r="C15" s="26">
        <v>2.7000000000000001E-3</v>
      </c>
      <c r="D15" s="26">
        <v>2E-3</v>
      </c>
      <c r="E15" s="26">
        <v>2.2000000000000001E-3</v>
      </c>
      <c r="H15" t="s">
        <v>396</v>
      </c>
      <c r="I15" s="26">
        <v>1.34E-2</v>
      </c>
      <c r="J15" s="26">
        <v>1.46E-2</v>
      </c>
      <c r="K15" s="26">
        <v>1.2800000000000001E-2</v>
      </c>
      <c r="L15" s="26">
        <v>1.2699999999999999E-2</v>
      </c>
    </row>
    <row r="16" spans="1:12" x14ac:dyDescent="0.15">
      <c r="A16" t="s">
        <v>397</v>
      </c>
      <c r="B16" s="26">
        <v>1.2999999999999999E-3</v>
      </c>
      <c r="C16" s="26">
        <v>1.2999999999999999E-3</v>
      </c>
      <c r="D16" s="26">
        <v>1.1000000000000001E-3</v>
      </c>
      <c r="E16" s="26">
        <v>8.9999999999999998E-4</v>
      </c>
      <c r="H16" t="s">
        <v>391</v>
      </c>
      <c r="I16" s="26">
        <v>1.12E-2</v>
      </c>
      <c r="J16" s="26">
        <v>1.2500000000000001E-2</v>
      </c>
      <c r="K16" s="26">
        <v>9.9000000000000008E-3</v>
      </c>
      <c r="L16" s="26">
        <v>9.7000000000000003E-3</v>
      </c>
    </row>
    <row r="17" spans="1:12" x14ac:dyDescent="0.15">
      <c r="A17" t="s">
        <v>398</v>
      </c>
      <c r="B17" s="26">
        <v>2.0000000000000001E-4</v>
      </c>
      <c r="C17" s="26">
        <v>2.0000000000000001E-4</v>
      </c>
      <c r="D17" s="26">
        <v>1E-4</v>
      </c>
      <c r="E17" s="26">
        <v>1E-4</v>
      </c>
      <c r="H17" t="s">
        <v>392</v>
      </c>
      <c r="I17" s="26">
        <v>1.0500000000000001E-2</v>
      </c>
      <c r="J17" s="26">
        <v>1.15E-2</v>
      </c>
      <c r="K17" s="26">
        <v>1.01E-2</v>
      </c>
      <c r="L17" s="26">
        <v>9.4999999999999998E-3</v>
      </c>
    </row>
    <row r="18" spans="1:12" x14ac:dyDescent="0.15">
      <c r="A18" t="s">
        <v>399</v>
      </c>
      <c r="B18" s="26">
        <v>1E-4</v>
      </c>
      <c r="C18" s="26">
        <v>1E-4</v>
      </c>
      <c r="D18" s="26">
        <v>1E-4</v>
      </c>
      <c r="E18" s="26">
        <v>1E-4</v>
      </c>
      <c r="H18" t="s">
        <v>394</v>
      </c>
      <c r="I18" s="26">
        <v>2.0999999999999999E-3</v>
      </c>
      <c r="J18" s="26">
        <v>2.3E-3</v>
      </c>
      <c r="K18" s="26">
        <v>1.9E-3</v>
      </c>
      <c r="L18" s="26">
        <v>2.0999999999999999E-3</v>
      </c>
    </row>
    <row r="19" spans="1:12" x14ac:dyDescent="0.15">
      <c r="A19" t="s">
        <v>400</v>
      </c>
      <c r="B19" s="26">
        <v>1E-4</v>
      </c>
      <c r="C19" s="26">
        <v>1E-4</v>
      </c>
      <c r="D19" s="26">
        <v>1E-4</v>
      </c>
      <c r="E19" s="26">
        <v>1E-4</v>
      </c>
      <c r="H19" t="s">
        <v>395</v>
      </c>
      <c r="I19" s="26">
        <v>1.6999999999999999E-3</v>
      </c>
      <c r="J19" s="26">
        <v>1.9E-3</v>
      </c>
      <c r="K19" s="26">
        <v>1.5E-3</v>
      </c>
      <c r="L19" s="26">
        <v>1.6000000000000001E-3</v>
      </c>
    </row>
    <row r="20" spans="1:12" x14ac:dyDescent="0.15">
      <c r="H20" t="s">
        <v>397</v>
      </c>
      <c r="I20" s="26">
        <v>1E-3</v>
      </c>
      <c r="J20" s="26">
        <v>8.9999999999999998E-4</v>
      </c>
      <c r="K20" s="26">
        <v>8.0000000000000004E-4</v>
      </c>
      <c r="L20" s="26">
        <v>6.9999999999999999E-4</v>
      </c>
    </row>
    <row r="21" spans="1:12" x14ac:dyDescent="0.15">
      <c r="H21" t="s">
        <v>401</v>
      </c>
      <c r="I21" s="26">
        <v>2.9999999999999997E-4</v>
      </c>
      <c r="J21" s="26">
        <v>4.0000000000000002E-4</v>
      </c>
      <c r="K21" s="26">
        <v>2.9999999999999997E-4</v>
      </c>
      <c r="L21" s="26">
        <v>4.0000000000000002E-4</v>
      </c>
    </row>
    <row r="22" spans="1:12" x14ac:dyDescent="0.15">
      <c r="H22" t="s">
        <v>399</v>
      </c>
      <c r="I22" s="26">
        <v>1E-4</v>
      </c>
      <c r="J22" s="26">
        <v>1E-4</v>
      </c>
      <c r="K22" s="26">
        <v>0</v>
      </c>
      <c r="L22" s="26">
        <v>1E-4</v>
      </c>
    </row>
    <row r="23" spans="1:12" x14ac:dyDescent="0.15">
      <c r="H23" t="s">
        <v>398</v>
      </c>
      <c r="I23" s="26">
        <v>1E-4</v>
      </c>
      <c r="J23" s="26">
        <v>2.0000000000000001E-4</v>
      </c>
      <c r="K23" s="26">
        <v>1E-4</v>
      </c>
      <c r="L23" s="26">
        <v>1E-4</v>
      </c>
    </row>
    <row r="24" spans="1:12" x14ac:dyDescent="0.15">
      <c r="H24" t="s">
        <v>400</v>
      </c>
      <c r="I24" s="26">
        <v>1E-4</v>
      </c>
      <c r="J24" s="26">
        <v>1E-4</v>
      </c>
      <c r="K24" s="26">
        <v>1E-4</v>
      </c>
      <c r="L24" s="26">
        <v>1E-4</v>
      </c>
    </row>
    <row r="25" spans="1:12" x14ac:dyDescent="0.15">
      <c r="H25" t="s">
        <v>402</v>
      </c>
      <c r="I25" s="26">
        <v>0</v>
      </c>
      <c r="J25" s="26">
        <v>0</v>
      </c>
      <c r="K25" s="26">
        <v>0</v>
      </c>
      <c r="L25" s="26">
        <v>0</v>
      </c>
    </row>
    <row r="28" spans="1:12" x14ac:dyDescent="0.15">
      <c r="A28" t="s">
        <v>384</v>
      </c>
      <c r="B28" s="25">
        <v>0.41760000000000003</v>
      </c>
      <c r="C28" s="81">
        <v>0.42</v>
      </c>
      <c r="H28" t="s">
        <v>384</v>
      </c>
      <c r="I28" s="25">
        <v>0.30259999999999998</v>
      </c>
      <c r="J28" s="81">
        <v>0.3</v>
      </c>
    </row>
    <row r="29" spans="1:12" x14ac:dyDescent="0.15">
      <c r="A29" t="s">
        <v>385</v>
      </c>
      <c r="B29" s="25">
        <v>0.2</v>
      </c>
      <c r="C29" s="81">
        <v>0.2</v>
      </c>
      <c r="H29" t="s">
        <v>385</v>
      </c>
      <c r="I29" s="25">
        <v>0.1449</v>
      </c>
      <c r="J29" s="81">
        <v>0.15</v>
      </c>
    </row>
    <row r="30" spans="1:12" x14ac:dyDescent="0.15">
      <c r="A30" t="s">
        <v>305</v>
      </c>
      <c r="B30" s="25">
        <v>0.19009999999999999</v>
      </c>
      <c r="C30" s="81">
        <v>0.19</v>
      </c>
      <c r="H30" t="s">
        <v>386</v>
      </c>
      <c r="I30" s="25">
        <v>0.13969999999999999</v>
      </c>
      <c r="J30" s="81">
        <v>0.14000000000000001</v>
      </c>
    </row>
    <row r="31" spans="1:12" x14ac:dyDescent="0.15">
      <c r="A31" t="s">
        <v>387</v>
      </c>
      <c r="B31" s="25">
        <v>8.6199999999999999E-2</v>
      </c>
      <c r="C31" s="81">
        <v>0.09</v>
      </c>
      <c r="H31" t="s">
        <v>305</v>
      </c>
      <c r="I31" s="25">
        <v>0.13780000000000001</v>
      </c>
      <c r="J31" s="81">
        <v>0.14000000000000001</v>
      </c>
    </row>
    <row r="32" spans="1:12" x14ac:dyDescent="0.15">
      <c r="A32" s="16" t="s">
        <v>403</v>
      </c>
      <c r="B32" s="26">
        <f>SUM(B10:B19)</f>
        <v>0.10610000000000001</v>
      </c>
      <c r="C32" s="81">
        <v>0.1</v>
      </c>
      <c r="H32" t="s">
        <v>389</v>
      </c>
      <c r="I32" s="25">
        <v>0.1041</v>
      </c>
      <c r="J32" s="81">
        <v>0.1</v>
      </c>
    </row>
    <row r="33" spans="1:10" x14ac:dyDescent="0.15">
      <c r="A33" s="16" t="s">
        <v>404</v>
      </c>
      <c r="B33" s="93">
        <f>SUM(B28:B32)</f>
        <v>1.0000000000000002</v>
      </c>
      <c r="C33" s="81">
        <f>SUM(C28:C32)</f>
        <v>1</v>
      </c>
      <c r="H33" s="16" t="s">
        <v>403</v>
      </c>
      <c r="I33" s="25">
        <f>SUM(I11:I25)</f>
        <v>0.17079999999999992</v>
      </c>
      <c r="J33" s="81">
        <v>0.17</v>
      </c>
    </row>
    <row r="34" spans="1:10" x14ac:dyDescent="0.15">
      <c r="A34" s="16"/>
      <c r="H34" s="16" t="s">
        <v>404</v>
      </c>
      <c r="I34" s="93">
        <f>SUM(I28:I33)</f>
        <v>0.9998999999999999</v>
      </c>
      <c r="J34">
        <f>SUM(J28:J33)</f>
        <v>1</v>
      </c>
    </row>
  </sheetData>
  <autoFilter ref="H4:L4" xr:uid="{DC4F57DA-9C16-4BB2-B7AE-7B1CC9CFE505}">
    <sortState xmlns:xlrd2="http://schemas.microsoft.com/office/spreadsheetml/2017/richdata2" ref="H5:L25">
      <sortCondition descending="1" ref="I4"/>
    </sortState>
  </autoFilter>
  <mergeCells count="2">
    <mergeCell ref="A1:E1"/>
    <mergeCell ref="H1:L1"/>
  </mergeCells>
  <conditionalFormatting sqref="A5:E18">
    <cfRule type="colorScale" priority="2">
      <colorScale>
        <cfvo type="min"/>
        <cfvo type="percentile" val="50"/>
        <cfvo type="max"/>
        <color rgb="FFF8696B"/>
        <color rgb="FFFFEB84"/>
        <color rgb="FF63BE7B"/>
      </colorScale>
    </cfRule>
  </conditionalFormatting>
  <conditionalFormatting sqref="H5:L24">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1D16C-8950-4C12-A267-3C93C9B1921B}">
  <dimension ref="A4:G35"/>
  <sheetViews>
    <sheetView workbookViewId="0">
      <selection activeCell="F30" sqref="F30"/>
    </sheetView>
  </sheetViews>
  <sheetFormatPr baseColWidth="10" defaultColWidth="8.83203125" defaultRowHeight="13" x14ac:dyDescent="0.15"/>
  <cols>
    <col min="1" max="1" width="24.83203125" bestFit="1" customWidth="1"/>
    <col min="2" max="2" width="10.83203125" bestFit="1" customWidth="1"/>
    <col min="3" max="3" width="8.6640625" bestFit="1" customWidth="1"/>
    <col min="4" max="4" width="22.6640625" bestFit="1" customWidth="1"/>
    <col min="5" max="5" width="10.1640625" bestFit="1" customWidth="1"/>
    <col min="6" max="6" width="14.1640625" bestFit="1" customWidth="1"/>
  </cols>
  <sheetData>
    <row r="4" spans="1:7" ht="14" thickBot="1" x14ac:dyDescent="0.2">
      <c r="A4" s="16"/>
    </row>
    <row r="5" spans="1:7" x14ac:dyDescent="0.15">
      <c r="A5" s="223"/>
      <c r="B5" s="220" t="s">
        <v>128</v>
      </c>
      <c r="C5" s="221" t="s">
        <v>129</v>
      </c>
      <c r="D5" s="222" t="s">
        <v>130</v>
      </c>
    </row>
    <row r="6" spans="1:7" x14ac:dyDescent="0.15">
      <c r="A6" s="140" t="s">
        <v>405</v>
      </c>
      <c r="B6" s="137">
        <v>10613</v>
      </c>
      <c r="C6" s="133">
        <v>15005</v>
      </c>
      <c r="D6" s="134">
        <v>47525</v>
      </c>
      <c r="E6">
        <f t="shared" ref="E6:E11" si="0">B6/$B$11</f>
        <v>0.39433008842981349</v>
      </c>
      <c r="F6" s="81">
        <f>D6/D11</f>
        <v>0.78009586028035849</v>
      </c>
      <c r="G6">
        <f>D6/C6-1</f>
        <v>2.1672775741419525</v>
      </c>
    </row>
    <row r="7" spans="1:7" x14ac:dyDescent="0.15">
      <c r="A7" s="140" t="s">
        <v>406</v>
      </c>
      <c r="B7" s="137">
        <v>12462</v>
      </c>
      <c r="C7" s="133">
        <v>9067</v>
      </c>
      <c r="D7" s="134">
        <v>10447</v>
      </c>
      <c r="E7">
        <f t="shared" si="0"/>
        <v>0.46303039310396077</v>
      </c>
    </row>
    <row r="8" spans="1:7" x14ac:dyDescent="0.15">
      <c r="A8" s="140" t="s">
        <v>407</v>
      </c>
      <c r="B8" s="137">
        <v>2111</v>
      </c>
      <c r="C8" s="133">
        <v>1544</v>
      </c>
      <c r="D8" s="134">
        <v>1553</v>
      </c>
      <c r="E8">
        <f t="shared" si="0"/>
        <v>7.843501523370737E-2</v>
      </c>
    </row>
    <row r="9" spans="1:7" x14ac:dyDescent="0.15">
      <c r="A9" s="224" t="s">
        <v>408</v>
      </c>
      <c r="B9" s="137">
        <v>566</v>
      </c>
      <c r="C9" s="133">
        <v>903</v>
      </c>
      <c r="D9" s="134">
        <v>1091</v>
      </c>
      <c r="E9">
        <f t="shared" si="0"/>
        <v>2.1029947239354984E-2</v>
      </c>
    </row>
    <row r="10" spans="1:7" x14ac:dyDescent="0.15">
      <c r="A10" s="140" t="s">
        <v>409</v>
      </c>
      <c r="B10" s="137">
        <v>1162</v>
      </c>
      <c r="C10" s="133">
        <v>455</v>
      </c>
      <c r="D10" s="134">
        <v>306</v>
      </c>
      <c r="E10">
        <f t="shared" si="0"/>
        <v>4.3174555993163409E-2</v>
      </c>
    </row>
    <row r="11" spans="1:7" ht="14" thickBot="1" x14ac:dyDescent="0.2">
      <c r="A11" s="225" t="s">
        <v>410</v>
      </c>
      <c r="B11" s="138">
        <v>26914</v>
      </c>
      <c r="C11" s="135">
        <v>26974</v>
      </c>
      <c r="D11" s="136">
        <v>60922</v>
      </c>
      <c r="E11">
        <f t="shared" si="0"/>
        <v>1</v>
      </c>
    </row>
    <row r="14" spans="1:7" x14ac:dyDescent="0.15">
      <c r="B14" s="16" t="s">
        <v>405</v>
      </c>
      <c r="C14" t="s">
        <v>406</v>
      </c>
      <c r="D14" t="s">
        <v>407</v>
      </c>
      <c r="E14" s="16" t="s">
        <v>408</v>
      </c>
      <c r="F14" s="16" t="s">
        <v>409</v>
      </c>
      <c r="G14" s="16" t="s">
        <v>411</v>
      </c>
    </row>
    <row r="15" spans="1:7" x14ac:dyDescent="0.15">
      <c r="A15" s="226" t="s">
        <v>128</v>
      </c>
      <c r="B15" s="132">
        <v>10613</v>
      </c>
      <c r="C15" s="132">
        <v>12462</v>
      </c>
      <c r="D15" s="132">
        <v>2111</v>
      </c>
      <c r="E15" s="132">
        <v>566</v>
      </c>
      <c r="F15" s="132">
        <v>1162</v>
      </c>
      <c r="G15" s="132">
        <v>26914</v>
      </c>
    </row>
    <row r="16" spans="1:7" x14ac:dyDescent="0.15">
      <c r="A16" s="226" t="s">
        <v>129</v>
      </c>
      <c r="B16" s="132">
        <v>15005</v>
      </c>
      <c r="C16" s="132">
        <v>9067</v>
      </c>
      <c r="D16" s="132">
        <v>1544</v>
      </c>
      <c r="E16" s="132">
        <v>903</v>
      </c>
      <c r="F16" s="132">
        <v>455</v>
      </c>
      <c r="G16" s="132">
        <v>26974</v>
      </c>
    </row>
    <row r="17" spans="1:7" x14ac:dyDescent="0.15">
      <c r="A17" s="226" t="s">
        <v>130</v>
      </c>
      <c r="B17" s="132">
        <v>47525</v>
      </c>
      <c r="C17" s="132">
        <v>10447</v>
      </c>
      <c r="D17" s="132">
        <v>1553</v>
      </c>
      <c r="E17" s="132">
        <v>1091</v>
      </c>
      <c r="F17" s="132">
        <v>306</v>
      </c>
      <c r="G17" s="132">
        <v>60922</v>
      </c>
    </row>
    <row r="29" spans="1:7" ht="14" thickBot="1" x14ac:dyDescent="0.2"/>
    <row r="30" spans="1:7" x14ac:dyDescent="0.15">
      <c r="A30" s="223" t="s">
        <v>412</v>
      </c>
      <c r="B30" s="220" t="s">
        <v>128</v>
      </c>
      <c r="C30" s="221" t="s">
        <v>129</v>
      </c>
      <c r="D30" s="222" t="s">
        <v>130</v>
      </c>
    </row>
    <row r="31" spans="1:7" x14ac:dyDescent="0.15">
      <c r="A31" s="140" t="s">
        <v>413</v>
      </c>
      <c r="B31" s="146">
        <v>4349</v>
      </c>
      <c r="C31" s="142">
        <v>8292</v>
      </c>
      <c r="D31" s="143">
        <v>26966</v>
      </c>
      <c r="F31" s="81">
        <f>D31/$D$35</f>
        <v>0.4426315616690194</v>
      </c>
    </row>
    <row r="32" spans="1:7" x14ac:dyDescent="0.15">
      <c r="A32" s="140" t="s">
        <v>414</v>
      </c>
      <c r="B32" s="146">
        <v>8544</v>
      </c>
      <c r="C32" s="142">
        <v>6986</v>
      </c>
      <c r="D32" s="143">
        <v>13405</v>
      </c>
      <c r="F32" s="81">
        <f t="shared" ref="F32:F34" si="1">D32/$D$35</f>
        <v>0.22003545517218739</v>
      </c>
    </row>
    <row r="33" spans="1:6" x14ac:dyDescent="0.15">
      <c r="A33" s="140" t="s">
        <v>415</v>
      </c>
      <c r="B33" s="146">
        <v>7111</v>
      </c>
      <c r="C33" s="142">
        <v>5785</v>
      </c>
      <c r="D33" s="143">
        <v>10306</v>
      </c>
      <c r="F33" s="81">
        <f t="shared" si="1"/>
        <v>0.16916713174222778</v>
      </c>
    </row>
    <row r="34" spans="1:6" x14ac:dyDescent="0.15">
      <c r="A34" s="140" t="s">
        <v>416</v>
      </c>
      <c r="B34" s="146">
        <v>6910</v>
      </c>
      <c r="C34" s="142">
        <v>5911</v>
      </c>
      <c r="D34" s="143">
        <v>10245</v>
      </c>
      <c r="F34" s="81">
        <f t="shared" si="1"/>
        <v>0.16816585141656545</v>
      </c>
    </row>
    <row r="35" spans="1:6" ht="14" thickBot="1" x14ac:dyDescent="0.2">
      <c r="A35" s="141" t="s">
        <v>410</v>
      </c>
      <c r="B35" s="147">
        <v>26914</v>
      </c>
      <c r="C35" s="144">
        <v>26974</v>
      </c>
      <c r="D35" s="145">
        <v>60922</v>
      </c>
    </row>
  </sheetData>
  <sortState xmlns:xlrd2="http://schemas.microsoft.com/office/spreadsheetml/2017/richdata2" columnSort="1" ref="B30:D35">
    <sortCondition ref="B30:D30"/>
  </sortState>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E253F-F106-45BF-81A6-E54E4CF308AA}">
  <dimension ref="A1:C40"/>
  <sheetViews>
    <sheetView workbookViewId="0">
      <selection activeCell="E21" sqref="E21"/>
    </sheetView>
  </sheetViews>
  <sheetFormatPr baseColWidth="10" defaultColWidth="8.83203125" defaultRowHeight="13" x14ac:dyDescent="0.15"/>
  <cols>
    <col min="1" max="1" width="20.5" bestFit="1" customWidth="1"/>
    <col min="2" max="2" width="36.33203125" bestFit="1" customWidth="1"/>
  </cols>
  <sheetData>
    <row r="1" spans="1:2" ht="16" x14ac:dyDescent="0.2">
      <c r="A1" s="227" t="s">
        <v>417</v>
      </c>
      <c r="B1" s="227" t="s">
        <v>418</v>
      </c>
    </row>
    <row r="2" spans="1:2" ht="17" x14ac:dyDescent="0.2">
      <c r="A2" s="228" t="s">
        <v>419</v>
      </c>
      <c r="B2" s="229" t="s">
        <v>420</v>
      </c>
    </row>
    <row r="3" spans="1:2" ht="17" x14ac:dyDescent="0.2">
      <c r="A3" s="228" t="s">
        <v>421</v>
      </c>
      <c r="B3" s="229" t="s">
        <v>422</v>
      </c>
    </row>
    <row r="4" spans="1:2" ht="17" x14ac:dyDescent="0.2">
      <c r="A4" s="228" t="s">
        <v>423</v>
      </c>
      <c r="B4" s="229" t="s">
        <v>424</v>
      </c>
    </row>
    <row r="5" spans="1:2" ht="17" x14ac:dyDescent="0.2">
      <c r="A5" s="228" t="s">
        <v>425</v>
      </c>
      <c r="B5" s="229" t="s">
        <v>426</v>
      </c>
    </row>
    <row r="6" spans="1:2" ht="17" x14ac:dyDescent="0.2">
      <c r="A6" s="228" t="s">
        <v>427</v>
      </c>
      <c r="B6" s="229" t="s">
        <v>428</v>
      </c>
    </row>
    <row r="7" spans="1:2" ht="17" x14ac:dyDescent="0.2">
      <c r="A7" s="228" t="s">
        <v>429</v>
      </c>
      <c r="B7" s="229" t="s">
        <v>430</v>
      </c>
    </row>
    <row r="8" spans="1:2" ht="17" x14ac:dyDescent="0.2">
      <c r="A8" s="228" t="s">
        <v>431</v>
      </c>
      <c r="B8" s="229" t="s">
        <v>432</v>
      </c>
    </row>
    <row r="9" spans="1:2" ht="17" x14ac:dyDescent="0.2">
      <c r="A9" s="228" t="s">
        <v>433</v>
      </c>
      <c r="B9" s="229" t="s">
        <v>434</v>
      </c>
    </row>
    <row r="10" spans="1:2" ht="17" x14ac:dyDescent="0.2">
      <c r="A10" s="228" t="s">
        <v>435</v>
      </c>
      <c r="B10" s="229" t="s">
        <v>436</v>
      </c>
    </row>
    <row r="11" spans="1:2" ht="17" x14ac:dyDescent="0.2">
      <c r="A11" s="228" t="s">
        <v>437</v>
      </c>
      <c r="B11" s="229" t="s">
        <v>438</v>
      </c>
    </row>
    <row r="12" spans="1:2" ht="17" x14ac:dyDescent="0.2">
      <c r="A12" s="228" t="s">
        <v>439</v>
      </c>
      <c r="B12" s="229" t="s">
        <v>440</v>
      </c>
    </row>
    <row r="13" spans="1:2" ht="17" x14ac:dyDescent="0.2">
      <c r="A13" s="228" t="s">
        <v>441</v>
      </c>
      <c r="B13" s="229" t="s">
        <v>434</v>
      </c>
    </row>
    <row r="14" spans="1:2" ht="17" x14ac:dyDescent="0.2">
      <c r="A14" s="232" t="s">
        <v>442</v>
      </c>
      <c r="B14" s="233" t="s">
        <v>443</v>
      </c>
    </row>
    <row r="28" spans="1:3" ht="17" x14ac:dyDescent="0.2">
      <c r="A28" s="228" t="s">
        <v>419</v>
      </c>
      <c r="B28" t="s">
        <v>444</v>
      </c>
      <c r="C28" s="230">
        <v>1</v>
      </c>
    </row>
    <row r="29" spans="1:3" ht="17" x14ac:dyDescent="0.2">
      <c r="A29" s="228" t="s">
        <v>421</v>
      </c>
      <c r="B29" t="s">
        <v>445</v>
      </c>
      <c r="C29" s="230">
        <v>1</v>
      </c>
    </row>
    <row r="30" spans="1:3" ht="17" x14ac:dyDescent="0.2">
      <c r="A30" s="228" t="s">
        <v>423</v>
      </c>
      <c r="B30" t="s">
        <v>446</v>
      </c>
      <c r="C30" s="230">
        <v>1</v>
      </c>
    </row>
    <row r="31" spans="1:3" ht="17" x14ac:dyDescent="0.2">
      <c r="A31" s="228" t="s">
        <v>425</v>
      </c>
      <c r="B31" t="s">
        <v>447</v>
      </c>
      <c r="C31" s="230">
        <v>1</v>
      </c>
    </row>
    <row r="32" spans="1:3" ht="17" x14ac:dyDescent="0.2">
      <c r="A32" s="228" t="s">
        <v>427</v>
      </c>
      <c r="B32" t="s">
        <v>448</v>
      </c>
      <c r="C32" s="230">
        <v>1</v>
      </c>
    </row>
    <row r="33" spans="1:3" ht="17" x14ac:dyDescent="0.2">
      <c r="A33" s="228" t="s">
        <v>429</v>
      </c>
      <c r="B33" t="s">
        <v>430</v>
      </c>
      <c r="C33" s="230">
        <v>1</v>
      </c>
    </row>
    <row r="34" spans="1:3" ht="17" x14ac:dyDescent="0.2">
      <c r="A34" s="228" t="s">
        <v>431</v>
      </c>
      <c r="B34" t="s">
        <v>449</v>
      </c>
      <c r="C34" s="230">
        <v>1</v>
      </c>
    </row>
    <row r="35" spans="1:3" ht="17" x14ac:dyDescent="0.2">
      <c r="A35" s="228" t="s">
        <v>433</v>
      </c>
      <c r="B35" t="s">
        <v>450</v>
      </c>
      <c r="C35" s="230">
        <v>1</v>
      </c>
    </row>
    <row r="36" spans="1:3" ht="17" x14ac:dyDescent="0.2">
      <c r="A36" s="228" t="s">
        <v>435</v>
      </c>
      <c r="B36" t="s">
        <v>451</v>
      </c>
      <c r="C36" s="230">
        <v>1</v>
      </c>
    </row>
    <row r="37" spans="1:3" ht="17" x14ac:dyDescent="0.2">
      <c r="A37" s="228" t="s">
        <v>437</v>
      </c>
      <c r="B37" t="s">
        <v>452</v>
      </c>
      <c r="C37" s="230">
        <v>1</v>
      </c>
    </row>
    <row r="38" spans="1:3" ht="17" x14ac:dyDescent="0.2">
      <c r="A38" s="228" t="s">
        <v>439</v>
      </c>
      <c r="B38" s="16" t="s">
        <v>453</v>
      </c>
      <c r="C38" s="230">
        <v>1</v>
      </c>
    </row>
    <row r="39" spans="1:3" ht="17" x14ac:dyDescent="0.2">
      <c r="A39" s="228" t="s">
        <v>441</v>
      </c>
      <c r="B39" t="s">
        <v>454</v>
      </c>
      <c r="C39" s="230">
        <v>1</v>
      </c>
    </row>
    <row r="40" spans="1:3" ht="17" x14ac:dyDescent="0.2">
      <c r="A40" s="232" t="s">
        <v>442</v>
      </c>
      <c r="B40" t="s">
        <v>455</v>
      </c>
      <c r="C40" s="230">
        <v>1</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22052-687E-7744-A03B-895D46127BD1}">
  <dimension ref="A1:B18"/>
  <sheetViews>
    <sheetView topLeftCell="A22" zoomScale="150" zoomScaleNormal="100" workbookViewId="0">
      <selection activeCell="Q21" sqref="Q21"/>
    </sheetView>
  </sheetViews>
  <sheetFormatPr baseColWidth="10" defaultColWidth="11.5" defaultRowHeight="13" x14ac:dyDescent="0.15"/>
  <cols>
    <col min="1" max="1" width="25.1640625" bestFit="1" customWidth="1"/>
  </cols>
  <sheetData>
    <row r="1" spans="1:2" x14ac:dyDescent="0.15">
      <c r="A1" s="19" t="s">
        <v>456</v>
      </c>
      <c r="B1" s="23" t="s">
        <v>457</v>
      </c>
    </row>
    <row r="2" spans="1:2" x14ac:dyDescent="0.15">
      <c r="A2" s="16" t="s">
        <v>458</v>
      </c>
      <c r="B2">
        <v>5</v>
      </c>
    </row>
    <row r="3" spans="1:2" x14ac:dyDescent="0.15">
      <c r="A3" s="231" t="s">
        <v>459</v>
      </c>
      <c r="B3">
        <v>1</v>
      </c>
    </row>
    <row r="4" spans="1:2" x14ac:dyDescent="0.15">
      <c r="A4" s="16" t="s">
        <v>460</v>
      </c>
      <c r="B4">
        <v>1</v>
      </c>
    </row>
    <row r="5" spans="1:2" x14ac:dyDescent="0.15">
      <c r="A5" s="231" t="s">
        <v>461</v>
      </c>
      <c r="B5">
        <v>3</v>
      </c>
    </row>
    <row r="6" spans="1:2" x14ac:dyDescent="0.15">
      <c r="A6" s="16" t="s">
        <v>462</v>
      </c>
      <c r="B6">
        <v>4</v>
      </c>
    </row>
    <row r="14" spans="1:2" x14ac:dyDescent="0.15">
      <c r="A14" s="19" t="s">
        <v>463</v>
      </c>
      <c r="B14" s="23" t="s">
        <v>457</v>
      </c>
    </row>
    <row r="15" spans="1:2" x14ac:dyDescent="0.15">
      <c r="A15" s="231" t="s">
        <v>464</v>
      </c>
      <c r="B15">
        <v>1</v>
      </c>
    </row>
    <row r="16" spans="1:2" x14ac:dyDescent="0.15">
      <c r="A16" s="231" t="s">
        <v>465</v>
      </c>
      <c r="B16">
        <v>4</v>
      </c>
    </row>
    <row r="17" spans="1:2" x14ac:dyDescent="0.15">
      <c r="A17" s="231" t="s">
        <v>466</v>
      </c>
      <c r="B17">
        <v>1</v>
      </c>
    </row>
    <row r="18" spans="1:2" x14ac:dyDescent="0.15">
      <c r="A18" s="231" t="s">
        <v>467</v>
      </c>
      <c r="B18">
        <v>5</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F2915-57EC-4804-820B-EE6975CE7E83}">
  <dimension ref="A4:B85"/>
  <sheetViews>
    <sheetView topLeftCell="D1" workbookViewId="0">
      <selection activeCell="AA26" sqref="AA26"/>
    </sheetView>
  </sheetViews>
  <sheetFormatPr baseColWidth="10" defaultColWidth="8.83203125" defaultRowHeight="13" x14ac:dyDescent="0.15"/>
  <cols>
    <col min="1" max="1" width="24.1640625" bestFit="1" customWidth="1"/>
    <col min="2" max="2" width="13.83203125" bestFit="1" customWidth="1"/>
  </cols>
  <sheetData>
    <row r="4" spans="1:2" x14ac:dyDescent="0.15">
      <c r="A4" s="16" t="s">
        <v>468</v>
      </c>
      <c r="B4">
        <v>1</v>
      </c>
    </row>
    <row r="5" spans="1:2" x14ac:dyDescent="0.15">
      <c r="A5" s="16" t="s">
        <v>469</v>
      </c>
      <c r="B5">
        <v>1</v>
      </c>
    </row>
    <row r="6" spans="1:2" x14ac:dyDescent="0.15">
      <c r="A6" s="16" t="s">
        <v>470</v>
      </c>
      <c r="B6">
        <v>1</v>
      </c>
    </row>
    <row r="7" spans="1:2" x14ac:dyDescent="0.15">
      <c r="A7" s="16" t="s">
        <v>471</v>
      </c>
      <c r="B7">
        <v>1</v>
      </c>
    </row>
    <row r="8" spans="1:2" x14ac:dyDescent="0.15">
      <c r="A8" s="16" t="s">
        <v>472</v>
      </c>
      <c r="B8">
        <v>1</v>
      </c>
    </row>
    <row r="75" spans="1:2" ht="14" thickBot="1" x14ac:dyDescent="0.2"/>
    <row r="76" spans="1:2" x14ac:dyDescent="0.15">
      <c r="A76" s="521" t="s">
        <v>489</v>
      </c>
      <c r="B76" s="522"/>
    </row>
    <row r="77" spans="1:2" ht="15" x14ac:dyDescent="0.2">
      <c r="A77" s="503" t="s">
        <v>476</v>
      </c>
      <c r="B77" s="506">
        <v>61.53</v>
      </c>
    </row>
    <row r="78" spans="1:2" ht="15" x14ac:dyDescent="0.2">
      <c r="A78" s="504" t="s">
        <v>477</v>
      </c>
      <c r="B78" s="507" t="s">
        <v>478</v>
      </c>
    </row>
    <row r="79" spans="1:2" ht="15" x14ac:dyDescent="0.2">
      <c r="A79" s="503" t="s">
        <v>479</v>
      </c>
      <c r="B79" s="508" t="s">
        <v>480</v>
      </c>
    </row>
    <row r="80" spans="1:2" ht="15" x14ac:dyDescent="0.2">
      <c r="A80" s="504" t="s">
        <v>481</v>
      </c>
      <c r="B80" s="509">
        <v>463205211</v>
      </c>
    </row>
    <row r="81" spans="1:2" ht="15" x14ac:dyDescent="0.2">
      <c r="A81" s="503" t="s">
        <v>26</v>
      </c>
      <c r="B81" s="508" t="s">
        <v>482</v>
      </c>
    </row>
    <row r="82" spans="1:2" ht="15" x14ac:dyDescent="0.2">
      <c r="A82" s="504" t="s">
        <v>483</v>
      </c>
      <c r="B82" s="510">
        <v>2.9999999999999997E-4</v>
      </c>
    </row>
    <row r="83" spans="1:2" ht="15" x14ac:dyDescent="0.2">
      <c r="A83" s="503" t="s">
        <v>484</v>
      </c>
      <c r="B83" s="511">
        <v>1.2999999999999999E-2</v>
      </c>
    </row>
    <row r="84" spans="1:2" ht="15" x14ac:dyDescent="0.2">
      <c r="A84" s="504" t="s">
        <v>485</v>
      </c>
      <c r="B84" s="507" t="s">
        <v>486</v>
      </c>
    </row>
    <row r="85" spans="1:2" ht="16" thickBot="1" x14ac:dyDescent="0.25">
      <c r="A85" s="505" t="s">
        <v>487</v>
      </c>
      <c r="B85" s="512" t="s">
        <v>488</v>
      </c>
    </row>
  </sheetData>
  <mergeCells count="1">
    <mergeCell ref="A76:B76"/>
  </mergeCells>
  <phoneticPr fontId="14" type="noConversion"/>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F219-4FFD-4D5F-B33F-893C373A75B1}">
  <sheetPr>
    <tabColor rgb="FFFFC000"/>
  </sheetPr>
  <dimension ref="A1:M54"/>
  <sheetViews>
    <sheetView topLeftCell="B1" zoomScale="111" workbookViewId="0">
      <pane ySplit="2" topLeftCell="A25" activePane="bottomLeft" state="frozen"/>
      <selection activeCell="L23" sqref="L23"/>
      <selection pane="bottomLeft" activeCell="N20" sqref="N20"/>
    </sheetView>
  </sheetViews>
  <sheetFormatPr baseColWidth="10" defaultColWidth="8.83203125" defaultRowHeight="13" x14ac:dyDescent="0.15"/>
  <cols>
    <col min="1" max="1" width="50" style="52" customWidth="1"/>
    <col min="2" max="191" width="12" style="52" customWidth="1"/>
    <col min="192" max="16384" width="8.83203125" style="52"/>
  </cols>
  <sheetData>
    <row r="1" spans="1:12" ht="14" x14ac:dyDescent="0.15">
      <c r="A1" s="55" t="s">
        <v>120</v>
      </c>
      <c r="B1" s="56" t="s">
        <v>121</v>
      </c>
      <c r="C1" s="56" t="s">
        <v>122</v>
      </c>
      <c r="D1" s="56" t="s">
        <v>123</v>
      </c>
      <c r="E1" s="56" t="s">
        <v>124</v>
      </c>
      <c r="F1" s="56" t="s">
        <v>125</v>
      </c>
      <c r="G1" s="56" t="s">
        <v>126</v>
      </c>
      <c r="H1" s="56" t="s">
        <v>127</v>
      </c>
      <c r="I1" s="56" t="s">
        <v>128</v>
      </c>
      <c r="J1" s="56" t="s">
        <v>129</v>
      </c>
      <c r="K1" s="56" t="s">
        <v>130</v>
      </c>
    </row>
    <row r="2" spans="1:12" ht="14" x14ac:dyDescent="0.15">
      <c r="A2" s="57" t="s">
        <v>131</v>
      </c>
      <c r="B2" s="58" t="s">
        <v>132</v>
      </c>
      <c r="C2" s="58" t="s">
        <v>133</v>
      </c>
      <c r="D2" s="58" t="s">
        <v>134</v>
      </c>
      <c r="E2" s="58" t="s">
        <v>135</v>
      </c>
      <c r="F2" s="58" t="s">
        <v>136</v>
      </c>
      <c r="G2" s="58" t="s">
        <v>137</v>
      </c>
      <c r="H2" s="58" t="s">
        <v>138</v>
      </c>
      <c r="I2" s="58" t="s">
        <v>139</v>
      </c>
      <c r="J2" s="58" t="s">
        <v>140</v>
      </c>
      <c r="K2" s="58" t="s">
        <v>141</v>
      </c>
      <c r="L2" s="57"/>
    </row>
    <row r="3" spans="1:12" ht="14" x14ac:dyDescent="0.15">
      <c r="A3" s="57" t="s">
        <v>142</v>
      </c>
      <c r="B3" s="58" t="s">
        <v>143</v>
      </c>
      <c r="C3" s="58" t="s">
        <v>143</v>
      </c>
      <c r="D3" s="58" t="s">
        <v>143</v>
      </c>
      <c r="E3" s="58" t="s">
        <v>143</v>
      </c>
      <c r="F3" s="58" t="s">
        <v>143</v>
      </c>
      <c r="G3" s="58" t="s">
        <v>143</v>
      </c>
      <c r="H3" s="58" t="s">
        <v>143</v>
      </c>
      <c r="I3" s="58" t="s">
        <v>143</v>
      </c>
      <c r="J3" s="58" t="s">
        <v>143</v>
      </c>
      <c r="K3" s="58" t="s">
        <v>143</v>
      </c>
      <c r="L3" s="57"/>
    </row>
    <row r="4" spans="1:12" ht="14" x14ac:dyDescent="0.15">
      <c r="A4" s="57" t="s">
        <v>144</v>
      </c>
      <c r="B4" s="58" t="s">
        <v>145</v>
      </c>
      <c r="C4" s="58" t="s">
        <v>145</v>
      </c>
      <c r="D4" s="58" t="s">
        <v>145</v>
      </c>
      <c r="E4" s="58" t="s">
        <v>145</v>
      </c>
      <c r="F4" s="58" t="s">
        <v>145</v>
      </c>
      <c r="G4" s="58" t="s">
        <v>145</v>
      </c>
      <c r="H4" s="58" t="s">
        <v>145</v>
      </c>
      <c r="I4" s="58" t="s">
        <v>145</v>
      </c>
      <c r="J4" s="58" t="s">
        <v>145</v>
      </c>
      <c r="K4" s="58" t="s">
        <v>145</v>
      </c>
      <c r="L4" s="57"/>
    </row>
    <row r="5" spans="1:12" ht="14" x14ac:dyDescent="0.15">
      <c r="A5" s="57" t="s">
        <v>146</v>
      </c>
      <c r="B5" s="58" t="s">
        <v>147</v>
      </c>
      <c r="C5" s="58" t="s">
        <v>147</v>
      </c>
      <c r="D5" s="58" t="s">
        <v>147</v>
      </c>
      <c r="E5" s="58" t="s">
        <v>147</v>
      </c>
      <c r="F5" s="58" t="s">
        <v>147</v>
      </c>
      <c r="G5" s="58" t="s">
        <v>147</v>
      </c>
      <c r="H5" s="58" t="s">
        <v>147</v>
      </c>
      <c r="I5" s="58" t="s">
        <v>147</v>
      </c>
      <c r="J5" s="58" t="s">
        <v>147</v>
      </c>
      <c r="K5" s="58" t="s">
        <v>147</v>
      </c>
      <c r="L5" s="57"/>
    </row>
    <row r="6" spans="1:12" ht="14" x14ac:dyDescent="0.15">
      <c r="A6" s="57" t="s">
        <v>148</v>
      </c>
      <c r="B6" s="58" t="s">
        <v>149</v>
      </c>
      <c r="C6" s="58" t="s">
        <v>149</v>
      </c>
      <c r="D6" s="58" t="s">
        <v>149</v>
      </c>
      <c r="E6" s="58" t="s">
        <v>149</v>
      </c>
      <c r="F6" s="58" t="s">
        <v>149</v>
      </c>
      <c r="G6" s="58" t="s">
        <v>149</v>
      </c>
      <c r="H6" s="58" t="s">
        <v>149</v>
      </c>
      <c r="I6" s="58" t="s">
        <v>149</v>
      </c>
      <c r="J6" s="58" t="s">
        <v>149</v>
      </c>
      <c r="K6" s="58" t="s">
        <v>149</v>
      </c>
      <c r="L6" s="57"/>
    </row>
    <row r="7" spans="1:12" x14ac:dyDescent="0.15">
      <c r="A7" s="59" t="s">
        <v>150</v>
      </c>
      <c r="B7" s="8">
        <v>496654</v>
      </c>
      <c r="C7" s="8">
        <v>596000</v>
      </c>
      <c r="D7" s="8">
        <v>1766000</v>
      </c>
      <c r="E7" s="8">
        <v>4002000</v>
      </c>
      <c r="F7" s="8">
        <v>782000</v>
      </c>
      <c r="G7" s="8">
        <v>10896000</v>
      </c>
      <c r="H7" s="8">
        <v>847000</v>
      </c>
      <c r="I7" s="8">
        <v>1990000</v>
      </c>
      <c r="J7" s="8">
        <v>3389000</v>
      </c>
      <c r="K7" s="8">
        <v>7280000</v>
      </c>
      <c r="L7" s="59"/>
    </row>
    <row r="8" spans="1:12" x14ac:dyDescent="0.15">
      <c r="A8" s="59" t="s">
        <v>151</v>
      </c>
      <c r="B8" s="8">
        <v>4126685</v>
      </c>
      <c r="C8" s="8">
        <v>4441000</v>
      </c>
      <c r="D8" s="8">
        <v>5032000</v>
      </c>
      <c r="E8" s="8">
        <v>3106000</v>
      </c>
      <c r="F8" s="8">
        <v>6640000</v>
      </c>
      <c r="G8" s="8">
        <v>1000</v>
      </c>
      <c r="H8" s="8">
        <v>10714000</v>
      </c>
      <c r="I8" s="8">
        <v>19218000</v>
      </c>
      <c r="J8" s="8">
        <v>9907000</v>
      </c>
      <c r="K8" s="8">
        <v>18704000</v>
      </c>
      <c r="L8" s="59"/>
    </row>
    <row r="9" spans="1:12" x14ac:dyDescent="0.15">
      <c r="A9" s="61" t="s">
        <v>44</v>
      </c>
      <c r="B9" s="11">
        <v>4623339</v>
      </c>
      <c r="C9" s="11">
        <v>5037000</v>
      </c>
      <c r="D9" s="11">
        <v>6798000</v>
      </c>
      <c r="E9" s="11">
        <v>7108000</v>
      </c>
      <c r="F9" s="11">
        <v>7422000</v>
      </c>
      <c r="G9" s="11">
        <v>10897000</v>
      </c>
      <c r="H9" s="11">
        <v>11561000</v>
      </c>
      <c r="I9" s="11">
        <v>21208000</v>
      </c>
      <c r="J9" s="11">
        <v>13296000</v>
      </c>
      <c r="K9" s="11">
        <v>25984000</v>
      </c>
      <c r="L9" s="59"/>
    </row>
    <row r="10" spans="1:12" x14ac:dyDescent="0.15">
      <c r="A10" s="59" t="s">
        <v>45</v>
      </c>
      <c r="B10" s="8">
        <v>473637</v>
      </c>
      <c r="C10" s="8">
        <v>505000</v>
      </c>
      <c r="D10" s="8">
        <v>826000</v>
      </c>
      <c r="E10" s="8">
        <v>1265000</v>
      </c>
      <c r="F10" s="8">
        <v>1424000</v>
      </c>
      <c r="G10" s="8">
        <v>1657000</v>
      </c>
      <c r="H10" s="8">
        <v>2429000</v>
      </c>
      <c r="I10" s="8">
        <v>4650000</v>
      </c>
      <c r="J10" s="8">
        <v>3827000</v>
      </c>
      <c r="K10" s="8">
        <v>9999000</v>
      </c>
      <c r="L10" s="59"/>
    </row>
    <row r="11" spans="1:12" x14ac:dyDescent="0.15">
      <c r="A11" s="59" t="s">
        <v>152</v>
      </c>
      <c r="B11" s="8">
        <v>482893</v>
      </c>
      <c r="C11" s="8">
        <v>418000</v>
      </c>
      <c r="D11" s="8">
        <v>794000</v>
      </c>
      <c r="E11" s="8">
        <v>796000</v>
      </c>
      <c r="F11" s="8">
        <v>1575000</v>
      </c>
      <c r="G11" s="8">
        <v>979000</v>
      </c>
      <c r="H11" s="8">
        <v>1826000</v>
      </c>
      <c r="I11" s="8">
        <v>2605000</v>
      </c>
      <c r="J11" s="8">
        <v>5159000</v>
      </c>
      <c r="K11" s="8">
        <v>5282000</v>
      </c>
      <c r="L11" s="59"/>
    </row>
    <row r="12" spans="1:12" x14ac:dyDescent="0.15">
      <c r="A12" s="59" t="s">
        <v>153</v>
      </c>
      <c r="B12" s="8">
        <v>63254</v>
      </c>
      <c r="C12" s="9" t="s">
        <v>154</v>
      </c>
      <c r="D12" s="9" t="s">
        <v>154</v>
      </c>
      <c r="E12" s="9" t="s">
        <v>154</v>
      </c>
      <c r="F12" s="9" t="s">
        <v>154</v>
      </c>
      <c r="G12" s="9" t="s">
        <v>154</v>
      </c>
      <c r="H12" s="9" t="s">
        <v>154</v>
      </c>
      <c r="I12" s="9" t="s">
        <v>154</v>
      </c>
      <c r="J12" s="9" t="s">
        <v>154</v>
      </c>
      <c r="K12" s="9" t="s">
        <v>154</v>
      </c>
      <c r="L12" s="59"/>
    </row>
    <row r="13" spans="1:12" x14ac:dyDescent="0.15">
      <c r="A13" s="59" t="s">
        <v>155</v>
      </c>
      <c r="B13" s="8">
        <v>70174</v>
      </c>
      <c r="C13" s="8">
        <v>93000</v>
      </c>
      <c r="D13" s="8">
        <v>118000</v>
      </c>
      <c r="E13" s="8">
        <v>86000</v>
      </c>
      <c r="F13" s="8">
        <v>136000</v>
      </c>
      <c r="G13" s="8">
        <v>157000</v>
      </c>
      <c r="H13" s="8">
        <v>239000</v>
      </c>
      <c r="I13" s="8">
        <v>366000</v>
      </c>
      <c r="J13" s="8">
        <v>791000</v>
      </c>
      <c r="K13" s="8">
        <v>3080000</v>
      </c>
      <c r="L13" s="59"/>
    </row>
    <row r="14" spans="1:12" x14ac:dyDescent="0.15">
      <c r="A14" s="60" t="s">
        <v>47</v>
      </c>
      <c r="B14" s="13">
        <v>5713297</v>
      </c>
      <c r="C14" s="13">
        <v>6053000</v>
      </c>
      <c r="D14" s="13">
        <v>8536000</v>
      </c>
      <c r="E14" s="13">
        <v>9255000</v>
      </c>
      <c r="F14" s="13">
        <v>10557000</v>
      </c>
      <c r="G14" s="13">
        <v>13690000</v>
      </c>
      <c r="H14" s="13">
        <v>16055000</v>
      </c>
      <c r="I14" s="13">
        <v>28829000</v>
      </c>
      <c r="J14" s="13">
        <v>23073000</v>
      </c>
      <c r="K14" s="13">
        <v>44345000</v>
      </c>
      <c r="L14" s="59"/>
    </row>
    <row r="15" spans="1:12" x14ac:dyDescent="0.15">
      <c r="A15" s="59" t="s">
        <v>48</v>
      </c>
      <c r="B15" s="8">
        <v>1179257</v>
      </c>
      <c r="C15" s="8">
        <v>1100000</v>
      </c>
      <c r="D15" s="8">
        <v>1191000</v>
      </c>
      <c r="E15" s="8">
        <v>1737000</v>
      </c>
      <c r="F15" s="8">
        <v>2171000</v>
      </c>
      <c r="G15" s="8">
        <v>2685000</v>
      </c>
      <c r="H15" s="8">
        <v>3557000</v>
      </c>
      <c r="I15" s="8">
        <v>4681000</v>
      </c>
      <c r="J15" s="8">
        <v>6501000</v>
      </c>
      <c r="K15" s="8">
        <v>7423000</v>
      </c>
      <c r="L15" s="59"/>
    </row>
    <row r="16" spans="1:12" x14ac:dyDescent="0.15">
      <c r="A16" s="59" t="s">
        <v>49</v>
      </c>
      <c r="B16" s="8">
        <v>621975</v>
      </c>
      <c r="C16" s="8">
        <v>634000</v>
      </c>
      <c r="D16" s="8">
        <v>670000</v>
      </c>
      <c r="E16" s="8">
        <v>740000</v>
      </c>
      <c r="F16" s="8">
        <v>767000</v>
      </c>
      <c r="G16" s="8">
        <v>1011000</v>
      </c>
      <c r="H16" s="8">
        <v>1408000</v>
      </c>
      <c r="I16" s="8">
        <v>1903000</v>
      </c>
      <c r="J16" s="8">
        <v>2694000</v>
      </c>
      <c r="K16" s="8">
        <v>3509000</v>
      </c>
      <c r="L16" s="59"/>
    </row>
    <row r="17" spans="1:13" x14ac:dyDescent="0.15">
      <c r="A17" s="61" t="s">
        <v>50</v>
      </c>
      <c r="B17" s="11">
        <v>557282</v>
      </c>
      <c r="C17" s="11">
        <v>466000</v>
      </c>
      <c r="D17" s="11">
        <v>521000</v>
      </c>
      <c r="E17" s="11">
        <v>997000</v>
      </c>
      <c r="F17" s="11">
        <v>1404000</v>
      </c>
      <c r="G17" s="11">
        <v>1674000</v>
      </c>
      <c r="H17" s="11">
        <v>2149000</v>
      </c>
      <c r="I17" s="11">
        <v>2778000</v>
      </c>
      <c r="J17" s="11">
        <v>3807000</v>
      </c>
      <c r="K17" s="11">
        <v>3914000</v>
      </c>
      <c r="L17" s="59"/>
    </row>
    <row r="18" spans="1:13" x14ac:dyDescent="0.15">
      <c r="A18" s="59" t="s">
        <v>156</v>
      </c>
      <c r="B18" s="9" t="s">
        <v>154</v>
      </c>
      <c r="C18" s="9" t="s">
        <v>154</v>
      </c>
      <c r="D18" s="9" t="s">
        <v>154</v>
      </c>
      <c r="E18" s="9" t="s">
        <v>154</v>
      </c>
      <c r="F18" s="9" t="s">
        <v>154</v>
      </c>
      <c r="G18" s="9" t="s">
        <v>154</v>
      </c>
      <c r="H18" s="9" t="s">
        <v>154</v>
      </c>
      <c r="I18" s="8">
        <v>266000</v>
      </c>
      <c r="J18" s="8">
        <v>299000</v>
      </c>
      <c r="K18" s="9" t="s">
        <v>154</v>
      </c>
      <c r="L18" s="59"/>
    </row>
    <row r="19" spans="1:13" x14ac:dyDescent="0.15">
      <c r="A19" s="59" t="s">
        <v>157</v>
      </c>
      <c r="B19" s="8">
        <v>839893</v>
      </c>
      <c r="C19" s="8">
        <v>784000</v>
      </c>
      <c r="D19" s="8">
        <v>722000</v>
      </c>
      <c r="E19" s="8">
        <v>670000</v>
      </c>
      <c r="F19" s="8">
        <v>663000</v>
      </c>
      <c r="G19" s="8">
        <v>667000</v>
      </c>
      <c r="H19" s="8">
        <v>6930000</v>
      </c>
      <c r="I19" s="8">
        <v>6688000</v>
      </c>
      <c r="J19" s="8">
        <v>6048000</v>
      </c>
      <c r="K19" s="8">
        <v>5542000</v>
      </c>
      <c r="L19" s="59"/>
    </row>
    <row r="20" spans="1:13" x14ac:dyDescent="0.15">
      <c r="A20" s="59" t="s">
        <v>158</v>
      </c>
      <c r="B20" s="9" t="s">
        <v>154</v>
      </c>
      <c r="C20" s="9" t="s">
        <v>154</v>
      </c>
      <c r="D20" s="9" t="s">
        <v>154</v>
      </c>
      <c r="E20" s="9" t="s">
        <v>154</v>
      </c>
      <c r="F20" s="9" t="s">
        <v>154</v>
      </c>
      <c r="G20" s="9" t="s">
        <v>154</v>
      </c>
      <c r="H20" s="9" t="s">
        <v>154</v>
      </c>
      <c r="I20" s="8">
        <v>2156000</v>
      </c>
      <c r="J20" s="8">
        <v>3376000</v>
      </c>
      <c r="K20" s="9" t="s">
        <v>154</v>
      </c>
      <c r="L20" s="59"/>
    </row>
    <row r="21" spans="1:13" x14ac:dyDescent="0.15">
      <c r="A21" s="59" t="s">
        <v>159</v>
      </c>
      <c r="B21" s="9" t="s">
        <v>154</v>
      </c>
      <c r="C21" s="9" t="s">
        <v>154</v>
      </c>
      <c r="D21" s="9" t="s">
        <v>154</v>
      </c>
      <c r="E21" s="9" t="s">
        <v>154</v>
      </c>
      <c r="F21" s="9" t="s">
        <v>154</v>
      </c>
      <c r="G21" s="8">
        <v>548000</v>
      </c>
      <c r="H21" s="8">
        <v>806000</v>
      </c>
      <c r="I21" s="8">
        <v>1222000</v>
      </c>
      <c r="J21" s="8">
        <v>3396000</v>
      </c>
      <c r="K21" s="8">
        <v>6081000</v>
      </c>
      <c r="L21" s="59"/>
    </row>
    <row r="22" spans="1:13" x14ac:dyDescent="0.15">
      <c r="A22" s="59" t="s">
        <v>51</v>
      </c>
      <c r="B22" s="8">
        <v>90896</v>
      </c>
      <c r="C22" s="8">
        <v>67000</v>
      </c>
      <c r="D22" s="8">
        <v>62000</v>
      </c>
      <c r="E22" s="8">
        <v>319000</v>
      </c>
      <c r="F22" s="8">
        <v>668000</v>
      </c>
      <c r="G22" s="8">
        <v>736000</v>
      </c>
      <c r="H22" s="8">
        <v>2851000</v>
      </c>
      <c r="I22" s="8">
        <v>2248000</v>
      </c>
      <c r="J22" s="8">
        <v>1183000</v>
      </c>
      <c r="K22" s="8">
        <v>5846000</v>
      </c>
      <c r="L22" s="59"/>
    </row>
    <row r="23" spans="1:13" x14ac:dyDescent="0.15">
      <c r="A23" s="60" t="s">
        <v>53</v>
      </c>
      <c r="B23" s="13">
        <v>7201368</v>
      </c>
      <c r="C23" s="13">
        <v>7370000</v>
      </c>
      <c r="D23" s="13">
        <v>9841000</v>
      </c>
      <c r="E23" s="13">
        <v>11241000</v>
      </c>
      <c r="F23" s="13">
        <v>13292000</v>
      </c>
      <c r="G23" s="13">
        <v>17315000</v>
      </c>
      <c r="H23" s="13">
        <v>28791000</v>
      </c>
      <c r="I23" s="13">
        <v>44187000</v>
      </c>
      <c r="J23" s="13">
        <v>41182000</v>
      </c>
      <c r="K23" s="13">
        <v>65728000</v>
      </c>
      <c r="L23" s="105"/>
      <c r="M23" s="94"/>
    </row>
    <row r="24" spans="1:13" x14ac:dyDescent="0.15">
      <c r="A24" s="61"/>
      <c r="B24" s="15"/>
      <c r="C24" s="15"/>
      <c r="D24" s="15"/>
      <c r="E24" s="15"/>
      <c r="F24" s="15"/>
      <c r="G24" s="15"/>
      <c r="H24" s="15"/>
      <c r="I24" s="15"/>
      <c r="J24" s="15"/>
      <c r="K24" s="15"/>
      <c r="L24" s="59"/>
    </row>
    <row r="25" spans="1:13" x14ac:dyDescent="0.15">
      <c r="A25" s="61" t="s">
        <v>160</v>
      </c>
      <c r="B25" s="11">
        <v>573315</v>
      </c>
      <c r="C25" s="11">
        <v>587000</v>
      </c>
      <c r="D25" s="11">
        <v>861000</v>
      </c>
      <c r="E25" s="11">
        <v>1008000</v>
      </c>
      <c r="F25" s="11">
        <v>1051000</v>
      </c>
      <c r="G25" s="11">
        <v>1334000</v>
      </c>
      <c r="H25" s="11">
        <v>2128000</v>
      </c>
      <c r="I25" s="11">
        <v>3192000</v>
      </c>
      <c r="J25" s="11">
        <v>2919000</v>
      </c>
      <c r="K25" s="11">
        <v>7496000</v>
      </c>
      <c r="L25" s="59"/>
    </row>
    <row r="26" spans="1:13" x14ac:dyDescent="0.15">
      <c r="A26" s="59" t="s">
        <v>161</v>
      </c>
      <c r="B26" s="8">
        <v>293223</v>
      </c>
      <c r="C26" s="8">
        <v>296000</v>
      </c>
      <c r="D26" s="8">
        <v>485000</v>
      </c>
      <c r="E26" s="8">
        <v>596000</v>
      </c>
      <c r="F26" s="8">
        <v>511000</v>
      </c>
      <c r="G26" s="8">
        <v>687000</v>
      </c>
      <c r="H26" s="8">
        <v>1201000</v>
      </c>
      <c r="I26" s="8">
        <v>1783000</v>
      </c>
      <c r="J26" s="8">
        <v>1193000</v>
      </c>
      <c r="K26" s="8">
        <v>2699000</v>
      </c>
      <c r="L26" s="59"/>
    </row>
    <row r="27" spans="1:13" x14ac:dyDescent="0.15">
      <c r="A27" s="59" t="s">
        <v>162</v>
      </c>
      <c r="B27" s="8">
        <v>280092</v>
      </c>
      <c r="C27" s="8">
        <v>291000</v>
      </c>
      <c r="D27" s="8">
        <v>376000</v>
      </c>
      <c r="E27" s="8">
        <v>412000</v>
      </c>
      <c r="F27" s="8">
        <v>540000</v>
      </c>
      <c r="G27" s="8">
        <v>647000</v>
      </c>
      <c r="H27" s="8">
        <v>927000</v>
      </c>
      <c r="I27" s="8">
        <v>1409000</v>
      </c>
      <c r="J27" s="8">
        <v>1726000</v>
      </c>
      <c r="K27" s="8">
        <v>4797000</v>
      </c>
      <c r="L27" s="59"/>
    </row>
    <row r="28" spans="1:13" x14ac:dyDescent="0.15">
      <c r="A28" s="59" t="s">
        <v>163</v>
      </c>
      <c r="B28" s="9" t="s">
        <v>154</v>
      </c>
      <c r="C28" s="8">
        <v>1413000</v>
      </c>
      <c r="D28" s="8">
        <v>796000</v>
      </c>
      <c r="E28" s="8">
        <v>15000</v>
      </c>
      <c r="F28" s="9" t="s">
        <v>154</v>
      </c>
      <c r="G28" s="9" t="s">
        <v>154</v>
      </c>
      <c r="H28" s="8">
        <v>999000</v>
      </c>
      <c r="I28" s="9" t="s">
        <v>154</v>
      </c>
      <c r="J28" s="8">
        <v>1250000</v>
      </c>
      <c r="K28" s="8">
        <v>1250000</v>
      </c>
      <c r="L28" s="59"/>
    </row>
    <row r="29" spans="1:13" x14ac:dyDescent="0.15">
      <c r="A29" s="59" t="s">
        <v>164</v>
      </c>
      <c r="B29" s="8">
        <v>322715</v>
      </c>
      <c r="C29" s="8">
        <v>351000</v>
      </c>
      <c r="D29" s="8">
        <v>131000</v>
      </c>
      <c r="E29" s="8">
        <v>130000</v>
      </c>
      <c r="F29" s="8">
        <v>278000</v>
      </c>
      <c r="G29" s="8">
        <v>450000</v>
      </c>
      <c r="H29" s="8">
        <v>798000</v>
      </c>
      <c r="I29" s="8">
        <v>1143000</v>
      </c>
      <c r="J29" s="8">
        <v>2394000</v>
      </c>
      <c r="K29" s="8">
        <v>1885000</v>
      </c>
      <c r="L29" s="59"/>
    </row>
    <row r="30" spans="1:13" x14ac:dyDescent="0.15">
      <c r="A30" s="60" t="s">
        <v>56</v>
      </c>
      <c r="B30" s="13">
        <v>896030</v>
      </c>
      <c r="C30" s="13">
        <v>2351000</v>
      </c>
      <c r="D30" s="13">
        <v>1788000</v>
      </c>
      <c r="E30" s="13">
        <v>1153000</v>
      </c>
      <c r="F30" s="13">
        <v>1329000</v>
      </c>
      <c r="G30" s="13">
        <v>1784000</v>
      </c>
      <c r="H30" s="13">
        <v>3925000</v>
      </c>
      <c r="I30" s="13">
        <v>4335000</v>
      </c>
      <c r="J30" s="13">
        <v>6563000</v>
      </c>
      <c r="K30" s="13">
        <v>10631000</v>
      </c>
      <c r="L30" s="59"/>
    </row>
    <row r="31" spans="1:13" x14ac:dyDescent="0.15">
      <c r="A31" s="59" t="s">
        <v>165</v>
      </c>
      <c r="B31" s="8">
        <v>1398428</v>
      </c>
      <c r="C31" s="8">
        <v>10000</v>
      </c>
      <c r="D31" s="8">
        <v>1989000</v>
      </c>
      <c r="E31" s="8">
        <v>1985000</v>
      </c>
      <c r="F31" s="8">
        <v>1988000</v>
      </c>
      <c r="G31" s="8">
        <v>1991000</v>
      </c>
      <c r="H31" s="8">
        <v>5964000</v>
      </c>
      <c r="I31" s="8">
        <v>10946000</v>
      </c>
      <c r="J31" s="8">
        <v>9703000</v>
      </c>
      <c r="K31" s="8">
        <v>8459000</v>
      </c>
      <c r="L31" s="59"/>
    </row>
    <row r="32" spans="1:13" x14ac:dyDescent="0.15">
      <c r="A32" s="59" t="s">
        <v>166</v>
      </c>
      <c r="B32" s="8">
        <v>340145</v>
      </c>
      <c r="C32" s="8">
        <v>345000</v>
      </c>
      <c r="D32" s="8">
        <v>145000</v>
      </c>
      <c r="E32" s="8">
        <v>33000</v>
      </c>
      <c r="F32" s="8">
        <v>65000</v>
      </c>
      <c r="G32" s="8">
        <v>89000</v>
      </c>
      <c r="H32" s="8">
        <v>404000</v>
      </c>
      <c r="I32" s="8">
        <v>447000</v>
      </c>
      <c r="J32" s="8">
        <v>465000</v>
      </c>
      <c r="K32" s="8">
        <v>1035000</v>
      </c>
      <c r="L32" s="59"/>
    </row>
    <row r="33" spans="1:13" x14ac:dyDescent="0.15">
      <c r="A33" s="59" t="s">
        <v>167</v>
      </c>
      <c r="B33" s="8">
        <v>0</v>
      </c>
      <c r="C33" s="8">
        <v>0</v>
      </c>
      <c r="D33" s="8">
        <v>0</v>
      </c>
      <c r="E33" s="8">
        <v>0</v>
      </c>
      <c r="F33" s="8">
        <v>0</v>
      </c>
      <c r="G33" s="8">
        <v>0</v>
      </c>
      <c r="H33" s="8">
        <v>0</v>
      </c>
      <c r="I33" s="8">
        <v>0</v>
      </c>
      <c r="J33" s="8">
        <v>0</v>
      </c>
      <c r="K33" s="8">
        <v>0</v>
      </c>
      <c r="L33" s="59"/>
    </row>
    <row r="34" spans="1:13" x14ac:dyDescent="0.15">
      <c r="A34" s="59" t="s">
        <v>168</v>
      </c>
      <c r="B34" s="8">
        <v>148783</v>
      </c>
      <c r="C34" s="8">
        <v>108000</v>
      </c>
      <c r="D34" s="8">
        <v>126000</v>
      </c>
      <c r="E34" s="8">
        <v>599000</v>
      </c>
      <c r="F34" s="8">
        <v>568000</v>
      </c>
      <c r="G34" s="8">
        <v>1247000</v>
      </c>
      <c r="H34" s="8">
        <v>1605000</v>
      </c>
      <c r="I34" s="8">
        <v>1847000</v>
      </c>
      <c r="J34" s="8">
        <v>2350000</v>
      </c>
      <c r="K34" s="8">
        <v>2625000</v>
      </c>
      <c r="L34" s="59"/>
    </row>
    <row r="35" spans="1:13" x14ac:dyDescent="0.15">
      <c r="A35" s="60" t="s">
        <v>58</v>
      </c>
      <c r="B35" s="13">
        <v>2783386</v>
      </c>
      <c r="C35" s="13">
        <v>2814000</v>
      </c>
      <c r="D35" s="13">
        <v>4048000</v>
      </c>
      <c r="E35" s="13">
        <v>3770000</v>
      </c>
      <c r="F35" s="13">
        <v>3950000</v>
      </c>
      <c r="G35" s="13">
        <v>5111000</v>
      </c>
      <c r="H35" s="13">
        <v>11898000</v>
      </c>
      <c r="I35" s="13">
        <v>17575000</v>
      </c>
      <c r="J35" s="13">
        <v>19081000</v>
      </c>
      <c r="K35" s="13">
        <v>22750000</v>
      </c>
      <c r="L35" s="59"/>
    </row>
    <row r="36" spans="1:13" x14ac:dyDescent="0.15">
      <c r="A36" s="61"/>
      <c r="B36" s="15"/>
      <c r="C36" s="15"/>
      <c r="D36" s="15"/>
      <c r="E36" s="15"/>
      <c r="F36" s="15"/>
      <c r="G36" s="15"/>
      <c r="H36" s="15"/>
      <c r="I36" s="15"/>
      <c r="J36" s="15"/>
      <c r="K36" s="15"/>
      <c r="L36" s="59"/>
    </row>
    <row r="37" spans="1:13" x14ac:dyDescent="0.15">
      <c r="A37" s="59" t="s">
        <v>169</v>
      </c>
      <c r="B37" s="9" t="s">
        <v>154</v>
      </c>
      <c r="C37" s="8">
        <v>87000</v>
      </c>
      <c r="D37" s="8">
        <v>31000</v>
      </c>
      <c r="E37" s="9" t="s">
        <v>154</v>
      </c>
      <c r="F37" s="9" t="s">
        <v>154</v>
      </c>
      <c r="G37" s="9" t="s">
        <v>154</v>
      </c>
      <c r="H37" s="9" t="s">
        <v>154</v>
      </c>
      <c r="I37" s="9" t="s">
        <v>154</v>
      </c>
      <c r="J37" s="9" t="s">
        <v>154</v>
      </c>
      <c r="K37" s="9" t="s">
        <v>154</v>
      </c>
      <c r="L37" s="59"/>
    </row>
    <row r="38" spans="1:13" x14ac:dyDescent="0.15">
      <c r="A38" s="59" t="s">
        <v>170</v>
      </c>
      <c r="B38" s="8">
        <v>754</v>
      </c>
      <c r="C38" s="8">
        <v>1000</v>
      </c>
      <c r="D38" s="8">
        <v>1000</v>
      </c>
      <c r="E38" s="8">
        <v>1000</v>
      </c>
      <c r="F38" s="8">
        <v>1000</v>
      </c>
      <c r="G38" s="8">
        <v>1000</v>
      </c>
      <c r="H38" s="8">
        <v>1000</v>
      </c>
      <c r="I38" s="8">
        <v>3000</v>
      </c>
      <c r="J38" s="8">
        <v>2000</v>
      </c>
      <c r="K38" s="8">
        <v>2000</v>
      </c>
      <c r="L38" s="59"/>
    </row>
    <row r="39" spans="1:13" x14ac:dyDescent="0.15">
      <c r="A39" s="59" t="s">
        <v>171</v>
      </c>
      <c r="B39" s="8">
        <v>3855092</v>
      </c>
      <c r="C39" s="8">
        <v>4170000</v>
      </c>
      <c r="D39" s="8">
        <v>4708000</v>
      </c>
      <c r="E39" s="8">
        <v>5351000</v>
      </c>
      <c r="F39" s="8">
        <v>6051000</v>
      </c>
      <c r="G39" s="8">
        <v>7045000</v>
      </c>
      <c r="H39" s="8">
        <v>8721000</v>
      </c>
      <c r="I39" s="8">
        <v>10385000</v>
      </c>
      <c r="J39" s="8">
        <v>11971000</v>
      </c>
      <c r="K39" s="8">
        <v>13132000</v>
      </c>
      <c r="L39" s="59"/>
    </row>
    <row r="40" spans="1:13" x14ac:dyDescent="0.15">
      <c r="A40" s="59" t="s">
        <v>59</v>
      </c>
      <c r="B40" s="8">
        <v>3948877</v>
      </c>
      <c r="C40" s="8">
        <v>4350000</v>
      </c>
      <c r="D40" s="8">
        <v>6108000</v>
      </c>
      <c r="E40" s="8">
        <v>8787000</v>
      </c>
      <c r="F40" s="8">
        <v>12565000</v>
      </c>
      <c r="G40" s="8">
        <v>14971000</v>
      </c>
      <c r="H40" s="8">
        <v>18908000</v>
      </c>
      <c r="I40" s="8">
        <v>16235000</v>
      </c>
      <c r="J40" s="8">
        <v>10171000</v>
      </c>
      <c r="K40" s="8">
        <v>29817000</v>
      </c>
      <c r="L40" s="62"/>
    </row>
    <row r="41" spans="1:13" x14ac:dyDescent="0.15">
      <c r="A41" s="59" t="s">
        <v>172</v>
      </c>
      <c r="B41" s="8">
        <v>7844</v>
      </c>
      <c r="C41" s="8">
        <v>-4000</v>
      </c>
      <c r="D41" s="8">
        <v>-16000</v>
      </c>
      <c r="E41" s="8">
        <v>-18000</v>
      </c>
      <c r="F41" s="8">
        <v>-12000</v>
      </c>
      <c r="G41" s="8">
        <v>1000</v>
      </c>
      <c r="H41" s="8">
        <v>19000</v>
      </c>
      <c r="I41" s="8">
        <v>-11000</v>
      </c>
      <c r="J41" s="8">
        <v>-43000</v>
      </c>
      <c r="K41" s="8">
        <v>27000</v>
      </c>
      <c r="L41" s="59"/>
    </row>
    <row r="42" spans="1:13" x14ac:dyDescent="0.15">
      <c r="A42" s="59" t="s">
        <v>173</v>
      </c>
      <c r="B42" s="8">
        <v>3394585</v>
      </c>
      <c r="C42" s="8">
        <v>4048000</v>
      </c>
      <c r="D42" s="8">
        <v>5039000</v>
      </c>
      <c r="E42" s="8">
        <v>6650000</v>
      </c>
      <c r="F42" s="8">
        <v>9263000</v>
      </c>
      <c r="G42" s="8">
        <v>9814000</v>
      </c>
      <c r="H42" s="8">
        <v>10756000</v>
      </c>
      <c r="I42" s="9" t="s">
        <v>154</v>
      </c>
      <c r="J42" s="9" t="s">
        <v>154</v>
      </c>
      <c r="K42" s="9" t="s">
        <v>154</v>
      </c>
      <c r="L42" s="59"/>
    </row>
    <row r="43" spans="1:13" x14ac:dyDescent="0.15">
      <c r="A43" s="59" t="s">
        <v>174</v>
      </c>
      <c r="B43" s="8">
        <v>0</v>
      </c>
      <c r="C43" s="8">
        <v>0</v>
      </c>
      <c r="D43" s="8">
        <v>0</v>
      </c>
      <c r="E43" s="8">
        <v>0</v>
      </c>
      <c r="F43" s="8">
        <v>0</v>
      </c>
      <c r="G43" s="8">
        <v>0</v>
      </c>
      <c r="H43" s="8">
        <v>0</v>
      </c>
      <c r="I43" s="8">
        <v>0</v>
      </c>
      <c r="J43" s="8">
        <v>0</v>
      </c>
      <c r="K43" s="8">
        <v>0</v>
      </c>
      <c r="L43" s="59"/>
    </row>
    <row r="44" spans="1:13" x14ac:dyDescent="0.15">
      <c r="A44" s="60" t="s">
        <v>60</v>
      </c>
      <c r="B44" s="13">
        <v>4417982</v>
      </c>
      <c r="C44" s="13">
        <v>4556000</v>
      </c>
      <c r="D44" s="13">
        <v>5793000</v>
      </c>
      <c r="E44" s="13">
        <v>7471000</v>
      </c>
      <c r="F44" s="13">
        <v>9342000</v>
      </c>
      <c r="G44" s="13">
        <v>12204000</v>
      </c>
      <c r="H44" s="13">
        <v>16893000</v>
      </c>
      <c r="I44" s="13">
        <v>26612000</v>
      </c>
      <c r="J44" s="13">
        <v>22101000</v>
      </c>
      <c r="K44" s="13">
        <v>42978000</v>
      </c>
      <c r="L44" s="59"/>
      <c r="M44" s="63"/>
    </row>
    <row r="45" spans="1:13" x14ac:dyDescent="0.15">
      <c r="A45" s="64" t="s">
        <v>61</v>
      </c>
      <c r="B45" s="65">
        <v>7201368</v>
      </c>
      <c r="C45" s="65">
        <v>7370000</v>
      </c>
      <c r="D45" s="65">
        <v>9841000</v>
      </c>
      <c r="E45" s="65">
        <v>11241000</v>
      </c>
      <c r="F45" s="65">
        <v>13292000</v>
      </c>
      <c r="G45" s="65">
        <v>17315000</v>
      </c>
      <c r="H45" s="65">
        <v>28791000</v>
      </c>
      <c r="I45" s="65">
        <v>44187000</v>
      </c>
      <c r="J45" s="65">
        <v>41182000</v>
      </c>
      <c r="K45" s="65">
        <v>65728000</v>
      </c>
      <c r="L45" s="59"/>
      <c r="M45" s="63"/>
    </row>
    <row r="47" spans="1:13" x14ac:dyDescent="0.15">
      <c r="A47" s="66" t="s">
        <v>175</v>
      </c>
      <c r="B47" s="8">
        <v>563068</v>
      </c>
      <c r="C47" s="8">
        <v>569000</v>
      </c>
      <c r="D47" s="8">
        <v>649000</v>
      </c>
      <c r="E47" s="8">
        <v>632000</v>
      </c>
      <c r="F47" s="8">
        <v>625000</v>
      </c>
      <c r="G47" s="8">
        <v>618000</v>
      </c>
      <c r="H47" s="8">
        <v>628000</v>
      </c>
      <c r="I47" s="8">
        <v>2535000</v>
      </c>
      <c r="J47" s="8">
        <v>2507000</v>
      </c>
      <c r="K47" s="8">
        <v>2494000</v>
      </c>
    </row>
    <row r="48" spans="1:13" x14ac:dyDescent="0.15">
      <c r="K48" s="63"/>
    </row>
    <row r="49" spans="1:11" x14ac:dyDescent="0.15">
      <c r="A49" s="52" t="s">
        <v>176</v>
      </c>
      <c r="B49" s="63"/>
      <c r="C49" s="63">
        <f>(C14-B14)-(C30-B30)</f>
        <v>-1115267</v>
      </c>
      <c r="D49" s="63">
        <f t="shared" ref="D49:K49" si="0">(D14-C14)-(D30-C30)</f>
        <v>3046000</v>
      </c>
      <c r="E49" s="63">
        <f t="shared" si="0"/>
        <v>1354000</v>
      </c>
      <c r="F49" s="63">
        <f t="shared" si="0"/>
        <v>1126000</v>
      </c>
      <c r="G49" s="63">
        <f t="shared" si="0"/>
        <v>2678000</v>
      </c>
      <c r="H49" s="63">
        <f t="shared" si="0"/>
        <v>224000</v>
      </c>
      <c r="I49" s="63">
        <f t="shared" si="0"/>
        <v>12364000</v>
      </c>
      <c r="J49" s="63">
        <f t="shared" si="0"/>
        <v>-7984000</v>
      </c>
      <c r="K49" s="63">
        <f t="shared" si="0"/>
        <v>17204000</v>
      </c>
    </row>
    <row r="50" spans="1:11" x14ac:dyDescent="0.15">
      <c r="K50" s="63">
        <f>-(K10-J10)</f>
        <v>-6172000</v>
      </c>
    </row>
    <row r="51" spans="1:11" x14ac:dyDescent="0.15">
      <c r="K51" s="63">
        <f>-(K11-J11)</f>
        <v>-123000</v>
      </c>
    </row>
    <row r="52" spans="1:11" x14ac:dyDescent="0.15">
      <c r="K52" s="63">
        <f>-(K13-J13)</f>
        <v>-2289000</v>
      </c>
    </row>
    <row r="53" spans="1:11" x14ac:dyDescent="0.15">
      <c r="K53" s="63">
        <f>K25-J25</f>
        <v>4577000</v>
      </c>
    </row>
    <row r="54" spans="1:11" x14ac:dyDescent="0.15">
      <c r="K54" s="63">
        <f>K29-J29</f>
        <v>-509000</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DE45F-E27B-F04B-8C6B-6F7467E72BC3}">
  <sheetPr>
    <tabColor rgb="FFFFC000"/>
  </sheetPr>
  <dimension ref="A1:X100"/>
  <sheetViews>
    <sheetView tabSelected="1" zoomScale="111" zoomScaleNormal="100" workbookViewId="0">
      <pane xSplit="1" ySplit="2" topLeftCell="E52" activePane="bottomRight" state="frozen"/>
      <selection pane="topRight" activeCell="B1" sqref="B1"/>
      <selection pane="bottomLeft" activeCell="A3" sqref="A3"/>
      <selection pane="bottomRight" activeCell="A42" sqref="A42"/>
    </sheetView>
  </sheetViews>
  <sheetFormatPr baseColWidth="10" defaultColWidth="8.83203125" defaultRowHeight="13" x14ac:dyDescent="0.15"/>
  <cols>
    <col min="1" max="1" width="50" style="52" customWidth="1"/>
    <col min="2" max="11" width="12" style="52" customWidth="1"/>
    <col min="12" max="17" width="15" style="52" bestFit="1" customWidth="1"/>
    <col min="18" max="189" width="12" style="52" customWidth="1"/>
    <col min="190" max="16384" width="8.83203125" style="52"/>
  </cols>
  <sheetData>
    <row r="1" spans="1:24" ht="14" x14ac:dyDescent="0.15">
      <c r="A1" s="55" t="s">
        <v>120</v>
      </c>
      <c r="B1" s="56" t="s">
        <v>121</v>
      </c>
      <c r="C1" s="56" t="s">
        <v>122</v>
      </c>
      <c r="D1" s="56" t="s">
        <v>123</v>
      </c>
      <c r="E1" s="56" t="s">
        <v>124</v>
      </c>
      <c r="F1" s="56" t="s">
        <v>125</v>
      </c>
      <c r="G1" s="56" t="s">
        <v>126</v>
      </c>
      <c r="H1" s="56" t="s">
        <v>127</v>
      </c>
      <c r="I1" s="56" t="s">
        <v>128</v>
      </c>
      <c r="J1" s="56" t="s">
        <v>129</v>
      </c>
      <c r="K1" s="56" t="s">
        <v>130</v>
      </c>
      <c r="L1" s="56" t="s">
        <v>177</v>
      </c>
      <c r="M1" s="56" t="s">
        <v>178</v>
      </c>
      <c r="N1" s="56" t="s">
        <v>179</v>
      </c>
      <c r="O1" s="56" t="s">
        <v>180</v>
      </c>
      <c r="P1" s="56" t="s">
        <v>181</v>
      </c>
      <c r="Q1" s="56" t="s">
        <v>182</v>
      </c>
    </row>
    <row r="2" spans="1:24" ht="14" x14ac:dyDescent="0.15">
      <c r="A2" s="57" t="s">
        <v>131</v>
      </c>
      <c r="B2" s="58" t="s">
        <v>132</v>
      </c>
      <c r="C2" s="58" t="s">
        <v>133</v>
      </c>
      <c r="D2" s="58" t="s">
        <v>134</v>
      </c>
      <c r="E2" s="58" t="s">
        <v>135</v>
      </c>
      <c r="F2" s="58" t="s">
        <v>136</v>
      </c>
      <c r="G2" s="58" t="s">
        <v>137</v>
      </c>
      <c r="H2" s="58" t="s">
        <v>138</v>
      </c>
      <c r="I2" s="58" t="s">
        <v>139</v>
      </c>
      <c r="J2" s="58" t="s">
        <v>140</v>
      </c>
      <c r="K2" s="58" t="s">
        <v>141</v>
      </c>
      <c r="L2" s="249">
        <f>K2+365</f>
        <v>45684</v>
      </c>
      <c r="M2" s="249">
        <f t="shared" ref="M2:Q2" si="0">L2+365</f>
        <v>46049</v>
      </c>
      <c r="N2" s="249">
        <f t="shared" si="0"/>
        <v>46414</v>
      </c>
      <c r="O2" s="249">
        <f t="shared" si="0"/>
        <v>46779</v>
      </c>
      <c r="P2" s="249">
        <f t="shared" si="0"/>
        <v>47144</v>
      </c>
      <c r="Q2" s="249">
        <f t="shared" si="0"/>
        <v>47509</v>
      </c>
    </row>
    <row r="3" spans="1:24" ht="14" x14ac:dyDescent="0.15">
      <c r="A3" s="57" t="s">
        <v>142</v>
      </c>
      <c r="B3" s="58" t="s">
        <v>143</v>
      </c>
      <c r="C3" s="58" t="s">
        <v>143</v>
      </c>
      <c r="D3" s="58" t="s">
        <v>143</v>
      </c>
      <c r="E3" s="58" t="s">
        <v>143</v>
      </c>
      <c r="F3" s="58" t="s">
        <v>143</v>
      </c>
      <c r="G3" s="58" t="s">
        <v>143</v>
      </c>
      <c r="H3" s="58" t="s">
        <v>143</v>
      </c>
      <c r="I3" s="58" t="s">
        <v>143</v>
      </c>
      <c r="J3" s="58" t="s">
        <v>143</v>
      </c>
      <c r="K3" s="58" t="s">
        <v>143</v>
      </c>
      <c r="L3" s="57"/>
    </row>
    <row r="4" spans="1:24" ht="14" x14ac:dyDescent="0.15">
      <c r="A4" s="57" t="s">
        <v>144</v>
      </c>
      <c r="B4" s="58" t="s">
        <v>145</v>
      </c>
      <c r="C4" s="58" t="s">
        <v>145</v>
      </c>
      <c r="D4" s="58" t="s">
        <v>145</v>
      </c>
      <c r="E4" s="58" t="s">
        <v>145</v>
      </c>
      <c r="F4" s="58" t="s">
        <v>145</v>
      </c>
      <c r="G4" s="58" t="s">
        <v>145</v>
      </c>
      <c r="H4" s="58" t="s">
        <v>145</v>
      </c>
      <c r="I4" s="58" t="s">
        <v>145</v>
      </c>
      <c r="J4" s="58" t="s">
        <v>145</v>
      </c>
      <c r="K4" s="58" t="s">
        <v>145</v>
      </c>
      <c r="L4" s="57"/>
    </row>
    <row r="5" spans="1:24" ht="14" x14ac:dyDescent="0.15">
      <c r="A5" s="57" t="s">
        <v>146</v>
      </c>
      <c r="B5" s="58" t="s">
        <v>147</v>
      </c>
      <c r="C5" s="58" t="s">
        <v>147</v>
      </c>
      <c r="D5" s="58" t="s">
        <v>147</v>
      </c>
      <c r="E5" s="58" t="s">
        <v>147</v>
      </c>
      <c r="F5" s="58" t="s">
        <v>147</v>
      </c>
      <c r="G5" s="58" t="s">
        <v>147</v>
      </c>
      <c r="H5" s="58" t="s">
        <v>147</v>
      </c>
      <c r="I5" s="58" t="s">
        <v>147</v>
      </c>
      <c r="J5" s="58" t="s">
        <v>147</v>
      </c>
      <c r="K5" s="58" t="s">
        <v>147</v>
      </c>
      <c r="L5" s="57"/>
    </row>
    <row r="6" spans="1:24" ht="14" x14ac:dyDescent="0.15">
      <c r="A6" s="57" t="s">
        <v>148</v>
      </c>
      <c r="B6" s="58" t="s">
        <v>149</v>
      </c>
      <c r="C6" s="58" t="s">
        <v>149</v>
      </c>
      <c r="D6" s="58" t="s">
        <v>149</v>
      </c>
      <c r="E6" s="58" t="s">
        <v>149</v>
      </c>
      <c r="F6" s="58" t="s">
        <v>149</v>
      </c>
      <c r="G6" s="58" t="s">
        <v>149</v>
      </c>
      <c r="H6" s="58" t="s">
        <v>149</v>
      </c>
      <c r="I6" s="58" t="s">
        <v>149</v>
      </c>
      <c r="J6" s="58" t="s">
        <v>149</v>
      </c>
      <c r="K6" s="58" t="s">
        <v>149</v>
      </c>
      <c r="L6" s="57"/>
    </row>
    <row r="7" spans="1:24" x14ac:dyDescent="0.15">
      <c r="A7" s="59" t="s">
        <v>150</v>
      </c>
      <c r="B7" s="8">
        <v>496654</v>
      </c>
      <c r="C7" s="8">
        <v>596000</v>
      </c>
      <c r="D7" s="8">
        <v>1766000</v>
      </c>
      <c r="E7" s="8">
        <v>4002000</v>
      </c>
      <c r="F7" s="8">
        <v>782000</v>
      </c>
      <c r="G7" s="8">
        <v>10896000</v>
      </c>
      <c r="H7" s="8">
        <v>847000</v>
      </c>
      <c r="I7" s="8">
        <v>1990000</v>
      </c>
      <c r="J7" s="8">
        <v>3389000</v>
      </c>
      <c r="K7" s="8">
        <v>7280000</v>
      </c>
      <c r="L7" s="254">
        <f>'Projected IS'!L$9*'Projected BS'!$L$86</f>
        <v>16726580</v>
      </c>
      <c r="M7" s="254">
        <f>'Projected IS'!M9*'Projected BS'!$L$86</f>
        <v>21766852.143123999</v>
      </c>
      <c r="N7" s="254">
        <f>'Projected IS'!N9*'Projected BS'!$L$86</f>
        <v>28325925.097696111</v>
      </c>
      <c r="O7" s="254">
        <f>'Projected IS'!O9*'Projected BS'!$L$86</f>
        <v>32593694.456349663</v>
      </c>
      <c r="P7" s="254">
        <f>'Projected IS'!P9*'Projected BS'!$L$86</f>
        <v>35867547.413934425</v>
      </c>
      <c r="Q7" s="254">
        <f>'Projected IS'!Q9*'Projected BS'!$L$86</f>
        <v>39470240.454445057</v>
      </c>
    </row>
    <row r="8" spans="1:24" x14ac:dyDescent="0.15">
      <c r="A8" s="59" t="s">
        <v>151</v>
      </c>
      <c r="B8" s="8">
        <v>4126685</v>
      </c>
      <c r="C8" s="8">
        <v>4441000</v>
      </c>
      <c r="D8" s="8">
        <v>5032000</v>
      </c>
      <c r="E8" s="8">
        <v>3106000</v>
      </c>
      <c r="F8" s="8">
        <v>6640000</v>
      </c>
      <c r="G8" s="8">
        <v>1000</v>
      </c>
      <c r="H8" s="8">
        <v>10714000</v>
      </c>
      <c r="I8" s="8">
        <v>19218000</v>
      </c>
      <c r="J8" s="8">
        <v>9907000</v>
      </c>
      <c r="K8" s="8">
        <v>18704000</v>
      </c>
      <c r="L8" s="254">
        <f>'Projected IS'!L$9*'Projected BS'!L87</f>
        <v>32166500</v>
      </c>
      <c r="M8" s="254">
        <f>'Projected IS'!M$9*'Projected BS'!M87</f>
        <v>41859331.04446923</v>
      </c>
      <c r="N8" s="254">
        <f>'Projected IS'!N$9*'Projected BS'!N87</f>
        <v>54472932.880184829</v>
      </c>
      <c r="O8" s="254">
        <f>'Projected IS'!O$9*'Projected BS'!O87</f>
        <v>50144145.317461021</v>
      </c>
      <c r="P8" s="254">
        <f>'Projected IS'!P$9*'Projected BS'!P87</f>
        <v>55180842.17528373</v>
      </c>
      <c r="Q8" s="254">
        <f>'Projected IS'!Q$9*'Projected BS'!Q87</f>
        <v>60723446.852992393</v>
      </c>
    </row>
    <row r="9" spans="1:24" x14ac:dyDescent="0.15">
      <c r="A9" s="61" t="s">
        <v>44</v>
      </c>
      <c r="B9" s="11">
        <v>4623339</v>
      </c>
      <c r="C9" s="11">
        <v>5037000</v>
      </c>
      <c r="D9" s="11">
        <v>6798000</v>
      </c>
      <c r="E9" s="11">
        <v>7108000</v>
      </c>
      <c r="F9" s="11">
        <v>7422000</v>
      </c>
      <c r="G9" s="11">
        <v>10897000</v>
      </c>
      <c r="H9" s="11">
        <v>11561000</v>
      </c>
      <c r="I9" s="11">
        <v>21208000</v>
      </c>
      <c r="J9" s="11">
        <v>13296000</v>
      </c>
      <c r="K9" s="11">
        <v>25984000</v>
      </c>
      <c r="L9" s="256">
        <f>L8+L7</f>
        <v>48893080</v>
      </c>
      <c r="M9" s="256">
        <f t="shared" ref="M9:Q9" si="1">M8+M7</f>
        <v>63626183.187593229</v>
      </c>
      <c r="N9" s="256">
        <f t="shared" si="1"/>
        <v>82798857.97788094</v>
      </c>
      <c r="O9" s="256">
        <f t="shared" si="1"/>
        <v>82737839.773810685</v>
      </c>
      <c r="P9" s="256">
        <f t="shared" si="1"/>
        <v>91048389.589218155</v>
      </c>
      <c r="Q9" s="256">
        <f t="shared" si="1"/>
        <v>100193687.30743745</v>
      </c>
    </row>
    <row r="10" spans="1:24" x14ac:dyDescent="0.15">
      <c r="A10" s="59" t="s">
        <v>45</v>
      </c>
      <c r="B10" s="8">
        <v>473637</v>
      </c>
      <c r="C10" s="8">
        <v>505000</v>
      </c>
      <c r="D10" s="8">
        <v>826000</v>
      </c>
      <c r="E10" s="8">
        <v>1265000</v>
      </c>
      <c r="F10" s="8">
        <v>1424000</v>
      </c>
      <c r="G10" s="8">
        <v>1657000</v>
      </c>
      <c r="H10" s="8">
        <v>2429000</v>
      </c>
      <c r="I10" s="8">
        <v>4650000</v>
      </c>
      <c r="J10" s="8">
        <v>3827000</v>
      </c>
      <c r="K10" s="8">
        <v>9999000</v>
      </c>
      <c r="L10" s="254">
        <f>'Projected IS'!L$9*'Projected BS'!L88</f>
        <v>20086208.992239088</v>
      </c>
      <c r="M10" s="254">
        <f>'Projected IS'!M$9*'Projected BS'!M88</f>
        <v>33487464.835575387</v>
      </c>
      <c r="N10" s="254">
        <f>'Projected IS'!N$9*'Projected BS'!N88</f>
        <v>43578346.304147869</v>
      </c>
      <c r="O10" s="254">
        <f>'Projected IS'!O$9*'Projected BS'!O88</f>
        <v>42622523.519841872</v>
      </c>
      <c r="P10" s="254">
        <f>'Projected IS'!P$9*'Projected BS'!P88</f>
        <v>41385631.631462798</v>
      </c>
      <c r="Q10" s="254">
        <f>'Projected IS'!Q$9*'Projected BS'!Q88</f>
        <v>45542585.139744289</v>
      </c>
    </row>
    <row r="11" spans="1:24" x14ac:dyDescent="0.15">
      <c r="A11" s="59" t="s">
        <v>152</v>
      </c>
      <c r="B11" s="8">
        <v>482893</v>
      </c>
      <c r="C11" s="8">
        <v>418000</v>
      </c>
      <c r="D11" s="8">
        <v>794000</v>
      </c>
      <c r="E11" s="8">
        <v>796000</v>
      </c>
      <c r="F11" s="8">
        <v>1575000</v>
      </c>
      <c r="G11" s="8">
        <v>979000</v>
      </c>
      <c r="H11" s="8">
        <v>1826000</v>
      </c>
      <c r="I11" s="8">
        <v>2605000</v>
      </c>
      <c r="J11" s="8">
        <v>5159000</v>
      </c>
      <c r="K11" s="8">
        <v>5282000</v>
      </c>
      <c r="L11" s="254">
        <f>'Projected IS'!L$9*'Projected BS'!L89</f>
        <v>14047573.571426095</v>
      </c>
      <c r="M11" s="254">
        <f>'Projected IS'!M$9*'Projected BS'!M89</f>
        <v>18280572.41222582</v>
      </c>
      <c r="N11" s="254">
        <f>'Projected IS'!N$9*'Projected BS'!N89</f>
        <v>23789113.90066535</v>
      </c>
      <c r="O11" s="254">
        <f>'Projected IS'!O$9*'Projected BS'!O89</f>
        <v>50144145.317461021</v>
      </c>
      <c r="P11" s="254">
        <f>'Projected IS'!P$9*'Projected BS'!P89</f>
        <v>68976052.719104663</v>
      </c>
      <c r="Q11" s="254">
        <f>'Projected IS'!Q$9*'Projected BS'!Q89</f>
        <v>75904308.566240489</v>
      </c>
    </row>
    <row r="12" spans="1:24" x14ac:dyDescent="0.15">
      <c r="A12" s="59" t="s">
        <v>153</v>
      </c>
      <c r="B12" s="8">
        <v>63254</v>
      </c>
      <c r="C12" s="9">
        <v>0</v>
      </c>
      <c r="D12" s="9">
        <v>0</v>
      </c>
      <c r="E12" s="9">
        <v>0</v>
      </c>
      <c r="F12" s="9">
        <v>0</v>
      </c>
      <c r="G12" s="9">
        <v>0</v>
      </c>
      <c r="H12" s="9">
        <v>0</v>
      </c>
      <c r="I12" s="9">
        <v>0</v>
      </c>
      <c r="J12" s="9">
        <v>0</v>
      </c>
      <c r="K12" s="9">
        <v>0</v>
      </c>
      <c r="L12" s="484">
        <v>0</v>
      </c>
      <c r="M12" s="484">
        <v>0</v>
      </c>
      <c r="N12" s="484">
        <v>0</v>
      </c>
      <c r="O12" s="484">
        <v>0</v>
      </c>
      <c r="P12" s="484">
        <v>0</v>
      </c>
      <c r="Q12" s="484">
        <v>0</v>
      </c>
    </row>
    <row r="13" spans="1:24" x14ac:dyDescent="0.15">
      <c r="A13" s="59" t="s">
        <v>155</v>
      </c>
      <c r="B13" s="8">
        <v>70174</v>
      </c>
      <c r="C13" s="8">
        <v>93000</v>
      </c>
      <c r="D13" s="8">
        <v>118000</v>
      </c>
      <c r="E13" s="8">
        <v>86000</v>
      </c>
      <c r="F13" s="8">
        <v>136000</v>
      </c>
      <c r="G13" s="8">
        <v>157000</v>
      </c>
      <c r="H13" s="8">
        <v>239000</v>
      </c>
      <c r="I13" s="8">
        <v>366000</v>
      </c>
      <c r="J13" s="8">
        <v>791000</v>
      </c>
      <c r="K13" s="8">
        <v>3080000</v>
      </c>
      <c r="L13" s="254">
        <f>'Projected IS'!L$9*'Projected BS'!L90</f>
        <v>6504896.0966481734</v>
      </c>
      <c r="M13" s="254">
        <f>'Projected IS'!M$9*'Projected BS'!M90</f>
        <v>8465036.5790332053</v>
      </c>
      <c r="N13" s="254">
        <f>'Projected IS'!N$9*'Projected BS'!N90</f>
        <v>11015832.262300599</v>
      </c>
      <c r="O13" s="254">
        <f>'Projected IS'!O$9*'Projected BS'!O90</f>
        <v>12675549.68466071</v>
      </c>
      <c r="P13" s="254">
        <f>'Projected IS'!P$9*'Projected BS'!P90</f>
        <v>13948737.229561891</v>
      </c>
      <c r="Q13" s="254">
        <f>'Projected IS'!Q$9*'Projected BS'!Q90</f>
        <v>15349809.289519105</v>
      </c>
    </row>
    <row r="14" spans="1:24" x14ac:dyDescent="0.15">
      <c r="A14" s="60" t="s">
        <v>47</v>
      </c>
      <c r="B14" s="13">
        <v>5713297</v>
      </c>
      <c r="C14" s="13">
        <v>6053000</v>
      </c>
      <c r="D14" s="13">
        <v>8536000</v>
      </c>
      <c r="E14" s="13">
        <v>9255000</v>
      </c>
      <c r="F14" s="13">
        <v>10557000</v>
      </c>
      <c r="G14" s="13">
        <v>13690000</v>
      </c>
      <c r="H14" s="13">
        <v>16055000</v>
      </c>
      <c r="I14" s="13">
        <v>28829000</v>
      </c>
      <c r="J14" s="13">
        <v>23073000</v>
      </c>
      <c r="K14" s="13">
        <v>44345000</v>
      </c>
      <c r="L14" s="263">
        <f>L9+SUM(L10:L13)</f>
        <v>89531758.660313353</v>
      </c>
      <c r="M14" s="263">
        <f t="shared" ref="M14:Q14" si="2">M9+SUM(M10:M13)</f>
        <v>123859257.01442763</v>
      </c>
      <c r="N14" s="263">
        <f t="shared" si="2"/>
        <v>161182150.44499475</v>
      </c>
      <c r="O14" s="263">
        <f t="shared" si="2"/>
        <v>188180058.29577428</v>
      </c>
      <c r="P14" s="263">
        <f t="shared" si="2"/>
        <v>215358811.16934752</v>
      </c>
      <c r="Q14" s="263">
        <f t="shared" si="2"/>
        <v>236990390.30294132</v>
      </c>
      <c r="R14" s="236"/>
      <c r="S14" s="236"/>
      <c r="T14" s="236"/>
      <c r="U14" s="236"/>
      <c r="V14" s="236"/>
      <c r="W14" s="236"/>
      <c r="X14" s="236"/>
    </row>
    <row r="15" spans="1:24" x14ac:dyDescent="0.15">
      <c r="A15" s="59" t="s">
        <v>48</v>
      </c>
      <c r="B15" s="8">
        <v>1179257</v>
      </c>
      <c r="C15" s="8">
        <v>1100000</v>
      </c>
      <c r="D15" s="8">
        <v>1191000</v>
      </c>
      <c r="E15" s="8">
        <v>1737000</v>
      </c>
      <c r="F15" s="8">
        <v>2171000</v>
      </c>
      <c r="G15" s="8">
        <v>2685000</v>
      </c>
      <c r="H15" s="8">
        <v>3557000</v>
      </c>
      <c r="I15" s="8">
        <v>4681000</v>
      </c>
      <c r="J15" s="8">
        <v>6501000</v>
      </c>
      <c r="K15" s="8">
        <v>7423000</v>
      </c>
      <c r="L15" s="254">
        <f>'Projected IS'!L$9*'Projected BS'!L91</f>
        <v>25784009.358650383</v>
      </c>
      <c r="M15" s="254">
        <f>'Projected IS'!M$9*'Projected BS'!M91</f>
        <v>50231197.253363073</v>
      </c>
      <c r="N15" s="254">
        <f>'Projected IS'!N$9*'Projected BS'!N91</f>
        <v>87156692.608295739</v>
      </c>
      <c r="O15" s="254">
        <f>'Projected IS'!O$9*'Projected BS'!O91</f>
        <v>125360363.29365255</v>
      </c>
      <c r="P15" s="254">
        <f>'Projected IS'!P$9*'Projected BS'!P91</f>
        <v>165542526.52585119</v>
      </c>
      <c r="Q15" s="254">
        <f>'Projected IS'!Q$9*'Projected BS'!Q91</f>
        <v>182170340.55897716</v>
      </c>
    </row>
    <row r="16" spans="1:24" x14ac:dyDescent="0.15">
      <c r="A16" s="59" t="s">
        <v>49</v>
      </c>
      <c r="B16" s="8">
        <v>621975</v>
      </c>
      <c r="C16" s="8">
        <v>634000</v>
      </c>
      <c r="D16" s="8">
        <v>670000</v>
      </c>
      <c r="E16" s="8">
        <v>740000</v>
      </c>
      <c r="F16" s="8">
        <v>767000</v>
      </c>
      <c r="G16" s="8">
        <v>1011000</v>
      </c>
      <c r="H16" s="8">
        <v>1408000</v>
      </c>
      <c r="I16" s="8">
        <v>1903000</v>
      </c>
      <c r="J16" s="8">
        <v>2694000</v>
      </c>
      <c r="K16" s="8">
        <v>3509000</v>
      </c>
      <c r="L16" s="254">
        <f>L15*L85</f>
        <v>2783127.2528277165</v>
      </c>
      <c r="M16" s="254">
        <f t="shared" ref="M16:Q16" si="3">M15*M85</f>
        <v>5421957.9303362882</v>
      </c>
      <c r="N16" s="254">
        <f t="shared" si="3"/>
        <v>9407697.7358486596</v>
      </c>
      <c r="O16" s="254">
        <f t="shared" si="3"/>
        <v>13531403.850111306</v>
      </c>
      <c r="P16" s="254">
        <f t="shared" si="3"/>
        <v>17868668.548302431</v>
      </c>
      <c r="Q16" s="254">
        <f t="shared" si="3"/>
        <v>19663475.622207649</v>
      </c>
    </row>
    <row r="17" spans="1:24" x14ac:dyDescent="0.15">
      <c r="A17" s="61" t="s">
        <v>50</v>
      </c>
      <c r="B17" s="11">
        <v>557282</v>
      </c>
      <c r="C17" s="11">
        <v>466000</v>
      </c>
      <c r="D17" s="11">
        <v>521000</v>
      </c>
      <c r="E17" s="11">
        <v>997000</v>
      </c>
      <c r="F17" s="11">
        <v>1404000</v>
      </c>
      <c r="G17" s="11">
        <v>1674000</v>
      </c>
      <c r="H17" s="11">
        <v>2149000</v>
      </c>
      <c r="I17" s="11">
        <v>2778000</v>
      </c>
      <c r="J17" s="11">
        <v>3807000</v>
      </c>
      <c r="K17" s="11">
        <v>3914000</v>
      </c>
      <c r="L17" s="256">
        <f>L15-L16</f>
        <v>23000882.105822667</v>
      </c>
      <c r="M17" s="256">
        <f t="shared" ref="M17:Q17" si="4">M15-M16</f>
        <v>44809239.323026784</v>
      </c>
      <c r="N17" s="256">
        <f t="shared" si="4"/>
        <v>77748994.872447073</v>
      </c>
      <c r="O17" s="256">
        <f t="shared" si="4"/>
        <v>111828959.44354124</v>
      </c>
      <c r="P17" s="256">
        <f t="shared" si="4"/>
        <v>147673857.97754875</v>
      </c>
      <c r="Q17" s="256">
        <f t="shared" si="4"/>
        <v>162506864.93676952</v>
      </c>
    </row>
    <row r="18" spans="1:24" x14ac:dyDescent="0.15">
      <c r="A18" s="59" t="s">
        <v>156</v>
      </c>
      <c r="B18" s="9" t="s">
        <v>154</v>
      </c>
      <c r="C18" s="9" t="s">
        <v>154</v>
      </c>
      <c r="D18" s="9" t="s">
        <v>154</v>
      </c>
      <c r="E18" s="9" t="s">
        <v>154</v>
      </c>
      <c r="F18" s="9" t="s">
        <v>154</v>
      </c>
      <c r="G18" s="9" t="s">
        <v>154</v>
      </c>
      <c r="H18" s="9" t="s">
        <v>154</v>
      </c>
      <c r="I18" s="8">
        <v>266000</v>
      </c>
      <c r="J18" s="8">
        <v>299000</v>
      </c>
      <c r="K18" s="9">
        <v>0</v>
      </c>
      <c r="L18" s="484">
        <v>0</v>
      </c>
      <c r="M18" s="484">
        <v>5000000</v>
      </c>
      <c r="N18" s="484">
        <f>M18*(1+0.2)</f>
        <v>6000000</v>
      </c>
      <c r="O18" s="484">
        <f>N18*(1+0.2)</f>
        <v>7200000</v>
      </c>
      <c r="P18" s="484">
        <f>O18*(1+0.2)</f>
        <v>8640000</v>
      </c>
      <c r="Q18" s="484">
        <f>P18*(1+0.2)</f>
        <v>10368000</v>
      </c>
    </row>
    <row r="19" spans="1:24" x14ac:dyDescent="0.15">
      <c r="A19" s="59" t="s">
        <v>157</v>
      </c>
      <c r="B19" s="8">
        <v>839893</v>
      </c>
      <c r="C19" s="8">
        <v>784000</v>
      </c>
      <c r="D19" s="8">
        <v>722000</v>
      </c>
      <c r="E19" s="8">
        <v>670000</v>
      </c>
      <c r="F19" s="8">
        <v>663000</v>
      </c>
      <c r="G19" s="8">
        <v>667000</v>
      </c>
      <c r="H19" s="8">
        <v>6930000</v>
      </c>
      <c r="I19" s="8">
        <v>6688000</v>
      </c>
      <c r="J19" s="8">
        <v>6048000</v>
      </c>
      <c r="K19" s="8">
        <v>5542000</v>
      </c>
      <c r="L19" s="254">
        <f>'Projected IS'!L$9*'Projected BS'!L92</f>
        <v>11704589.015462395</v>
      </c>
      <c r="M19" s="250">
        <f t="shared" ref="M19:Q19" si="5">L19*(1+0.02)</f>
        <v>11938680.795771644</v>
      </c>
      <c r="N19" s="250">
        <f t="shared" si="5"/>
        <v>12177454.411687076</v>
      </c>
      <c r="O19" s="250">
        <f t="shared" si="5"/>
        <v>12421003.499920817</v>
      </c>
      <c r="P19" s="250">
        <f t="shared" si="5"/>
        <v>12669423.569919234</v>
      </c>
      <c r="Q19" s="250">
        <f t="shared" si="5"/>
        <v>12922812.041317619</v>
      </c>
    </row>
    <row r="20" spans="1:24" x14ac:dyDescent="0.15">
      <c r="A20" s="59" t="s">
        <v>158</v>
      </c>
      <c r="B20" s="9" t="s">
        <v>154</v>
      </c>
      <c r="C20" s="9" t="s">
        <v>154</v>
      </c>
      <c r="D20" s="9" t="s">
        <v>154</v>
      </c>
      <c r="E20" s="9" t="s">
        <v>154</v>
      </c>
      <c r="F20" s="9" t="s">
        <v>154</v>
      </c>
      <c r="G20" s="9" t="s">
        <v>154</v>
      </c>
      <c r="H20" s="9" t="s">
        <v>154</v>
      </c>
      <c r="I20" s="8">
        <v>2156000</v>
      </c>
      <c r="J20" s="8">
        <v>3376000</v>
      </c>
      <c r="K20" s="9">
        <v>0</v>
      </c>
      <c r="L20" s="484">
        <f>J20*(1+0.5)</f>
        <v>5064000</v>
      </c>
      <c r="M20" s="484">
        <f>L20*(1+0.5)</f>
        <v>7596000</v>
      </c>
      <c r="N20" s="484">
        <f>M20*(1+0.5)</f>
        <v>11394000</v>
      </c>
      <c r="O20" s="484">
        <f>N20*(1+0.5)</f>
        <v>17091000</v>
      </c>
      <c r="P20" s="484">
        <f>O20*(1+0.5)</f>
        <v>25636500</v>
      </c>
      <c r="Q20" s="484">
        <f>P20*(1+0.5)</f>
        <v>38454750</v>
      </c>
    </row>
    <row r="21" spans="1:24" x14ac:dyDescent="0.15">
      <c r="A21" s="59" t="s">
        <v>159</v>
      </c>
      <c r="B21" s="9" t="s">
        <v>154</v>
      </c>
      <c r="C21" s="9" t="s">
        <v>154</v>
      </c>
      <c r="D21" s="9" t="s">
        <v>154</v>
      </c>
      <c r="E21" s="9" t="s">
        <v>154</v>
      </c>
      <c r="F21" s="9" t="s">
        <v>154</v>
      </c>
      <c r="G21" s="8">
        <v>548000</v>
      </c>
      <c r="H21" s="8">
        <v>806000</v>
      </c>
      <c r="I21" s="8">
        <v>1222000</v>
      </c>
      <c r="J21" s="8">
        <v>3396000</v>
      </c>
      <c r="K21" s="8">
        <v>6081000</v>
      </c>
      <c r="L21" s="254">
        <f>'Projected IS'!L$9*'Projected BS'!L93</f>
        <v>13829334.160987619</v>
      </c>
      <c r="M21" s="267">
        <f>'Projected IS'!M$9*'Projected BS'!M93</f>
        <v>28487464.835575394</v>
      </c>
      <c r="N21" s="267">
        <f>'Projected IS'!N$9*'Projected BS'!N93</f>
        <v>54472932.880184829</v>
      </c>
      <c r="O21" s="267">
        <f>'Projected IS'!O$9*'Projected BS'!O93</f>
        <v>75216217.976191521</v>
      </c>
      <c r="P21" s="267">
        <f>'Projected IS'!P$9*'Projected BS'!P93</f>
        <v>96566473.806746528</v>
      </c>
      <c r="Q21" s="267">
        <f>'Projected IS'!Q$9*'Projected BS'!Q93</f>
        <v>121446893.70598479</v>
      </c>
    </row>
    <row r="22" spans="1:24" x14ac:dyDescent="0.15">
      <c r="A22" s="59" t="s">
        <v>51</v>
      </c>
      <c r="B22" s="8">
        <v>90896</v>
      </c>
      <c r="C22" s="8">
        <v>67000</v>
      </c>
      <c r="D22" s="8">
        <v>62000</v>
      </c>
      <c r="E22" s="8">
        <v>319000</v>
      </c>
      <c r="F22" s="8">
        <v>668000</v>
      </c>
      <c r="G22" s="8">
        <v>736000</v>
      </c>
      <c r="H22" s="8">
        <v>2851000</v>
      </c>
      <c r="I22" s="8">
        <v>2248000</v>
      </c>
      <c r="J22" s="8">
        <v>1183000</v>
      </c>
      <c r="K22" s="8">
        <v>5846000</v>
      </c>
      <c r="L22" s="254">
        <f>'Projected IS'!L$9*'Projected BS'!L94</f>
        <v>7634322.7242470132</v>
      </c>
      <c r="M22" s="267">
        <f>'Projected IS'!M$9*'Projected BS'!M94</f>
        <v>22165621.543158866</v>
      </c>
      <c r="N22" s="267">
        <f>'Projected IS'!N$9*'Projected BS'!N94</f>
        <v>41924795.949973039</v>
      </c>
      <c r="O22" s="267">
        <f>'Projected IS'!O$9*'Projected BS'!O94</f>
        <v>71738747.852287918</v>
      </c>
      <c r="P22" s="267">
        <f>'Projected IS'!P$9*'Projected BS'!P94</f>
        <v>97599708.673236609</v>
      </c>
      <c r="Q22" s="267">
        <f>'Projected IS'!Q$9*'Projected BS'!Q94</f>
        <v>127064179.89543872</v>
      </c>
    </row>
    <row r="23" spans="1:24" x14ac:dyDescent="0.15">
      <c r="A23" s="60" t="s">
        <v>53</v>
      </c>
      <c r="B23" s="13">
        <v>7201368</v>
      </c>
      <c r="C23" s="13">
        <v>7370000</v>
      </c>
      <c r="D23" s="13">
        <v>9841000</v>
      </c>
      <c r="E23" s="13">
        <v>11241000</v>
      </c>
      <c r="F23" s="13">
        <v>13292000</v>
      </c>
      <c r="G23" s="13">
        <v>17315000</v>
      </c>
      <c r="H23" s="13">
        <v>28791000</v>
      </c>
      <c r="I23" s="13">
        <v>44187000</v>
      </c>
      <c r="J23" s="13">
        <v>41182000</v>
      </c>
      <c r="K23" s="13">
        <v>65728000</v>
      </c>
      <c r="L23" s="260">
        <f>L14+L17+SUM(L18:L22)</f>
        <v>150764886.66683304</v>
      </c>
      <c r="M23" s="260">
        <f t="shared" ref="M23:Q23" si="6">M14+M17+SUM(M18:M22)</f>
        <v>243856263.51196033</v>
      </c>
      <c r="N23" s="260">
        <f t="shared" si="6"/>
        <v>364900328.55928677</v>
      </c>
      <c r="O23" s="260">
        <f t="shared" si="6"/>
        <v>483675987.06771576</v>
      </c>
      <c r="P23" s="260">
        <f t="shared" si="6"/>
        <v>604144775.19679856</v>
      </c>
      <c r="Q23" s="260">
        <f t="shared" si="6"/>
        <v>709753890.88245201</v>
      </c>
      <c r="R23" s="236">
        <f t="shared" ref="R23" si="7">K23/J23-1</f>
        <v>0.59603710358894668</v>
      </c>
      <c r="S23" s="236">
        <f t="shared" ref="S23" si="8">L23/K23-1</f>
        <v>1.2937695756273286</v>
      </c>
      <c r="T23" s="236">
        <f t="shared" ref="T23" si="9">M23/L23-1</f>
        <v>0.6174605964507156</v>
      </c>
      <c r="U23" s="236">
        <f t="shared" ref="U23" si="10">N23/M23-1</f>
        <v>0.49637464014283816</v>
      </c>
      <c r="V23" s="236">
        <f t="shared" ref="V23" si="11">O23/N23-1</f>
        <v>0.32550164856629071</v>
      </c>
      <c r="W23" s="236">
        <f t="shared" ref="W23" si="12">P23/O23-1</f>
        <v>0.24906919373737058</v>
      </c>
      <c r="X23" s="236">
        <f t="shared" ref="X23" si="13">Q23/P23-1</f>
        <v>0.17480762893505375</v>
      </c>
    </row>
    <row r="24" spans="1:24" x14ac:dyDescent="0.15">
      <c r="A24" s="61"/>
      <c r="B24" s="15"/>
      <c r="C24" s="15"/>
      <c r="D24" s="15"/>
      <c r="E24" s="15"/>
      <c r="F24" s="15"/>
      <c r="G24" s="15"/>
      <c r="H24" s="15"/>
      <c r="I24" s="15"/>
      <c r="J24" s="15"/>
      <c r="K24" s="15"/>
      <c r="L24" s="331">
        <f>L23-L35-L44</f>
        <v>0</v>
      </c>
      <c r="M24" s="331">
        <f t="shared" ref="M24:Q24" si="14">M23-M35-M44</f>
        <v>0</v>
      </c>
      <c r="N24" s="331">
        <f t="shared" si="14"/>
        <v>0</v>
      </c>
      <c r="O24" s="331">
        <f t="shared" si="14"/>
        <v>0</v>
      </c>
      <c r="P24" s="331">
        <f t="shared" si="14"/>
        <v>0</v>
      </c>
      <c r="Q24" s="331">
        <f t="shared" si="14"/>
        <v>0</v>
      </c>
    </row>
    <row r="25" spans="1:24" x14ac:dyDescent="0.15">
      <c r="A25" s="61" t="s">
        <v>160</v>
      </c>
      <c r="B25" s="11">
        <v>573315</v>
      </c>
      <c r="C25" s="11">
        <v>587000</v>
      </c>
      <c r="D25" s="11">
        <v>861000</v>
      </c>
      <c r="E25" s="11">
        <v>1008000</v>
      </c>
      <c r="F25" s="11">
        <v>1051000</v>
      </c>
      <c r="G25" s="11">
        <v>1334000</v>
      </c>
      <c r="H25" s="11">
        <v>2128000</v>
      </c>
      <c r="I25" s="11">
        <v>3192000</v>
      </c>
      <c r="J25" s="11">
        <v>2919000</v>
      </c>
      <c r="K25" s="11">
        <v>7496000</v>
      </c>
      <c r="L25" s="256">
        <f>L26+L27</f>
        <v>14891329.765984003</v>
      </c>
      <c r="M25" s="256">
        <f t="shared" ref="M25:Q25" si="15">M26+M27</f>
        <v>19378580.273473419</v>
      </c>
      <c r="N25" s="256">
        <f t="shared" si="15"/>
        <v>25217987.870584145</v>
      </c>
      <c r="O25" s="256">
        <f t="shared" si="15"/>
        <v>29017495.055249039</v>
      </c>
      <c r="P25" s="256">
        <f t="shared" si="15"/>
        <v>31932138.933240637</v>
      </c>
      <c r="Q25" s="256">
        <f t="shared" si="15"/>
        <v>35139542.366091788</v>
      </c>
    </row>
    <row r="26" spans="1:24" x14ac:dyDescent="0.15">
      <c r="A26" s="59" t="s">
        <v>161</v>
      </c>
      <c r="B26" s="8">
        <v>293223</v>
      </c>
      <c r="C26" s="8">
        <v>296000</v>
      </c>
      <c r="D26" s="8">
        <v>485000</v>
      </c>
      <c r="E26" s="8">
        <v>596000</v>
      </c>
      <c r="F26" s="8">
        <v>511000</v>
      </c>
      <c r="G26" s="8">
        <v>687000</v>
      </c>
      <c r="H26" s="8">
        <v>1201000</v>
      </c>
      <c r="I26" s="8">
        <v>1783000</v>
      </c>
      <c r="J26" s="8">
        <v>1193000</v>
      </c>
      <c r="K26" s="8">
        <v>2699000</v>
      </c>
      <c r="L26" s="267">
        <f>'Projected IS'!L$9*'Projected BS'!L95</f>
        <v>7547554.9900901448</v>
      </c>
      <c r="M26" s="267">
        <f>'Projected IS'!M$9*'Projected BS'!M95</f>
        <v>9821883.105296474</v>
      </c>
      <c r="N26" s="267">
        <f>'Projected IS'!N$9*'Projected BS'!N95</f>
        <v>12781541.553625185</v>
      </c>
      <c r="O26" s="267">
        <f>'Projected IS'!O$9*'Projected BS'!O95</f>
        <v>14707292.300009647</v>
      </c>
      <c r="P26" s="267">
        <f>'Projected IS'!P$9*'Projected BS'!P95</f>
        <v>16184556.942682583</v>
      </c>
      <c r="Q26" s="267">
        <f>'Projected IS'!Q$9*'Projected BS'!Q95</f>
        <v>17810204.495001648</v>
      </c>
    </row>
    <row r="27" spans="1:24" x14ac:dyDescent="0.15">
      <c r="A27" s="59" t="s">
        <v>162</v>
      </c>
      <c r="B27" s="8">
        <v>280092</v>
      </c>
      <c r="C27" s="8">
        <v>291000</v>
      </c>
      <c r="D27" s="8">
        <v>376000</v>
      </c>
      <c r="E27" s="8">
        <v>412000</v>
      </c>
      <c r="F27" s="8">
        <v>540000</v>
      </c>
      <c r="G27" s="8">
        <v>647000</v>
      </c>
      <c r="H27" s="8">
        <v>927000</v>
      </c>
      <c r="I27" s="8">
        <v>1409000</v>
      </c>
      <c r="J27" s="8">
        <v>1726000</v>
      </c>
      <c r="K27" s="8">
        <v>4797000</v>
      </c>
      <c r="L27" s="267">
        <f>'Projected IS'!L$9*'Projected BS'!L96</f>
        <v>7343774.7758938568</v>
      </c>
      <c r="M27" s="267">
        <f>'Projected IS'!M$9*'Projected BS'!M96</f>
        <v>9556697.1681769472</v>
      </c>
      <c r="N27" s="267">
        <f>'Projected IS'!N$9*'Projected BS'!N96</f>
        <v>12436446.316958962</v>
      </c>
      <c r="O27" s="267">
        <f>'Projected IS'!O$9*'Projected BS'!O96</f>
        <v>14310202.755239392</v>
      </c>
      <c r="P27" s="267">
        <f>'Projected IS'!P$9*'Projected BS'!P96</f>
        <v>15747581.990558056</v>
      </c>
      <c r="Q27" s="267">
        <f>'Projected IS'!Q$9*'Projected BS'!Q96</f>
        <v>17329337.871090136</v>
      </c>
    </row>
    <row r="28" spans="1:24" x14ac:dyDescent="0.15">
      <c r="A28" s="59" t="s">
        <v>163</v>
      </c>
      <c r="B28" s="9" t="s">
        <v>154</v>
      </c>
      <c r="C28" s="8">
        <v>1413000</v>
      </c>
      <c r="D28" s="8">
        <v>796000</v>
      </c>
      <c r="E28" s="8">
        <v>15000</v>
      </c>
      <c r="F28" s="9" t="s">
        <v>154</v>
      </c>
      <c r="G28" s="9" t="s">
        <v>154</v>
      </c>
      <c r="H28" s="8">
        <v>999000</v>
      </c>
      <c r="I28" s="9" t="s">
        <v>154</v>
      </c>
      <c r="J28" s="8">
        <v>1250000</v>
      </c>
      <c r="K28" s="8">
        <v>1250000</v>
      </c>
      <c r="L28" s="250">
        <f>K28</f>
        <v>1250000</v>
      </c>
      <c r="M28" s="250">
        <f t="shared" ref="M28:Q28" si="16">L28</f>
        <v>1250000</v>
      </c>
      <c r="N28" s="250">
        <f t="shared" si="16"/>
        <v>1250000</v>
      </c>
      <c r="O28" s="250">
        <f>N28*(1+1)</f>
        <v>2500000</v>
      </c>
      <c r="P28" s="250">
        <f t="shared" si="16"/>
        <v>2500000</v>
      </c>
      <c r="Q28" s="250">
        <f t="shared" si="16"/>
        <v>2500000</v>
      </c>
    </row>
    <row r="29" spans="1:24" x14ac:dyDescent="0.15">
      <c r="A29" s="59" t="s">
        <v>164</v>
      </c>
      <c r="B29" s="8">
        <v>322715</v>
      </c>
      <c r="C29" s="8">
        <v>351000</v>
      </c>
      <c r="D29" s="8">
        <v>131000</v>
      </c>
      <c r="E29" s="8">
        <v>130000</v>
      </c>
      <c r="F29" s="8">
        <v>278000</v>
      </c>
      <c r="G29" s="8">
        <v>450000</v>
      </c>
      <c r="H29" s="8">
        <v>798000</v>
      </c>
      <c r="I29" s="8">
        <v>1143000</v>
      </c>
      <c r="J29" s="8">
        <v>2394000</v>
      </c>
      <c r="K29" s="8">
        <v>1885000</v>
      </c>
      <c r="L29" s="267">
        <f>'Projected IS'!L$9*'Projected BS'!L97</f>
        <v>5742328.1146029355</v>
      </c>
      <c r="M29" s="267">
        <f>'Projected IS'!M$9*'Projected BS'!M97</f>
        <v>7472681.6257636705</v>
      </c>
      <c r="N29" s="267">
        <f>'Projected IS'!N$9*'Projected BS'!N97</f>
        <v>9724447.9182616696</v>
      </c>
      <c r="O29" s="267">
        <f>'Projected IS'!O$9*'Projected BS'!O97</f>
        <v>11189596.919123605</v>
      </c>
      <c r="P29" s="267">
        <f>'Projected IS'!P$9*'Projected BS'!P97</f>
        <v>12313528.881390546</v>
      </c>
      <c r="Q29" s="267">
        <f>'Projected IS'!Q$9*'Projected BS'!Q97</f>
        <v>13550353.476424826</v>
      </c>
    </row>
    <row r="30" spans="1:24" x14ac:dyDescent="0.15">
      <c r="A30" s="60" t="s">
        <v>56</v>
      </c>
      <c r="B30" s="13">
        <v>896030</v>
      </c>
      <c r="C30" s="13">
        <v>2351000</v>
      </c>
      <c r="D30" s="13">
        <v>1788000</v>
      </c>
      <c r="E30" s="13">
        <v>1153000</v>
      </c>
      <c r="F30" s="13">
        <v>1329000</v>
      </c>
      <c r="G30" s="13">
        <v>1784000</v>
      </c>
      <c r="H30" s="13">
        <v>3925000</v>
      </c>
      <c r="I30" s="13">
        <v>4335000</v>
      </c>
      <c r="J30" s="13">
        <v>6563000</v>
      </c>
      <c r="K30" s="13">
        <v>10631000</v>
      </c>
      <c r="L30" s="260">
        <f>SUM(L26:L29)</f>
        <v>21883657.880586937</v>
      </c>
      <c r="M30" s="260">
        <f t="shared" ref="M30:Q30" si="17">SUM(M26:M29)</f>
        <v>28101261.899237089</v>
      </c>
      <c r="N30" s="260">
        <f t="shared" si="17"/>
        <v>36192435.788845815</v>
      </c>
      <c r="O30" s="260">
        <f t="shared" si="17"/>
        <v>42707091.97437264</v>
      </c>
      <c r="P30" s="260">
        <f t="shared" si="17"/>
        <v>46745667.814631179</v>
      </c>
      <c r="Q30" s="260">
        <f t="shared" si="17"/>
        <v>51189895.842516616</v>
      </c>
    </row>
    <row r="31" spans="1:24" x14ac:dyDescent="0.15">
      <c r="A31" s="59" t="s">
        <v>165</v>
      </c>
      <c r="B31" s="8">
        <v>1398428</v>
      </c>
      <c r="C31" s="8">
        <v>10000</v>
      </c>
      <c r="D31" s="8">
        <v>1989000</v>
      </c>
      <c r="E31" s="8">
        <v>1985000</v>
      </c>
      <c r="F31" s="8">
        <v>1988000</v>
      </c>
      <c r="G31" s="8">
        <v>1991000</v>
      </c>
      <c r="H31" s="8">
        <v>5964000</v>
      </c>
      <c r="I31" s="8">
        <v>10946000</v>
      </c>
      <c r="J31" s="8">
        <v>9703000</v>
      </c>
      <c r="K31" s="8">
        <v>8459000</v>
      </c>
      <c r="L31" s="250">
        <f>'Projected IS'!L$9*L98</f>
        <v>9006620</v>
      </c>
      <c r="M31" s="250">
        <f>L31*(1+0.01)</f>
        <v>9096686.1999999993</v>
      </c>
      <c r="N31" s="250">
        <f>M31*(1+0.01)</f>
        <v>9187653.061999999</v>
      </c>
      <c r="O31" s="250">
        <f>N31*(1+1)</f>
        <v>18375306.123999998</v>
      </c>
      <c r="P31" s="250">
        <f>O31*(1+0.01)</f>
        <v>18559059.185239997</v>
      </c>
      <c r="Q31" s="250">
        <f>P31*(1+0.01)</f>
        <v>18744649.777092397</v>
      </c>
    </row>
    <row r="32" spans="1:24" x14ac:dyDescent="0.15">
      <c r="A32" s="59" t="s">
        <v>166</v>
      </c>
      <c r="B32" s="8">
        <v>340145</v>
      </c>
      <c r="C32" s="8">
        <v>345000</v>
      </c>
      <c r="D32" s="8">
        <v>145000</v>
      </c>
      <c r="E32" s="8">
        <v>33000</v>
      </c>
      <c r="F32" s="8">
        <v>65000</v>
      </c>
      <c r="G32" s="8">
        <v>89000</v>
      </c>
      <c r="H32" s="8">
        <v>404000</v>
      </c>
      <c r="I32" s="8">
        <v>447000</v>
      </c>
      <c r="J32" s="8">
        <v>465000</v>
      </c>
      <c r="K32" s="8">
        <v>1035000</v>
      </c>
      <c r="L32" s="250">
        <f>'Projected IS'!L$9*L99</f>
        <v>1819739.1020093448</v>
      </c>
      <c r="M32" s="250">
        <f>'Projected IS'!M$9*M99</f>
        <v>2368086.7202081149</v>
      </c>
      <c r="N32" s="250">
        <f>'Projected IS'!N$9*N99</f>
        <v>3081669.6240872601</v>
      </c>
      <c r="O32" s="250">
        <f>'Projected IS'!O$9*O99</f>
        <v>3545974.14899906</v>
      </c>
      <c r="P32" s="250">
        <f>'Projected IS'!P$9*P99</f>
        <v>3902147.2723240871</v>
      </c>
      <c r="Q32" s="250">
        <f>'Projected IS'!Q$9*Q99</f>
        <v>4294095.9790145243</v>
      </c>
    </row>
    <row r="33" spans="1:24" x14ac:dyDescent="0.15">
      <c r="A33" s="59" t="s">
        <v>167</v>
      </c>
      <c r="B33" s="8">
        <v>0</v>
      </c>
      <c r="C33" s="8">
        <v>0</v>
      </c>
      <c r="D33" s="8">
        <v>0</v>
      </c>
      <c r="E33" s="8">
        <v>0</v>
      </c>
      <c r="F33" s="8">
        <v>0</v>
      </c>
      <c r="G33" s="8">
        <v>0</v>
      </c>
      <c r="H33" s="8">
        <v>0</v>
      </c>
      <c r="I33" s="8">
        <v>0</v>
      </c>
      <c r="J33" s="8">
        <v>0</v>
      </c>
      <c r="K33" s="8">
        <v>0</v>
      </c>
      <c r="L33" s="262">
        <v>0</v>
      </c>
      <c r="M33" s="262">
        <v>0</v>
      </c>
      <c r="N33" s="262">
        <v>0</v>
      </c>
      <c r="O33" s="262">
        <v>0</v>
      </c>
      <c r="P33" s="262">
        <v>0</v>
      </c>
      <c r="Q33" s="262">
        <v>0</v>
      </c>
    </row>
    <row r="34" spans="1:24" x14ac:dyDescent="0.15">
      <c r="A34" s="59" t="s">
        <v>168</v>
      </c>
      <c r="B34" s="8">
        <v>148783</v>
      </c>
      <c r="C34" s="8">
        <v>108000</v>
      </c>
      <c r="D34" s="8">
        <v>126000</v>
      </c>
      <c r="E34" s="8">
        <v>599000</v>
      </c>
      <c r="F34" s="8">
        <v>568000</v>
      </c>
      <c r="G34" s="8">
        <v>1247000</v>
      </c>
      <c r="H34" s="8">
        <v>1605000</v>
      </c>
      <c r="I34" s="8">
        <v>1847000</v>
      </c>
      <c r="J34" s="8">
        <v>2350000</v>
      </c>
      <c r="K34" s="8">
        <v>2625000</v>
      </c>
      <c r="L34" s="264">
        <f>'Projected IS'!L$9*L100</f>
        <v>7604396.8682367597</v>
      </c>
      <c r="M34" s="264">
        <f>'Projected IS'!M$9*M100</f>
        <v>9895853.3225886431</v>
      </c>
      <c r="N34" s="264">
        <f>'Projected IS'!N$9*N100</f>
        <v>12877801.445533356</v>
      </c>
      <c r="O34" s="264">
        <f>'Projected IS'!O$9*O100</f>
        <v>14818055.33756041</v>
      </c>
      <c r="P34" s="264">
        <f>'Projected IS'!P$9*P100</f>
        <v>16306445.503256278</v>
      </c>
      <c r="Q34" s="264">
        <f>'Projected IS'!Q$9*Q100</f>
        <v>17944336.074698702</v>
      </c>
    </row>
    <row r="35" spans="1:24" x14ac:dyDescent="0.15">
      <c r="A35" s="60" t="s">
        <v>58</v>
      </c>
      <c r="B35" s="13">
        <v>2783386</v>
      </c>
      <c r="C35" s="13">
        <v>2814000</v>
      </c>
      <c r="D35" s="13">
        <v>4048000</v>
      </c>
      <c r="E35" s="13">
        <v>3770000</v>
      </c>
      <c r="F35" s="13">
        <v>3950000</v>
      </c>
      <c r="G35" s="13">
        <v>5111000</v>
      </c>
      <c r="H35" s="13">
        <v>11898000</v>
      </c>
      <c r="I35" s="13">
        <v>17575000</v>
      </c>
      <c r="J35" s="13">
        <v>19081000</v>
      </c>
      <c r="K35" s="13">
        <v>22750000</v>
      </c>
      <c r="L35" s="260">
        <f>L30+SUM(L31:L34)</f>
        <v>40314413.850833043</v>
      </c>
      <c r="M35" s="260">
        <f t="shared" ref="M35:Q35" si="18">M30+SUM(M31:M34)</f>
        <v>49461888.142033845</v>
      </c>
      <c r="N35" s="260">
        <f t="shared" si="18"/>
        <v>61339559.92046643</v>
      </c>
      <c r="O35" s="260">
        <f t="shared" si="18"/>
        <v>79446427.584932119</v>
      </c>
      <c r="P35" s="260">
        <f t="shared" si="18"/>
        <v>85513319.775451541</v>
      </c>
      <c r="Q35" s="260">
        <f t="shared" si="18"/>
        <v>92172977.673322231</v>
      </c>
      <c r="R35" s="236">
        <f t="shared" ref="R35" si="19">K35/J35-1</f>
        <v>0.19228551962685403</v>
      </c>
      <c r="S35" s="236">
        <f t="shared" ref="S35" si="20">L35/K35-1</f>
        <v>0.77206214728936451</v>
      </c>
      <c r="T35" s="236">
        <f t="shared" ref="T35" si="21">M35/L35-1</f>
        <v>0.22690331862562307</v>
      </c>
      <c r="U35" s="236">
        <f t="shared" ref="U35" si="22">N35/M35-1</f>
        <v>0.24013785612722427</v>
      </c>
      <c r="V35" s="236">
        <f t="shared" ref="V35" si="23">O35/N35-1</f>
        <v>0.29519070055186658</v>
      </c>
      <c r="W35" s="236">
        <f t="shared" ref="W35" si="24">P35/O35-1</f>
        <v>7.636456886665699E-2</v>
      </c>
      <c r="X35" s="236">
        <f t="shared" ref="X35" si="25">Q35/P35-1</f>
        <v>7.7878603185541184E-2</v>
      </c>
    </row>
    <row r="36" spans="1:24" x14ac:dyDescent="0.15">
      <c r="A36" s="61"/>
      <c r="B36" s="15"/>
      <c r="C36" s="15"/>
      <c r="D36" s="15"/>
      <c r="E36" s="15"/>
      <c r="F36" s="15"/>
      <c r="G36" s="15"/>
      <c r="H36" s="15"/>
      <c r="I36" s="15"/>
      <c r="J36" s="15"/>
      <c r="K36" s="327">
        <f>M36/3</f>
        <v>0</v>
      </c>
      <c r="L36" s="328"/>
      <c r="M36" s="329"/>
      <c r="N36" s="329"/>
      <c r="O36" s="329"/>
      <c r="P36" s="329"/>
      <c r="Q36" s="329"/>
    </row>
    <row r="37" spans="1:24" x14ac:dyDescent="0.15">
      <c r="A37" s="59" t="s">
        <v>169</v>
      </c>
      <c r="B37" s="9" t="s">
        <v>154</v>
      </c>
      <c r="C37" s="8">
        <v>87000</v>
      </c>
      <c r="D37" s="8">
        <v>31000</v>
      </c>
      <c r="E37" s="9" t="s">
        <v>154</v>
      </c>
      <c r="F37" s="9" t="s">
        <v>154</v>
      </c>
      <c r="G37" s="9" t="s">
        <v>154</v>
      </c>
      <c r="H37" s="9" t="s">
        <v>154</v>
      </c>
      <c r="I37" s="9" t="s">
        <v>154</v>
      </c>
      <c r="J37" s="9" t="s">
        <v>154</v>
      </c>
      <c r="K37" s="9" t="s">
        <v>154</v>
      </c>
      <c r="L37" s="262">
        <v>0</v>
      </c>
      <c r="M37" s="262">
        <v>0</v>
      </c>
      <c r="N37" s="262">
        <v>0</v>
      </c>
      <c r="O37" s="262">
        <v>0</v>
      </c>
      <c r="P37" s="262">
        <v>0</v>
      </c>
      <c r="Q37" s="262">
        <v>0</v>
      </c>
    </row>
    <row r="38" spans="1:24" x14ac:dyDescent="0.15">
      <c r="A38" s="59" t="s">
        <v>170</v>
      </c>
      <c r="B38" s="8">
        <v>754</v>
      </c>
      <c r="C38" s="8">
        <v>1000</v>
      </c>
      <c r="D38" s="8">
        <v>1000</v>
      </c>
      <c r="E38" s="8">
        <v>1000</v>
      </c>
      <c r="F38" s="8">
        <v>1000</v>
      </c>
      <c r="G38" s="8">
        <v>1000</v>
      </c>
      <c r="H38" s="8">
        <v>1000</v>
      </c>
      <c r="I38" s="8">
        <v>3000</v>
      </c>
      <c r="J38" s="8">
        <v>2000</v>
      </c>
      <c r="K38" s="8">
        <v>2000</v>
      </c>
      <c r="L38" s="250">
        <f>K38</f>
        <v>2000</v>
      </c>
      <c r="M38" s="250">
        <f t="shared" ref="M38:Q38" si="26">L38</f>
        <v>2000</v>
      </c>
      <c r="N38" s="250">
        <f t="shared" si="26"/>
        <v>2000</v>
      </c>
      <c r="O38" s="250">
        <f t="shared" si="26"/>
        <v>2000</v>
      </c>
      <c r="P38" s="250">
        <f t="shared" si="26"/>
        <v>2000</v>
      </c>
      <c r="Q38" s="250">
        <f t="shared" si="26"/>
        <v>2000</v>
      </c>
    </row>
    <row r="39" spans="1:24" x14ac:dyDescent="0.15">
      <c r="A39" s="59" t="s">
        <v>171</v>
      </c>
      <c r="B39" s="8">
        <v>3855092</v>
      </c>
      <c r="C39" s="8">
        <v>4170000</v>
      </c>
      <c r="D39" s="8">
        <v>4708000</v>
      </c>
      <c r="E39" s="8">
        <v>5351000</v>
      </c>
      <c r="F39" s="8">
        <v>6051000</v>
      </c>
      <c r="G39" s="8">
        <v>7045000</v>
      </c>
      <c r="H39" s="8">
        <v>8721000</v>
      </c>
      <c r="I39" s="8">
        <v>10385000</v>
      </c>
      <c r="J39" s="8">
        <v>11971000</v>
      </c>
      <c r="K39" s="8">
        <v>13132000</v>
      </c>
      <c r="L39" s="250">
        <f>K39*(1+0.15)</f>
        <v>15101799.999999998</v>
      </c>
      <c r="M39" s="250">
        <f t="shared" ref="M39:Q39" si="27">L39*(1+0.15)</f>
        <v>17367069.999999996</v>
      </c>
      <c r="N39" s="250">
        <f t="shared" si="27"/>
        <v>19972130.499999993</v>
      </c>
      <c r="O39" s="250">
        <f t="shared" si="27"/>
        <v>22967950.074999988</v>
      </c>
      <c r="P39" s="250">
        <f t="shared" si="27"/>
        <v>26413142.586249985</v>
      </c>
      <c r="Q39" s="250">
        <f t="shared" si="27"/>
        <v>30375113.974187478</v>
      </c>
    </row>
    <row r="40" spans="1:24" x14ac:dyDescent="0.15">
      <c r="A40" s="59" t="s">
        <v>59</v>
      </c>
      <c r="B40" s="8">
        <v>3948877</v>
      </c>
      <c r="C40" s="8">
        <v>4350000</v>
      </c>
      <c r="D40" s="8">
        <v>6108000</v>
      </c>
      <c r="E40" s="8">
        <v>8787000</v>
      </c>
      <c r="F40" s="8">
        <v>12565000</v>
      </c>
      <c r="G40" s="8">
        <v>14971000</v>
      </c>
      <c r="H40" s="8">
        <v>18908000</v>
      </c>
      <c r="I40" s="8">
        <v>16235000</v>
      </c>
      <c r="J40" s="8">
        <v>10171000</v>
      </c>
      <c r="K40" s="8">
        <v>29817000</v>
      </c>
      <c r="L40" s="250">
        <f>K40+'Projected IS'!L22*(1-'DCF Model'!D18)</f>
        <v>95279172.816</v>
      </c>
      <c r="M40" s="250">
        <f>L40+'Projected IS'!M22*(1-'DCF Model'!E18)</f>
        <v>177126555.36992648</v>
      </c>
      <c r="N40" s="250">
        <f>M40+'Projected IS'!N22*(1-'DCF Model'!F18)</f>
        <v>283637263.13882035</v>
      </c>
      <c r="O40" s="250">
        <f>N40+'Projected IS'!O22*(1-'DCF Model'!G18)</f>
        <v>381183671.90778363</v>
      </c>
      <c r="P40" s="250">
        <f>O40+'Projected IS'!P22*(1-'DCF Model'!H18)</f>
        <v>480270806.58509713</v>
      </c>
      <c r="Q40" s="250">
        <f>P40+'Projected IS'!Q22*(1-'DCF Model'!I18)</f>
        <v>574166257.9849422</v>
      </c>
    </row>
    <row r="41" spans="1:24" x14ac:dyDescent="0.15">
      <c r="A41" s="59" t="s">
        <v>172</v>
      </c>
      <c r="B41" s="8">
        <v>7844</v>
      </c>
      <c r="C41" s="8">
        <v>-4000</v>
      </c>
      <c r="D41" s="8">
        <v>-16000</v>
      </c>
      <c r="E41" s="8">
        <v>-18000</v>
      </c>
      <c r="F41" s="8">
        <v>-12000</v>
      </c>
      <c r="G41" s="8">
        <v>1000</v>
      </c>
      <c r="H41" s="8">
        <v>19000</v>
      </c>
      <c r="I41" s="8">
        <v>-11000</v>
      </c>
      <c r="J41" s="8">
        <v>-43000</v>
      </c>
      <c r="K41" s="8">
        <v>27000</v>
      </c>
      <c r="L41" s="254">
        <f>K41*(1+1.5)</f>
        <v>67500</v>
      </c>
      <c r="M41" s="254">
        <f>L41*(-1.5)</f>
        <v>-101250</v>
      </c>
      <c r="N41" s="254">
        <f>M41*(0.5)</f>
        <v>-50625</v>
      </c>
      <c r="O41" s="254">
        <f>N41*(-1.5)</f>
        <v>75937.5</v>
      </c>
      <c r="P41" s="254">
        <f>O41*(1+0.5)</f>
        <v>113906.25</v>
      </c>
      <c r="Q41" s="254">
        <f>P41*(0.2)</f>
        <v>22781.25</v>
      </c>
    </row>
    <row r="42" spans="1:24" x14ac:dyDescent="0.15">
      <c r="A42" s="59" t="s">
        <v>173</v>
      </c>
      <c r="B42" s="8">
        <v>3394585</v>
      </c>
      <c r="C42" s="8">
        <v>4048000</v>
      </c>
      <c r="D42" s="8">
        <v>5039000</v>
      </c>
      <c r="E42" s="8">
        <v>6650000</v>
      </c>
      <c r="F42" s="8">
        <v>9263000</v>
      </c>
      <c r="G42" s="8">
        <v>9814000</v>
      </c>
      <c r="H42" s="8">
        <v>10756000</v>
      </c>
      <c r="I42" s="9">
        <v>0</v>
      </c>
      <c r="J42" s="9">
        <v>0</v>
      </c>
      <c r="K42" s="9">
        <v>0</v>
      </c>
      <c r="L42" s="264">
        <v>0</v>
      </c>
      <c r="M42" s="266">
        <v>0</v>
      </c>
      <c r="N42" s="266">
        <v>0</v>
      </c>
      <c r="O42" s="266">
        <v>0</v>
      </c>
      <c r="P42" s="266">
        <f>H42*(1+0.1)</f>
        <v>11831600.000000002</v>
      </c>
      <c r="Q42" s="266">
        <f>P42*(1+0.1)</f>
        <v>13014760.000000004</v>
      </c>
    </row>
    <row r="43" spans="1:24" x14ac:dyDescent="0.15">
      <c r="A43" s="59" t="s">
        <v>174</v>
      </c>
      <c r="B43" s="8">
        <v>0</v>
      </c>
      <c r="C43" s="8">
        <v>0</v>
      </c>
      <c r="D43" s="8">
        <v>0</v>
      </c>
      <c r="E43" s="8">
        <v>0</v>
      </c>
      <c r="F43" s="8">
        <v>0</v>
      </c>
      <c r="G43" s="8">
        <v>0</v>
      </c>
      <c r="H43" s="8">
        <v>0</v>
      </c>
      <c r="I43" s="8">
        <v>0</v>
      </c>
      <c r="J43" s="8">
        <v>0</v>
      </c>
      <c r="K43" s="8">
        <v>0</v>
      </c>
      <c r="L43" s="262">
        <v>0</v>
      </c>
      <c r="M43" s="262">
        <v>0</v>
      </c>
      <c r="N43" s="262">
        <v>0</v>
      </c>
      <c r="O43" s="262">
        <v>0</v>
      </c>
      <c r="P43" s="262">
        <v>0</v>
      </c>
      <c r="Q43" s="262">
        <v>0</v>
      </c>
    </row>
    <row r="44" spans="1:24" x14ac:dyDescent="0.15">
      <c r="A44" s="60" t="s">
        <v>60</v>
      </c>
      <c r="B44" s="13">
        <v>4417982</v>
      </c>
      <c r="C44" s="13">
        <v>4556000</v>
      </c>
      <c r="D44" s="13">
        <v>5793000</v>
      </c>
      <c r="E44" s="13">
        <v>7471000</v>
      </c>
      <c r="F44" s="13">
        <v>9342000</v>
      </c>
      <c r="G44" s="13">
        <v>12204000</v>
      </c>
      <c r="H44" s="13">
        <v>16893000</v>
      </c>
      <c r="I44" s="13">
        <v>26612000</v>
      </c>
      <c r="J44" s="13">
        <v>22101000</v>
      </c>
      <c r="K44" s="13">
        <v>42978000</v>
      </c>
      <c r="L44" s="260">
        <f>SUM(L37:L43)</f>
        <v>110450472.816</v>
      </c>
      <c r="M44" s="260">
        <f t="shared" ref="M44:Q44" si="28">SUM(M37:M43)</f>
        <v>194394375.36992648</v>
      </c>
      <c r="N44" s="260">
        <f t="shared" si="28"/>
        <v>303560768.63882035</v>
      </c>
      <c r="O44" s="260">
        <f t="shared" si="28"/>
        <v>404229559.48278362</v>
      </c>
      <c r="P44" s="260">
        <f t="shared" si="28"/>
        <v>518631455.42134714</v>
      </c>
      <c r="Q44" s="260">
        <f t="shared" si="28"/>
        <v>617580913.20912969</v>
      </c>
      <c r="R44" s="236">
        <f t="shared" ref="R44" si="29">K44/J44-1</f>
        <v>0.9446178905931859</v>
      </c>
      <c r="S44" s="236">
        <f t="shared" ref="S44" si="30">L44/K44-1</f>
        <v>1.5699304950439759</v>
      </c>
      <c r="T44" s="236">
        <f>M44/L44-1</f>
        <v>0.76001397199782983</v>
      </c>
      <c r="U44" s="236">
        <f t="shared" ref="U44" si="31">N44/M44-1</f>
        <v>0.56157176904503325</v>
      </c>
      <c r="V44" s="236">
        <f t="shared" ref="V44" si="32">O44/N44-1</f>
        <v>0.33162648551512919</v>
      </c>
      <c r="W44" s="236">
        <f t="shared" ref="W44" si="33">P44/O44-1</f>
        <v>0.2830121975368205</v>
      </c>
      <c r="X44" s="236">
        <f t="shared" ref="X44" si="34">Q44/P44-1</f>
        <v>0.19078954188652886</v>
      </c>
    </row>
    <row r="45" spans="1:24" x14ac:dyDescent="0.15">
      <c r="A45" s="64" t="s">
        <v>61</v>
      </c>
      <c r="B45" s="65">
        <v>7201368</v>
      </c>
      <c r="C45" s="65">
        <v>7370000</v>
      </c>
      <c r="D45" s="65">
        <v>9841000</v>
      </c>
      <c r="E45" s="65">
        <v>11241000</v>
      </c>
      <c r="F45" s="65">
        <v>13292000</v>
      </c>
      <c r="G45" s="65">
        <v>17315000</v>
      </c>
      <c r="H45" s="65">
        <v>28791000</v>
      </c>
      <c r="I45" s="65">
        <v>44187000</v>
      </c>
      <c r="J45" s="65">
        <v>41182000</v>
      </c>
      <c r="K45" s="65">
        <v>65728000</v>
      </c>
      <c r="L45" s="260">
        <f>L44+L35</f>
        <v>150764886.66683304</v>
      </c>
      <c r="M45" s="260">
        <f t="shared" ref="M45:Q45" si="35">M44+M35</f>
        <v>243856263.51196033</v>
      </c>
      <c r="N45" s="260">
        <f t="shared" si="35"/>
        <v>364900328.55928677</v>
      </c>
      <c r="O45" s="260">
        <f t="shared" si="35"/>
        <v>483675987.06771576</v>
      </c>
      <c r="P45" s="260">
        <f t="shared" si="35"/>
        <v>604144775.19679868</v>
      </c>
      <c r="Q45" s="260">
        <f t="shared" si="35"/>
        <v>709753890.88245189</v>
      </c>
    </row>
    <row r="46" spans="1:24" x14ac:dyDescent="0.15">
      <c r="M46" s="330"/>
      <c r="N46" s="330"/>
      <c r="O46" s="330"/>
      <c r="P46" s="330"/>
      <c r="Q46" s="330"/>
    </row>
    <row r="47" spans="1:24" x14ac:dyDescent="0.15">
      <c r="A47" s="66" t="s">
        <v>175</v>
      </c>
      <c r="B47" s="8">
        <v>563068</v>
      </c>
      <c r="C47" s="8">
        <v>569000</v>
      </c>
      <c r="D47" s="8">
        <v>649000</v>
      </c>
      <c r="E47" s="8">
        <v>632000</v>
      </c>
      <c r="F47" s="8">
        <v>625000</v>
      </c>
      <c r="G47" s="8">
        <v>618000</v>
      </c>
      <c r="H47" s="8">
        <v>628000</v>
      </c>
      <c r="I47" s="8">
        <v>2535000</v>
      </c>
      <c r="J47" s="8">
        <v>2507000</v>
      </c>
      <c r="K47" s="8">
        <v>2494000</v>
      </c>
    </row>
    <row r="48" spans="1:24" x14ac:dyDescent="0.15">
      <c r="K48" s="63"/>
    </row>
    <row r="49" spans="1:18" x14ac:dyDescent="0.15">
      <c r="A49" s="52" t="s">
        <v>183</v>
      </c>
      <c r="B49" s="239">
        <f>'Projected IS'!B9/'Projected BS'!B15</f>
        <v>3.9698784912873104</v>
      </c>
      <c r="C49" s="239">
        <f>'Projected IS'!C9/'Projected BS'!C15</f>
        <v>4.5545454545454547</v>
      </c>
      <c r="D49" s="239">
        <f>'Projected IS'!D9/'Projected BS'!D15</f>
        <v>5.8018471872376152</v>
      </c>
      <c r="E49" s="239">
        <f>'Projected IS'!E9/'Projected BS'!E15</f>
        <v>5.5924006908462864</v>
      </c>
      <c r="F49" s="239">
        <f>'Projected IS'!F9/'Projected BS'!F15</f>
        <v>5.3965914325195765</v>
      </c>
      <c r="G49" s="239">
        <f>'Projected IS'!G9/'Projected BS'!G15</f>
        <v>4.0662942271880818</v>
      </c>
      <c r="H49" s="239">
        <f>'Projected IS'!H9/'Projected BS'!H15</f>
        <v>4.6879392746696658</v>
      </c>
      <c r="I49" s="239">
        <f>'Projected IS'!I9/'Projected BS'!I15</f>
        <v>5.749626148258919</v>
      </c>
      <c r="J49" s="239">
        <f>'Projected IS'!J9/'Projected BS'!J15</f>
        <v>4.1492078141824331</v>
      </c>
      <c r="K49" s="239">
        <f>'Projected IS'!K9/'Projected BS'!K15</f>
        <v>8.2071938569311591</v>
      </c>
      <c r="L49" s="255">
        <f>'Projected IS'!L9/'Projected BS'!L15</f>
        <v>4.9901471183275579</v>
      </c>
      <c r="M49" s="255">
        <f>'Projected IS'!M9/'Projected BS'!M15</f>
        <v>3.3333333333333335</v>
      </c>
      <c r="N49" s="255">
        <f>'Projected IS'!N9/'Projected BS'!N15</f>
        <v>2.4999999999999996</v>
      </c>
      <c r="O49" s="255">
        <f>'Projected IS'!O9/'Projected BS'!O15</f>
        <v>2</v>
      </c>
      <c r="P49" s="255">
        <f>'Projected IS'!P9/'Projected BS'!P15</f>
        <v>1.6666666666666667</v>
      </c>
      <c r="Q49" s="255">
        <f>'Projected IS'!Q9/'Projected BS'!Q15</f>
        <v>1.6666666666666667</v>
      </c>
    </row>
    <row r="50" spans="1:18" x14ac:dyDescent="0.15">
      <c r="A50" s="52" t="s">
        <v>184</v>
      </c>
      <c r="B50" s="239">
        <f>'Projected IS'!B9/'Projected BS'!B17</f>
        <v>8.4006068740781146</v>
      </c>
      <c r="C50" s="239">
        <f>'Projected IS'!C9/'Projected BS'!C17</f>
        <v>10.75107296137339</v>
      </c>
      <c r="D50" s="239">
        <f>'Projected IS'!D9/'Projected BS'!D17</f>
        <v>13.26295585412668</v>
      </c>
      <c r="E50" s="239">
        <f>'Projected IS'!E9/'Projected BS'!E17</f>
        <v>9.743229689067201</v>
      </c>
      <c r="F50" s="239">
        <f>'Projected IS'!F9/'Projected BS'!F17</f>
        <v>8.3447293447293447</v>
      </c>
      <c r="G50" s="239">
        <f>'Projected IS'!G9/'Projected BS'!G17</f>
        <v>6.5221027479091997</v>
      </c>
      <c r="H50" s="239">
        <f>'Projected IS'!H9/'Projected BS'!H17</f>
        <v>7.7594229874360163</v>
      </c>
      <c r="I50" s="239">
        <f>'Projected IS'!I9/'Projected BS'!I17</f>
        <v>9.6882649388048954</v>
      </c>
      <c r="J50" s="239">
        <f>'Projected IS'!J9/'Projected BS'!J17</f>
        <v>7.0853690570002623</v>
      </c>
      <c r="K50" s="239">
        <f>'Projected IS'!K9/'Projected BS'!K17</f>
        <v>15.565150740929996</v>
      </c>
      <c r="L50" s="255">
        <f>'Projected IS'!L9/'Projected BS'!L17</f>
        <v>5.5939593711246509</v>
      </c>
      <c r="M50" s="255">
        <f>'Projected IS'!M9/'Projected BS'!M17</f>
        <v>3.7366696401791724</v>
      </c>
      <c r="N50" s="255">
        <f>'Projected IS'!N9/'Projected BS'!N17</f>
        <v>2.8025022301343792</v>
      </c>
      <c r="O50" s="255">
        <f>'Projected IS'!O9/'Projected BS'!O17</f>
        <v>2.2420017841075035</v>
      </c>
      <c r="P50" s="255">
        <f>'Projected IS'!P9/'Projected BS'!P17</f>
        <v>1.8683348200895862</v>
      </c>
      <c r="Q50" s="255">
        <f>'Projected IS'!Q9/'Projected BS'!Q17</f>
        <v>1.8683348200895862</v>
      </c>
    </row>
    <row r="51" spans="1:18" x14ac:dyDescent="0.15">
      <c r="M51" s="52" t="s">
        <v>185</v>
      </c>
    </row>
    <row r="52" spans="1:18" x14ac:dyDescent="0.15">
      <c r="A52" s="52" t="s">
        <v>186</v>
      </c>
      <c r="B52" s="236"/>
      <c r="C52" s="236">
        <f t="shared" ref="C52:H52" si="36">C17/B17-1</f>
        <v>-0.16379857953423937</v>
      </c>
      <c r="D52" s="236">
        <f t="shared" si="36"/>
        <v>0.11802575107296143</v>
      </c>
      <c r="E52" s="236">
        <f t="shared" si="36"/>
        <v>0.91362763915547029</v>
      </c>
      <c r="F52" s="236">
        <f t="shared" si="36"/>
        <v>0.4082246740220663</v>
      </c>
      <c r="G52" s="236">
        <f t="shared" si="36"/>
        <v>0.19230769230769229</v>
      </c>
      <c r="H52" s="236">
        <f t="shared" si="36"/>
        <v>0.2837514934289127</v>
      </c>
      <c r="I52" s="236">
        <f t="shared" ref="I52:K52" si="37">I17/H17-1</f>
        <v>0.29269427640763146</v>
      </c>
      <c r="J52" s="236">
        <f t="shared" si="37"/>
        <v>0.37041036717062625</v>
      </c>
      <c r="K52" s="236">
        <f t="shared" si="37"/>
        <v>2.8106120304701943E-2</v>
      </c>
      <c r="L52" s="236">
        <f>L17/K17-1</f>
        <v>4.8765667107365021</v>
      </c>
      <c r="M52" s="252">
        <f>AVERAGE(C52:L52)</f>
        <v>0.73199161450723249</v>
      </c>
      <c r="R52" s="52" t="s">
        <v>185</v>
      </c>
    </row>
    <row r="53" spans="1:18" x14ac:dyDescent="0.15">
      <c r="A53" s="52" t="s">
        <v>187</v>
      </c>
      <c r="B53" s="239">
        <f>B14/B30</f>
        <v>6.3762340546633487</v>
      </c>
      <c r="C53" s="239">
        <f t="shared" ref="C53:Q53" si="38">C14/C30</f>
        <v>2.5746490854955337</v>
      </c>
      <c r="D53" s="239">
        <f t="shared" si="38"/>
        <v>4.7740492170022373</v>
      </c>
      <c r="E53" s="239">
        <f t="shared" si="38"/>
        <v>8.0268863833477884</v>
      </c>
      <c r="F53" s="239">
        <f t="shared" si="38"/>
        <v>7.9435665914221216</v>
      </c>
      <c r="G53" s="239">
        <f t="shared" si="38"/>
        <v>7.6737668161434973</v>
      </c>
      <c r="H53" s="239">
        <f t="shared" si="38"/>
        <v>4.0904458598726112</v>
      </c>
      <c r="I53" s="239">
        <f t="shared" si="38"/>
        <v>6.6502883506343711</v>
      </c>
      <c r="J53" s="239">
        <f t="shared" si="38"/>
        <v>3.5156178576870332</v>
      </c>
      <c r="K53" s="239">
        <f t="shared" si="38"/>
        <v>4.1712915059730973</v>
      </c>
      <c r="L53" s="239">
        <f t="shared" si="38"/>
        <v>4.0912611204609108</v>
      </c>
      <c r="M53" s="239">
        <f t="shared" si="38"/>
        <v>4.4076048064514231</v>
      </c>
      <c r="N53" s="239">
        <f t="shared" si="38"/>
        <v>4.4534761734569308</v>
      </c>
      <c r="O53" s="239">
        <f t="shared" si="38"/>
        <v>4.4062952918615013</v>
      </c>
      <c r="P53" s="239">
        <f t="shared" si="38"/>
        <v>4.6070325066987534</v>
      </c>
      <c r="Q53" s="239">
        <f t="shared" si="38"/>
        <v>4.6296322038245883</v>
      </c>
      <c r="R53" s="80">
        <f>AVERAGE(B53:K53)</f>
        <v>5.5796795722241637</v>
      </c>
    </row>
    <row r="54" spans="1:18" x14ac:dyDescent="0.15">
      <c r="A54" s="52" t="s">
        <v>188</v>
      </c>
      <c r="B54" s="236">
        <f>B7/B30</f>
        <v>0.55428278071046733</v>
      </c>
      <c r="C54" s="236">
        <f t="shared" ref="C54:Q54" si="39">C7/C30</f>
        <v>0.25350914504466182</v>
      </c>
      <c r="D54" s="236">
        <f t="shared" si="39"/>
        <v>0.98769574944071592</v>
      </c>
      <c r="E54" s="236">
        <f t="shared" si="39"/>
        <v>3.4709453599306159</v>
      </c>
      <c r="F54" s="236">
        <f t="shared" si="39"/>
        <v>0.58841234010534238</v>
      </c>
      <c r="G54" s="236">
        <f t="shared" si="39"/>
        <v>6.1076233183856505</v>
      </c>
      <c r="H54" s="236">
        <f t="shared" si="39"/>
        <v>0.21579617834394904</v>
      </c>
      <c r="I54" s="236">
        <f t="shared" si="39"/>
        <v>0.45905420991926182</v>
      </c>
      <c r="J54" s="239">
        <f t="shared" si="39"/>
        <v>0.51637970440347403</v>
      </c>
      <c r="K54" s="239">
        <f t="shared" si="39"/>
        <v>0.6847897657793246</v>
      </c>
      <c r="L54" s="239">
        <f t="shared" si="39"/>
        <v>0.76434113945997129</v>
      </c>
      <c r="M54" s="239">
        <f t="shared" si="39"/>
        <v>0.7745862880170139</v>
      </c>
      <c r="N54" s="239">
        <f t="shared" si="39"/>
        <v>0.78264765773034561</v>
      </c>
      <c r="O54" s="239">
        <f t="shared" si="39"/>
        <v>0.76319161407450198</v>
      </c>
      <c r="P54" s="239">
        <f t="shared" si="39"/>
        <v>0.76729136817910748</v>
      </c>
      <c r="Q54" s="239">
        <f t="shared" si="39"/>
        <v>0.77105529919172833</v>
      </c>
    </row>
    <row r="55" spans="1:18" x14ac:dyDescent="0.15">
      <c r="A55" s="52" t="s">
        <v>189</v>
      </c>
      <c r="B55" s="239">
        <f>B9/B30</f>
        <v>5.1598038012120133</v>
      </c>
      <c r="C55" s="239">
        <f t="shared" ref="C55:Q55" si="40">C9/C30</f>
        <v>2.142492556358996</v>
      </c>
      <c r="D55" s="239">
        <f t="shared" si="40"/>
        <v>3.8020134228187921</v>
      </c>
      <c r="E55" s="239">
        <f t="shared" si="40"/>
        <v>6.1647875108412835</v>
      </c>
      <c r="F55" s="239">
        <f t="shared" si="40"/>
        <v>5.5846501128668171</v>
      </c>
      <c r="G55" s="239">
        <f t="shared" si="40"/>
        <v>6.1081838565022419</v>
      </c>
      <c r="H55" s="239">
        <f t="shared" si="40"/>
        <v>2.9454777070063694</v>
      </c>
      <c r="I55" s="239">
        <f t="shared" si="40"/>
        <v>4.8922722029988464</v>
      </c>
      <c r="J55" s="239">
        <f t="shared" si="40"/>
        <v>2.025902788358982</v>
      </c>
      <c r="K55" s="239">
        <f t="shared" si="40"/>
        <v>2.4441727024738973</v>
      </c>
      <c r="L55" s="239">
        <f t="shared" si="40"/>
        <v>2.2342279461137622</v>
      </c>
      <c r="M55" s="239">
        <f t="shared" si="40"/>
        <v>2.2641753034343486</v>
      </c>
      <c r="N55" s="239">
        <f t="shared" si="40"/>
        <v>2.2877393072117793</v>
      </c>
      <c r="O55" s="239">
        <f t="shared" si="40"/>
        <v>1.9373325588045049</v>
      </c>
      <c r="P55" s="239">
        <f t="shared" si="40"/>
        <v>1.9477396269161957</v>
      </c>
      <c r="Q55" s="239">
        <f t="shared" si="40"/>
        <v>1.9572942210251563</v>
      </c>
    </row>
    <row r="56" spans="1:18" x14ac:dyDescent="0.15">
      <c r="A56" s="52" t="s">
        <v>190</v>
      </c>
      <c r="B56" s="243">
        <f>IFERROR(B21/'Projected IS'!B9,0)</f>
        <v>0</v>
      </c>
      <c r="C56" s="243">
        <f>IFERROR(C21/'Projected IS'!C9,0)</f>
        <v>0</v>
      </c>
      <c r="D56" s="243">
        <f>IFERROR(D21/'Projected IS'!D9,0)</f>
        <v>0</v>
      </c>
      <c r="E56" s="243">
        <f>IFERROR(E21/'Projected IS'!E9,0)</f>
        <v>0</v>
      </c>
      <c r="F56" s="243">
        <f>IFERROR(F21/'Projected IS'!F9,0)</f>
        <v>0</v>
      </c>
      <c r="G56" s="243">
        <f>IFERROR(G21/'Projected IS'!G9,0)</f>
        <v>5.0192342919948708E-2</v>
      </c>
      <c r="H56" s="243">
        <f>IFERROR(H21/'Projected IS'!H9,0)</f>
        <v>4.8335832083958023E-2</v>
      </c>
      <c r="I56" s="243">
        <f>IFERROR(I21/'Projected IS'!I9,0)</f>
        <v>4.5403879022070298E-2</v>
      </c>
      <c r="J56" s="243">
        <f>IFERROR(J21/'Projected IS'!J9,0)</f>
        <v>0.12589901386520352</v>
      </c>
      <c r="K56" s="243">
        <f>IFERROR(K21/'Projected IS'!K9,0)</f>
        <v>9.9816158366435773E-2</v>
      </c>
      <c r="L56" s="243">
        <f>IFERROR(L21/'Projected IS'!L9,0)</f>
        <v>0.1074824286212956</v>
      </c>
      <c r="M56" s="243">
        <f>IFERROR(M21/'Projected IS'!M9,0)</f>
        <v>0.170138079878246</v>
      </c>
      <c r="N56" s="243">
        <f>IFERROR(N21/'Projected IS'!N9,0)</f>
        <v>0.25</v>
      </c>
      <c r="O56" s="243">
        <f>IFERROR(O21/'Projected IS'!O9,0)</f>
        <v>0.3</v>
      </c>
      <c r="P56" s="243">
        <f>IFERROR(P21/'Projected IS'!P9,0)</f>
        <v>0.35</v>
      </c>
      <c r="Q56" s="243">
        <f>IFERROR(Q21/'Projected IS'!Q9,0)</f>
        <v>0.4</v>
      </c>
    </row>
    <row r="57" spans="1:18" x14ac:dyDescent="0.15">
      <c r="A57" s="52" t="s">
        <v>191</v>
      </c>
      <c r="B57" s="243">
        <f>B35/B44</f>
        <v>0.63001297877628293</v>
      </c>
      <c r="C57" s="243">
        <f t="shared" ref="C57:Q57" si="41">C35/C44</f>
        <v>0.61764705882352944</v>
      </c>
      <c r="D57" s="243">
        <f t="shared" si="41"/>
        <v>0.69877438287588467</v>
      </c>
      <c r="E57" s="243">
        <f t="shared" si="41"/>
        <v>0.50461785570874051</v>
      </c>
      <c r="F57" s="243">
        <f t="shared" si="41"/>
        <v>0.42282166559623208</v>
      </c>
      <c r="G57" s="243">
        <f t="shared" si="41"/>
        <v>0.41879711569977057</v>
      </c>
      <c r="H57" s="243">
        <f t="shared" si="41"/>
        <v>0.7043153969099627</v>
      </c>
      <c r="I57" s="243">
        <f t="shared" si="41"/>
        <v>0.66041635352472572</v>
      </c>
      <c r="J57" s="243">
        <f t="shared" si="41"/>
        <v>0.8633545993393964</v>
      </c>
      <c r="K57" s="243">
        <f t="shared" si="41"/>
        <v>0.52934059286146395</v>
      </c>
      <c r="L57" s="243">
        <f t="shared" si="41"/>
        <v>0.36499992098714712</v>
      </c>
      <c r="M57" s="243">
        <f t="shared" si="41"/>
        <v>0.25444094278915941</v>
      </c>
      <c r="N57" s="243">
        <f t="shared" si="41"/>
        <v>0.20206682238787205</v>
      </c>
      <c r="O57" s="243">
        <f t="shared" si="41"/>
        <v>0.19653789714583153</v>
      </c>
      <c r="P57" s="243">
        <f t="shared" si="41"/>
        <v>0.16488263270876757</v>
      </c>
      <c r="Q57" s="243">
        <f t="shared" si="41"/>
        <v>0.14924842348893957</v>
      </c>
    </row>
    <row r="58" spans="1:18" x14ac:dyDescent="0.15">
      <c r="A58" s="52" t="s">
        <v>192</v>
      </c>
      <c r="B58" s="243">
        <f t="shared" ref="B58:Q58" si="42">B35/B23</f>
        <v>0.38650795237793706</v>
      </c>
      <c r="C58" s="81">
        <f t="shared" si="42"/>
        <v>0.38181818181818183</v>
      </c>
      <c r="D58" s="81">
        <f t="shared" si="42"/>
        <v>0.41134031094400975</v>
      </c>
      <c r="E58" s="81">
        <f t="shared" si="42"/>
        <v>0.33537941464282539</v>
      </c>
      <c r="F58" s="81">
        <f t="shared" si="42"/>
        <v>0.29717123081552815</v>
      </c>
      <c r="G58" s="81">
        <f t="shared" si="42"/>
        <v>0.29517759168351143</v>
      </c>
      <c r="H58" s="81">
        <f t="shared" si="42"/>
        <v>0.41325414191934978</v>
      </c>
      <c r="I58" s="81">
        <f t="shared" si="42"/>
        <v>0.39774141715889288</v>
      </c>
      <c r="J58" s="81">
        <f t="shared" si="42"/>
        <v>0.46333349521635664</v>
      </c>
      <c r="K58" s="81">
        <f t="shared" si="42"/>
        <v>0.346123417721519</v>
      </c>
      <c r="L58" s="81">
        <f t="shared" si="42"/>
        <v>0.26739922499276392</v>
      </c>
      <c r="M58" s="81">
        <f t="shared" si="42"/>
        <v>0.20283214148242662</v>
      </c>
      <c r="N58" s="81">
        <f t="shared" si="42"/>
        <v>0.16809949216173523</v>
      </c>
      <c r="O58" s="81">
        <f t="shared" si="42"/>
        <v>0.16425547207041608</v>
      </c>
      <c r="P58" s="81">
        <f t="shared" si="42"/>
        <v>0.14154441664681416</v>
      </c>
      <c r="Q58" s="81">
        <f t="shared" si="42"/>
        <v>0.12986611113708954</v>
      </c>
    </row>
    <row r="59" spans="1:18" x14ac:dyDescent="0.15">
      <c r="A59" s="52" t="s">
        <v>193</v>
      </c>
      <c r="B59" s="243">
        <f t="shared" ref="B59:Q59" si="43">B44/B23</f>
        <v>0.61349204762206289</v>
      </c>
      <c r="C59" s="81">
        <f t="shared" si="43"/>
        <v>0.61818181818181817</v>
      </c>
      <c r="D59" s="81">
        <f t="shared" si="43"/>
        <v>0.5886596890559902</v>
      </c>
      <c r="E59" s="81">
        <f t="shared" si="43"/>
        <v>0.66462058535717461</v>
      </c>
      <c r="F59" s="81">
        <f t="shared" si="43"/>
        <v>0.7028287691844719</v>
      </c>
      <c r="G59" s="81">
        <f t="shared" si="43"/>
        <v>0.70482240831648857</v>
      </c>
      <c r="H59" s="81">
        <f t="shared" si="43"/>
        <v>0.58674585808065016</v>
      </c>
      <c r="I59" s="81">
        <f t="shared" si="43"/>
        <v>0.60225858284110712</v>
      </c>
      <c r="J59" s="81">
        <f t="shared" si="43"/>
        <v>0.53666650478364331</v>
      </c>
      <c r="K59" s="81">
        <f t="shared" si="43"/>
        <v>0.653876582278481</v>
      </c>
      <c r="L59" s="81">
        <f t="shared" si="43"/>
        <v>0.73260077500723608</v>
      </c>
      <c r="M59" s="81">
        <f t="shared" si="43"/>
        <v>0.79716785851757344</v>
      </c>
      <c r="N59" s="81">
        <f t="shared" si="43"/>
        <v>0.83190050783826486</v>
      </c>
      <c r="O59" s="81">
        <f t="shared" si="43"/>
        <v>0.83574452792958387</v>
      </c>
      <c r="P59" s="81">
        <f t="shared" si="43"/>
        <v>0.85845558335318606</v>
      </c>
      <c r="Q59" s="81">
        <f t="shared" si="43"/>
        <v>0.87013388886291032</v>
      </c>
    </row>
    <row r="60" spans="1:18" x14ac:dyDescent="0.15">
      <c r="B60" s="81">
        <f t="shared" ref="B60:Q60" si="44">B16/B15</f>
        <v>0.52742955945989722</v>
      </c>
      <c r="C60" s="81">
        <f t="shared" si="44"/>
        <v>0.57636363636363641</v>
      </c>
      <c r="D60" s="81">
        <f t="shared" si="44"/>
        <v>0.56255247691015953</v>
      </c>
      <c r="E60" s="81">
        <f t="shared" si="44"/>
        <v>0.42602187679907888</v>
      </c>
      <c r="F60" s="81">
        <f t="shared" si="44"/>
        <v>0.3532934131736527</v>
      </c>
      <c r="G60" s="81">
        <f t="shared" si="44"/>
        <v>0.376536312849162</v>
      </c>
      <c r="H60" s="81">
        <f t="shared" si="44"/>
        <v>0.39583919032892889</v>
      </c>
      <c r="I60" s="81">
        <f t="shared" si="44"/>
        <v>0.40653706472975859</v>
      </c>
      <c r="J60" s="81">
        <f t="shared" si="44"/>
        <v>0.41439778495616059</v>
      </c>
      <c r="K60" s="81">
        <f t="shared" si="44"/>
        <v>0.47271992455880374</v>
      </c>
      <c r="L60" s="81">
        <f t="shared" si="44"/>
        <v>0.10794004974614213</v>
      </c>
      <c r="M60" s="81">
        <f t="shared" si="44"/>
        <v>0.10794004974614213</v>
      </c>
      <c r="N60" s="81">
        <f t="shared" si="44"/>
        <v>0.10794004974614213</v>
      </c>
      <c r="O60" s="81">
        <f t="shared" si="44"/>
        <v>0.10794004974614213</v>
      </c>
      <c r="P60" s="81">
        <f t="shared" si="44"/>
        <v>0.10794004974614213</v>
      </c>
      <c r="Q60" s="81">
        <f t="shared" si="44"/>
        <v>0.10794004974614214</v>
      </c>
    </row>
    <row r="61" spans="1:18" x14ac:dyDescent="0.15">
      <c r="B61" s="243">
        <f t="shared" ref="B61:Q61" si="45">B17/B15</f>
        <v>0.47257044054010278</v>
      </c>
      <c r="C61" s="81">
        <f t="shared" si="45"/>
        <v>0.42363636363636364</v>
      </c>
      <c r="D61" s="81">
        <f t="shared" si="45"/>
        <v>0.43744752308984047</v>
      </c>
      <c r="E61" s="81">
        <f t="shared" si="45"/>
        <v>0.57397812320092112</v>
      </c>
      <c r="F61" s="81">
        <f t="shared" si="45"/>
        <v>0.6467065868263473</v>
      </c>
      <c r="G61" s="81">
        <f t="shared" si="45"/>
        <v>0.623463687150838</v>
      </c>
      <c r="H61" s="81">
        <f t="shared" si="45"/>
        <v>0.60416080967107111</v>
      </c>
      <c r="I61" s="81">
        <f t="shared" si="45"/>
        <v>0.59346293527024141</v>
      </c>
      <c r="J61" s="81">
        <f t="shared" si="45"/>
        <v>0.58560221504383936</v>
      </c>
      <c r="K61" s="81">
        <f t="shared" si="45"/>
        <v>0.52728007544119626</v>
      </c>
      <c r="L61" s="81">
        <f t="shared" si="45"/>
        <v>0.89205995025385787</v>
      </c>
      <c r="M61" s="81">
        <f t="shared" si="45"/>
        <v>0.89205995025385787</v>
      </c>
      <c r="N61" s="81">
        <f t="shared" si="45"/>
        <v>0.89205995025385776</v>
      </c>
      <c r="O61" s="81">
        <f t="shared" si="45"/>
        <v>0.89205995025385787</v>
      </c>
      <c r="P61" s="81">
        <f t="shared" si="45"/>
        <v>0.89205995025385776</v>
      </c>
      <c r="Q61" s="81">
        <f t="shared" si="45"/>
        <v>0.89205995025385787</v>
      </c>
    </row>
    <row r="84" spans="1:17" x14ac:dyDescent="0.15">
      <c r="A84" s="66" t="s">
        <v>194</v>
      </c>
      <c r="B84" s="56" t="s">
        <v>121</v>
      </c>
      <c r="C84" s="56" t="s">
        <v>122</v>
      </c>
      <c r="D84" s="56" t="s">
        <v>123</v>
      </c>
      <c r="E84" s="56" t="s">
        <v>124</v>
      </c>
      <c r="F84" s="56" t="s">
        <v>125</v>
      </c>
      <c r="G84" s="56" t="s">
        <v>126</v>
      </c>
      <c r="H84" s="56" t="s">
        <v>127</v>
      </c>
      <c r="I84" s="56" t="s">
        <v>128</v>
      </c>
      <c r="J84" s="56" t="s">
        <v>129</v>
      </c>
      <c r="K84" s="56" t="s">
        <v>130</v>
      </c>
      <c r="L84" s="52" t="s">
        <v>111</v>
      </c>
    </row>
    <row r="85" spans="1:17" x14ac:dyDescent="0.15">
      <c r="A85" s="52" t="str">
        <f>'DCF Model'!A25</f>
        <v>Depreciation/Fixed Assets</v>
      </c>
      <c r="C85" s="469">
        <f>(C16-B16)/C15</f>
        <v>1.0931818181818181E-2</v>
      </c>
      <c r="D85" s="469">
        <f t="shared" ref="D85:K85" si="46">(D16-C16)/D15</f>
        <v>3.0226700251889168E-2</v>
      </c>
      <c r="E85" s="469">
        <f t="shared" si="46"/>
        <v>4.0299366724237187E-2</v>
      </c>
      <c r="F85" s="469">
        <f t="shared" si="46"/>
        <v>1.243666513127591E-2</v>
      </c>
      <c r="G85" s="469">
        <f t="shared" si="46"/>
        <v>9.0875232774674117E-2</v>
      </c>
      <c r="H85" s="469">
        <f t="shared" si="46"/>
        <v>0.11161090806859714</v>
      </c>
      <c r="I85" s="469">
        <f t="shared" si="46"/>
        <v>0.10574663533433028</v>
      </c>
      <c r="J85" s="469">
        <f t="shared" si="46"/>
        <v>0.12167358867866482</v>
      </c>
      <c r="K85" s="469">
        <f t="shared" si="46"/>
        <v>0.10979388387444429</v>
      </c>
      <c r="L85" s="470">
        <f>AVERAGE(G85:K85)</f>
        <v>0.10794004974614213</v>
      </c>
      <c r="M85" s="243">
        <f>L85</f>
        <v>0.10794004974614213</v>
      </c>
      <c r="N85" s="243">
        <f t="shared" ref="N85:Q85" si="47">M85</f>
        <v>0.10794004974614213</v>
      </c>
      <c r="O85" s="243">
        <f t="shared" si="47"/>
        <v>0.10794004974614213</v>
      </c>
      <c r="P85" s="243">
        <f t="shared" si="47"/>
        <v>0.10794004974614213</v>
      </c>
      <c r="Q85" s="243">
        <f t="shared" si="47"/>
        <v>0.10794004974614213</v>
      </c>
    </row>
    <row r="86" spans="1:17" x14ac:dyDescent="0.15">
      <c r="A86" s="52" t="str">
        <f>'DCF Model'!A27</f>
        <v>Cash/Sales</v>
      </c>
      <c r="B86" s="243">
        <f>B7/'Income Statement'!B$9</f>
        <v>0.10608848817271874</v>
      </c>
      <c r="C86" s="243">
        <f>C7/'Income Statement'!C$9</f>
        <v>0.11896207584830339</v>
      </c>
      <c r="D86" s="243">
        <f>D7/'Income Statement'!D$9</f>
        <v>0.2555716353111433</v>
      </c>
      <c r="E86" s="243">
        <f>E7/'Income Statement'!E$9</f>
        <v>0.41198270537368747</v>
      </c>
      <c r="F86" s="243">
        <f>F7/'Income Statement'!F$9</f>
        <v>6.6746329805394328E-2</v>
      </c>
      <c r="G86" s="243">
        <f>G7/'Income Statement'!G$9</f>
        <v>0.99798497893387073</v>
      </c>
      <c r="H86" s="243">
        <f>H7/'Income Statement'!H$9</f>
        <v>5.0794602698650673E-2</v>
      </c>
      <c r="I86" s="243">
        <f>I7/'Income Statement'!I$9</f>
        <v>7.3939213792078476E-2</v>
      </c>
      <c r="J86" s="243">
        <f>J7/'Income Statement'!J$9</f>
        <v>0.12563950470823756</v>
      </c>
      <c r="K86" s="243">
        <f>K7/'Income Statement'!K$9</f>
        <v>0.11949706181674928</v>
      </c>
      <c r="L86" s="470">
        <v>0.13</v>
      </c>
      <c r="M86" s="243">
        <f>L86</f>
        <v>0.13</v>
      </c>
      <c r="N86" s="243">
        <f t="shared" ref="N86:Q86" si="48">M86</f>
        <v>0.13</v>
      </c>
      <c r="O86" s="243">
        <f t="shared" si="48"/>
        <v>0.13</v>
      </c>
      <c r="P86" s="243">
        <f t="shared" si="48"/>
        <v>0.13</v>
      </c>
      <c r="Q86" s="243">
        <f t="shared" si="48"/>
        <v>0.13</v>
      </c>
    </row>
    <row r="87" spans="1:17" x14ac:dyDescent="0.15">
      <c r="A87" s="52" t="s">
        <v>195</v>
      </c>
      <c r="B87" s="243">
        <f>B8/'Income Statement'!B$9</f>
        <v>0.88148645297336947</v>
      </c>
      <c r="C87" s="243">
        <f>C8/'Income Statement'!C$9</f>
        <v>0.88642714570858283</v>
      </c>
      <c r="D87" s="243">
        <f>D8/'Income Statement'!D$9</f>
        <v>0.72821997105643999</v>
      </c>
      <c r="E87" s="243">
        <f>E8/'Income Statement'!E$9</f>
        <v>0.31974469837348157</v>
      </c>
      <c r="F87" s="243">
        <f>F8/'Income Statement'!F$9</f>
        <v>0.5667463298053943</v>
      </c>
      <c r="G87" s="243">
        <f>G8/'Income Statement'!G$9</f>
        <v>9.1591866642242166E-5</v>
      </c>
      <c r="H87" s="243">
        <f>H8/'Income Statement'!H$9</f>
        <v>0.64251874062968517</v>
      </c>
      <c r="I87" s="243">
        <f>I8/'Income Statement'!I$9</f>
        <v>0.71405216615887646</v>
      </c>
      <c r="J87" s="243">
        <f>J8/'Income Statement'!J$9</f>
        <v>0.36727960258026249</v>
      </c>
      <c r="K87" s="243">
        <f>K8/'Income Statement'!K$9</f>
        <v>0.30701552805226356</v>
      </c>
      <c r="L87" s="490">
        <v>0.25</v>
      </c>
      <c r="M87" s="243">
        <v>0.25</v>
      </c>
      <c r="N87" s="243">
        <v>0.25</v>
      </c>
      <c r="O87" s="243">
        <v>0.2</v>
      </c>
      <c r="P87" s="243">
        <f>O87</f>
        <v>0.2</v>
      </c>
      <c r="Q87" s="243">
        <f>P87</f>
        <v>0.2</v>
      </c>
    </row>
    <row r="88" spans="1:17" x14ac:dyDescent="0.15">
      <c r="A88" s="52" t="str">
        <f>'DCF Model'!A28</f>
        <v>AR/Sales</v>
      </c>
      <c r="B88" s="243">
        <f>B10/'Income Statement'!B$9</f>
        <v>0.10117190896008486</v>
      </c>
      <c r="C88" s="243">
        <f>C10/'Income Statement'!C$9</f>
        <v>0.10079840319361277</v>
      </c>
      <c r="D88" s="243">
        <f>D10/'Income Statement'!D$9</f>
        <v>0.1195369030390738</v>
      </c>
      <c r="E88" s="243">
        <f>E10/'Income Statement'!E$9</f>
        <v>0.13022441836524604</v>
      </c>
      <c r="F88" s="243">
        <f>F10/'Income Statement'!F$9</f>
        <v>0.12154318880163878</v>
      </c>
      <c r="G88" s="243">
        <f>G10/'Income Statement'!G$9</f>
        <v>0.15176772302619526</v>
      </c>
      <c r="H88" s="243">
        <f>H10/'Income Statement'!H$9</f>
        <v>0.14566716641679162</v>
      </c>
      <c r="I88" s="243">
        <f>I10/'Income Statement'!I$9</f>
        <v>0.17277253474028387</v>
      </c>
      <c r="J88" s="243">
        <f>J10/'Income Statement'!J$9</f>
        <v>0.14187736338696522</v>
      </c>
      <c r="K88" s="243">
        <f>K10/'Income Statement'!K$9</f>
        <v>0.1641279012507797</v>
      </c>
      <c r="L88" s="470">
        <f>AVERAGE(H88:K88)</f>
        <v>0.15611124144870508</v>
      </c>
      <c r="M88" s="243">
        <v>0.2</v>
      </c>
      <c r="N88" s="243">
        <v>0.2</v>
      </c>
      <c r="O88" s="243">
        <v>0.17</v>
      </c>
      <c r="P88" s="243">
        <v>0.15</v>
      </c>
      <c r="Q88" s="243">
        <v>0.15</v>
      </c>
    </row>
    <row r="89" spans="1:17" x14ac:dyDescent="0.15">
      <c r="A89" s="52" t="s">
        <v>196</v>
      </c>
      <c r="B89" s="81">
        <f>B11/'Income Statement'!B$9</f>
        <v>0.10314905008152289</v>
      </c>
      <c r="C89" s="81">
        <f>C11/'Income Statement'!C$9</f>
        <v>8.3433133732534928E-2</v>
      </c>
      <c r="D89" s="81">
        <f>D11/'Income Statement'!D$9</f>
        <v>0.11490593342981187</v>
      </c>
      <c r="E89" s="81">
        <f>E11/'Income Statement'!E$9</f>
        <v>8.1943586576075769E-2</v>
      </c>
      <c r="F89" s="81">
        <f>F11/'Income Statement'!F$9</f>
        <v>0.13443154660293616</v>
      </c>
      <c r="G89" s="81">
        <f>G11/'Income Statement'!G$9</f>
        <v>8.9668437442755086E-2</v>
      </c>
      <c r="H89" s="81">
        <f>H11/'Income Statement'!H$9</f>
        <v>0.10950524737631184</v>
      </c>
      <c r="I89" s="81">
        <f>I11/'Income Statement'!I$9</f>
        <v>9.6789774838374074E-2</v>
      </c>
      <c r="J89" s="81">
        <f>J11/'Income Statement'!J$9</f>
        <v>0.19125824868391786</v>
      </c>
      <c r="K89" s="81">
        <f>K11/'Income Statement'!K$9</f>
        <v>8.6701027543416173E-2</v>
      </c>
      <c r="L89" s="470">
        <f t="shared" ref="L89:L100" si="49">AVERAGE(B89:K89)</f>
        <v>0.10917859863076566</v>
      </c>
      <c r="M89" s="469">
        <f>L89</f>
        <v>0.10917859863076566</v>
      </c>
      <c r="N89" s="469">
        <f>M89</f>
        <v>0.10917859863076566</v>
      </c>
      <c r="O89" s="243">
        <v>0.2</v>
      </c>
      <c r="P89" s="243">
        <v>0.25</v>
      </c>
      <c r="Q89" s="243">
        <v>0.25</v>
      </c>
    </row>
    <row r="90" spans="1:17" x14ac:dyDescent="0.15">
      <c r="A90" s="52" t="str">
        <f>'DCF Model'!A29</f>
        <v>Other Assets/Sales</v>
      </c>
      <c r="B90" s="81">
        <f>B13/'Income Statement'!B$9</f>
        <v>1.4989617659441713E-2</v>
      </c>
      <c r="C90" s="81">
        <f>C13/'Income Statement'!C$9</f>
        <v>1.8562874251497007E-2</v>
      </c>
      <c r="D90" s="81">
        <f>D13/'Income Statement'!D$9</f>
        <v>1.7076700434153401E-2</v>
      </c>
      <c r="E90" s="81">
        <f>E13/'Income Statement'!E$9</f>
        <v>8.8532015647519047E-3</v>
      </c>
      <c r="F90" s="81">
        <f>F13/'Income Statement'!F$9</f>
        <v>1.1608057357459884E-2</v>
      </c>
      <c r="G90" s="81">
        <f>G13/'Income Statement'!G$9</f>
        <v>1.437992306283202E-2</v>
      </c>
      <c r="H90" s="81">
        <f>H13/'Income Statement'!H$9</f>
        <v>1.4332833583208396E-2</v>
      </c>
      <c r="I90" s="81">
        <f>I13/'Income Statement'!I$9</f>
        <v>1.359887047633202E-2</v>
      </c>
      <c r="J90" s="81">
        <f>J13/'Income Statement'!J$9</f>
        <v>2.9324534737154295E-2</v>
      </c>
      <c r="K90" s="81">
        <f>K13/'Income Statement'!K$9</f>
        <v>5.0556449230163163E-2</v>
      </c>
      <c r="L90" s="470">
        <f>K90</f>
        <v>5.0556449230163163E-2</v>
      </c>
      <c r="M90" s="469">
        <f>L90</f>
        <v>5.0556449230163163E-2</v>
      </c>
      <c r="N90" s="469">
        <f t="shared" ref="N90:Q90" si="50">M90</f>
        <v>5.0556449230163163E-2</v>
      </c>
      <c r="O90" s="469">
        <f t="shared" si="50"/>
        <v>5.0556449230163163E-2</v>
      </c>
      <c r="P90" s="469">
        <f t="shared" si="50"/>
        <v>5.0556449230163163E-2</v>
      </c>
      <c r="Q90" s="469">
        <f t="shared" si="50"/>
        <v>5.0556449230163163E-2</v>
      </c>
    </row>
    <row r="91" spans="1:17" x14ac:dyDescent="0.15">
      <c r="A91" s="52" t="str">
        <f>'DCF Model'!A30</f>
        <v>Fixed Assets/Sales</v>
      </c>
      <c r="B91" s="81">
        <f>B15/'Income Statement'!B$9</f>
        <v>0.25189687850514803</v>
      </c>
      <c r="C91" s="81">
        <f>C15/'Income Statement'!C$9</f>
        <v>0.21956087824351297</v>
      </c>
      <c r="D91" s="81">
        <f>D15/'Income Statement'!D$9</f>
        <v>0.1723589001447178</v>
      </c>
      <c r="E91" s="81">
        <f>E15/'Income Statement'!E$9</f>
        <v>0.1788140827671402</v>
      </c>
      <c r="F91" s="81">
        <f>F15/'Income Statement'!F$9</f>
        <v>0.18530215090474564</v>
      </c>
      <c r="G91" s="81">
        <f>G15/'Income Statement'!G$9</f>
        <v>0.24592416193442021</v>
      </c>
      <c r="H91" s="81">
        <f>H15/'Income Statement'!H$9</f>
        <v>0.21331334332833582</v>
      </c>
      <c r="I91" s="81">
        <f>I15/'Income Statement'!I$9</f>
        <v>0.17392435163855244</v>
      </c>
      <c r="J91" s="81">
        <f>J15/'Income Statement'!J$9</f>
        <v>0.2410098613479647</v>
      </c>
      <c r="K91" s="81">
        <f>K15/'Income Statement'!K$9</f>
        <v>0.12184432553100687</v>
      </c>
      <c r="L91" s="470">
        <f t="shared" si="49"/>
        <v>0.20039489343455444</v>
      </c>
      <c r="M91" s="243">
        <v>0.3</v>
      </c>
      <c r="N91" s="243">
        <v>0.4</v>
      </c>
      <c r="O91" s="243">
        <v>0.5</v>
      </c>
      <c r="P91" s="243">
        <v>0.6</v>
      </c>
      <c r="Q91" s="243">
        <v>0.6</v>
      </c>
    </row>
    <row r="92" spans="1:17" x14ac:dyDescent="0.15">
      <c r="A92" s="52" t="str">
        <f>A19</f>
        <v>Intangible Assets</v>
      </c>
      <c r="B92" s="81">
        <f>B19/'Income Statement'!B$9</f>
        <v>0.17940654579817994</v>
      </c>
      <c r="C92" s="81">
        <f>C19/'Income Statement'!C$9</f>
        <v>0.15648702594810379</v>
      </c>
      <c r="D92" s="81">
        <f>D19/'Income Statement'!D$9</f>
        <v>0.1044862518089725</v>
      </c>
      <c r="E92" s="81">
        <f>E19/'Income Statement'!E$9</f>
        <v>6.8972616841671816E-2</v>
      </c>
      <c r="F92" s="81">
        <f>F19/'Income Statement'!F$9</f>
        <v>5.6589279617616936E-2</v>
      </c>
      <c r="G92" s="81">
        <f>G19/'Income Statement'!G$9</f>
        <v>6.1091775050375524E-2</v>
      </c>
      <c r="H92" s="81">
        <f>H19/'Income Statement'!H$9</f>
        <v>0.41559220389805096</v>
      </c>
      <c r="I92" s="81">
        <f>I19/'Income Statement'!I$9</f>
        <v>0.24849520695548785</v>
      </c>
      <c r="J92" s="81">
        <f>J19/'Income Statement'!J$9</f>
        <v>0.22421591161859569</v>
      </c>
      <c r="K92" s="81">
        <f>K19/'Income Statement'!K$9</f>
        <v>9.0968779751157219E-2</v>
      </c>
      <c r="L92" s="470">
        <f>K92</f>
        <v>9.0968779751157219E-2</v>
      </c>
      <c r="M92" s="243">
        <f>L92</f>
        <v>9.0968779751157219E-2</v>
      </c>
      <c r="N92" s="243">
        <f t="shared" ref="N92:Q92" si="51">M92</f>
        <v>9.0968779751157219E-2</v>
      </c>
      <c r="O92" s="243">
        <f t="shared" si="51"/>
        <v>9.0968779751157219E-2</v>
      </c>
      <c r="P92" s="243">
        <f t="shared" si="51"/>
        <v>9.0968779751157219E-2</v>
      </c>
      <c r="Q92" s="243">
        <f t="shared" si="51"/>
        <v>9.0968779751157219E-2</v>
      </c>
    </row>
    <row r="93" spans="1:17" x14ac:dyDescent="0.15">
      <c r="A93" s="52" t="str">
        <f>A21</f>
        <v>Deferred LT Assets</v>
      </c>
      <c r="B93" s="483" t="e">
        <f>B21/'Income Statement'!B$9</f>
        <v>#VALUE!</v>
      </c>
      <c r="C93" s="483" t="e">
        <f>C21/'Income Statement'!C$9</f>
        <v>#VALUE!</v>
      </c>
      <c r="D93" s="483" t="e">
        <f>D21/'Income Statement'!D$9</f>
        <v>#VALUE!</v>
      </c>
      <c r="E93" s="483" t="e">
        <f>E21/'Income Statement'!E$9</f>
        <v>#VALUE!</v>
      </c>
      <c r="F93" s="483" t="e">
        <f>F21/'Income Statement'!F$9</f>
        <v>#VALUE!</v>
      </c>
      <c r="G93" s="81">
        <f>G21/'Income Statement'!G$9</f>
        <v>5.0192342919948708E-2</v>
      </c>
      <c r="H93" s="81">
        <f>H21/'Income Statement'!H$9</f>
        <v>4.8335832083958023E-2</v>
      </c>
      <c r="I93" s="81">
        <f>I21/'Income Statement'!I$9</f>
        <v>4.5403879022070298E-2</v>
      </c>
      <c r="J93" s="81">
        <f>J21/'Income Statement'!J$9</f>
        <v>0.12589901386520352</v>
      </c>
      <c r="K93" s="81">
        <f>K21/'Income Statement'!K$9</f>
        <v>9.9816158366435773E-2</v>
      </c>
      <c r="L93" s="490">
        <v>0.1074824286212956</v>
      </c>
      <c r="M93" s="243">
        <v>0.170138079878246</v>
      </c>
      <c r="N93" s="243">
        <v>0.25</v>
      </c>
      <c r="O93" s="243">
        <v>0.3</v>
      </c>
      <c r="P93" s="243">
        <v>0.35</v>
      </c>
      <c r="Q93" s="243">
        <v>0.4</v>
      </c>
    </row>
    <row r="94" spans="1:17" x14ac:dyDescent="0.15">
      <c r="A94" s="52" t="str">
        <f>A22</f>
        <v>Other Assets</v>
      </c>
      <c r="B94" s="81">
        <f>B22/'Income Statement'!B$9</f>
        <v>1.9415970113897084E-2</v>
      </c>
      <c r="C94" s="81">
        <f>C22/'Income Statement'!C$9</f>
        <v>1.3373253493013972E-2</v>
      </c>
      <c r="D94" s="81">
        <f>D22/'Income Statement'!D$9</f>
        <v>8.9725036179450074E-3</v>
      </c>
      <c r="E94" s="81">
        <f>E22/'Income Statement'!E$9</f>
        <v>3.2839201152975089E-2</v>
      </c>
      <c r="F94" s="81">
        <f>F22/'Income Statement'!F$9</f>
        <v>5.7016046432229427E-2</v>
      </c>
      <c r="G94" s="81">
        <f>G22/'Income Statement'!G$9</f>
        <v>6.7411613848690238E-2</v>
      </c>
      <c r="H94" s="81">
        <f>H22/'Income Statement'!H$9</f>
        <v>0.17097451274362818</v>
      </c>
      <c r="I94" s="81">
        <f>I22/'Income Statement'!I$9</f>
        <v>8.35253028163781E-2</v>
      </c>
      <c r="J94" s="81">
        <f>J22/'Income Statement'!J$9</f>
        <v>4.3857047527248463E-2</v>
      </c>
      <c r="K94" s="81">
        <f>K22/'Income Statement'!K$9</f>
        <v>9.5958766947900592E-2</v>
      </c>
      <c r="L94" s="470">
        <f t="shared" si="49"/>
        <v>5.933442186939062E-2</v>
      </c>
      <c r="M94" s="243">
        <v>0.13238160399416821</v>
      </c>
      <c r="N94" s="243">
        <v>0.19241113766624304</v>
      </c>
      <c r="O94" s="243">
        <v>0.28613010511241999</v>
      </c>
      <c r="P94" s="243">
        <v>0.35374490430286648</v>
      </c>
      <c r="Q94" s="243">
        <v>0.41850120992984152</v>
      </c>
    </row>
    <row r="95" spans="1:17" x14ac:dyDescent="0.15">
      <c r="A95" s="52" t="s">
        <v>161</v>
      </c>
      <c r="B95" s="81">
        <f>B26/'Income Statement'!B$9</f>
        <v>6.2634318393628374E-2</v>
      </c>
      <c r="C95" s="81">
        <f>C26/'Income Statement'!C$9</f>
        <v>5.9081836327345309E-2</v>
      </c>
      <c r="D95" s="81">
        <f>D26/'Income Statement'!D$9</f>
        <v>7.0188133140376266E-2</v>
      </c>
      <c r="E95" s="81">
        <f>E26/'Income Statement'!E$9</f>
        <v>6.1354745727815525E-2</v>
      </c>
      <c r="F95" s="81">
        <f>F26/'Income Statement'!F$9</f>
        <v>4.3615568453397063E-2</v>
      </c>
      <c r="G95" s="81">
        <f>G26/'Income Statement'!G$9</f>
        <v>6.2923612383220376E-2</v>
      </c>
      <c r="H95" s="81">
        <f>H26/'Income Statement'!H$9</f>
        <v>7.2023988005997006E-2</v>
      </c>
      <c r="I95" s="81">
        <f>I26/'Income Statement'!I$9</f>
        <v>6.6248049342349707E-2</v>
      </c>
      <c r="J95" s="81">
        <f>J26/'Income Statement'!J$9</f>
        <v>4.4227774894342702E-2</v>
      </c>
      <c r="K95" s="81">
        <f>K26/'Income Statement'!K$9</f>
        <v>4.4302550802665701E-2</v>
      </c>
      <c r="L95" s="470">
        <f t="shared" si="49"/>
        <v>5.8660057747113803E-2</v>
      </c>
      <c r="M95" s="243">
        <f t="shared" ref="M95:M100" si="52">L95</f>
        <v>5.8660057747113803E-2</v>
      </c>
      <c r="N95" s="243">
        <f t="shared" ref="N95:Q97" si="53">M95</f>
        <v>5.8660057747113803E-2</v>
      </c>
      <c r="O95" s="243">
        <f t="shared" si="53"/>
        <v>5.8660057747113803E-2</v>
      </c>
      <c r="P95" s="243">
        <f t="shared" si="53"/>
        <v>5.8660057747113803E-2</v>
      </c>
      <c r="Q95" s="243">
        <f t="shared" si="53"/>
        <v>5.8660057747113803E-2</v>
      </c>
    </row>
    <row r="96" spans="1:17" x14ac:dyDescent="0.15">
      <c r="A96" s="52" t="s">
        <v>162</v>
      </c>
      <c r="B96" s="81">
        <f>B27/'Income Statement'!B$9</f>
        <v>5.9829452353697216E-2</v>
      </c>
      <c r="C96" s="81">
        <f>C27/'Income Statement'!C$9</f>
        <v>5.8083832335329343E-2</v>
      </c>
      <c r="D96" s="81">
        <f>D27/'Income Statement'!D$9</f>
        <v>5.4413892908827789E-2</v>
      </c>
      <c r="E96" s="81">
        <f>E27/'Income Statement'!E$9</f>
        <v>4.24130121474161E-2</v>
      </c>
      <c r="F96" s="81">
        <f>F27/'Income Statement'!F$9</f>
        <v>4.6090815978149541E-2</v>
      </c>
      <c r="G96" s="81">
        <f>G27/'Income Statement'!G$9</f>
        <v>5.9259937717530686E-2</v>
      </c>
      <c r="H96" s="81">
        <f>H27/'Income Statement'!H$9</f>
        <v>5.5592203898050974E-2</v>
      </c>
      <c r="I96" s="81">
        <f>I27/'Income Statement'!I$9</f>
        <v>5.2351935795496768E-2</v>
      </c>
      <c r="J96" s="81">
        <f>J27/'Income Statement'!J$9</f>
        <v>6.398754356046564E-2</v>
      </c>
      <c r="K96" s="81">
        <f>K27/'Income Statement'!K$9</f>
        <v>7.8740028232822293E-2</v>
      </c>
      <c r="L96" s="470">
        <f t="shared" si="49"/>
        <v>5.7076265492778645E-2</v>
      </c>
      <c r="M96" s="243">
        <f t="shared" si="52"/>
        <v>5.7076265492778645E-2</v>
      </c>
      <c r="N96" s="243">
        <f t="shared" si="53"/>
        <v>5.7076265492778645E-2</v>
      </c>
      <c r="O96" s="243">
        <f t="shared" si="53"/>
        <v>5.7076265492778645E-2</v>
      </c>
      <c r="P96" s="243">
        <f t="shared" si="53"/>
        <v>5.7076265492778645E-2</v>
      </c>
      <c r="Q96" s="243">
        <f t="shared" si="53"/>
        <v>5.7076265492778645E-2</v>
      </c>
    </row>
    <row r="97" spans="1:17" x14ac:dyDescent="0.15">
      <c r="A97" s="52" t="s">
        <v>164</v>
      </c>
      <c r="B97" s="81">
        <f>B29/'Income Statement'!B$9</f>
        <v>6.8933999244260455E-2</v>
      </c>
      <c r="C97" s="81">
        <f>C29/'Income Statement'!C$9</f>
        <v>7.0059880239520964E-2</v>
      </c>
      <c r="D97" s="81">
        <f>D29/'Income Statement'!D$9</f>
        <v>1.8958031837916063E-2</v>
      </c>
      <c r="E97" s="81">
        <f>E29/'Income Statement'!E$9</f>
        <v>1.3382746551369158E-2</v>
      </c>
      <c r="F97" s="81">
        <f>F29/'Income Statement'!F$9</f>
        <v>2.3728234892454764E-2</v>
      </c>
      <c r="G97" s="81">
        <f>G29/'Income Statement'!G$9</f>
        <v>4.1216339989008977E-2</v>
      </c>
      <c r="H97" s="81">
        <f>H29/'Income Statement'!H$9</f>
        <v>4.785607196401799E-2</v>
      </c>
      <c r="I97" s="81">
        <f>I29/'Income Statement'!I$9</f>
        <v>4.2468603700676226E-2</v>
      </c>
      <c r="J97" s="81">
        <f>J29/'Income Statement'!J$9</f>
        <v>8.8752131682360791E-2</v>
      </c>
      <c r="K97" s="81">
        <f>K29/'Income Statement'!K$9</f>
        <v>3.0941203506122582E-2</v>
      </c>
      <c r="L97" s="470">
        <f t="shared" si="49"/>
        <v>4.4629724360770798E-2</v>
      </c>
      <c r="M97" s="243">
        <f t="shared" si="52"/>
        <v>4.4629724360770798E-2</v>
      </c>
      <c r="N97" s="243">
        <f t="shared" si="53"/>
        <v>4.4629724360770798E-2</v>
      </c>
      <c r="O97" s="243">
        <f t="shared" si="53"/>
        <v>4.4629724360770798E-2</v>
      </c>
      <c r="P97" s="243">
        <f t="shared" si="53"/>
        <v>4.4629724360770798E-2</v>
      </c>
      <c r="Q97" s="243">
        <f t="shared" si="53"/>
        <v>4.4629724360770798E-2</v>
      </c>
    </row>
    <row r="98" spans="1:17" x14ac:dyDescent="0.15">
      <c r="A98" s="52" t="s">
        <v>165</v>
      </c>
      <c r="B98" s="81">
        <f>B31/'Income Statement'!B$9</f>
        <v>0.29871321350154983</v>
      </c>
      <c r="C98" s="81">
        <f>C31/'Income Statement'!C$9</f>
        <v>1.996007984031936E-3</v>
      </c>
      <c r="D98" s="81">
        <f>D31/'Income Statement'!D$9</f>
        <v>0.28784370477568744</v>
      </c>
      <c r="E98" s="81">
        <f>E31/'Income Statement'!E$9</f>
        <v>0.20434424541898291</v>
      </c>
      <c r="F98" s="81">
        <f>F31/'Income Statement'!F$9</f>
        <v>0.16968248548992831</v>
      </c>
      <c r="G98" s="81">
        <f>G31/'Income Statement'!G$9</f>
        <v>0.18235940648470417</v>
      </c>
      <c r="H98" s="81">
        <f>H31/'Income Statement'!H$9</f>
        <v>0.35766116941529236</v>
      </c>
      <c r="I98" s="81">
        <f>I31/'Income Statement'!I$9</f>
        <v>0.4067028312402467</v>
      </c>
      <c r="J98" s="81">
        <f>J31/'Income Statement'!J$9</f>
        <v>0.35971676429153998</v>
      </c>
      <c r="K98" s="81">
        <f>K31/'Income Statement'!K$9</f>
        <v>0.13884967663569811</v>
      </c>
      <c r="L98" s="470">
        <v>7.0000000000000007E-2</v>
      </c>
      <c r="M98" s="243">
        <v>0.02</v>
      </c>
      <c r="N98" s="243">
        <v>0.02</v>
      </c>
      <c r="O98" s="243">
        <v>0.3</v>
      </c>
      <c r="P98" s="243">
        <v>0.1</v>
      </c>
      <c r="Q98" s="243">
        <v>0.1</v>
      </c>
    </row>
    <row r="99" spans="1:17" x14ac:dyDescent="0.15">
      <c r="A99" s="52" t="s">
        <v>166</v>
      </c>
      <c r="B99" s="81">
        <f>B32/'Income Statement'!B$9</f>
        <v>7.2657159329250182E-2</v>
      </c>
      <c r="C99" s="81">
        <f>C32/'Income Statement'!C$9</f>
        <v>6.8862275449101798E-2</v>
      </c>
      <c r="D99" s="81">
        <f>D32/'Income Statement'!D$9</f>
        <v>2.0984081041968163E-2</v>
      </c>
      <c r="E99" s="81">
        <f>E32/'Income Statement'!E$9</f>
        <v>3.3971587399629403E-3</v>
      </c>
      <c r="F99" s="81">
        <f>F32/'Income Statement'!F$9</f>
        <v>5.5479685899624447E-3</v>
      </c>
      <c r="G99" s="81">
        <f>G32/'Income Statement'!G$9</f>
        <v>8.1516761311595538E-3</v>
      </c>
      <c r="H99" s="81">
        <f>H32/'Income Statement'!H$9</f>
        <v>2.4227886056971515E-2</v>
      </c>
      <c r="I99" s="81">
        <f>I32/'Income Statement'!I$9</f>
        <v>1.6608456565356321E-2</v>
      </c>
      <c r="J99" s="81">
        <f>J32/'Income Statement'!J$9</f>
        <v>1.7238822569882108E-2</v>
      </c>
      <c r="K99" s="81">
        <f>K32/'Income Statement'!K$9</f>
        <v>1.6988936673123008E-2</v>
      </c>
      <c r="L99" s="470">
        <f>AVERAGE(D99:K99)</f>
        <v>1.4143123296048256E-2</v>
      </c>
      <c r="M99" s="243">
        <f t="shared" si="52"/>
        <v>1.4143123296048256E-2</v>
      </c>
      <c r="N99" s="243">
        <f>M99</f>
        <v>1.4143123296048256E-2</v>
      </c>
      <c r="O99" s="243">
        <f t="shared" ref="O99:Q100" si="54">N99</f>
        <v>1.4143123296048256E-2</v>
      </c>
      <c r="P99" s="243">
        <f t="shared" si="54"/>
        <v>1.4143123296048256E-2</v>
      </c>
      <c r="Q99" s="243">
        <f t="shared" si="54"/>
        <v>1.4143123296048256E-2</v>
      </c>
    </row>
    <row r="100" spans="1:17" x14ac:dyDescent="0.15">
      <c r="A100" s="52" t="s">
        <v>168</v>
      </c>
      <c r="B100" s="81">
        <f>B34/'Income Statement'!B$9</f>
        <v>3.1781005560816207E-2</v>
      </c>
      <c r="C100" s="81">
        <f>C34/'Income Statement'!C$9</f>
        <v>2.1556886227544911E-2</v>
      </c>
      <c r="D100" s="81">
        <f>D34/'Income Statement'!D$9</f>
        <v>1.8234442836468887E-2</v>
      </c>
      <c r="E100" s="81">
        <f>E34/'Income Statement'!E$9</f>
        <v>6.1663578340539427E-2</v>
      </c>
      <c r="F100" s="81">
        <f>F34/'Income Statement'!F$9</f>
        <v>4.8480710139979517E-2</v>
      </c>
      <c r="G100" s="81">
        <f>G34/'Income Statement'!G$9</f>
        <v>0.11421505770287599</v>
      </c>
      <c r="H100" s="81">
        <f>H34/'Income Statement'!H$9</f>
        <v>9.625187406296852E-2</v>
      </c>
      <c r="I100" s="81">
        <f>I34/'Income Statement'!I$9</f>
        <v>6.8625993906517052E-2</v>
      </c>
      <c r="J100" s="81">
        <f>J34/'Income Statement'!J$9</f>
        <v>8.7120931267146137E-2</v>
      </c>
      <c r="K100" s="81">
        <f>K34/'Income Statement'!K$9</f>
        <v>4.3087882866616328E-2</v>
      </c>
      <c r="L100" s="470">
        <f t="shared" si="49"/>
        <v>5.9101836291147306E-2</v>
      </c>
      <c r="M100" s="243">
        <f t="shared" si="52"/>
        <v>5.9101836291147306E-2</v>
      </c>
      <c r="N100" s="243">
        <f>M100</f>
        <v>5.9101836291147306E-2</v>
      </c>
      <c r="O100" s="243">
        <f t="shared" si="54"/>
        <v>5.9101836291147306E-2</v>
      </c>
      <c r="P100" s="243">
        <f t="shared" si="54"/>
        <v>5.9101836291147306E-2</v>
      </c>
      <c r="Q100" s="243">
        <f t="shared" si="54"/>
        <v>5.9101836291147306E-2</v>
      </c>
    </row>
  </sheetData>
  <sheetProtection formatCells="0" formatColumns="0" formatRows="0" insertColumns="0" insertRows="0" insertHyperlinks="0" deleteColumns="0" deleteRows="0" sort="0" autoFilter="0" pivotTables="0"/>
  <phoneticPr fontId="14" type="noConversion"/>
  <pageMargins left="0.7" right="0.7" top="0.75" bottom="0.75" header="0.3" footer="0.3"/>
  <pageSetup orientation="portrait"/>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6621C-5476-43C8-A1BC-E58D3982FF11}">
  <sheetPr>
    <tabColor rgb="FFFFC000"/>
  </sheetPr>
  <dimension ref="A1:X108"/>
  <sheetViews>
    <sheetView topLeftCell="F52" zoomScale="111" zoomScaleNormal="100" workbookViewId="0">
      <selection activeCell="S99" sqref="S99"/>
    </sheetView>
  </sheetViews>
  <sheetFormatPr baseColWidth="10" defaultColWidth="8.83203125" defaultRowHeight="13" x14ac:dyDescent="0.15"/>
  <cols>
    <col min="1" max="1" width="50" style="94" customWidth="1"/>
    <col min="2" max="8" width="12" style="94" customWidth="1"/>
    <col min="9" max="9" width="33.33203125" style="94" bestFit="1" customWidth="1"/>
    <col min="10" max="10" width="11.5" style="94" bestFit="1" customWidth="1"/>
    <col min="11" max="11" width="12.1640625" style="94" bestFit="1" customWidth="1"/>
    <col min="12" max="17" width="16.5" style="94" bestFit="1" customWidth="1"/>
    <col min="18" max="189" width="12" style="94" customWidth="1"/>
    <col min="190" max="16384" width="8.83203125" style="94"/>
  </cols>
  <sheetData>
    <row r="1" spans="1:24" ht="14" x14ac:dyDescent="0.15">
      <c r="A1" s="55" t="s">
        <v>120</v>
      </c>
      <c r="B1" s="56" t="s">
        <v>121</v>
      </c>
      <c r="C1" s="56" t="s">
        <v>122</v>
      </c>
      <c r="D1" s="56" t="s">
        <v>123</v>
      </c>
      <c r="E1" s="56" t="s">
        <v>124</v>
      </c>
      <c r="F1" s="56" t="s">
        <v>125</v>
      </c>
      <c r="G1" s="56" t="s">
        <v>126</v>
      </c>
      <c r="H1" s="56" t="s">
        <v>127</v>
      </c>
      <c r="I1" s="56" t="s">
        <v>128</v>
      </c>
      <c r="J1" s="56" t="s">
        <v>129</v>
      </c>
      <c r="K1" s="56" t="s">
        <v>130</v>
      </c>
      <c r="L1" s="56" t="s">
        <v>177</v>
      </c>
      <c r="M1" s="56" t="s">
        <v>178</v>
      </c>
      <c r="N1" s="56" t="s">
        <v>179</v>
      </c>
      <c r="O1" s="56" t="s">
        <v>180</v>
      </c>
      <c r="P1" s="56" t="s">
        <v>181</v>
      </c>
      <c r="Q1" s="56" t="s">
        <v>182</v>
      </c>
    </row>
    <row r="2" spans="1:24" ht="14" x14ac:dyDescent="0.15">
      <c r="A2" s="57" t="s">
        <v>131</v>
      </c>
      <c r="B2" s="58" t="s">
        <v>132</v>
      </c>
      <c r="C2" s="58" t="s">
        <v>133</v>
      </c>
      <c r="D2" s="58" t="s">
        <v>134</v>
      </c>
      <c r="E2" s="58" t="s">
        <v>135</v>
      </c>
      <c r="F2" s="58" t="s">
        <v>136</v>
      </c>
      <c r="G2" s="58" t="s">
        <v>137</v>
      </c>
      <c r="H2" s="58" t="s">
        <v>138</v>
      </c>
      <c r="I2" s="58" t="s">
        <v>139</v>
      </c>
      <c r="J2" s="58" t="s">
        <v>140</v>
      </c>
      <c r="K2" s="58" t="s">
        <v>141</v>
      </c>
      <c r="L2" s="249">
        <f t="shared" ref="L2:Q2" si="0">K2+365</f>
        <v>45684</v>
      </c>
      <c r="M2" s="249">
        <f t="shared" si="0"/>
        <v>46049</v>
      </c>
      <c r="N2" s="249">
        <f t="shared" si="0"/>
        <v>46414</v>
      </c>
      <c r="O2" s="249">
        <f t="shared" si="0"/>
        <v>46779</v>
      </c>
      <c r="P2" s="249">
        <f t="shared" si="0"/>
        <v>47144</v>
      </c>
      <c r="Q2" s="249">
        <f t="shared" si="0"/>
        <v>47509</v>
      </c>
    </row>
    <row r="3" spans="1:24" ht="14" x14ac:dyDescent="0.15">
      <c r="A3" s="57" t="s">
        <v>142</v>
      </c>
      <c r="B3" s="58" t="s">
        <v>143</v>
      </c>
      <c r="C3" s="58" t="s">
        <v>143</v>
      </c>
      <c r="D3" s="58" t="s">
        <v>143</v>
      </c>
      <c r="E3" s="58" t="s">
        <v>143</v>
      </c>
      <c r="F3" s="58" t="s">
        <v>143</v>
      </c>
      <c r="G3" s="58" t="s">
        <v>143</v>
      </c>
      <c r="H3" s="58" t="s">
        <v>143</v>
      </c>
      <c r="I3" s="58" t="s">
        <v>143</v>
      </c>
      <c r="J3" s="58" t="s">
        <v>143</v>
      </c>
      <c r="K3" s="58" t="s">
        <v>143</v>
      </c>
      <c r="L3" s="57"/>
    </row>
    <row r="4" spans="1:24" ht="28" x14ac:dyDescent="0.15">
      <c r="A4" s="57" t="s">
        <v>144</v>
      </c>
      <c r="B4" s="58" t="s">
        <v>145</v>
      </c>
      <c r="C4" s="58" t="s">
        <v>145</v>
      </c>
      <c r="D4" s="58" t="s">
        <v>145</v>
      </c>
      <c r="E4" s="58" t="s">
        <v>145</v>
      </c>
      <c r="F4" s="58" t="s">
        <v>145</v>
      </c>
      <c r="G4" s="58" t="s">
        <v>145</v>
      </c>
      <c r="H4" s="58" t="s">
        <v>145</v>
      </c>
      <c r="I4" s="58" t="s">
        <v>145</v>
      </c>
      <c r="J4" s="58" t="s">
        <v>145</v>
      </c>
      <c r="K4" s="58" t="s">
        <v>145</v>
      </c>
      <c r="L4" s="57"/>
    </row>
    <row r="5" spans="1:24" ht="14" x14ac:dyDescent="0.15">
      <c r="A5" s="57" t="s">
        <v>146</v>
      </c>
      <c r="B5" s="58" t="s">
        <v>147</v>
      </c>
      <c r="C5" s="58" t="s">
        <v>147</v>
      </c>
      <c r="D5" s="58" t="s">
        <v>147</v>
      </c>
      <c r="E5" s="58" t="s">
        <v>147</v>
      </c>
      <c r="F5" s="58" t="s">
        <v>147</v>
      </c>
      <c r="G5" s="58" t="s">
        <v>147</v>
      </c>
      <c r="H5" s="58" t="s">
        <v>147</v>
      </c>
      <c r="I5" s="58" t="s">
        <v>147</v>
      </c>
      <c r="J5" s="58" t="s">
        <v>147</v>
      </c>
      <c r="K5" s="58" t="s">
        <v>147</v>
      </c>
      <c r="L5" s="57"/>
    </row>
    <row r="6" spans="1:24" ht="14" x14ac:dyDescent="0.15">
      <c r="A6" s="57" t="s">
        <v>148</v>
      </c>
      <c r="B6" s="58" t="s">
        <v>149</v>
      </c>
      <c r="C6" s="58" t="s">
        <v>149</v>
      </c>
      <c r="D6" s="58" t="s">
        <v>149</v>
      </c>
      <c r="E6" s="58" t="s">
        <v>149</v>
      </c>
      <c r="F6" s="58" t="s">
        <v>149</v>
      </c>
      <c r="G6" s="58" t="s">
        <v>149</v>
      </c>
      <c r="H6" s="58" t="s">
        <v>149</v>
      </c>
      <c r="I6" s="58" t="s">
        <v>149</v>
      </c>
      <c r="J6" s="58" t="s">
        <v>149</v>
      </c>
      <c r="K6" s="58" t="s">
        <v>149</v>
      </c>
      <c r="L6" s="57"/>
    </row>
    <row r="7" spans="1:24" x14ac:dyDescent="0.15">
      <c r="A7" s="105" t="s">
        <v>150</v>
      </c>
      <c r="B7" s="8">
        <v>496654</v>
      </c>
      <c r="C7" s="8">
        <v>596000</v>
      </c>
      <c r="D7" s="8">
        <v>1766000</v>
      </c>
      <c r="E7" s="8">
        <v>4002000</v>
      </c>
      <c r="F7" s="8">
        <v>782000</v>
      </c>
      <c r="G7" s="8">
        <v>10896000</v>
      </c>
      <c r="H7" s="8">
        <v>847000</v>
      </c>
      <c r="I7" s="8">
        <v>1990000</v>
      </c>
      <c r="J7" s="8">
        <v>3389000</v>
      </c>
      <c r="K7" s="8">
        <v>7280000</v>
      </c>
      <c r="L7" s="267">
        <f t="shared" ref="L7:Q7" si="1">-L36/3</f>
        <v>13745019</v>
      </c>
      <c r="M7" s="267">
        <f t="shared" si="1"/>
        <v>30889388.666666668</v>
      </c>
      <c r="N7" s="267">
        <f t="shared" si="1"/>
        <v>52283836.666666664</v>
      </c>
      <c r="O7" s="267">
        <f t="shared" si="1"/>
        <v>75118695.333333328</v>
      </c>
      <c r="P7" s="267">
        <f t="shared" si="1"/>
        <v>94900356</v>
      </c>
      <c r="Q7" s="267">
        <f t="shared" si="1"/>
        <v>106746037</v>
      </c>
    </row>
    <row r="8" spans="1:24" x14ac:dyDescent="0.15">
      <c r="A8" s="105" t="s">
        <v>151</v>
      </c>
      <c r="B8" s="8">
        <v>4126685</v>
      </c>
      <c r="C8" s="8">
        <v>4441000</v>
      </c>
      <c r="D8" s="8">
        <v>5032000</v>
      </c>
      <c r="E8" s="8">
        <v>3106000</v>
      </c>
      <c r="F8" s="8">
        <v>6640000</v>
      </c>
      <c r="G8" s="8">
        <v>1000</v>
      </c>
      <c r="H8" s="8">
        <v>10714000</v>
      </c>
      <c r="I8" s="8">
        <v>19218000</v>
      </c>
      <c r="J8" s="8">
        <v>9907000</v>
      </c>
      <c r="K8" s="8">
        <v>18704000</v>
      </c>
      <c r="L8" s="268">
        <f>'Quarterly BS'!L9*(1+0.1)-L36/3</f>
        <v>46063019</v>
      </c>
      <c r="M8" s="268">
        <f>L8*(1+0.1)-M36/3</f>
        <v>81558709.566666678</v>
      </c>
      <c r="N8" s="268">
        <f>M8*(1+0.1)-N36/3</f>
        <v>141998417.19000003</v>
      </c>
      <c r="O8" s="268">
        <f>N8*(1+0.1)-O36/3</f>
        <v>231316954.24233335</v>
      </c>
      <c r="P8" s="268">
        <f>O8*(1+0.1)-P36/3</f>
        <v>349349005.66656673</v>
      </c>
      <c r="Q8" s="268">
        <f>P8*(1+0.1)-Q36/3</f>
        <v>491029943.23322344</v>
      </c>
    </row>
    <row r="9" spans="1:24" x14ac:dyDescent="0.15">
      <c r="A9" s="61" t="s">
        <v>44</v>
      </c>
      <c r="B9" s="11">
        <v>4623339</v>
      </c>
      <c r="C9" s="11">
        <v>5037000</v>
      </c>
      <c r="D9" s="11">
        <v>6798000</v>
      </c>
      <c r="E9" s="11">
        <v>7108000</v>
      </c>
      <c r="F9" s="11">
        <v>7422000</v>
      </c>
      <c r="G9" s="11">
        <v>10897000</v>
      </c>
      <c r="H9" s="11">
        <v>11561000</v>
      </c>
      <c r="I9" s="11">
        <v>21208000</v>
      </c>
      <c r="J9" s="11">
        <v>13296000</v>
      </c>
      <c r="K9" s="11">
        <v>25984000</v>
      </c>
      <c r="L9" s="256">
        <f t="shared" ref="L9:Q9" si="2">L8+L7</f>
        <v>59808038</v>
      </c>
      <c r="M9" s="256">
        <f t="shared" si="2"/>
        <v>112448098.23333335</v>
      </c>
      <c r="N9" s="256">
        <f t="shared" si="2"/>
        <v>194282253.85666668</v>
      </c>
      <c r="O9" s="256">
        <f t="shared" si="2"/>
        <v>306435649.57566667</v>
      </c>
      <c r="P9" s="256">
        <f t="shared" si="2"/>
        <v>444249361.66656673</v>
      </c>
      <c r="Q9" s="256">
        <f t="shared" si="2"/>
        <v>597775980.23322344</v>
      </c>
    </row>
    <row r="10" spans="1:24" x14ac:dyDescent="0.15">
      <c r="A10" s="105" t="s">
        <v>45</v>
      </c>
      <c r="B10" s="8">
        <v>473637</v>
      </c>
      <c r="C10" s="8">
        <v>505000</v>
      </c>
      <c r="D10" s="8">
        <v>826000</v>
      </c>
      <c r="E10" s="8">
        <v>1265000</v>
      </c>
      <c r="F10" s="8">
        <v>1424000</v>
      </c>
      <c r="G10" s="8">
        <v>1657000</v>
      </c>
      <c r="H10" s="8">
        <v>2429000</v>
      </c>
      <c r="I10" s="8">
        <v>4650000</v>
      </c>
      <c r="J10" s="8">
        <v>3827000</v>
      </c>
      <c r="K10" s="8">
        <v>9999000</v>
      </c>
      <c r="L10" s="332">
        <f>K10*(1+1)</f>
        <v>19998000</v>
      </c>
      <c r="M10" s="332">
        <f>L10*(1+0.9)</f>
        <v>37996200</v>
      </c>
      <c r="N10" s="332">
        <f>M10*(1+0.9)</f>
        <v>72192780</v>
      </c>
      <c r="O10" s="332">
        <f>N10*(1+0.75)</f>
        <v>126337365</v>
      </c>
      <c r="P10" s="332">
        <f>O10*(1+0.5)</f>
        <v>189506047.5</v>
      </c>
      <c r="Q10" s="332">
        <f>P10*(1+0.5)</f>
        <v>284259071.25</v>
      </c>
    </row>
    <row r="11" spans="1:24" x14ac:dyDescent="0.15">
      <c r="A11" s="105" t="s">
        <v>152</v>
      </c>
      <c r="B11" s="8">
        <v>482893</v>
      </c>
      <c r="C11" s="8">
        <v>418000</v>
      </c>
      <c r="D11" s="8">
        <v>794000</v>
      </c>
      <c r="E11" s="8">
        <v>796000</v>
      </c>
      <c r="F11" s="8">
        <v>1575000</v>
      </c>
      <c r="G11" s="8">
        <v>979000</v>
      </c>
      <c r="H11" s="8">
        <v>1826000</v>
      </c>
      <c r="I11" s="8">
        <v>2605000</v>
      </c>
      <c r="J11" s="8">
        <v>5159000</v>
      </c>
      <c r="K11" s="8">
        <v>5282000</v>
      </c>
      <c r="L11" s="332">
        <f>K11*(1+0.03)</f>
        <v>5440460</v>
      </c>
      <c r="M11" s="332">
        <f>L11*(1+0.03)</f>
        <v>5603673.7999999998</v>
      </c>
      <c r="N11" s="332">
        <f>M11*(1+0.03)</f>
        <v>5771784.0139999995</v>
      </c>
      <c r="O11" s="333">
        <f>N11*(1+0.15)</f>
        <v>6637551.6160999993</v>
      </c>
      <c r="P11" s="333">
        <f>O11*(1+0.25)</f>
        <v>8296939.5201249989</v>
      </c>
      <c r="Q11" s="333">
        <f>P11*(1+0.25)</f>
        <v>10371174.400156248</v>
      </c>
    </row>
    <row r="12" spans="1:24" x14ac:dyDescent="0.15">
      <c r="A12" s="105" t="s">
        <v>153</v>
      </c>
      <c r="B12" s="8">
        <v>63254</v>
      </c>
      <c r="C12" s="9" t="s">
        <v>154</v>
      </c>
      <c r="D12" s="9" t="s">
        <v>154</v>
      </c>
      <c r="E12" s="9" t="s">
        <v>154</v>
      </c>
      <c r="F12" s="9" t="s">
        <v>154</v>
      </c>
      <c r="G12" s="9" t="s">
        <v>154</v>
      </c>
      <c r="H12" s="9" t="s">
        <v>154</v>
      </c>
      <c r="I12" s="9" t="s">
        <v>154</v>
      </c>
      <c r="J12" s="9" t="s">
        <v>154</v>
      </c>
      <c r="K12" s="9" t="s">
        <v>154</v>
      </c>
      <c r="L12" s="334">
        <v>0</v>
      </c>
      <c r="M12" s="334">
        <v>0</v>
      </c>
      <c r="N12" s="334">
        <v>0</v>
      </c>
      <c r="O12" s="334">
        <v>0</v>
      </c>
      <c r="P12" s="334">
        <v>0</v>
      </c>
      <c r="Q12" s="334">
        <v>0</v>
      </c>
    </row>
    <row r="13" spans="1:24" x14ac:dyDescent="0.15">
      <c r="A13" s="105" t="s">
        <v>155</v>
      </c>
      <c r="B13" s="8">
        <v>70174</v>
      </c>
      <c r="C13" s="8">
        <v>93000</v>
      </c>
      <c r="D13" s="8">
        <v>118000</v>
      </c>
      <c r="E13" s="8">
        <v>86000</v>
      </c>
      <c r="F13" s="8">
        <v>136000</v>
      </c>
      <c r="G13" s="8">
        <v>157000</v>
      </c>
      <c r="H13" s="8">
        <v>239000</v>
      </c>
      <c r="I13" s="8">
        <v>366000</v>
      </c>
      <c r="J13" s="8">
        <v>791000</v>
      </c>
      <c r="K13" s="8">
        <v>3080000</v>
      </c>
      <c r="L13" s="267">
        <f>K13*(1+0.7)</f>
        <v>5236000</v>
      </c>
      <c r="M13" s="267">
        <f>L13*(1+0.7)</f>
        <v>8901200</v>
      </c>
      <c r="N13" s="267">
        <f>M13*(1+0.7)</f>
        <v>15132040</v>
      </c>
      <c r="O13" s="267">
        <f>N13*(1+0.5)</f>
        <v>22698060</v>
      </c>
      <c r="P13" s="267">
        <f>O13*(1+0.4)</f>
        <v>31777283.999999996</v>
      </c>
      <c r="Q13" s="267">
        <f>P13*(1+0.4)</f>
        <v>44488197.599999994</v>
      </c>
    </row>
    <row r="14" spans="1:24" x14ac:dyDescent="0.15">
      <c r="A14" s="60" t="s">
        <v>47</v>
      </c>
      <c r="B14" s="13">
        <v>5713297</v>
      </c>
      <c r="C14" s="13">
        <v>6053000</v>
      </c>
      <c r="D14" s="13">
        <v>8536000</v>
      </c>
      <c r="E14" s="13">
        <v>9255000</v>
      </c>
      <c r="F14" s="13">
        <v>10557000</v>
      </c>
      <c r="G14" s="13">
        <v>13690000</v>
      </c>
      <c r="H14" s="13">
        <v>16055000</v>
      </c>
      <c r="I14" s="13">
        <v>28829000</v>
      </c>
      <c r="J14" s="13">
        <v>23073000</v>
      </c>
      <c r="K14" s="13">
        <v>44345000</v>
      </c>
      <c r="L14" s="263">
        <f t="shared" ref="L14:Q14" si="3">L9+SUM(L10:L13)</f>
        <v>90482498</v>
      </c>
      <c r="M14" s="263">
        <f t="shared" si="3"/>
        <v>164949172.03333336</v>
      </c>
      <c r="N14" s="263">
        <f t="shared" si="3"/>
        <v>287378857.87066668</v>
      </c>
      <c r="O14" s="263">
        <f t="shared" si="3"/>
        <v>462108626.19176668</v>
      </c>
      <c r="P14" s="263">
        <f t="shared" si="3"/>
        <v>673829632.68669176</v>
      </c>
      <c r="Q14" s="263">
        <f t="shared" si="3"/>
        <v>936894423.48337972</v>
      </c>
      <c r="R14" s="25"/>
      <c r="S14" s="25"/>
      <c r="T14" s="25"/>
      <c r="U14" s="25"/>
      <c r="V14" s="25"/>
      <c r="W14" s="25"/>
      <c r="X14" s="25"/>
    </row>
    <row r="15" spans="1:24" x14ac:dyDescent="0.15">
      <c r="A15" s="105" t="s">
        <v>48</v>
      </c>
      <c r="B15" s="8">
        <v>1179257</v>
      </c>
      <c r="C15" s="8">
        <v>1100000</v>
      </c>
      <c r="D15" s="8">
        <v>1191000</v>
      </c>
      <c r="E15" s="8">
        <v>1737000</v>
      </c>
      <c r="F15" s="8">
        <v>2171000</v>
      </c>
      <c r="G15" s="8">
        <v>2685000</v>
      </c>
      <c r="H15" s="8">
        <v>3557000</v>
      </c>
      <c r="I15" s="8">
        <v>4681000</v>
      </c>
      <c r="J15" s="8">
        <v>6501000</v>
      </c>
      <c r="K15" s="8">
        <v>7423000</v>
      </c>
      <c r="L15" s="267">
        <f t="shared" ref="L15:Q15" si="4">K15*(1+0.35)</f>
        <v>10021050</v>
      </c>
      <c r="M15" s="267">
        <f t="shared" si="4"/>
        <v>13528417.5</v>
      </c>
      <c r="N15" s="267">
        <f t="shared" si="4"/>
        <v>18263363.625</v>
      </c>
      <c r="O15" s="267">
        <f t="shared" si="4"/>
        <v>24655540.893750001</v>
      </c>
      <c r="P15" s="267">
        <f t="shared" si="4"/>
        <v>33284980.206562504</v>
      </c>
      <c r="Q15" s="267">
        <f t="shared" si="4"/>
        <v>44934723.278859384</v>
      </c>
    </row>
    <row r="16" spans="1:24" x14ac:dyDescent="0.15">
      <c r="A16" s="105" t="s">
        <v>49</v>
      </c>
      <c r="B16" s="8">
        <v>621975</v>
      </c>
      <c r="C16" s="8">
        <v>634000</v>
      </c>
      <c r="D16" s="8">
        <v>670000</v>
      </c>
      <c r="E16" s="8">
        <v>740000</v>
      </c>
      <c r="F16" s="8">
        <v>767000</v>
      </c>
      <c r="G16" s="8">
        <v>1011000</v>
      </c>
      <c r="H16" s="8">
        <v>1408000</v>
      </c>
      <c r="I16" s="8">
        <v>1903000</v>
      </c>
      <c r="J16" s="8">
        <v>2694000</v>
      </c>
      <c r="K16" s="8">
        <v>3509000</v>
      </c>
      <c r="L16" s="267">
        <f t="shared" ref="L16:Q16" si="5">L15-L17</f>
        <v>-9903622.0656676218</v>
      </c>
      <c r="M16" s="267">
        <f t="shared" si="5"/>
        <v>-16358590.598501433</v>
      </c>
      <c r="N16" s="267">
        <f t="shared" si="5"/>
        <v>-26567148.522752151</v>
      </c>
      <c r="O16" s="267">
        <f t="shared" si="5"/>
        <v>-40348701.72049062</v>
      </c>
      <c r="P16" s="267">
        <f t="shared" si="5"/>
        <v>-57720959.453374356</v>
      </c>
      <c r="Q16" s="267">
        <f t="shared" si="5"/>
        <v>-82473592.245052218</v>
      </c>
    </row>
    <row r="17" spans="1:24" x14ac:dyDescent="0.15">
      <c r="A17" s="61" t="s">
        <v>50</v>
      </c>
      <c r="B17" s="11">
        <v>557282</v>
      </c>
      <c r="C17" s="11">
        <v>466000</v>
      </c>
      <c r="D17" s="11">
        <v>521000</v>
      </c>
      <c r="E17" s="11">
        <v>997000</v>
      </c>
      <c r="F17" s="11">
        <v>1404000</v>
      </c>
      <c r="G17" s="11">
        <v>1674000</v>
      </c>
      <c r="H17" s="11">
        <v>2149000</v>
      </c>
      <c r="I17" s="11">
        <v>2778000</v>
      </c>
      <c r="J17" s="11">
        <v>3807000</v>
      </c>
      <c r="K17" s="11">
        <v>3914000</v>
      </c>
      <c r="L17" s="256">
        <f>'Quarterly BS'!Q18-L36/3</f>
        <v>19924672.065667622</v>
      </c>
      <c r="M17" s="257">
        <f>L17*(1+0.5)</f>
        <v>29887008.098501433</v>
      </c>
      <c r="N17" s="257">
        <f>M17*(1+0.5)</f>
        <v>44830512.147752151</v>
      </c>
      <c r="O17" s="257">
        <f>N17*(1+0.45)</f>
        <v>65004242.614240617</v>
      </c>
      <c r="P17" s="257">
        <f>O17*(1+0.4)</f>
        <v>91005939.65993686</v>
      </c>
      <c r="Q17" s="257">
        <f>P17*(1+0.4)</f>
        <v>127408315.5239116</v>
      </c>
    </row>
    <row r="18" spans="1:24" x14ac:dyDescent="0.15">
      <c r="A18" s="105" t="s">
        <v>156</v>
      </c>
      <c r="B18" s="9" t="s">
        <v>154</v>
      </c>
      <c r="C18" s="9" t="s">
        <v>154</v>
      </c>
      <c r="D18" s="9" t="s">
        <v>154</v>
      </c>
      <c r="E18" s="9" t="s">
        <v>154</v>
      </c>
      <c r="F18" s="9" t="s">
        <v>154</v>
      </c>
      <c r="G18" s="9" t="s">
        <v>154</v>
      </c>
      <c r="H18" s="9" t="s">
        <v>154</v>
      </c>
      <c r="I18" s="8">
        <v>266000</v>
      </c>
      <c r="J18" s="8">
        <v>299000</v>
      </c>
      <c r="K18" s="9" t="s">
        <v>154</v>
      </c>
      <c r="L18" s="335">
        <v>0</v>
      </c>
      <c r="M18" s="335">
        <v>0</v>
      </c>
      <c r="N18" s="335">
        <v>0</v>
      </c>
      <c r="O18" s="335">
        <v>0</v>
      </c>
      <c r="P18" s="335">
        <v>0</v>
      </c>
      <c r="Q18" s="335">
        <v>0</v>
      </c>
    </row>
    <row r="19" spans="1:24" x14ac:dyDescent="0.15">
      <c r="A19" s="105" t="s">
        <v>157</v>
      </c>
      <c r="B19" s="8">
        <v>839893</v>
      </c>
      <c r="C19" s="8">
        <v>784000</v>
      </c>
      <c r="D19" s="8">
        <v>722000</v>
      </c>
      <c r="E19" s="8">
        <v>670000</v>
      </c>
      <c r="F19" s="8">
        <v>663000</v>
      </c>
      <c r="G19" s="8">
        <v>667000</v>
      </c>
      <c r="H19" s="8">
        <v>6930000</v>
      </c>
      <c r="I19" s="8">
        <v>6688000</v>
      </c>
      <c r="J19" s="8">
        <v>6048000</v>
      </c>
      <c r="K19" s="8">
        <v>5542000</v>
      </c>
      <c r="L19" s="332">
        <f t="shared" ref="L19:Q19" si="6">K19*(1+0.02)</f>
        <v>5652840</v>
      </c>
      <c r="M19" s="332">
        <f t="shared" si="6"/>
        <v>5765896.7999999998</v>
      </c>
      <c r="N19" s="332">
        <f t="shared" si="6"/>
        <v>5881214.7359999996</v>
      </c>
      <c r="O19" s="332">
        <f t="shared" si="6"/>
        <v>5998839.0307199992</v>
      </c>
      <c r="P19" s="332">
        <f t="shared" si="6"/>
        <v>6118815.8113343995</v>
      </c>
      <c r="Q19" s="332">
        <f t="shared" si="6"/>
        <v>6241192.1275610877</v>
      </c>
    </row>
    <row r="20" spans="1:24" x14ac:dyDescent="0.15">
      <c r="A20" s="105" t="s">
        <v>158</v>
      </c>
      <c r="B20" s="9" t="s">
        <v>154</v>
      </c>
      <c r="C20" s="9" t="s">
        <v>154</v>
      </c>
      <c r="D20" s="9" t="s">
        <v>154</v>
      </c>
      <c r="E20" s="9" t="s">
        <v>154</v>
      </c>
      <c r="F20" s="9" t="s">
        <v>154</v>
      </c>
      <c r="G20" s="9" t="s">
        <v>154</v>
      </c>
      <c r="H20" s="9" t="s">
        <v>154</v>
      </c>
      <c r="I20" s="8">
        <v>2156000</v>
      </c>
      <c r="J20" s="8">
        <v>3376000</v>
      </c>
      <c r="K20" s="9" t="s">
        <v>154</v>
      </c>
      <c r="L20" s="335">
        <v>0</v>
      </c>
      <c r="M20" s="335">
        <v>0</v>
      </c>
      <c r="N20" s="335">
        <v>0</v>
      </c>
      <c r="O20" s="335">
        <v>0</v>
      </c>
      <c r="P20" s="335">
        <v>0</v>
      </c>
      <c r="Q20" s="335">
        <v>0</v>
      </c>
    </row>
    <row r="21" spans="1:24" x14ac:dyDescent="0.15">
      <c r="A21" s="105" t="s">
        <v>159</v>
      </c>
      <c r="B21" s="9" t="s">
        <v>154</v>
      </c>
      <c r="C21" s="9" t="s">
        <v>154</v>
      </c>
      <c r="D21" s="9" t="s">
        <v>154</v>
      </c>
      <c r="E21" s="9" t="s">
        <v>154</v>
      </c>
      <c r="F21" s="9" t="s">
        <v>154</v>
      </c>
      <c r="G21" s="8">
        <v>548000</v>
      </c>
      <c r="H21" s="8">
        <v>806000</v>
      </c>
      <c r="I21" s="8">
        <v>1222000</v>
      </c>
      <c r="J21" s="8">
        <v>3396000</v>
      </c>
      <c r="K21" s="8">
        <v>6081000</v>
      </c>
      <c r="L21" s="268">
        <f>'Projected IS'!L9*(0.08)</f>
        <v>10293280</v>
      </c>
      <c r="M21" s="268">
        <f>'Projected IS'!M9*(0.08)</f>
        <v>13394985.934230154</v>
      </c>
      <c r="N21" s="268">
        <f>'Projected IS'!N9*(0.08)</f>
        <v>17431338.521659147</v>
      </c>
      <c r="O21" s="268">
        <f>'Projected IS'!O9*(0.05)</f>
        <v>12536036.329365255</v>
      </c>
      <c r="P21" s="268">
        <f>'Projected IS'!P9*(0.05)</f>
        <v>13795210.543820933</v>
      </c>
      <c r="Q21" s="268">
        <f>'Projected IS'!Q9*(0.05)</f>
        <v>15180861.713248098</v>
      </c>
    </row>
    <row r="22" spans="1:24" x14ac:dyDescent="0.15">
      <c r="A22" s="105" t="s">
        <v>51</v>
      </c>
      <c r="B22" s="8">
        <v>90896</v>
      </c>
      <c r="C22" s="8">
        <v>67000</v>
      </c>
      <c r="D22" s="8">
        <v>62000</v>
      </c>
      <c r="E22" s="8">
        <v>319000</v>
      </c>
      <c r="F22" s="8">
        <v>668000</v>
      </c>
      <c r="G22" s="8">
        <v>736000</v>
      </c>
      <c r="H22" s="8">
        <v>2851000</v>
      </c>
      <c r="I22" s="8">
        <v>2248000</v>
      </c>
      <c r="J22" s="8">
        <v>1183000</v>
      </c>
      <c r="K22" s="8">
        <v>5846000</v>
      </c>
      <c r="L22" s="267">
        <f>K22*(1+0.7)</f>
        <v>9938200</v>
      </c>
      <c r="M22" s="267">
        <f>L22*(1+0.7)</f>
        <v>16894940</v>
      </c>
      <c r="N22" s="267">
        <f>M22*(1+0.5)</f>
        <v>25342410</v>
      </c>
      <c r="O22" s="267">
        <f>N22*(1+0.4)</f>
        <v>35479374</v>
      </c>
      <c r="P22" s="267">
        <f>O22*(1+0.4)</f>
        <v>49671123.599999994</v>
      </c>
      <c r="Q22" s="267">
        <f>P22*(1+0.2)</f>
        <v>59605348.319999993</v>
      </c>
    </row>
    <row r="23" spans="1:24" x14ac:dyDescent="0.15">
      <c r="A23" s="60" t="s">
        <v>53</v>
      </c>
      <c r="B23" s="13">
        <v>7201368</v>
      </c>
      <c r="C23" s="13">
        <v>7370000</v>
      </c>
      <c r="D23" s="13">
        <v>9841000</v>
      </c>
      <c r="E23" s="13">
        <v>11241000</v>
      </c>
      <c r="F23" s="13">
        <v>13292000</v>
      </c>
      <c r="G23" s="13">
        <v>17315000</v>
      </c>
      <c r="H23" s="13">
        <v>28791000</v>
      </c>
      <c r="I23" s="13">
        <v>44187000</v>
      </c>
      <c r="J23" s="13">
        <v>41182000</v>
      </c>
      <c r="K23" s="13">
        <v>65728000</v>
      </c>
      <c r="L23" s="260">
        <f t="shared" ref="L23:Q23" si="7">L14+L17+SUM(L18:L22)</f>
        <v>136291490.06566763</v>
      </c>
      <c r="M23" s="260">
        <f t="shared" si="7"/>
        <v>230892002.86606497</v>
      </c>
      <c r="N23" s="260">
        <f t="shared" si="7"/>
        <v>380864333.27607799</v>
      </c>
      <c r="O23" s="260">
        <f t="shared" si="7"/>
        <v>581127118.16609251</v>
      </c>
      <c r="P23" s="260">
        <f t="shared" si="7"/>
        <v>834420722.30178404</v>
      </c>
      <c r="Q23" s="260">
        <f t="shared" si="7"/>
        <v>1145330141.1681006</v>
      </c>
      <c r="R23" s="25">
        <f t="shared" ref="R23:X23" si="8">K23/J23-1</f>
        <v>0.59603710358894668</v>
      </c>
      <c r="S23" s="25">
        <f t="shared" si="8"/>
        <v>1.0735681911159265</v>
      </c>
      <c r="T23" s="25">
        <f t="shared" si="8"/>
        <v>0.69410432562456514</v>
      </c>
      <c r="U23" s="25">
        <f t="shared" si="8"/>
        <v>0.64953453800220373</v>
      </c>
      <c r="V23" s="25">
        <f t="shared" si="8"/>
        <v>0.52581133856093998</v>
      </c>
      <c r="W23" s="25">
        <f t="shared" si="8"/>
        <v>0.43586608887747236</v>
      </c>
      <c r="X23" s="25">
        <f t="shared" si="8"/>
        <v>0.37260510262575952</v>
      </c>
    </row>
    <row r="24" spans="1:24" x14ac:dyDescent="0.15">
      <c r="A24" s="61"/>
      <c r="B24" s="11"/>
      <c r="C24" s="11"/>
      <c r="D24" s="11"/>
      <c r="E24" s="11"/>
      <c r="F24" s="11"/>
      <c r="G24" s="11"/>
      <c r="H24" s="11"/>
      <c r="I24" s="11"/>
      <c r="J24" s="11"/>
      <c r="K24" s="11"/>
      <c r="L24" s="331">
        <f t="shared" ref="L24:Q24" si="9">L23-L35-L44</f>
        <v>6.5667629241943359E-2</v>
      </c>
      <c r="M24" s="331">
        <f t="shared" si="9"/>
        <v>1.8905282020568848E-2</v>
      </c>
      <c r="N24" s="331">
        <f t="shared" si="9"/>
        <v>0.27375608682632446</v>
      </c>
      <c r="O24" s="331">
        <f t="shared" si="9"/>
        <v>-2.8128385543823242E-2</v>
      </c>
      <c r="P24" s="331">
        <f t="shared" si="9"/>
        <v>0.43967390060424805</v>
      </c>
      <c r="Q24" s="331">
        <f t="shared" si="9"/>
        <v>0.4431149959564209</v>
      </c>
    </row>
    <row r="25" spans="1:24" x14ac:dyDescent="0.15">
      <c r="A25" s="61" t="s">
        <v>160</v>
      </c>
      <c r="B25" s="11">
        <v>573315</v>
      </c>
      <c r="C25" s="11">
        <v>587000</v>
      </c>
      <c r="D25" s="11">
        <v>861000</v>
      </c>
      <c r="E25" s="11">
        <v>1008000</v>
      </c>
      <c r="F25" s="11">
        <v>1051000</v>
      </c>
      <c r="G25" s="11">
        <v>1334000</v>
      </c>
      <c r="H25" s="11">
        <v>2128000</v>
      </c>
      <c r="I25" s="11">
        <v>3192000</v>
      </c>
      <c r="J25" s="11">
        <v>2919000</v>
      </c>
      <c r="K25" s="11">
        <v>7496000</v>
      </c>
      <c r="L25" s="256">
        <f t="shared" ref="L25:Q25" si="10">L26+L27</f>
        <v>14992000</v>
      </c>
      <c r="M25" s="256">
        <f t="shared" si="10"/>
        <v>29984000</v>
      </c>
      <c r="N25" s="256">
        <f t="shared" si="10"/>
        <v>59968000</v>
      </c>
      <c r="O25" s="256">
        <f t="shared" si="10"/>
        <v>99546000</v>
      </c>
      <c r="P25" s="256">
        <f t="shared" si="10"/>
        <v>149319000</v>
      </c>
      <c r="Q25" s="256">
        <f t="shared" si="10"/>
        <v>223978500</v>
      </c>
    </row>
    <row r="26" spans="1:24" x14ac:dyDescent="0.15">
      <c r="A26" s="105" t="s">
        <v>161</v>
      </c>
      <c r="B26" s="8">
        <v>293223</v>
      </c>
      <c r="C26" s="8">
        <v>296000</v>
      </c>
      <c r="D26" s="8">
        <v>485000</v>
      </c>
      <c r="E26" s="8">
        <v>596000</v>
      </c>
      <c r="F26" s="8">
        <v>511000</v>
      </c>
      <c r="G26" s="8">
        <v>687000</v>
      </c>
      <c r="H26" s="8">
        <v>1201000</v>
      </c>
      <c r="I26" s="8">
        <v>1783000</v>
      </c>
      <c r="J26" s="8">
        <v>1193000</v>
      </c>
      <c r="K26" s="8">
        <v>2699000</v>
      </c>
      <c r="L26" s="332">
        <f t="shared" ref="L26:N27" si="11">K26*(1+1)</f>
        <v>5398000</v>
      </c>
      <c r="M26" s="332">
        <f t="shared" si="11"/>
        <v>10796000</v>
      </c>
      <c r="N26" s="332">
        <f t="shared" si="11"/>
        <v>21592000</v>
      </c>
      <c r="O26" s="336">
        <f>N26*(1+0.5)</f>
        <v>32388000</v>
      </c>
      <c r="P26" s="336">
        <f>O26*(1+0.5)</f>
        <v>48582000</v>
      </c>
      <c r="Q26" s="336">
        <f>P26*(1+0.5)</f>
        <v>72873000</v>
      </c>
    </row>
    <row r="27" spans="1:24" x14ac:dyDescent="0.15">
      <c r="A27" s="105" t="s">
        <v>162</v>
      </c>
      <c r="B27" s="8">
        <v>280092</v>
      </c>
      <c r="C27" s="8">
        <v>291000</v>
      </c>
      <c r="D27" s="8">
        <v>376000</v>
      </c>
      <c r="E27" s="8">
        <v>412000</v>
      </c>
      <c r="F27" s="8">
        <v>540000</v>
      </c>
      <c r="G27" s="8">
        <v>647000</v>
      </c>
      <c r="H27" s="8">
        <v>927000</v>
      </c>
      <c r="I27" s="8">
        <v>1409000</v>
      </c>
      <c r="J27" s="8">
        <v>1726000</v>
      </c>
      <c r="K27" s="8">
        <v>4797000</v>
      </c>
      <c r="L27" s="332">
        <f t="shared" si="11"/>
        <v>9594000</v>
      </c>
      <c r="M27" s="332">
        <f t="shared" si="11"/>
        <v>19188000</v>
      </c>
      <c r="N27" s="332">
        <f t="shared" si="11"/>
        <v>38376000</v>
      </c>
      <c r="O27" s="332">
        <f>N27*(1+0.75)</f>
        <v>67158000</v>
      </c>
      <c r="P27" s="332">
        <f>O27*(1+0.5)</f>
        <v>100737000</v>
      </c>
      <c r="Q27" s="332">
        <f>P27*(1+0.5)</f>
        <v>151105500</v>
      </c>
    </row>
    <row r="28" spans="1:24" x14ac:dyDescent="0.15">
      <c r="A28" s="105" t="s">
        <v>163</v>
      </c>
      <c r="B28" s="9" t="s">
        <v>154</v>
      </c>
      <c r="C28" s="8">
        <v>1413000</v>
      </c>
      <c r="D28" s="8">
        <v>796000</v>
      </c>
      <c r="E28" s="8">
        <v>15000</v>
      </c>
      <c r="F28" s="9" t="s">
        <v>154</v>
      </c>
      <c r="G28" s="9" t="s">
        <v>154</v>
      </c>
      <c r="H28" s="8">
        <v>999000</v>
      </c>
      <c r="I28" s="9" t="s">
        <v>154</v>
      </c>
      <c r="J28" s="8">
        <v>1250000</v>
      </c>
      <c r="K28" s="8">
        <v>1250000</v>
      </c>
      <c r="L28" s="332">
        <f>K28</f>
        <v>1250000</v>
      </c>
      <c r="M28" s="332">
        <f>L28</f>
        <v>1250000</v>
      </c>
      <c r="N28" s="332">
        <f>M28</f>
        <v>1250000</v>
      </c>
      <c r="O28" s="332">
        <f>N28*(1+1)</f>
        <v>2500000</v>
      </c>
      <c r="P28" s="332">
        <f>O28</f>
        <v>2500000</v>
      </c>
      <c r="Q28" s="332">
        <f>P28</f>
        <v>2500000</v>
      </c>
    </row>
    <row r="29" spans="1:24" x14ac:dyDescent="0.15">
      <c r="A29" s="105" t="s">
        <v>164</v>
      </c>
      <c r="B29" s="8">
        <v>322715</v>
      </c>
      <c r="C29" s="8">
        <v>351000</v>
      </c>
      <c r="D29" s="8">
        <v>131000</v>
      </c>
      <c r="E29" s="8">
        <v>130000</v>
      </c>
      <c r="F29" s="8">
        <v>278000</v>
      </c>
      <c r="G29" s="8">
        <v>450000</v>
      </c>
      <c r="H29" s="8">
        <v>798000</v>
      </c>
      <c r="I29" s="8">
        <v>1143000</v>
      </c>
      <c r="J29" s="8">
        <v>2394000</v>
      </c>
      <c r="K29" s="8">
        <v>1885000</v>
      </c>
      <c r="L29" s="267">
        <f>K29*(1+0.25)</f>
        <v>2356250</v>
      </c>
      <c r="M29" s="267">
        <f>L29*(1+0.3)+M46/2</f>
        <v>5486955.5</v>
      </c>
      <c r="N29" s="267">
        <f>M29*(1+0.35)+N46/2</f>
        <v>19003729.925000001</v>
      </c>
      <c r="O29" s="267">
        <f>N29*(1+0.4)+O46/2</f>
        <v>49380325.894999996</v>
      </c>
      <c r="P29" s="267">
        <f>O29*(1+0.45)+P46/2</f>
        <v>104896989.04775</v>
      </c>
      <c r="Q29" s="267">
        <f>P29*(1+0.5)+Q46/2</f>
        <v>196516679.07162499</v>
      </c>
    </row>
    <row r="30" spans="1:24" x14ac:dyDescent="0.15">
      <c r="A30" s="60" t="s">
        <v>56</v>
      </c>
      <c r="B30" s="13">
        <v>896030</v>
      </c>
      <c r="C30" s="13">
        <v>2351000</v>
      </c>
      <c r="D30" s="13">
        <v>1788000</v>
      </c>
      <c r="E30" s="13">
        <v>1153000</v>
      </c>
      <c r="F30" s="13">
        <v>1329000</v>
      </c>
      <c r="G30" s="13">
        <v>1784000</v>
      </c>
      <c r="H30" s="13">
        <v>3925000</v>
      </c>
      <c r="I30" s="13">
        <v>4335000</v>
      </c>
      <c r="J30" s="13">
        <v>6563000</v>
      </c>
      <c r="K30" s="13">
        <v>10631000</v>
      </c>
      <c r="L30" s="260">
        <f t="shared" ref="L30:Q30" si="12">SUM(L26:L29)</f>
        <v>18598250</v>
      </c>
      <c r="M30" s="260">
        <f t="shared" si="12"/>
        <v>36720955.5</v>
      </c>
      <c r="N30" s="260">
        <f t="shared" si="12"/>
        <v>80221729.924999997</v>
      </c>
      <c r="O30" s="260">
        <f t="shared" si="12"/>
        <v>151426325.89499998</v>
      </c>
      <c r="P30" s="260">
        <f t="shared" si="12"/>
        <v>256715989.04775</v>
      </c>
      <c r="Q30" s="260">
        <f t="shared" si="12"/>
        <v>422995179.07162499</v>
      </c>
    </row>
    <row r="31" spans="1:24" x14ac:dyDescent="0.15">
      <c r="A31" s="105" t="s">
        <v>165</v>
      </c>
      <c r="B31" s="8">
        <v>1398428</v>
      </c>
      <c r="C31" s="8">
        <v>10000</v>
      </c>
      <c r="D31" s="8">
        <v>1989000</v>
      </c>
      <c r="E31" s="8">
        <v>1985000</v>
      </c>
      <c r="F31" s="8">
        <v>1988000</v>
      </c>
      <c r="G31" s="8">
        <v>1991000</v>
      </c>
      <c r="H31" s="8">
        <v>5964000</v>
      </c>
      <c r="I31" s="8">
        <v>10946000</v>
      </c>
      <c r="J31" s="8">
        <v>9703000</v>
      </c>
      <c r="K31" s="8">
        <v>8459000</v>
      </c>
      <c r="L31" s="332">
        <f>K31*(1-0.1)</f>
        <v>7613100</v>
      </c>
      <c r="M31" s="332">
        <f>L31*(1-0.1)</f>
        <v>6851790</v>
      </c>
      <c r="N31" s="332">
        <f>M31*(1-0.1)</f>
        <v>6166611</v>
      </c>
      <c r="O31" s="332">
        <f>N31*(1+2)</f>
        <v>18499833</v>
      </c>
      <c r="P31" s="332">
        <f>O31*(1-0.1)</f>
        <v>16649849.700000001</v>
      </c>
      <c r="Q31" s="332">
        <f>P31*(1-0.1)</f>
        <v>14984864.73</v>
      </c>
    </row>
    <row r="32" spans="1:24" x14ac:dyDescent="0.15">
      <c r="A32" s="105" t="s">
        <v>166</v>
      </c>
      <c r="B32" s="8">
        <v>340145</v>
      </c>
      <c r="C32" s="8">
        <v>345000</v>
      </c>
      <c r="D32" s="8">
        <v>145000</v>
      </c>
      <c r="E32" s="8">
        <v>33000</v>
      </c>
      <c r="F32" s="8">
        <v>65000</v>
      </c>
      <c r="G32" s="8">
        <v>89000</v>
      </c>
      <c r="H32" s="8">
        <v>404000</v>
      </c>
      <c r="I32" s="8">
        <v>447000</v>
      </c>
      <c r="J32" s="8">
        <v>465000</v>
      </c>
      <c r="K32" s="8">
        <v>1035000</v>
      </c>
      <c r="L32" s="332">
        <f t="shared" ref="L32:Q32" si="13">K32*(1+0.01)</f>
        <v>1045350</v>
      </c>
      <c r="M32" s="332">
        <f t="shared" si="13"/>
        <v>1055803.5</v>
      </c>
      <c r="N32" s="332">
        <f t="shared" si="13"/>
        <v>1066361.5349999999</v>
      </c>
      <c r="O32" s="332">
        <f t="shared" si="13"/>
        <v>1077025.15035</v>
      </c>
      <c r="P32" s="332">
        <f t="shared" si="13"/>
        <v>1087795.4018534999</v>
      </c>
      <c r="Q32" s="332">
        <f t="shared" si="13"/>
        <v>1098673.355872035</v>
      </c>
    </row>
    <row r="33" spans="1:24" x14ac:dyDescent="0.15">
      <c r="A33" s="105" t="s">
        <v>167</v>
      </c>
      <c r="B33" s="8">
        <v>0</v>
      </c>
      <c r="C33" s="8">
        <v>0</v>
      </c>
      <c r="D33" s="8">
        <v>0</v>
      </c>
      <c r="E33" s="8">
        <v>0</v>
      </c>
      <c r="F33" s="8">
        <v>0</v>
      </c>
      <c r="G33" s="8">
        <v>0</v>
      </c>
      <c r="H33" s="8">
        <v>0</v>
      </c>
      <c r="I33" s="8">
        <v>0</v>
      </c>
      <c r="J33" s="8">
        <v>0</v>
      </c>
      <c r="K33" s="8">
        <v>0</v>
      </c>
      <c r="L33" s="335">
        <v>0</v>
      </c>
      <c r="M33" s="335">
        <v>0</v>
      </c>
      <c r="N33" s="335">
        <v>0</v>
      </c>
      <c r="O33" s="335">
        <v>0</v>
      </c>
      <c r="P33" s="335">
        <v>0</v>
      </c>
      <c r="Q33" s="335">
        <v>0</v>
      </c>
    </row>
    <row r="34" spans="1:24" x14ac:dyDescent="0.15">
      <c r="A34" s="105" t="s">
        <v>168</v>
      </c>
      <c r="B34" s="8">
        <v>148783</v>
      </c>
      <c r="C34" s="8">
        <v>108000</v>
      </c>
      <c r="D34" s="8">
        <v>126000</v>
      </c>
      <c r="E34" s="8">
        <v>599000</v>
      </c>
      <c r="F34" s="8">
        <v>568000</v>
      </c>
      <c r="G34" s="8">
        <v>1247000</v>
      </c>
      <c r="H34" s="8">
        <v>1605000</v>
      </c>
      <c r="I34" s="8">
        <v>1847000</v>
      </c>
      <c r="J34" s="8">
        <v>2350000</v>
      </c>
      <c r="K34" s="8">
        <v>2625000</v>
      </c>
      <c r="L34" s="268">
        <f>'Quarterly BS'!L35*(1+0.01)</f>
        <v>4426830</v>
      </c>
      <c r="M34" s="333">
        <f>L34*(1+0.15)+M46/2</f>
        <v>7514685</v>
      </c>
      <c r="N34" s="333">
        <f>M34*(1+0.15)++N46/2</f>
        <v>20238227.75</v>
      </c>
      <c r="O34" s="333">
        <f>N34*(1+0.15)+O46/2</f>
        <v>46049065.912499994</v>
      </c>
      <c r="P34" s="333">
        <f>O34*(1+0.15)+P46/2</f>
        <v>86251942.299374998</v>
      </c>
      <c r="Q34" s="333">
        <f>P34*(1+0.15)+Q46/2</f>
        <v>138360929.14428124</v>
      </c>
    </row>
    <row r="35" spans="1:24" x14ac:dyDescent="0.15">
      <c r="A35" s="60" t="s">
        <v>58</v>
      </c>
      <c r="B35" s="13">
        <v>2783386</v>
      </c>
      <c r="C35" s="13">
        <v>2814000</v>
      </c>
      <c r="D35" s="13">
        <v>4048000</v>
      </c>
      <c r="E35" s="13">
        <v>3770000</v>
      </c>
      <c r="F35" s="13">
        <v>3950000</v>
      </c>
      <c r="G35" s="13">
        <v>5111000</v>
      </c>
      <c r="H35" s="13">
        <v>11898000</v>
      </c>
      <c r="I35" s="13">
        <v>17575000</v>
      </c>
      <c r="J35" s="13">
        <v>19081000</v>
      </c>
      <c r="K35" s="13">
        <v>22750000</v>
      </c>
      <c r="L35" s="260">
        <f t="shared" ref="L35:Q35" si="14">L30+SUM(L31:L34)</f>
        <v>31683530</v>
      </c>
      <c r="M35" s="260">
        <f t="shared" si="14"/>
        <v>52143234</v>
      </c>
      <c r="N35" s="260">
        <f t="shared" si="14"/>
        <v>107692930.20999999</v>
      </c>
      <c r="O35" s="260">
        <f t="shared" si="14"/>
        <v>217052249.95784998</v>
      </c>
      <c r="P35" s="260">
        <f t="shared" si="14"/>
        <v>360705576.44897848</v>
      </c>
      <c r="Q35" s="260">
        <f t="shared" si="14"/>
        <v>577439646.30177832</v>
      </c>
      <c r="R35" s="25">
        <f t="shared" ref="R35:X35" si="15">K35/J35-1</f>
        <v>0.19228551962685403</v>
      </c>
      <c r="S35" s="25">
        <f t="shared" si="15"/>
        <v>0.39268263736263731</v>
      </c>
      <c r="T35" s="25">
        <f t="shared" si="15"/>
        <v>0.64575203583691598</v>
      </c>
      <c r="U35" s="25">
        <f t="shared" si="15"/>
        <v>1.0653289400883725</v>
      </c>
      <c r="V35" s="25">
        <f t="shared" si="15"/>
        <v>1.0154735276921203</v>
      </c>
      <c r="W35" s="25">
        <f t="shared" si="15"/>
        <v>0.66183753690194402</v>
      </c>
      <c r="X35" s="25">
        <f t="shared" si="15"/>
        <v>0.60086143382220958</v>
      </c>
    </row>
    <row r="36" spans="1:24" x14ac:dyDescent="0.15">
      <c r="A36" s="61"/>
      <c r="B36" s="11"/>
      <c r="C36" s="11"/>
      <c r="D36" s="11"/>
      <c r="E36" s="11"/>
      <c r="F36" s="11"/>
      <c r="G36" s="11"/>
      <c r="H36" s="11"/>
      <c r="I36" s="11"/>
      <c r="J36" s="11"/>
      <c r="K36" s="337">
        <f>M36/3</f>
        <v>-30889388.666666668</v>
      </c>
      <c r="L36" s="328">
        <v>-41235057</v>
      </c>
      <c r="M36" s="329">
        <v>-92668166</v>
      </c>
      <c r="N36" s="329">
        <v>-156851510</v>
      </c>
      <c r="O36" s="329">
        <v>-225356086</v>
      </c>
      <c r="P36" s="329">
        <v>-284701068</v>
      </c>
      <c r="Q36" s="329">
        <v>-320238111</v>
      </c>
    </row>
    <row r="37" spans="1:24" x14ac:dyDescent="0.15">
      <c r="A37" s="105" t="s">
        <v>169</v>
      </c>
      <c r="B37" s="9" t="s">
        <v>154</v>
      </c>
      <c r="C37" s="8">
        <v>87000</v>
      </c>
      <c r="D37" s="8">
        <v>31000</v>
      </c>
      <c r="E37" s="9" t="s">
        <v>154</v>
      </c>
      <c r="F37" s="9" t="s">
        <v>154</v>
      </c>
      <c r="G37" s="9" t="s">
        <v>154</v>
      </c>
      <c r="H37" s="9" t="s">
        <v>154</v>
      </c>
      <c r="I37" s="9" t="s">
        <v>154</v>
      </c>
      <c r="J37" s="9" t="s">
        <v>154</v>
      </c>
      <c r="K37" s="9" t="s">
        <v>154</v>
      </c>
      <c r="L37" s="335">
        <v>0</v>
      </c>
      <c r="M37" s="335">
        <v>0</v>
      </c>
      <c r="N37" s="335">
        <v>0</v>
      </c>
      <c r="O37" s="335">
        <v>0</v>
      </c>
      <c r="P37" s="335">
        <v>0</v>
      </c>
      <c r="Q37" s="335">
        <v>0</v>
      </c>
    </row>
    <row r="38" spans="1:24" x14ac:dyDescent="0.15">
      <c r="A38" s="105" t="s">
        <v>170</v>
      </c>
      <c r="B38" s="8">
        <v>754</v>
      </c>
      <c r="C38" s="8">
        <v>1000</v>
      </c>
      <c r="D38" s="8">
        <v>1000</v>
      </c>
      <c r="E38" s="8">
        <v>1000</v>
      </c>
      <c r="F38" s="8">
        <v>1000</v>
      </c>
      <c r="G38" s="8">
        <v>1000</v>
      </c>
      <c r="H38" s="8">
        <v>1000</v>
      </c>
      <c r="I38" s="8">
        <v>3000</v>
      </c>
      <c r="J38" s="8">
        <v>2000</v>
      </c>
      <c r="K38" s="8">
        <v>2000</v>
      </c>
      <c r="L38" s="332">
        <f t="shared" ref="L38:Q38" si="16">K38</f>
        <v>2000</v>
      </c>
      <c r="M38" s="332">
        <f t="shared" si="16"/>
        <v>2000</v>
      </c>
      <c r="N38" s="332">
        <f t="shared" si="16"/>
        <v>2000</v>
      </c>
      <c r="O38" s="332">
        <f t="shared" si="16"/>
        <v>2000</v>
      </c>
      <c r="P38" s="332">
        <f t="shared" si="16"/>
        <v>2000</v>
      </c>
      <c r="Q38" s="332">
        <f t="shared" si="16"/>
        <v>2000</v>
      </c>
    </row>
    <row r="39" spans="1:24" x14ac:dyDescent="0.15">
      <c r="A39" s="105" t="s">
        <v>171</v>
      </c>
      <c r="B39" s="8">
        <v>3855092</v>
      </c>
      <c r="C39" s="8">
        <v>4170000</v>
      </c>
      <c r="D39" s="8">
        <v>4708000</v>
      </c>
      <c r="E39" s="8">
        <v>5351000</v>
      </c>
      <c r="F39" s="8">
        <v>6051000</v>
      </c>
      <c r="G39" s="8">
        <v>7045000</v>
      </c>
      <c r="H39" s="8">
        <v>8721000</v>
      </c>
      <c r="I39" s="8">
        <v>10385000</v>
      </c>
      <c r="J39" s="8">
        <v>11971000</v>
      </c>
      <c r="K39" s="8">
        <v>13132000</v>
      </c>
      <c r="L39" s="332">
        <f t="shared" ref="L39:Q39" si="17">K39*(1+0.15)</f>
        <v>15101799.999999998</v>
      </c>
      <c r="M39" s="332">
        <f t="shared" si="17"/>
        <v>17367069.999999996</v>
      </c>
      <c r="N39" s="332">
        <f t="shared" si="17"/>
        <v>19972130.499999993</v>
      </c>
      <c r="O39" s="332">
        <f t="shared" si="17"/>
        <v>22967950.074999988</v>
      </c>
      <c r="P39" s="332">
        <f t="shared" si="17"/>
        <v>26413142.586249985</v>
      </c>
      <c r="Q39" s="332">
        <f t="shared" si="17"/>
        <v>30375113.974187478</v>
      </c>
    </row>
    <row r="40" spans="1:24" x14ac:dyDescent="0.15">
      <c r="A40" s="105" t="s">
        <v>59</v>
      </c>
      <c r="B40" s="8">
        <v>3948877</v>
      </c>
      <c r="C40" s="8">
        <v>4350000</v>
      </c>
      <c r="D40" s="8">
        <v>6108000</v>
      </c>
      <c r="E40" s="8">
        <v>8787000</v>
      </c>
      <c r="F40" s="8">
        <v>12565000</v>
      </c>
      <c r="G40" s="8">
        <v>14971000</v>
      </c>
      <c r="H40" s="8">
        <v>18908000</v>
      </c>
      <c r="I40" s="8">
        <v>16235000</v>
      </c>
      <c r="J40" s="8">
        <v>10171000</v>
      </c>
      <c r="K40" s="8">
        <v>29817000</v>
      </c>
      <c r="L40" s="332">
        <f>(K40+'Projected IS'!L22)-6000000</f>
        <v>89436660</v>
      </c>
      <c r="M40" s="332">
        <f>(L40+'Projected IS'!M22)-10000000</f>
        <v>161480948.84715968</v>
      </c>
      <c r="N40" s="332">
        <f>(M40+'Projected IS'!N22)-15000000</f>
        <v>253247897.29232192</v>
      </c>
      <c r="O40" s="332">
        <f>(N40+'Projected IS'!O22)-10000000</f>
        <v>341028980.66137093</v>
      </c>
      <c r="P40" s="332">
        <f>(O40+'Projected IS'!P22)-5000000</f>
        <v>435354496.57688165</v>
      </c>
      <c r="Q40" s="332">
        <f>(P40+'Projected IS'!Q22)-5000000</f>
        <v>524475839.19901985</v>
      </c>
    </row>
    <row r="41" spans="1:24" x14ac:dyDescent="0.15">
      <c r="A41" s="105" t="s">
        <v>172</v>
      </c>
      <c r="B41" s="8">
        <v>7844</v>
      </c>
      <c r="C41" s="8">
        <v>-4000</v>
      </c>
      <c r="D41" s="8">
        <v>-16000</v>
      </c>
      <c r="E41" s="8">
        <v>-18000</v>
      </c>
      <c r="F41" s="8">
        <v>-12000</v>
      </c>
      <c r="G41" s="8">
        <v>1000</v>
      </c>
      <c r="H41" s="8">
        <v>19000</v>
      </c>
      <c r="I41" s="8">
        <v>-11000</v>
      </c>
      <c r="J41" s="8">
        <v>-43000</v>
      </c>
      <c r="K41" s="8">
        <v>27000</v>
      </c>
      <c r="L41" s="267">
        <f>K41*(1+1.5)</f>
        <v>67500</v>
      </c>
      <c r="M41" s="267">
        <f>L41*(-1.5)</f>
        <v>-101250</v>
      </c>
      <c r="N41" s="267">
        <f>M41*(0.5)</f>
        <v>-50625</v>
      </c>
      <c r="O41" s="267">
        <f>N41*(-1.5)</f>
        <v>75937.5</v>
      </c>
      <c r="P41" s="267">
        <f>O41*(1+0.5)</f>
        <v>113906.25</v>
      </c>
      <c r="Q41" s="267">
        <f>P41*(0.2)</f>
        <v>22781.25</v>
      </c>
    </row>
    <row r="42" spans="1:24" x14ac:dyDescent="0.15">
      <c r="A42" s="105" t="s">
        <v>173</v>
      </c>
      <c r="B42" s="8">
        <v>3394585</v>
      </c>
      <c r="C42" s="8">
        <v>4048000</v>
      </c>
      <c r="D42" s="8">
        <v>5039000</v>
      </c>
      <c r="E42" s="8">
        <v>6650000</v>
      </c>
      <c r="F42" s="8">
        <v>9263000</v>
      </c>
      <c r="G42" s="8">
        <v>9814000</v>
      </c>
      <c r="H42" s="8">
        <v>10756000</v>
      </c>
      <c r="I42" s="9">
        <v>0</v>
      </c>
      <c r="J42" s="9">
        <v>0</v>
      </c>
      <c r="K42" s="9">
        <v>0</v>
      </c>
      <c r="L42" s="268">
        <v>0</v>
      </c>
      <c r="M42" s="338">
        <v>0</v>
      </c>
      <c r="N42" s="338">
        <v>0</v>
      </c>
      <c r="O42" s="338">
        <v>0</v>
      </c>
      <c r="P42" s="338">
        <f>H42*(1+0.1)</f>
        <v>11831600.000000002</v>
      </c>
      <c r="Q42" s="338">
        <f>P42*(1+0.1)</f>
        <v>13014760.000000004</v>
      </c>
    </row>
    <row r="43" spans="1:24" x14ac:dyDescent="0.15">
      <c r="A43" s="105" t="s">
        <v>174</v>
      </c>
      <c r="B43" s="8">
        <v>0</v>
      </c>
      <c r="C43" s="8">
        <v>0</v>
      </c>
      <c r="D43" s="8">
        <v>0</v>
      </c>
      <c r="E43" s="8">
        <v>0</v>
      </c>
      <c r="F43" s="8">
        <v>0</v>
      </c>
      <c r="G43" s="8">
        <v>0</v>
      </c>
      <c r="H43" s="8">
        <v>0</v>
      </c>
      <c r="I43" s="8">
        <v>0</v>
      </c>
      <c r="J43" s="8">
        <v>0</v>
      </c>
      <c r="K43" s="8">
        <v>0</v>
      </c>
      <c r="L43" s="335">
        <v>0</v>
      </c>
      <c r="M43" s="335">
        <v>0</v>
      </c>
      <c r="N43" s="335">
        <v>0</v>
      </c>
      <c r="O43" s="335">
        <v>0</v>
      </c>
      <c r="P43" s="335">
        <v>0</v>
      </c>
      <c r="Q43" s="335">
        <v>0</v>
      </c>
    </row>
    <row r="44" spans="1:24" x14ac:dyDescent="0.15">
      <c r="A44" s="60" t="s">
        <v>60</v>
      </c>
      <c r="B44" s="13">
        <v>4417982</v>
      </c>
      <c r="C44" s="13">
        <v>4556000</v>
      </c>
      <c r="D44" s="13">
        <v>5793000</v>
      </c>
      <c r="E44" s="13">
        <v>7471000</v>
      </c>
      <c r="F44" s="13">
        <v>9342000</v>
      </c>
      <c r="G44" s="13">
        <v>12204000</v>
      </c>
      <c r="H44" s="13">
        <v>16893000</v>
      </c>
      <c r="I44" s="13">
        <v>26612000</v>
      </c>
      <c r="J44" s="13">
        <v>22101000</v>
      </c>
      <c r="K44" s="13">
        <v>42978000</v>
      </c>
      <c r="L44" s="260">
        <f t="shared" ref="L44:Q44" si="18">SUM(L37:L43)</f>
        <v>104607960</v>
      </c>
      <c r="M44" s="260">
        <f t="shared" si="18"/>
        <v>178748768.84715968</v>
      </c>
      <c r="N44" s="260">
        <f t="shared" si="18"/>
        <v>273171402.79232192</v>
      </c>
      <c r="O44" s="260">
        <f t="shared" si="18"/>
        <v>364074868.23637092</v>
      </c>
      <c r="P44" s="260">
        <f t="shared" si="18"/>
        <v>473715145.41313165</v>
      </c>
      <c r="Q44" s="260">
        <f t="shared" si="18"/>
        <v>567890494.42320728</v>
      </c>
      <c r="R44" s="25">
        <f t="shared" ref="R44:X44" si="19">K44/J44-1</f>
        <v>0.9446178905931859</v>
      </c>
      <c r="S44" s="25">
        <f t="shared" si="19"/>
        <v>1.4339885522825631</v>
      </c>
      <c r="T44" s="25">
        <f t="shared" si="19"/>
        <v>0.70874920844608469</v>
      </c>
      <c r="U44" s="25">
        <f t="shared" si="19"/>
        <v>0.52824214988523321</v>
      </c>
      <c r="V44" s="25">
        <f t="shared" si="19"/>
        <v>0.33277079707043211</v>
      </c>
      <c r="W44" s="25">
        <f t="shared" si="19"/>
        <v>0.30114761204988794</v>
      </c>
      <c r="X44" s="25">
        <f t="shared" si="19"/>
        <v>0.19880164255239174</v>
      </c>
    </row>
    <row r="45" spans="1:24" x14ac:dyDescent="0.15">
      <c r="A45" s="64" t="s">
        <v>61</v>
      </c>
      <c r="B45" s="65">
        <v>7201368</v>
      </c>
      <c r="C45" s="65">
        <v>7370000</v>
      </c>
      <c r="D45" s="65">
        <v>9841000</v>
      </c>
      <c r="E45" s="65">
        <v>11241000</v>
      </c>
      <c r="F45" s="65">
        <v>13292000</v>
      </c>
      <c r="G45" s="65">
        <v>17315000</v>
      </c>
      <c r="H45" s="65">
        <v>28791000</v>
      </c>
      <c r="I45" s="65">
        <v>44187000</v>
      </c>
      <c r="J45" s="65">
        <v>41182000</v>
      </c>
      <c r="K45" s="65">
        <v>65728000</v>
      </c>
      <c r="L45" s="260">
        <f t="shared" ref="L45:Q45" si="20">L44+L35</f>
        <v>136291490</v>
      </c>
      <c r="M45" s="260">
        <f t="shared" si="20"/>
        <v>230892002.84715968</v>
      </c>
      <c r="N45" s="260">
        <f t="shared" si="20"/>
        <v>380864333.0023219</v>
      </c>
      <c r="O45" s="260">
        <f t="shared" si="20"/>
        <v>581127118.1942209</v>
      </c>
      <c r="P45" s="260">
        <f t="shared" si="20"/>
        <v>834420721.86211014</v>
      </c>
      <c r="Q45" s="260">
        <f t="shared" si="20"/>
        <v>1145330140.7249856</v>
      </c>
    </row>
    <row r="46" spans="1:24" x14ac:dyDescent="0.15">
      <c r="M46" s="330">
        <v>4847661</v>
      </c>
      <c r="N46" s="330">
        <v>23192680</v>
      </c>
      <c r="O46" s="330">
        <v>45550208</v>
      </c>
      <c r="P46" s="330">
        <v>66591033</v>
      </c>
      <c r="Q46" s="330">
        <v>78342391</v>
      </c>
    </row>
    <row r="47" spans="1:24" x14ac:dyDescent="0.15">
      <c r="A47" s="66" t="s">
        <v>175</v>
      </c>
      <c r="B47" s="8">
        <v>563068</v>
      </c>
      <c r="C47" s="8">
        <v>569000</v>
      </c>
      <c r="D47" s="8">
        <v>649000</v>
      </c>
      <c r="E47" s="8">
        <v>632000</v>
      </c>
      <c r="F47" s="8">
        <v>625000</v>
      </c>
      <c r="G47" s="8">
        <v>618000</v>
      </c>
      <c r="H47" s="8">
        <v>628000</v>
      </c>
      <c r="I47" s="8">
        <v>2535000</v>
      </c>
      <c r="J47" s="8">
        <v>2507000</v>
      </c>
      <c r="K47" s="8">
        <v>2494000</v>
      </c>
    </row>
    <row r="48" spans="1:24" x14ac:dyDescent="0.15">
      <c r="K48" s="339"/>
    </row>
    <row r="49" spans="1:18" x14ac:dyDescent="0.15">
      <c r="A49" s="94" t="s">
        <v>183</v>
      </c>
      <c r="B49" s="14">
        <f>'Projected IS'!B9/'Projected BS Graphs'!B15</f>
        <v>3.9698784912873104</v>
      </c>
      <c r="C49" s="14">
        <f>'Projected IS'!C9/'Projected BS Graphs'!C15</f>
        <v>4.5545454545454547</v>
      </c>
      <c r="D49" s="14">
        <f>'Projected IS'!D9/'Projected BS Graphs'!D15</f>
        <v>5.8018471872376152</v>
      </c>
      <c r="E49" s="14">
        <f>'Projected IS'!E9/'Projected BS Graphs'!E15</f>
        <v>5.5924006908462864</v>
      </c>
      <c r="F49" s="14">
        <f>'Projected IS'!F9/'Projected BS Graphs'!F15</f>
        <v>5.3965914325195765</v>
      </c>
      <c r="G49" s="14">
        <f>'Projected IS'!G9/'Projected BS Graphs'!G15</f>
        <v>4.0662942271880818</v>
      </c>
      <c r="H49" s="14">
        <f>'Projected IS'!H9/'Projected BS Graphs'!H15</f>
        <v>4.6879392746696658</v>
      </c>
      <c r="I49" s="14">
        <f>'Projected IS'!I9/'Projected BS Graphs'!I15</f>
        <v>5.749626148258919</v>
      </c>
      <c r="J49" s="14">
        <f>'Projected IS'!J9/'Projected BS Graphs'!J15</f>
        <v>4.1492078141824331</v>
      </c>
      <c r="K49" s="14">
        <f>'Projected IS'!K9/'Projected BS Graphs'!K15</f>
        <v>8.2071938569311591</v>
      </c>
      <c r="L49" s="340">
        <f>'Projected IS'!L9/'Projected BS Graphs'!L15</f>
        <v>12.83957269946762</v>
      </c>
      <c r="M49" s="340">
        <f>'Projected IS'!M9/'Projected BS Graphs'!M15</f>
        <v>12.37671177562911</v>
      </c>
      <c r="N49" s="340">
        <f>'Projected IS'!N9/'Projected BS Graphs'!N15</f>
        <v>11.930536783622701</v>
      </c>
      <c r="O49" s="340">
        <f>'Projected IS'!O9/'Projected BS Graphs'!O15</f>
        <v>10.168940428756157</v>
      </c>
      <c r="P49" s="340">
        <f>'Projected IS'!P9/'Projected BS Graphs'!P15</f>
        <v>8.2891505166652042</v>
      </c>
      <c r="Q49" s="340">
        <f>'Projected IS'!Q9/'Projected BS Graphs'!Q15</f>
        <v>6.7568510966619426</v>
      </c>
    </row>
    <row r="50" spans="1:18" x14ac:dyDescent="0.15">
      <c r="A50" s="94" t="s">
        <v>184</v>
      </c>
      <c r="B50" s="14">
        <f>'Projected IS'!B9/'Projected BS Graphs'!B17</f>
        <v>8.4006068740781146</v>
      </c>
      <c r="C50" s="14">
        <f>'Projected IS'!C9/'Projected BS Graphs'!C17</f>
        <v>10.75107296137339</v>
      </c>
      <c r="D50" s="14">
        <f>'Projected IS'!D9/'Projected BS Graphs'!D17</f>
        <v>13.26295585412668</v>
      </c>
      <c r="E50" s="14">
        <f>'Projected IS'!E9/'Projected BS Graphs'!E17</f>
        <v>9.743229689067201</v>
      </c>
      <c r="F50" s="14">
        <f>'Projected IS'!F9/'Projected BS Graphs'!F17</f>
        <v>8.3447293447293447</v>
      </c>
      <c r="G50" s="14">
        <f>'Projected IS'!G9/'Projected BS Graphs'!G17</f>
        <v>6.5221027479091997</v>
      </c>
      <c r="H50" s="14">
        <f>'Projected IS'!H9/'Projected BS Graphs'!H17</f>
        <v>7.7594229874360163</v>
      </c>
      <c r="I50" s="14">
        <f>'Projected IS'!I9/'Projected BS Graphs'!I17</f>
        <v>9.6882649388048954</v>
      </c>
      <c r="J50" s="14">
        <f>'Projected IS'!J9/'Projected BS Graphs'!J17</f>
        <v>7.0853690570002623</v>
      </c>
      <c r="K50" s="14">
        <f>'Projected IS'!K9/'Projected BS Graphs'!K17</f>
        <v>15.565150740929996</v>
      </c>
      <c r="L50" s="340">
        <f>'Projected IS'!L9/'Projected BS Graphs'!L17</f>
        <v>6.4576219661705512</v>
      </c>
      <c r="M50" s="340">
        <f>'Projected IS'!M9/'Projected BS Graphs'!M17</f>
        <v>5.6023447922936258</v>
      </c>
      <c r="N50" s="340">
        <f>'Projected IS'!N9/'Projected BS Graphs'!N17</f>
        <v>4.8603444636682482</v>
      </c>
      <c r="O50" s="340">
        <f>'Projected IS'!O9/'Projected BS Graphs'!O17</f>
        <v>3.8569901979348526</v>
      </c>
      <c r="P50" s="340">
        <f>'Projected IS'!P9/'Projected BS Graphs'!P17</f>
        <v>3.0317165221016746</v>
      </c>
      <c r="Q50" s="340">
        <f>'Projected IS'!Q9/'Projected BS Graphs'!Q17</f>
        <v>2.3830252602937838</v>
      </c>
    </row>
    <row r="51" spans="1:18" x14ac:dyDescent="0.15">
      <c r="M51" s="94" t="s">
        <v>185</v>
      </c>
    </row>
    <row r="52" spans="1:18" x14ac:dyDescent="0.15">
      <c r="A52" s="94" t="s">
        <v>186</v>
      </c>
      <c r="B52" s="25"/>
      <c r="C52" s="25">
        <f t="shared" ref="C52:L52" si="21">C17/B17-1</f>
        <v>-0.16379857953423937</v>
      </c>
      <c r="D52" s="25">
        <f t="shared" si="21"/>
        <v>0.11802575107296143</v>
      </c>
      <c r="E52" s="25">
        <f t="shared" si="21"/>
        <v>0.91362763915547029</v>
      </c>
      <c r="F52" s="25">
        <f t="shared" si="21"/>
        <v>0.4082246740220663</v>
      </c>
      <c r="G52" s="25">
        <f t="shared" si="21"/>
        <v>0.19230769230769229</v>
      </c>
      <c r="H52" s="25">
        <f t="shared" si="21"/>
        <v>0.2837514934289127</v>
      </c>
      <c r="I52" s="25">
        <f t="shared" si="21"/>
        <v>0.29269427640763146</v>
      </c>
      <c r="J52" s="25">
        <f t="shared" si="21"/>
        <v>0.37041036717062625</v>
      </c>
      <c r="K52" s="25">
        <f t="shared" si="21"/>
        <v>2.8106120304701943E-2</v>
      </c>
      <c r="L52" s="25">
        <f t="shared" si="21"/>
        <v>4.0906162661388912</v>
      </c>
      <c r="M52" s="252">
        <f>AVERAGE(C52:L52)</f>
        <v>0.65339657004747154</v>
      </c>
      <c r="R52" s="94" t="s">
        <v>185</v>
      </c>
    </row>
    <row r="53" spans="1:18" x14ac:dyDescent="0.15">
      <c r="A53" s="94" t="s">
        <v>187</v>
      </c>
      <c r="B53" s="14">
        <f t="shared" ref="B53:Q53" si="22">B14/B30</f>
        <v>6.3762340546633487</v>
      </c>
      <c r="C53" s="14">
        <f t="shared" si="22"/>
        <v>2.5746490854955337</v>
      </c>
      <c r="D53" s="14">
        <f t="shared" si="22"/>
        <v>4.7740492170022373</v>
      </c>
      <c r="E53" s="14">
        <f t="shared" si="22"/>
        <v>8.0268863833477884</v>
      </c>
      <c r="F53" s="14">
        <f t="shared" si="22"/>
        <v>7.9435665914221216</v>
      </c>
      <c r="G53" s="14">
        <f t="shared" si="22"/>
        <v>7.6737668161434973</v>
      </c>
      <c r="H53" s="14">
        <f t="shared" si="22"/>
        <v>4.0904458598726112</v>
      </c>
      <c r="I53" s="14">
        <f t="shared" si="22"/>
        <v>6.6502883506343711</v>
      </c>
      <c r="J53" s="14">
        <f t="shared" si="22"/>
        <v>3.5156178576870332</v>
      </c>
      <c r="K53" s="14">
        <f t="shared" si="22"/>
        <v>4.1712915059730973</v>
      </c>
      <c r="L53" s="14">
        <f t="shared" si="22"/>
        <v>4.8651081687793205</v>
      </c>
      <c r="M53" s="14">
        <f t="shared" si="22"/>
        <v>4.4919629619478005</v>
      </c>
      <c r="N53" s="14">
        <f t="shared" si="22"/>
        <v>3.582306915337524</v>
      </c>
      <c r="O53" s="14">
        <f t="shared" si="22"/>
        <v>3.0517059927360046</v>
      </c>
      <c r="P53" s="14">
        <f t="shared" si="22"/>
        <v>2.6248058610847074</v>
      </c>
      <c r="Q53" s="14">
        <f t="shared" si="22"/>
        <v>2.2149056770331113</v>
      </c>
      <c r="R53" s="341">
        <f>AVERAGE(B53:K53)</f>
        <v>5.5796795722241637</v>
      </c>
    </row>
    <row r="54" spans="1:18" x14ac:dyDescent="0.15">
      <c r="A54" s="94" t="s">
        <v>188</v>
      </c>
      <c r="B54" s="25">
        <f t="shared" ref="B54:Q54" si="23">B7/B30</f>
        <v>0.55428278071046733</v>
      </c>
      <c r="C54" s="25">
        <f t="shared" si="23"/>
        <v>0.25350914504466182</v>
      </c>
      <c r="D54" s="25">
        <f t="shared" si="23"/>
        <v>0.98769574944071592</v>
      </c>
      <c r="E54" s="25">
        <f t="shared" si="23"/>
        <v>3.4709453599306159</v>
      </c>
      <c r="F54" s="25">
        <f t="shared" si="23"/>
        <v>0.58841234010534238</v>
      </c>
      <c r="G54" s="25">
        <f t="shared" si="23"/>
        <v>6.1076233183856505</v>
      </c>
      <c r="H54" s="25">
        <f t="shared" si="23"/>
        <v>0.21579617834394904</v>
      </c>
      <c r="I54" s="25">
        <f t="shared" si="23"/>
        <v>0.45905420991926182</v>
      </c>
      <c r="J54" s="25">
        <f t="shared" si="23"/>
        <v>0.51637970440347403</v>
      </c>
      <c r="K54" s="25">
        <f t="shared" si="23"/>
        <v>0.6847897657793246</v>
      </c>
      <c r="L54" s="25">
        <f t="shared" si="23"/>
        <v>0.73904905031387358</v>
      </c>
      <c r="M54" s="25">
        <f t="shared" si="23"/>
        <v>0.84119239943706448</v>
      </c>
      <c r="N54" s="25">
        <f t="shared" si="23"/>
        <v>0.65174157569959268</v>
      </c>
      <c r="O54" s="25">
        <f t="shared" si="23"/>
        <v>0.49607421225699638</v>
      </c>
      <c r="P54" s="25">
        <f t="shared" si="23"/>
        <v>0.3696706089559082</v>
      </c>
      <c r="Q54" s="25">
        <f t="shared" si="23"/>
        <v>0.25235757351722654</v>
      </c>
    </row>
    <row r="55" spans="1:18" x14ac:dyDescent="0.15">
      <c r="A55" s="94" t="s">
        <v>189</v>
      </c>
      <c r="B55" s="14">
        <f t="shared" ref="B55:Q55" si="24">B9/B30</f>
        <v>5.1598038012120133</v>
      </c>
      <c r="C55" s="14">
        <f t="shared" si="24"/>
        <v>2.142492556358996</v>
      </c>
      <c r="D55" s="14">
        <f t="shared" si="24"/>
        <v>3.8020134228187921</v>
      </c>
      <c r="E55" s="14">
        <f t="shared" si="24"/>
        <v>6.1647875108412835</v>
      </c>
      <c r="F55" s="14">
        <f t="shared" si="24"/>
        <v>5.5846501128668171</v>
      </c>
      <c r="G55" s="14">
        <f t="shared" si="24"/>
        <v>6.1081838565022419</v>
      </c>
      <c r="H55" s="14">
        <f t="shared" si="24"/>
        <v>2.9454777070063694</v>
      </c>
      <c r="I55" s="14">
        <f t="shared" si="24"/>
        <v>4.8922722029988464</v>
      </c>
      <c r="J55" s="14">
        <f t="shared" si="24"/>
        <v>2.025902788358982</v>
      </c>
      <c r="K55" s="14">
        <f t="shared" si="24"/>
        <v>2.4441727024738973</v>
      </c>
      <c r="L55" s="14">
        <f t="shared" si="24"/>
        <v>3.2157884747220842</v>
      </c>
      <c r="M55" s="14">
        <f t="shared" si="24"/>
        <v>3.062232360302644</v>
      </c>
      <c r="N55" s="14">
        <f t="shared" si="24"/>
        <v>2.4218158102337468</v>
      </c>
      <c r="O55" s="14">
        <f t="shared" si="24"/>
        <v>2.0236616570103614</v>
      </c>
      <c r="P55" s="14">
        <f t="shared" si="24"/>
        <v>1.7305091253351381</v>
      </c>
      <c r="Q55" s="14">
        <f t="shared" si="24"/>
        <v>1.4131980925768497</v>
      </c>
    </row>
    <row r="56" spans="1:18" x14ac:dyDescent="0.15">
      <c r="A56" s="94" t="s">
        <v>190</v>
      </c>
      <c r="B56" s="81">
        <f>IFERROR(B21/'Projected IS'!B9,0)</f>
        <v>0</v>
      </c>
      <c r="C56" s="81">
        <f>IFERROR(C21/'Projected IS'!C9,0)</f>
        <v>0</v>
      </c>
      <c r="D56" s="81">
        <f>IFERROR(D21/'Projected IS'!D9,0)</f>
        <v>0</v>
      </c>
      <c r="E56" s="81">
        <f>IFERROR(E21/'Projected IS'!E9,0)</f>
        <v>0</v>
      </c>
      <c r="F56" s="81">
        <f>IFERROR(F21/'Projected IS'!F9,0)</f>
        <v>0</v>
      </c>
      <c r="G56" s="81">
        <f>IFERROR(G21/'Projected IS'!G9,0)</f>
        <v>5.0192342919948708E-2</v>
      </c>
      <c r="H56" s="81">
        <f>IFERROR(H21/'Projected IS'!H9,0)</f>
        <v>4.8335832083958023E-2</v>
      </c>
      <c r="I56" s="81">
        <f>IFERROR(I21/'Projected IS'!I9,0)</f>
        <v>4.5403879022070298E-2</v>
      </c>
      <c r="J56" s="81">
        <f>IFERROR(J21/'Projected IS'!J9,0)</f>
        <v>0.12589901386520352</v>
      </c>
      <c r="K56" s="81">
        <f>IFERROR(K21/'Projected IS'!K9,0)</f>
        <v>9.9816158366435773E-2</v>
      </c>
      <c r="L56" s="81">
        <f>IFERROR(L21/'Projected IS'!L9,0)</f>
        <v>0.08</v>
      </c>
      <c r="M56" s="81">
        <f>IFERROR(M21/'Projected IS'!M9,0)</f>
        <v>0.08</v>
      </c>
      <c r="N56" s="81">
        <f>IFERROR(N21/'Projected IS'!N9,0)</f>
        <v>0.08</v>
      </c>
      <c r="O56" s="81">
        <f>IFERROR(O21/'Projected IS'!O9,0)</f>
        <v>0.05</v>
      </c>
      <c r="P56" s="81">
        <f>IFERROR(P21/'Projected IS'!P9,0)</f>
        <v>0.05</v>
      </c>
      <c r="Q56" s="81">
        <f>IFERROR(Q21/'Projected IS'!Q9,0)</f>
        <v>0.05</v>
      </c>
    </row>
    <row r="57" spans="1:18" x14ac:dyDescent="0.15">
      <c r="A57" s="94" t="s">
        <v>191</v>
      </c>
      <c r="B57" s="81">
        <f t="shared" ref="B57:Q57" si="25">B35/B44</f>
        <v>0.63001297877628293</v>
      </c>
      <c r="C57" s="81">
        <f t="shared" si="25"/>
        <v>0.61764705882352944</v>
      </c>
      <c r="D57" s="81">
        <f t="shared" si="25"/>
        <v>0.69877438287588467</v>
      </c>
      <c r="E57" s="81">
        <f t="shared" si="25"/>
        <v>0.50461785570874051</v>
      </c>
      <c r="F57" s="81">
        <f t="shared" si="25"/>
        <v>0.42282166559623208</v>
      </c>
      <c r="G57" s="81">
        <f t="shared" si="25"/>
        <v>0.41879711569977057</v>
      </c>
      <c r="H57" s="81">
        <f t="shared" si="25"/>
        <v>0.7043153969099627</v>
      </c>
      <c r="I57" s="81">
        <f t="shared" si="25"/>
        <v>0.66041635352472572</v>
      </c>
      <c r="J57" s="81">
        <f t="shared" si="25"/>
        <v>0.8633545993393964</v>
      </c>
      <c r="K57" s="81">
        <f t="shared" si="25"/>
        <v>0.52934059286146395</v>
      </c>
      <c r="L57" s="81">
        <f t="shared" si="25"/>
        <v>0.30287876754312004</v>
      </c>
      <c r="M57" s="81">
        <f t="shared" si="25"/>
        <v>0.29171240918915314</v>
      </c>
      <c r="N57" s="81">
        <f t="shared" si="25"/>
        <v>0.3942320795997572</v>
      </c>
      <c r="O57" s="81">
        <f t="shared" si="25"/>
        <v>0.59617476759459154</v>
      </c>
      <c r="P57" s="81">
        <f t="shared" si="25"/>
        <v>0.76143982294339263</v>
      </c>
      <c r="Q57" s="81">
        <f t="shared" si="25"/>
        <v>1.0168151289242302</v>
      </c>
    </row>
    <row r="58" spans="1:18" x14ac:dyDescent="0.15">
      <c r="A58" s="94" t="s">
        <v>192</v>
      </c>
      <c r="B58" s="81">
        <f t="shared" ref="B58:Q58" si="26">B35/B23</f>
        <v>0.38650795237793706</v>
      </c>
      <c r="C58" s="81">
        <f t="shared" si="26"/>
        <v>0.38181818181818183</v>
      </c>
      <c r="D58" s="81">
        <f t="shared" si="26"/>
        <v>0.41134031094400975</v>
      </c>
      <c r="E58" s="81">
        <f t="shared" si="26"/>
        <v>0.33537941464282539</v>
      </c>
      <c r="F58" s="81">
        <f t="shared" si="26"/>
        <v>0.29717123081552815</v>
      </c>
      <c r="G58" s="81">
        <f t="shared" si="26"/>
        <v>0.29517759168351143</v>
      </c>
      <c r="H58" s="81">
        <f t="shared" si="26"/>
        <v>0.41325414191934978</v>
      </c>
      <c r="I58" s="81">
        <f t="shared" si="26"/>
        <v>0.39774141715889288</v>
      </c>
      <c r="J58" s="81">
        <f t="shared" si="26"/>
        <v>0.46333349521635664</v>
      </c>
      <c r="K58" s="81">
        <f t="shared" si="26"/>
        <v>0.346123417721519</v>
      </c>
      <c r="L58" s="81">
        <f t="shared" si="26"/>
        <v>0.23246887963976562</v>
      </c>
      <c r="M58" s="81">
        <f t="shared" si="26"/>
        <v>0.22583386757767901</v>
      </c>
      <c r="N58" s="81">
        <f t="shared" si="26"/>
        <v>0.28275929458570848</v>
      </c>
      <c r="O58" s="81">
        <f t="shared" si="26"/>
        <v>0.37350218768454385</v>
      </c>
      <c r="P58" s="81">
        <f t="shared" si="26"/>
        <v>0.4322826205154125</v>
      </c>
      <c r="Q58" s="81">
        <f t="shared" si="26"/>
        <v>0.50416873314174593</v>
      </c>
    </row>
    <row r="59" spans="1:18" x14ac:dyDescent="0.15">
      <c r="A59" s="94" t="s">
        <v>193</v>
      </c>
      <c r="B59" s="81">
        <f t="shared" ref="B59:Q59" si="27">B44/B23</f>
        <v>0.61349204762206289</v>
      </c>
      <c r="C59" s="81">
        <f t="shared" si="27"/>
        <v>0.61818181818181817</v>
      </c>
      <c r="D59" s="81">
        <f t="shared" si="27"/>
        <v>0.5886596890559902</v>
      </c>
      <c r="E59" s="81">
        <f t="shared" si="27"/>
        <v>0.66462058535717461</v>
      </c>
      <c r="F59" s="81">
        <f t="shared" si="27"/>
        <v>0.7028287691844719</v>
      </c>
      <c r="G59" s="81">
        <f t="shared" si="27"/>
        <v>0.70482240831648857</v>
      </c>
      <c r="H59" s="81">
        <f t="shared" si="27"/>
        <v>0.58674585808065016</v>
      </c>
      <c r="I59" s="81">
        <f t="shared" si="27"/>
        <v>0.60225858284110712</v>
      </c>
      <c r="J59" s="81">
        <f t="shared" si="27"/>
        <v>0.53666650478364331</v>
      </c>
      <c r="K59" s="81">
        <f t="shared" si="27"/>
        <v>0.653876582278481</v>
      </c>
      <c r="L59" s="81">
        <f t="shared" si="27"/>
        <v>0.76753111987841682</v>
      </c>
      <c r="M59" s="81">
        <f t="shared" si="27"/>
        <v>0.77416613234044163</v>
      </c>
      <c r="N59" s="81">
        <f t="shared" si="27"/>
        <v>0.71724070469551571</v>
      </c>
      <c r="O59" s="81">
        <f t="shared" si="27"/>
        <v>0.62649781236385926</v>
      </c>
      <c r="P59" s="81">
        <f t="shared" si="27"/>
        <v>0.56771737895766639</v>
      </c>
      <c r="Q59" s="81">
        <f t="shared" si="27"/>
        <v>0.49583126647136561</v>
      </c>
    </row>
    <row r="60" spans="1:18" x14ac:dyDescent="0.15">
      <c r="B60" s="81">
        <f t="shared" ref="B60:Q60" si="28">B16/B15</f>
        <v>0.52742955945989722</v>
      </c>
      <c r="C60" s="81">
        <f t="shared" si="28"/>
        <v>0.57636363636363641</v>
      </c>
      <c r="D60" s="81">
        <f t="shared" si="28"/>
        <v>0.56255247691015953</v>
      </c>
      <c r="E60" s="81">
        <f t="shared" si="28"/>
        <v>0.42602187679907888</v>
      </c>
      <c r="F60" s="81">
        <f t="shared" si="28"/>
        <v>0.3532934131736527</v>
      </c>
      <c r="G60" s="81">
        <f t="shared" si="28"/>
        <v>0.376536312849162</v>
      </c>
      <c r="H60" s="81">
        <f t="shared" si="28"/>
        <v>0.39583919032892889</v>
      </c>
      <c r="I60" s="81">
        <f t="shared" si="28"/>
        <v>0.40653706472975859</v>
      </c>
      <c r="J60" s="81">
        <f t="shared" si="28"/>
        <v>0.41439778495616059</v>
      </c>
      <c r="K60" s="81">
        <f t="shared" si="28"/>
        <v>0.47271992455880374</v>
      </c>
      <c r="L60" s="81">
        <f t="shared" si="28"/>
        <v>-0.98828187322362648</v>
      </c>
      <c r="M60" s="81">
        <f t="shared" si="28"/>
        <v>-1.209202081359585</v>
      </c>
      <c r="N60" s="81">
        <f t="shared" si="28"/>
        <v>-1.4546689792884278</v>
      </c>
      <c r="O60" s="81">
        <f t="shared" si="28"/>
        <v>-1.6364963110875705</v>
      </c>
      <c r="P60" s="81">
        <f t="shared" si="28"/>
        <v>-1.734144322609332</v>
      </c>
      <c r="Q60" s="81">
        <f t="shared" si="28"/>
        <v>-1.8354089271504181</v>
      </c>
    </row>
    <row r="61" spans="1:18" x14ac:dyDescent="0.15">
      <c r="B61" s="81">
        <f t="shared" ref="B61:Q61" si="29">B17/B15</f>
        <v>0.47257044054010278</v>
      </c>
      <c r="C61" s="81">
        <f t="shared" si="29"/>
        <v>0.42363636363636364</v>
      </c>
      <c r="D61" s="81">
        <f t="shared" si="29"/>
        <v>0.43744752308984047</v>
      </c>
      <c r="E61" s="81">
        <f t="shared" si="29"/>
        <v>0.57397812320092112</v>
      </c>
      <c r="F61" s="81">
        <f t="shared" si="29"/>
        <v>0.6467065868263473</v>
      </c>
      <c r="G61" s="81">
        <f t="shared" si="29"/>
        <v>0.623463687150838</v>
      </c>
      <c r="H61" s="81">
        <f t="shared" si="29"/>
        <v>0.60416080967107111</v>
      </c>
      <c r="I61" s="81">
        <f t="shared" si="29"/>
        <v>0.59346293527024141</v>
      </c>
      <c r="J61" s="81">
        <f t="shared" si="29"/>
        <v>0.58560221504383936</v>
      </c>
      <c r="K61" s="81">
        <f t="shared" si="29"/>
        <v>0.52728007544119626</v>
      </c>
      <c r="L61" s="81">
        <f t="shared" si="29"/>
        <v>1.9882818732236265</v>
      </c>
      <c r="M61" s="81">
        <f t="shared" si="29"/>
        <v>2.2092020813595847</v>
      </c>
      <c r="N61" s="81">
        <f t="shared" si="29"/>
        <v>2.454668979288428</v>
      </c>
      <c r="O61" s="81">
        <f t="shared" si="29"/>
        <v>2.6364963110875705</v>
      </c>
      <c r="P61" s="81">
        <f t="shared" si="29"/>
        <v>2.7341443226093318</v>
      </c>
      <c r="Q61" s="81">
        <f t="shared" si="29"/>
        <v>2.8354089271504179</v>
      </c>
    </row>
    <row r="67" spans="9:17" ht="27" customHeight="1" thickBot="1" x14ac:dyDescent="0.2"/>
    <row r="68" spans="9:17" ht="15" thickBot="1" x14ac:dyDescent="0.2">
      <c r="I68" s="350" t="s">
        <v>120</v>
      </c>
      <c r="J68" s="351" t="s">
        <v>129</v>
      </c>
      <c r="K68" s="352" t="s">
        <v>130</v>
      </c>
      <c r="L68" s="352" t="s">
        <v>177</v>
      </c>
      <c r="M68" s="352" t="s">
        <v>178</v>
      </c>
      <c r="N68" s="352" t="s">
        <v>179</v>
      </c>
      <c r="O68" s="352" t="s">
        <v>180</v>
      </c>
      <c r="P68" s="352" t="s">
        <v>181</v>
      </c>
      <c r="Q68" s="353" t="s">
        <v>182</v>
      </c>
    </row>
    <row r="69" spans="9:17" ht="14" x14ac:dyDescent="0.15">
      <c r="I69" s="344" t="s">
        <v>148</v>
      </c>
      <c r="J69" s="345" t="s">
        <v>149</v>
      </c>
      <c r="K69" s="346" t="s">
        <v>149</v>
      </c>
      <c r="L69" s="347"/>
      <c r="M69" s="348"/>
      <c r="N69" s="348"/>
      <c r="O69" s="348"/>
      <c r="P69" s="348"/>
      <c r="Q69" s="349"/>
    </row>
    <row r="70" spans="9:17" x14ac:dyDescent="0.15">
      <c r="I70" s="183" t="s">
        <v>150</v>
      </c>
      <c r="J70" s="342">
        <v>3389000</v>
      </c>
      <c r="K70" s="274">
        <v>7280000</v>
      </c>
      <c r="L70" s="373">
        <v>13745019</v>
      </c>
      <c r="M70" s="373">
        <v>30889388.666666668</v>
      </c>
      <c r="N70" s="373">
        <v>52283836.666666664</v>
      </c>
      <c r="O70" s="373">
        <v>75118695.333333328</v>
      </c>
      <c r="P70" s="373">
        <v>94900356</v>
      </c>
      <c r="Q70" s="374">
        <v>106746037</v>
      </c>
    </row>
    <row r="71" spans="9:17" ht="14" thickBot="1" x14ac:dyDescent="0.2">
      <c r="I71" s="354" t="s">
        <v>151</v>
      </c>
      <c r="J71" s="355">
        <v>9907000</v>
      </c>
      <c r="K71" s="356">
        <v>18704000</v>
      </c>
      <c r="L71" s="375">
        <v>46063019</v>
      </c>
      <c r="M71" s="375">
        <v>81558709.566666678</v>
      </c>
      <c r="N71" s="375">
        <v>141998417.19000003</v>
      </c>
      <c r="O71" s="375">
        <v>231316954.24233335</v>
      </c>
      <c r="P71" s="375">
        <v>349349005.66656673</v>
      </c>
      <c r="Q71" s="376">
        <v>491029943.23322344</v>
      </c>
    </row>
    <row r="72" spans="9:17" ht="14" thickBot="1" x14ac:dyDescent="0.2">
      <c r="I72" s="370" t="s">
        <v>44</v>
      </c>
      <c r="J72" s="371">
        <v>13296000</v>
      </c>
      <c r="K72" s="372">
        <v>25984000</v>
      </c>
      <c r="L72" s="377">
        <v>59808038</v>
      </c>
      <c r="M72" s="377">
        <v>112448098.23333335</v>
      </c>
      <c r="N72" s="377">
        <v>194282253.85666668</v>
      </c>
      <c r="O72" s="377">
        <v>306435649.57566667</v>
      </c>
      <c r="P72" s="377">
        <v>444249361.66656673</v>
      </c>
      <c r="Q72" s="378">
        <v>597775980.23322344</v>
      </c>
    </row>
    <row r="73" spans="9:17" x14ac:dyDescent="0.15">
      <c r="I73" s="357" t="s">
        <v>45</v>
      </c>
      <c r="J73" s="358">
        <v>3827000</v>
      </c>
      <c r="K73" s="359">
        <v>9999000</v>
      </c>
      <c r="L73" s="379">
        <v>19998000</v>
      </c>
      <c r="M73" s="379">
        <v>37996200</v>
      </c>
      <c r="N73" s="379">
        <v>72192780</v>
      </c>
      <c r="O73" s="379">
        <v>126337365</v>
      </c>
      <c r="P73" s="379">
        <v>189506047.5</v>
      </c>
      <c r="Q73" s="380">
        <v>284259071.25</v>
      </c>
    </row>
    <row r="74" spans="9:17" x14ac:dyDescent="0.15">
      <c r="I74" s="183" t="s">
        <v>152</v>
      </c>
      <c r="J74" s="342">
        <v>5159000</v>
      </c>
      <c r="K74" s="274">
        <v>5282000</v>
      </c>
      <c r="L74" s="381">
        <v>5440460</v>
      </c>
      <c r="M74" s="381">
        <v>5603673.7999999998</v>
      </c>
      <c r="N74" s="381">
        <v>5771784.0139999995</v>
      </c>
      <c r="O74" s="382">
        <v>6637551.6160999993</v>
      </c>
      <c r="P74" s="382">
        <v>8296939.5201249989</v>
      </c>
      <c r="Q74" s="383">
        <v>10371174.400156248</v>
      </c>
    </row>
    <row r="75" spans="9:17" x14ac:dyDescent="0.15">
      <c r="I75" s="183" t="s">
        <v>153</v>
      </c>
      <c r="J75" s="343" t="s">
        <v>154</v>
      </c>
      <c r="K75" s="278" t="s">
        <v>154</v>
      </c>
      <c r="L75" s="384">
        <v>0</v>
      </c>
      <c r="M75" s="384">
        <v>0</v>
      </c>
      <c r="N75" s="384">
        <v>0</v>
      </c>
      <c r="O75" s="384">
        <v>0</v>
      </c>
      <c r="P75" s="384">
        <v>0</v>
      </c>
      <c r="Q75" s="385">
        <v>0</v>
      </c>
    </row>
    <row r="76" spans="9:17" ht="14" thickBot="1" x14ac:dyDescent="0.2">
      <c r="I76" s="354" t="s">
        <v>155</v>
      </c>
      <c r="J76" s="355">
        <v>791000</v>
      </c>
      <c r="K76" s="356">
        <v>3080000</v>
      </c>
      <c r="L76" s="386">
        <v>5236000</v>
      </c>
      <c r="M76" s="386">
        <v>8901200</v>
      </c>
      <c r="N76" s="386">
        <v>15132040</v>
      </c>
      <c r="O76" s="386">
        <v>22698060</v>
      </c>
      <c r="P76" s="386">
        <v>31777283.999999996</v>
      </c>
      <c r="Q76" s="387">
        <v>44488197.599999994</v>
      </c>
    </row>
    <row r="77" spans="9:17" ht="14" thickBot="1" x14ac:dyDescent="0.2">
      <c r="I77" s="370" t="s">
        <v>47</v>
      </c>
      <c r="J77" s="371">
        <v>23073000</v>
      </c>
      <c r="K77" s="372">
        <v>44345000</v>
      </c>
      <c r="L77" s="388">
        <v>90482498</v>
      </c>
      <c r="M77" s="388">
        <v>164949172.03333336</v>
      </c>
      <c r="N77" s="388">
        <v>287378857.87066668</v>
      </c>
      <c r="O77" s="388">
        <v>462108626.19176668</v>
      </c>
      <c r="P77" s="388">
        <v>673829632.68669176</v>
      </c>
      <c r="Q77" s="389">
        <v>936894423.48337972</v>
      </c>
    </row>
    <row r="78" spans="9:17" x14ac:dyDescent="0.15">
      <c r="I78" s="357" t="s">
        <v>48</v>
      </c>
      <c r="J78" s="358">
        <v>6501000</v>
      </c>
      <c r="K78" s="359">
        <v>7423000</v>
      </c>
      <c r="L78" s="390">
        <v>10021050</v>
      </c>
      <c r="M78" s="390">
        <v>13528417.5</v>
      </c>
      <c r="N78" s="390">
        <v>18263363.625</v>
      </c>
      <c r="O78" s="390">
        <v>24655540.893750001</v>
      </c>
      <c r="P78" s="390">
        <v>33284980.206562504</v>
      </c>
      <c r="Q78" s="391">
        <v>44934723.278859384</v>
      </c>
    </row>
    <row r="79" spans="9:17" ht="14" thickBot="1" x14ac:dyDescent="0.2">
      <c r="I79" s="354" t="s">
        <v>49</v>
      </c>
      <c r="J79" s="355">
        <v>2694000</v>
      </c>
      <c r="K79" s="356">
        <v>3509000</v>
      </c>
      <c r="L79" s="386">
        <v>-9903622.0656676218</v>
      </c>
      <c r="M79" s="386">
        <v>-16358590.598501433</v>
      </c>
      <c r="N79" s="386">
        <v>-26567148.522752151</v>
      </c>
      <c r="O79" s="386">
        <v>-40348701.72049062</v>
      </c>
      <c r="P79" s="386">
        <v>-57720959.453374356</v>
      </c>
      <c r="Q79" s="387">
        <v>-82473592.245052218</v>
      </c>
    </row>
    <row r="80" spans="9:17" ht="14" thickBot="1" x14ac:dyDescent="0.2">
      <c r="I80" s="370" t="s">
        <v>50</v>
      </c>
      <c r="J80" s="371">
        <v>3807000</v>
      </c>
      <c r="K80" s="372">
        <v>3914000</v>
      </c>
      <c r="L80" s="377">
        <v>19924672.065667622</v>
      </c>
      <c r="M80" s="392">
        <v>29887008.098501433</v>
      </c>
      <c r="N80" s="392">
        <v>44830512.147752151</v>
      </c>
      <c r="O80" s="392">
        <v>65004242.614240617</v>
      </c>
      <c r="P80" s="392">
        <v>91005939.65993686</v>
      </c>
      <c r="Q80" s="393">
        <v>127408315.5239116</v>
      </c>
    </row>
    <row r="81" spans="9:17" x14ac:dyDescent="0.15">
      <c r="I81" s="357" t="s">
        <v>156</v>
      </c>
      <c r="J81" s="358">
        <v>299000</v>
      </c>
      <c r="K81" s="360" t="s">
        <v>154</v>
      </c>
      <c r="L81" s="394">
        <v>0</v>
      </c>
      <c r="M81" s="394">
        <v>0</v>
      </c>
      <c r="N81" s="394">
        <v>0</v>
      </c>
      <c r="O81" s="394">
        <v>0</v>
      </c>
      <c r="P81" s="394">
        <v>0</v>
      </c>
      <c r="Q81" s="395">
        <v>0</v>
      </c>
    </row>
    <row r="82" spans="9:17" x14ac:dyDescent="0.15">
      <c r="I82" s="183" t="s">
        <v>157</v>
      </c>
      <c r="J82" s="342">
        <v>6048000</v>
      </c>
      <c r="K82" s="274">
        <v>5542000</v>
      </c>
      <c r="L82" s="381">
        <v>5652840</v>
      </c>
      <c r="M82" s="381">
        <v>5765896.7999999998</v>
      </c>
      <c r="N82" s="381">
        <v>5881214.7359999996</v>
      </c>
      <c r="O82" s="381">
        <v>5998839.0307199992</v>
      </c>
      <c r="P82" s="381">
        <v>6118815.8113343995</v>
      </c>
      <c r="Q82" s="396">
        <v>6241192.1275610877</v>
      </c>
    </row>
    <row r="83" spans="9:17" x14ac:dyDescent="0.15">
      <c r="I83" s="183" t="s">
        <v>158</v>
      </c>
      <c r="J83" s="342">
        <v>3376000</v>
      </c>
      <c r="K83" s="278" t="s">
        <v>154</v>
      </c>
      <c r="L83" s="397">
        <v>0</v>
      </c>
      <c r="M83" s="397">
        <v>0</v>
      </c>
      <c r="N83" s="397">
        <v>0</v>
      </c>
      <c r="O83" s="397">
        <v>0</v>
      </c>
      <c r="P83" s="397">
        <v>0</v>
      </c>
      <c r="Q83" s="398">
        <v>0</v>
      </c>
    </row>
    <row r="84" spans="9:17" x14ac:dyDescent="0.15">
      <c r="I84" s="183" t="s">
        <v>159</v>
      </c>
      <c r="J84" s="342">
        <v>3396000</v>
      </c>
      <c r="K84" s="274">
        <v>6081000</v>
      </c>
      <c r="L84" s="399">
        <v>10293280</v>
      </c>
      <c r="M84" s="399">
        <v>13394985.934230154</v>
      </c>
      <c r="N84" s="399">
        <v>17431338.521659147</v>
      </c>
      <c r="O84" s="399">
        <v>12536036.329365255</v>
      </c>
      <c r="P84" s="399">
        <v>13795210.543820933</v>
      </c>
      <c r="Q84" s="400">
        <v>15180861.713248098</v>
      </c>
    </row>
    <row r="85" spans="9:17" ht="14" thickBot="1" x14ac:dyDescent="0.2">
      <c r="I85" s="354" t="s">
        <v>51</v>
      </c>
      <c r="J85" s="355">
        <v>1183000</v>
      </c>
      <c r="K85" s="356">
        <v>5846000</v>
      </c>
      <c r="L85" s="386">
        <v>9938200</v>
      </c>
      <c r="M85" s="386">
        <v>16894940</v>
      </c>
      <c r="N85" s="386">
        <v>25342410</v>
      </c>
      <c r="O85" s="386">
        <v>35479374</v>
      </c>
      <c r="P85" s="386">
        <v>49671123.599999994</v>
      </c>
      <c r="Q85" s="387">
        <v>59605348.319999993</v>
      </c>
    </row>
    <row r="86" spans="9:17" ht="14" thickBot="1" x14ac:dyDescent="0.2">
      <c r="I86" s="370" t="s">
        <v>53</v>
      </c>
      <c r="J86" s="371">
        <v>41182000</v>
      </c>
      <c r="K86" s="372">
        <v>65728000</v>
      </c>
      <c r="L86" s="377">
        <v>136291490.06566763</v>
      </c>
      <c r="M86" s="377">
        <v>230892002.86606497</v>
      </c>
      <c r="N86" s="377">
        <v>380864333.27607799</v>
      </c>
      <c r="O86" s="377">
        <v>581127118.16609251</v>
      </c>
      <c r="P86" s="377">
        <v>834420722.30178404</v>
      </c>
      <c r="Q86" s="378">
        <v>1145330141.1681006</v>
      </c>
    </row>
    <row r="87" spans="9:17" ht="14" thickBot="1" x14ac:dyDescent="0.2">
      <c r="I87" s="361"/>
      <c r="J87" s="362"/>
      <c r="K87" s="363"/>
      <c r="L87" s="414">
        <v>6.5667629241943359E-2</v>
      </c>
      <c r="M87" s="414">
        <v>1.8905282020568848E-2</v>
      </c>
      <c r="N87" s="414">
        <v>0.27375608682632446</v>
      </c>
      <c r="O87" s="414">
        <v>-2.8128385543823242E-2</v>
      </c>
      <c r="P87" s="414">
        <v>0.43967390060424805</v>
      </c>
      <c r="Q87" s="415">
        <v>0.4431149959564209</v>
      </c>
    </row>
    <row r="88" spans="9:17" ht="14" thickBot="1" x14ac:dyDescent="0.2">
      <c r="I88" s="370" t="s">
        <v>160</v>
      </c>
      <c r="J88" s="371">
        <v>2919000</v>
      </c>
      <c r="K88" s="372">
        <v>7496000</v>
      </c>
      <c r="L88" s="377">
        <v>14992000</v>
      </c>
      <c r="M88" s="377">
        <v>29984000</v>
      </c>
      <c r="N88" s="377">
        <v>59968000</v>
      </c>
      <c r="O88" s="377">
        <v>99546000</v>
      </c>
      <c r="P88" s="377">
        <v>149319000</v>
      </c>
      <c r="Q88" s="378">
        <v>223978500</v>
      </c>
    </row>
    <row r="89" spans="9:17" x14ac:dyDescent="0.15">
      <c r="I89" s="357" t="s">
        <v>161</v>
      </c>
      <c r="J89" s="358">
        <v>1193000</v>
      </c>
      <c r="K89" s="359">
        <v>2699000</v>
      </c>
      <c r="L89" s="379">
        <v>5398000</v>
      </c>
      <c r="M89" s="379">
        <v>10796000</v>
      </c>
      <c r="N89" s="379">
        <v>21592000</v>
      </c>
      <c r="O89" s="401">
        <v>32388000</v>
      </c>
      <c r="P89" s="401">
        <v>48582000</v>
      </c>
      <c r="Q89" s="402">
        <v>72873000</v>
      </c>
    </row>
    <row r="90" spans="9:17" x14ac:dyDescent="0.15">
      <c r="I90" s="183" t="s">
        <v>162</v>
      </c>
      <c r="J90" s="342">
        <v>1726000</v>
      </c>
      <c r="K90" s="274">
        <v>4797000</v>
      </c>
      <c r="L90" s="381">
        <v>9594000</v>
      </c>
      <c r="M90" s="381">
        <v>19188000</v>
      </c>
      <c r="N90" s="381">
        <v>38376000</v>
      </c>
      <c r="O90" s="381">
        <v>67158000</v>
      </c>
      <c r="P90" s="381">
        <v>100737000</v>
      </c>
      <c r="Q90" s="396">
        <v>151105500</v>
      </c>
    </row>
    <row r="91" spans="9:17" x14ac:dyDescent="0.15">
      <c r="I91" s="183" t="s">
        <v>163</v>
      </c>
      <c r="J91" s="342">
        <v>1250000</v>
      </c>
      <c r="K91" s="274">
        <v>1250000</v>
      </c>
      <c r="L91" s="381">
        <v>1250000</v>
      </c>
      <c r="M91" s="381">
        <v>1250000</v>
      </c>
      <c r="N91" s="381">
        <v>1250000</v>
      </c>
      <c r="O91" s="381">
        <v>2500000</v>
      </c>
      <c r="P91" s="381">
        <v>2500000</v>
      </c>
      <c r="Q91" s="396">
        <v>2500000</v>
      </c>
    </row>
    <row r="92" spans="9:17" ht="14" thickBot="1" x14ac:dyDescent="0.2">
      <c r="I92" s="354" t="s">
        <v>164</v>
      </c>
      <c r="J92" s="355">
        <v>2394000</v>
      </c>
      <c r="K92" s="356">
        <v>1885000</v>
      </c>
      <c r="L92" s="386">
        <v>2356250</v>
      </c>
      <c r="M92" s="386">
        <v>5486955.5</v>
      </c>
      <c r="N92" s="386">
        <v>19003729.925000001</v>
      </c>
      <c r="O92" s="386">
        <v>49380325.894999996</v>
      </c>
      <c r="P92" s="386">
        <v>104896989.04775</v>
      </c>
      <c r="Q92" s="387">
        <v>196516679.07162499</v>
      </c>
    </row>
    <row r="93" spans="9:17" ht="14" thickBot="1" x14ac:dyDescent="0.2">
      <c r="I93" s="370" t="s">
        <v>56</v>
      </c>
      <c r="J93" s="371">
        <v>6563000</v>
      </c>
      <c r="K93" s="372">
        <v>10631000</v>
      </c>
      <c r="L93" s="377">
        <v>18598250</v>
      </c>
      <c r="M93" s="377">
        <v>36720955.5</v>
      </c>
      <c r="N93" s="377">
        <v>80221729.924999997</v>
      </c>
      <c r="O93" s="377">
        <v>151426325.89499998</v>
      </c>
      <c r="P93" s="377">
        <v>256715989.04775</v>
      </c>
      <c r="Q93" s="378">
        <v>422995179.07162499</v>
      </c>
    </row>
    <row r="94" spans="9:17" x14ac:dyDescent="0.15">
      <c r="I94" s="357" t="s">
        <v>165</v>
      </c>
      <c r="J94" s="358">
        <v>9703000</v>
      </c>
      <c r="K94" s="359">
        <v>8459000</v>
      </c>
      <c r="L94" s="379">
        <v>7613100</v>
      </c>
      <c r="M94" s="379">
        <v>6851790</v>
      </c>
      <c r="N94" s="379">
        <v>6166611</v>
      </c>
      <c r="O94" s="379">
        <v>18499833</v>
      </c>
      <c r="P94" s="379">
        <v>16649849.700000001</v>
      </c>
      <c r="Q94" s="380">
        <v>14984864.73</v>
      </c>
    </row>
    <row r="95" spans="9:17" x14ac:dyDescent="0.15">
      <c r="I95" s="183" t="s">
        <v>166</v>
      </c>
      <c r="J95" s="342">
        <v>465000</v>
      </c>
      <c r="K95" s="274">
        <v>1035000</v>
      </c>
      <c r="L95" s="381">
        <v>1045350</v>
      </c>
      <c r="M95" s="381">
        <v>1055803.5</v>
      </c>
      <c r="N95" s="381">
        <v>1066361.5349999999</v>
      </c>
      <c r="O95" s="381">
        <v>1077025.15035</v>
      </c>
      <c r="P95" s="381">
        <v>1087795.4018534999</v>
      </c>
      <c r="Q95" s="396">
        <v>1098673.355872035</v>
      </c>
    </row>
    <row r="96" spans="9:17" x14ac:dyDescent="0.15">
      <c r="I96" s="183" t="s">
        <v>167</v>
      </c>
      <c r="J96" s="342">
        <v>0</v>
      </c>
      <c r="K96" s="274">
        <v>0</v>
      </c>
      <c r="L96" s="397">
        <v>0</v>
      </c>
      <c r="M96" s="397">
        <v>0</v>
      </c>
      <c r="N96" s="397">
        <v>0</v>
      </c>
      <c r="O96" s="397">
        <v>0</v>
      </c>
      <c r="P96" s="397">
        <v>0</v>
      </c>
      <c r="Q96" s="398">
        <v>0</v>
      </c>
    </row>
    <row r="97" spans="9:17" ht="14" thickBot="1" x14ac:dyDescent="0.2">
      <c r="I97" s="354" t="s">
        <v>168</v>
      </c>
      <c r="J97" s="355">
        <v>2350000</v>
      </c>
      <c r="K97" s="356">
        <v>2625000</v>
      </c>
      <c r="L97" s="375">
        <v>4426830</v>
      </c>
      <c r="M97" s="403">
        <v>7514685</v>
      </c>
      <c r="N97" s="403">
        <v>20238227.75</v>
      </c>
      <c r="O97" s="403">
        <v>46049065.912499994</v>
      </c>
      <c r="P97" s="403">
        <v>86251942.299374998</v>
      </c>
      <c r="Q97" s="404">
        <v>138360929.14428124</v>
      </c>
    </row>
    <row r="98" spans="9:17" ht="14" thickBot="1" x14ac:dyDescent="0.2">
      <c r="I98" s="370" t="s">
        <v>58</v>
      </c>
      <c r="J98" s="371">
        <v>19081000</v>
      </c>
      <c r="K98" s="372">
        <v>22750000</v>
      </c>
      <c r="L98" s="377">
        <v>31683530</v>
      </c>
      <c r="M98" s="377">
        <v>52143234</v>
      </c>
      <c r="N98" s="377">
        <v>107692930.20999999</v>
      </c>
      <c r="O98" s="377">
        <v>217052249.95784998</v>
      </c>
      <c r="P98" s="377">
        <v>360705576.44897848</v>
      </c>
      <c r="Q98" s="378">
        <v>577439646.30177832</v>
      </c>
    </row>
    <row r="99" spans="9:17" x14ac:dyDescent="0.15">
      <c r="I99" s="364"/>
      <c r="J99" s="365"/>
      <c r="K99" s="366">
        <f>M99/3</f>
        <v>-30889388.666666668</v>
      </c>
      <c r="L99" s="411">
        <v>-41235057</v>
      </c>
      <c r="M99" s="412">
        <v>-92668166</v>
      </c>
      <c r="N99" s="412">
        <v>-156851510</v>
      </c>
      <c r="O99" s="412">
        <v>-225356086</v>
      </c>
      <c r="P99" s="412">
        <v>-284701068</v>
      </c>
      <c r="Q99" s="413">
        <v>-320238111</v>
      </c>
    </row>
    <row r="100" spans="9:17" x14ac:dyDescent="0.15">
      <c r="I100" s="183" t="s">
        <v>169</v>
      </c>
      <c r="J100" s="343" t="s">
        <v>154</v>
      </c>
      <c r="K100" s="278" t="s">
        <v>154</v>
      </c>
      <c r="L100" s="397">
        <v>0</v>
      </c>
      <c r="M100" s="397">
        <v>0</v>
      </c>
      <c r="N100" s="397">
        <v>0</v>
      </c>
      <c r="O100" s="397">
        <v>0</v>
      </c>
      <c r="P100" s="397">
        <v>0</v>
      </c>
      <c r="Q100" s="398">
        <v>0</v>
      </c>
    </row>
    <row r="101" spans="9:17" x14ac:dyDescent="0.15">
      <c r="I101" s="183" t="s">
        <v>170</v>
      </c>
      <c r="J101" s="342">
        <v>2000</v>
      </c>
      <c r="K101" s="274">
        <v>2000</v>
      </c>
      <c r="L101" s="381">
        <v>2000</v>
      </c>
      <c r="M101" s="381">
        <v>2000</v>
      </c>
      <c r="N101" s="381">
        <v>2000</v>
      </c>
      <c r="O101" s="381">
        <v>2000</v>
      </c>
      <c r="P101" s="381">
        <v>2000</v>
      </c>
      <c r="Q101" s="396">
        <v>2000</v>
      </c>
    </row>
    <row r="102" spans="9:17" x14ac:dyDescent="0.15">
      <c r="I102" s="183" t="s">
        <v>171</v>
      </c>
      <c r="J102" s="342">
        <v>11971000</v>
      </c>
      <c r="K102" s="274">
        <v>13132000</v>
      </c>
      <c r="L102" s="381">
        <v>15101799.999999998</v>
      </c>
      <c r="M102" s="381">
        <v>17367069.999999996</v>
      </c>
      <c r="N102" s="381">
        <v>19972130.499999993</v>
      </c>
      <c r="O102" s="381">
        <v>22967950.074999988</v>
      </c>
      <c r="P102" s="381">
        <v>26413142.586249985</v>
      </c>
      <c r="Q102" s="396">
        <v>30375113.974187478</v>
      </c>
    </row>
    <row r="103" spans="9:17" x14ac:dyDescent="0.15">
      <c r="I103" s="183" t="s">
        <v>59</v>
      </c>
      <c r="J103" s="342">
        <v>10171000</v>
      </c>
      <c r="K103" s="274">
        <v>29817000</v>
      </c>
      <c r="L103" s="381">
        <v>89436660</v>
      </c>
      <c r="M103" s="381">
        <v>161480948.84715968</v>
      </c>
      <c r="N103" s="381">
        <v>253247897.29232192</v>
      </c>
      <c r="O103" s="381">
        <v>341028980.66137093</v>
      </c>
      <c r="P103" s="381">
        <v>435354496.57688165</v>
      </c>
      <c r="Q103" s="396">
        <v>524475839.19901985</v>
      </c>
    </row>
    <row r="104" spans="9:17" x14ac:dyDescent="0.15">
      <c r="I104" s="183" t="s">
        <v>172</v>
      </c>
      <c r="J104" s="342">
        <v>-43000</v>
      </c>
      <c r="K104" s="274">
        <v>27000</v>
      </c>
      <c r="L104" s="373">
        <v>67500</v>
      </c>
      <c r="M104" s="373">
        <v>-101250</v>
      </c>
      <c r="N104" s="373">
        <v>-50625</v>
      </c>
      <c r="O104" s="373">
        <v>75937.5</v>
      </c>
      <c r="P104" s="373">
        <v>113906.25</v>
      </c>
      <c r="Q104" s="374">
        <v>22781.25</v>
      </c>
    </row>
    <row r="105" spans="9:17" x14ac:dyDescent="0.15">
      <c r="I105" s="183" t="s">
        <v>173</v>
      </c>
      <c r="J105" s="343">
        <v>0</v>
      </c>
      <c r="K105" s="278">
        <v>0</v>
      </c>
      <c r="L105" s="399">
        <v>0</v>
      </c>
      <c r="M105" s="405">
        <v>0</v>
      </c>
      <c r="N105" s="405">
        <v>0</v>
      </c>
      <c r="O105" s="405">
        <v>0</v>
      </c>
      <c r="P105" s="405">
        <v>11831600.000000002</v>
      </c>
      <c r="Q105" s="406">
        <v>13014760.000000004</v>
      </c>
    </row>
    <row r="106" spans="9:17" ht="14" thickBot="1" x14ac:dyDescent="0.2">
      <c r="I106" s="354" t="s">
        <v>174</v>
      </c>
      <c r="J106" s="355">
        <v>0</v>
      </c>
      <c r="K106" s="356">
        <v>0</v>
      </c>
      <c r="L106" s="407">
        <v>0</v>
      </c>
      <c r="M106" s="407">
        <v>0</v>
      </c>
      <c r="N106" s="407">
        <v>0</v>
      </c>
      <c r="O106" s="407">
        <v>0</v>
      </c>
      <c r="P106" s="407">
        <v>0</v>
      </c>
      <c r="Q106" s="408">
        <v>0</v>
      </c>
    </row>
    <row r="107" spans="9:17" ht="14" thickBot="1" x14ac:dyDescent="0.2">
      <c r="I107" s="370" t="s">
        <v>60</v>
      </c>
      <c r="J107" s="371">
        <v>22101000</v>
      </c>
      <c r="K107" s="372">
        <v>42978000</v>
      </c>
      <c r="L107" s="377">
        <v>104607960</v>
      </c>
      <c r="M107" s="377">
        <v>178748768.84715968</v>
      </c>
      <c r="N107" s="377">
        <v>273171402.79232192</v>
      </c>
      <c r="O107" s="377">
        <v>364074868.23637092</v>
      </c>
      <c r="P107" s="377">
        <v>473715145.41313165</v>
      </c>
      <c r="Q107" s="378">
        <v>567890494.42320728</v>
      </c>
    </row>
    <row r="108" spans="9:17" ht="14" thickBot="1" x14ac:dyDescent="0.2">
      <c r="I108" s="367" t="s">
        <v>61</v>
      </c>
      <c r="J108" s="368">
        <v>41182000</v>
      </c>
      <c r="K108" s="369">
        <v>65728000</v>
      </c>
      <c r="L108" s="409">
        <v>136291490</v>
      </c>
      <c r="M108" s="409">
        <v>230892002.84715968</v>
      </c>
      <c r="N108" s="409">
        <v>380864333.0023219</v>
      </c>
      <c r="O108" s="409">
        <v>581127118.1942209</v>
      </c>
      <c r="P108" s="409">
        <v>834420721.86211014</v>
      </c>
      <c r="Q108" s="410">
        <v>1145330140.7249856</v>
      </c>
    </row>
  </sheetData>
  <sheetProtection formatCells="0" formatColumns="0" formatRows="0" insertColumns="0" insertRows="0" insertHyperlinks="0" deleteColumns="0" deleteRows="0" sort="0" autoFilter="0" pivotTables="0"/>
  <pageMargins left="0.7" right="0.7" top="0.75" bottom="0.75" header="0.3" footer="0.3"/>
  <pageSetup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E2C99-9FE2-7E47-9621-38822B2E04E7}">
  <sheetPr>
    <tabColor rgb="FFFFC000"/>
  </sheetPr>
  <dimension ref="A1:T44"/>
  <sheetViews>
    <sheetView zoomScale="112" workbookViewId="0">
      <pane xSplit="1" ySplit="2" topLeftCell="C3" activePane="bottomRight" state="frozen"/>
      <selection pane="topRight" activeCell="B1" sqref="B1"/>
      <selection pane="bottomLeft" activeCell="A3" sqref="A3"/>
      <selection pane="bottomRight" activeCell="Q8" sqref="Q8"/>
    </sheetView>
  </sheetViews>
  <sheetFormatPr baseColWidth="10" defaultColWidth="8.83203125" defaultRowHeight="13" x14ac:dyDescent="0.15"/>
  <cols>
    <col min="1" max="1" width="33" style="52" bestFit="1" customWidth="1"/>
    <col min="2" max="190" width="12" style="52" customWidth="1"/>
    <col min="191" max="16384" width="8.83203125" style="52"/>
  </cols>
  <sheetData>
    <row r="1" spans="1:20" ht="14" x14ac:dyDescent="0.15">
      <c r="A1" s="55" t="s">
        <v>197</v>
      </c>
    </row>
    <row r="2" spans="1:20" ht="14" x14ac:dyDescent="0.15">
      <c r="A2" s="57" t="s">
        <v>131</v>
      </c>
      <c r="B2" s="58" t="s">
        <v>198</v>
      </c>
      <c r="C2" s="58" t="s">
        <v>199</v>
      </c>
      <c r="D2" s="58" t="s">
        <v>200</v>
      </c>
      <c r="E2" s="58" t="s">
        <v>140</v>
      </c>
      <c r="F2" s="58" t="s">
        <v>201</v>
      </c>
      <c r="G2" s="58" t="s">
        <v>202</v>
      </c>
      <c r="H2" s="58" t="s">
        <v>203</v>
      </c>
      <c r="I2" s="58" t="s">
        <v>141</v>
      </c>
      <c r="J2" s="58" t="s">
        <v>204</v>
      </c>
      <c r="K2" s="58" t="s">
        <v>205</v>
      </c>
      <c r="L2" s="58" t="s">
        <v>206</v>
      </c>
      <c r="M2" s="57"/>
    </row>
    <row r="3" spans="1:20" ht="14" x14ac:dyDescent="0.15">
      <c r="A3" s="57"/>
      <c r="B3" s="58" t="s">
        <v>207</v>
      </c>
      <c r="C3" s="58" t="s">
        <v>208</v>
      </c>
      <c r="D3" s="58" t="s">
        <v>209</v>
      </c>
      <c r="E3" s="58" t="s">
        <v>210</v>
      </c>
      <c r="F3" s="58" t="s">
        <v>207</v>
      </c>
      <c r="G3" s="58" t="s">
        <v>208</v>
      </c>
      <c r="H3" s="58" t="s">
        <v>209</v>
      </c>
      <c r="I3" s="58" t="s">
        <v>210</v>
      </c>
      <c r="J3" s="58" t="s">
        <v>207</v>
      </c>
      <c r="K3" s="58" t="s">
        <v>208</v>
      </c>
      <c r="L3" s="58" t="s">
        <v>209</v>
      </c>
      <c r="M3" s="57"/>
    </row>
    <row r="4" spans="1:20" ht="14" x14ac:dyDescent="0.15">
      <c r="A4" s="57" t="s">
        <v>142</v>
      </c>
      <c r="B4" s="58" t="s">
        <v>143</v>
      </c>
      <c r="C4" s="58" t="s">
        <v>143</v>
      </c>
      <c r="D4" s="58" t="s">
        <v>143</v>
      </c>
      <c r="E4" s="58" t="s">
        <v>143</v>
      </c>
      <c r="F4" s="58" t="s">
        <v>143</v>
      </c>
      <c r="G4" s="58" t="s">
        <v>143</v>
      </c>
      <c r="H4" s="58" t="s">
        <v>143</v>
      </c>
      <c r="I4" s="58" t="s">
        <v>143</v>
      </c>
      <c r="J4" s="58" t="s">
        <v>143</v>
      </c>
      <c r="K4" s="58" t="s">
        <v>143</v>
      </c>
      <c r="L4" s="58" t="s">
        <v>143</v>
      </c>
      <c r="M4" s="57"/>
    </row>
    <row r="5" spans="1:20" ht="14" x14ac:dyDescent="0.15">
      <c r="A5" s="57" t="s">
        <v>144</v>
      </c>
      <c r="B5" s="58" t="s">
        <v>145</v>
      </c>
      <c r="C5" s="58" t="s">
        <v>145</v>
      </c>
      <c r="D5" s="58" t="s">
        <v>145</v>
      </c>
      <c r="E5" s="58" t="s">
        <v>145</v>
      </c>
      <c r="F5" s="58" t="s">
        <v>145</v>
      </c>
      <c r="G5" s="58" t="s">
        <v>145</v>
      </c>
      <c r="H5" s="58" t="s">
        <v>145</v>
      </c>
      <c r="I5" s="58" t="s">
        <v>145</v>
      </c>
      <c r="J5" s="58" t="s">
        <v>145</v>
      </c>
      <c r="K5" s="58" t="s">
        <v>145</v>
      </c>
      <c r="L5" s="58" t="s">
        <v>145</v>
      </c>
      <c r="M5" s="57"/>
    </row>
    <row r="6" spans="1:20" ht="14" x14ac:dyDescent="0.15">
      <c r="A6" s="57" t="s">
        <v>146</v>
      </c>
      <c r="B6" s="58" t="s">
        <v>147</v>
      </c>
      <c r="C6" s="58" t="s">
        <v>147</v>
      </c>
      <c r="D6" s="58" t="s">
        <v>147</v>
      </c>
      <c r="E6" s="58" t="s">
        <v>147</v>
      </c>
      <c r="F6" s="58" t="s">
        <v>147</v>
      </c>
      <c r="G6" s="58" t="s">
        <v>147</v>
      </c>
      <c r="H6" s="58" t="s">
        <v>147</v>
      </c>
      <c r="I6" s="58" t="s">
        <v>147</v>
      </c>
      <c r="J6" s="58" t="s">
        <v>147</v>
      </c>
      <c r="K6" s="58" t="s">
        <v>147</v>
      </c>
      <c r="L6" s="58" t="s">
        <v>147</v>
      </c>
      <c r="M6" s="57"/>
    </row>
    <row r="7" spans="1:20" ht="14" x14ac:dyDescent="0.15">
      <c r="A7" s="57" t="s">
        <v>148</v>
      </c>
      <c r="B7" s="58" t="s">
        <v>149</v>
      </c>
      <c r="C7" s="58" t="s">
        <v>149</v>
      </c>
      <c r="D7" s="58" t="s">
        <v>149</v>
      </c>
      <c r="E7" s="58" t="s">
        <v>149</v>
      </c>
      <c r="F7" s="58" t="s">
        <v>149</v>
      </c>
      <c r="G7" s="58" t="s">
        <v>149</v>
      </c>
      <c r="H7" s="58" t="s">
        <v>149</v>
      </c>
      <c r="I7" s="58" t="s">
        <v>149</v>
      </c>
      <c r="J7" s="58" t="s">
        <v>149</v>
      </c>
      <c r="K7" s="58" t="s">
        <v>149</v>
      </c>
      <c r="L7" s="58" t="s">
        <v>149</v>
      </c>
      <c r="M7" s="57"/>
    </row>
    <row r="8" spans="1:20" x14ac:dyDescent="0.15">
      <c r="A8" s="59" t="s">
        <v>150</v>
      </c>
      <c r="B8" s="8">
        <v>20338000</v>
      </c>
      <c r="C8" s="8">
        <v>17037000</v>
      </c>
      <c r="D8" s="8">
        <v>13143000</v>
      </c>
      <c r="E8" s="8">
        <v>3389000</v>
      </c>
      <c r="F8" s="8">
        <v>15320000</v>
      </c>
      <c r="G8" s="8">
        <v>16023000</v>
      </c>
      <c r="H8" s="8">
        <v>18281000</v>
      </c>
      <c r="I8" s="8">
        <v>7280000</v>
      </c>
      <c r="J8" s="8">
        <v>7587000</v>
      </c>
      <c r="K8" s="8">
        <v>8563000</v>
      </c>
      <c r="L8" s="8">
        <v>9107000</v>
      </c>
      <c r="M8" s="236">
        <f t="shared" ref="M8:O9" si="0">J8/I8-1</f>
        <v>4.2170329670329743E-2</v>
      </c>
      <c r="N8" s="236">
        <f t="shared" si="0"/>
        <v>0.12864109661262679</v>
      </c>
      <c r="O8" s="236">
        <f t="shared" si="0"/>
        <v>6.3529136984701529E-2</v>
      </c>
      <c r="P8" s="243">
        <f>'Projected BS'!L7/'Quarterly BS'!I8-1</f>
        <v>1.2976071428571427</v>
      </c>
      <c r="Q8" s="243">
        <f>I8/E8-1</f>
        <v>1.1481262909412808</v>
      </c>
      <c r="R8" s="236">
        <f>L8/I8-1</f>
        <v>0.25096153846153846</v>
      </c>
      <c r="S8" s="252">
        <f t="shared" ref="S8:S44" si="1">AVERAGE(M8:O8)</f>
        <v>7.8113521089219359E-2</v>
      </c>
    </row>
    <row r="9" spans="1:20" x14ac:dyDescent="0.15">
      <c r="A9" s="59" t="s">
        <v>151</v>
      </c>
      <c r="B9" s="9" t="s">
        <v>154</v>
      </c>
      <c r="C9" s="9" t="s">
        <v>154</v>
      </c>
      <c r="D9" s="9" t="s">
        <v>154</v>
      </c>
      <c r="E9" s="8">
        <v>9907000</v>
      </c>
      <c r="F9" s="9" t="s">
        <v>154</v>
      </c>
      <c r="G9" s="9" t="s">
        <v>154</v>
      </c>
      <c r="H9" s="9" t="s">
        <v>154</v>
      </c>
      <c r="I9" s="8">
        <v>18704000</v>
      </c>
      <c r="J9" s="8">
        <v>23851000</v>
      </c>
      <c r="K9" s="8">
        <v>26237000</v>
      </c>
      <c r="L9" s="8">
        <v>29380000</v>
      </c>
      <c r="M9" s="236">
        <f t="shared" si="0"/>
        <v>0.27518177929854581</v>
      </c>
      <c r="N9" s="236">
        <f t="shared" si="0"/>
        <v>0.10003773426690699</v>
      </c>
      <c r="O9" s="236">
        <f t="shared" si="0"/>
        <v>0.11979265922170979</v>
      </c>
      <c r="P9" s="243">
        <f>'Projected BS'!L8/'Quarterly BS'!I9-1</f>
        <v>0.71976582549187329</v>
      </c>
      <c r="Q9" s="243">
        <f>I9/E9-1</f>
        <v>0.88795800948824066</v>
      </c>
      <c r="S9" s="252">
        <f t="shared" si="1"/>
        <v>0.16500405759572087</v>
      </c>
      <c r="T9" s="63">
        <f>L9/('Quarterly IS'!L8+'Quarterly IS'!K8+'Quarterly IS'!J8)</f>
        <v>0.32226926705131298</v>
      </c>
    </row>
    <row r="10" spans="1:20" x14ac:dyDescent="0.15">
      <c r="A10" s="59" t="s">
        <v>44</v>
      </c>
      <c r="B10" s="8">
        <v>20338000</v>
      </c>
      <c r="C10" s="8">
        <v>17037000</v>
      </c>
      <c r="D10" s="8">
        <v>13143000</v>
      </c>
      <c r="E10" s="8">
        <v>13296000</v>
      </c>
      <c r="F10" s="8">
        <v>15320000</v>
      </c>
      <c r="G10" s="8">
        <v>16023000</v>
      </c>
      <c r="H10" s="8">
        <v>18281000</v>
      </c>
      <c r="I10" s="8">
        <v>25984000</v>
      </c>
      <c r="J10" s="8">
        <v>31438000</v>
      </c>
      <c r="K10" s="8">
        <v>34800000</v>
      </c>
      <c r="L10" s="8">
        <v>38487000</v>
      </c>
      <c r="M10" s="25">
        <f>J10/I10-1</f>
        <v>0.20989839901477825</v>
      </c>
      <c r="N10" s="25">
        <f>K10/J10-1</f>
        <v>0.10694064507920342</v>
      </c>
      <c r="O10" s="25">
        <f>L10/K10-1</f>
        <v>0.1059482758620689</v>
      </c>
      <c r="P10" s="81">
        <f>'Projected BS'!L9/'Quarterly BS'!I10-1</f>
        <v>0.88166102216748765</v>
      </c>
      <c r="Q10" s="81">
        <f>I10/E10-1</f>
        <v>0.95427196149217819</v>
      </c>
      <c r="S10" s="252">
        <f t="shared" si="1"/>
        <v>0.14092910665201686</v>
      </c>
    </row>
    <row r="11" spans="1:20" x14ac:dyDescent="0.15">
      <c r="A11" s="59" t="s">
        <v>45</v>
      </c>
      <c r="B11" s="8">
        <v>5438000</v>
      </c>
      <c r="C11" s="8">
        <v>5317000</v>
      </c>
      <c r="D11" s="8">
        <v>4908000</v>
      </c>
      <c r="E11" s="8">
        <v>3827000</v>
      </c>
      <c r="F11" s="8">
        <v>4080000</v>
      </c>
      <c r="G11" s="8">
        <v>7066000</v>
      </c>
      <c r="H11" s="8">
        <v>8309000</v>
      </c>
      <c r="I11" s="8">
        <v>9999000</v>
      </c>
      <c r="J11" s="8">
        <v>12365000</v>
      </c>
      <c r="K11" s="8">
        <v>14132000</v>
      </c>
      <c r="L11" s="8">
        <v>17693000</v>
      </c>
      <c r="M11" s="236">
        <f t="shared" ref="M11:O12" si="2">J11/I11-1</f>
        <v>0.23662366236623655</v>
      </c>
      <c r="N11" s="236">
        <f t="shared" si="2"/>
        <v>0.14290335624747263</v>
      </c>
      <c r="O11" s="236">
        <f t="shared" si="2"/>
        <v>0.25198131899235787</v>
      </c>
      <c r="P11" s="243">
        <f>'Projected BS'!L10/'Quarterly BS'!I11-1</f>
        <v>1.008821781402049</v>
      </c>
      <c r="Q11" s="243">
        <f>I11/E11-1</f>
        <v>1.6127515024823622</v>
      </c>
      <c r="R11" s="236">
        <f>L11/I11-1</f>
        <v>0.76947694769476938</v>
      </c>
      <c r="S11" s="252">
        <f t="shared" si="1"/>
        <v>0.21050277920202234</v>
      </c>
    </row>
    <row r="12" spans="1:20" x14ac:dyDescent="0.15">
      <c r="A12" s="59" t="s">
        <v>152</v>
      </c>
      <c r="B12" s="8">
        <v>3163000</v>
      </c>
      <c r="C12" s="8">
        <v>3889000</v>
      </c>
      <c r="D12" s="8">
        <v>4454000</v>
      </c>
      <c r="E12" s="8">
        <v>5159000</v>
      </c>
      <c r="F12" s="8">
        <v>4611000</v>
      </c>
      <c r="G12" s="8">
        <v>4319000</v>
      </c>
      <c r="H12" s="8">
        <v>4779000</v>
      </c>
      <c r="I12" s="8">
        <v>5282000</v>
      </c>
      <c r="J12" s="8">
        <v>5864000</v>
      </c>
      <c r="K12" s="8">
        <v>6675000</v>
      </c>
      <c r="L12" s="8">
        <v>7654000</v>
      </c>
      <c r="M12" s="236">
        <f t="shared" si="2"/>
        <v>0.11018553578190082</v>
      </c>
      <c r="N12" s="236">
        <f t="shared" si="2"/>
        <v>0.13830150068212821</v>
      </c>
      <c r="O12" s="236">
        <f t="shared" si="2"/>
        <v>0.14666666666666672</v>
      </c>
      <c r="P12" s="243">
        <f>'Projected BS'!L11/'Quarterly BS'!I12-1</f>
        <v>1.6595179044729451</v>
      </c>
      <c r="Q12" s="243">
        <f>I12/E12-1</f>
        <v>2.3841829811979132E-2</v>
      </c>
      <c r="R12" s="236">
        <f>L12/I12-1</f>
        <v>0.44907232109049611</v>
      </c>
      <c r="S12" s="252">
        <f t="shared" si="1"/>
        <v>0.13171790104356526</v>
      </c>
    </row>
    <row r="13" spans="1:20" x14ac:dyDescent="0.15">
      <c r="A13" s="59" t="s">
        <v>211</v>
      </c>
      <c r="B13" s="9" t="s">
        <v>154</v>
      </c>
      <c r="C13" s="9" t="s">
        <v>154</v>
      </c>
      <c r="D13" s="9" t="s">
        <v>154</v>
      </c>
      <c r="E13" s="9" t="s">
        <v>154</v>
      </c>
      <c r="F13" s="9" t="s">
        <v>154</v>
      </c>
      <c r="G13" s="9" t="s">
        <v>154</v>
      </c>
      <c r="H13" s="9" t="s">
        <v>154</v>
      </c>
      <c r="I13" s="9" t="s">
        <v>154</v>
      </c>
      <c r="J13" s="8">
        <v>4062000</v>
      </c>
      <c r="K13" s="8">
        <v>4026000</v>
      </c>
      <c r="L13" s="8">
        <v>3806000</v>
      </c>
      <c r="M13" s="25" t="e">
        <f>J13/I13-1</f>
        <v>#VALUE!</v>
      </c>
      <c r="N13" s="25">
        <f>K13/J13-1</f>
        <v>-8.8626292466764678E-3</v>
      </c>
      <c r="O13" s="25">
        <f>L13/K13-1</f>
        <v>-5.4644808743169349E-2</v>
      </c>
      <c r="S13" s="252" t="e">
        <f t="shared" si="1"/>
        <v>#VALUE!</v>
      </c>
    </row>
    <row r="14" spans="1:20" x14ac:dyDescent="0.15">
      <c r="A14" s="59" t="s">
        <v>155</v>
      </c>
      <c r="B14" s="8">
        <v>636000</v>
      </c>
      <c r="C14" s="8">
        <v>1175000</v>
      </c>
      <c r="D14" s="8">
        <v>718000</v>
      </c>
      <c r="E14" s="8">
        <v>791000</v>
      </c>
      <c r="F14" s="8">
        <v>872000</v>
      </c>
      <c r="G14" s="8">
        <v>1389000</v>
      </c>
      <c r="H14" s="8">
        <v>1289000</v>
      </c>
      <c r="I14" s="8">
        <v>3080000</v>
      </c>
      <c r="J14" s="8">
        <v>0</v>
      </c>
      <c r="K14" s="8">
        <v>0</v>
      </c>
      <c r="L14" s="8">
        <v>0</v>
      </c>
      <c r="M14" s="59"/>
      <c r="S14" s="252" t="e">
        <f t="shared" si="1"/>
        <v>#DIV/0!</v>
      </c>
    </row>
    <row r="15" spans="1:20" x14ac:dyDescent="0.15">
      <c r="A15" s="60" t="s">
        <v>47</v>
      </c>
      <c r="B15" s="13">
        <v>29575000</v>
      </c>
      <c r="C15" s="13">
        <v>27418000</v>
      </c>
      <c r="D15" s="13">
        <v>23223000</v>
      </c>
      <c r="E15" s="13">
        <v>23073000</v>
      </c>
      <c r="F15" s="13">
        <v>24883000</v>
      </c>
      <c r="G15" s="13">
        <v>28797000</v>
      </c>
      <c r="H15" s="13">
        <v>32658000</v>
      </c>
      <c r="I15" s="13">
        <v>44345000</v>
      </c>
      <c r="J15" s="13">
        <v>53729000</v>
      </c>
      <c r="K15" s="13">
        <v>59633000</v>
      </c>
      <c r="L15" s="13">
        <v>67640000</v>
      </c>
      <c r="M15" s="59"/>
      <c r="S15" s="252" t="e">
        <f t="shared" si="1"/>
        <v>#DIV/0!</v>
      </c>
    </row>
    <row r="16" spans="1:20" x14ac:dyDescent="0.15">
      <c r="A16" s="59" t="s">
        <v>48</v>
      </c>
      <c r="B16" s="9" t="s">
        <v>154</v>
      </c>
      <c r="C16" s="9" t="s">
        <v>154</v>
      </c>
      <c r="D16" s="9" t="s">
        <v>154</v>
      </c>
      <c r="E16" s="8">
        <v>6501000</v>
      </c>
      <c r="F16" s="9" t="s">
        <v>154</v>
      </c>
      <c r="G16" s="9" t="s">
        <v>154</v>
      </c>
      <c r="H16" s="9" t="s">
        <v>154</v>
      </c>
      <c r="I16" s="8">
        <v>7423000</v>
      </c>
      <c r="J16" s="9" t="s">
        <v>154</v>
      </c>
      <c r="K16" s="9" t="s">
        <v>154</v>
      </c>
      <c r="L16" s="9" t="s">
        <v>154</v>
      </c>
      <c r="M16" s="59"/>
      <c r="S16" s="252" t="e">
        <f t="shared" si="1"/>
        <v>#DIV/0!</v>
      </c>
    </row>
    <row r="17" spans="1:19" x14ac:dyDescent="0.15">
      <c r="A17" s="59" t="s">
        <v>49</v>
      </c>
      <c r="B17" s="9" t="s">
        <v>154</v>
      </c>
      <c r="C17" s="9" t="s">
        <v>154</v>
      </c>
      <c r="D17" s="9" t="s">
        <v>154</v>
      </c>
      <c r="E17" s="8">
        <v>2694000</v>
      </c>
      <c r="F17" s="9" t="s">
        <v>154</v>
      </c>
      <c r="G17" s="9" t="s">
        <v>154</v>
      </c>
      <c r="H17" s="9" t="s">
        <v>154</v>
      </c>
      <c r="I17" s="8">
        <v>3509000</v>
      </c>
      <c r="J17" s="9" t="s">
        <v>154</v>
      </c>
      <c r="K17" s="9" t="s">
        <v>154</v>
      </c>
      <c r="L17" s="9" t="s">
        <v>154</v>
      </c>
      <c r="M17" s="59"/>
      <c r="N17" s="236">
        <f>I17/E17-1</f>
        <v>0.30252412769116566</v>
      </c>
      <c r="S17" s="252">
        <f t="shared" si="1"/>
        <v>0.30252412769116566</v>
      </c>
    </row>
    <row r="18" spans="1:19" x14ac:dyDescent="0.15">
      <c r="A18" s="61" t="s">
        <v>50</v>
      </c>
      <c r="B18" s="11">
        <v>2916000</v>
      </c>
      <c r="C18" s="11">
        <v>3233000</v>
      </c>
      <c r="D18" s="11">
        <v>3774000</v>
      </c>
      <c r="E18" s="11">
        <v>3807000</v>
      </c>
      <c r="F18" s="11">
        <v>3740000</v>
      </c>
      <c r="G18" s="11">
        <v>3799000</v>
      </c>
      <c r="H18" s="11">
        <v>3844000</v>
      </c>
      <c r="I18" s="11">
        <v>3914000</v>
      </c>
      <c r="J18" s="11">
        <v>4006000</v>
      </c>
      <c r="K18" s="11">
        <v>4885000</v>
      </c>
      <c r="L18" s="11">
        <v>5343000</v>
      </c>
      <c r="M18" s="251"/>
      <c r="N18" s="251">
        <f>K18/J18-1</f>
        <v>0.21942086869695454</v>
      </c>
      <c r="O18" s="251">
        <f>L18/K18-1</f>
        <v>9.3756397134084013E-2</v>
      </c>
      <c r="P18" s="237">
        <f>AVERAGE(N18:O18)</f>
        <v>0.15658863291551928</v>
      </c>
      <c r="Q18" s="63">
        <f>L18*(1+P18)</f>
        <v>6179653.0656676199</v>
      </c>
      <c r="S18" s="252">
        <f t="shared" si="1"/>
        <v>0.15658863291551928</v>
      </c>
    </row>
    <row r="19" spans="1:19" x14ac:dyDescent="0.15">
      <c r="A19" s="59" t="s">
        <v>156</v>
      </c>
      <c r="B19" s="9" t="s">
        <v>154</v>
      </c>
      <c r="C19" s="9" t="s">
        <v>154</v>
      </c>
      <c r="D19" s="9" t="s">
        <v>154</v>
      </c>
      <c r="E19" s="8">
        <v>299000</v>
      </c>
      <c r="F19" s="9" t="s">
        <v>154</v>
      </c>
      <c r="G19" s="9" t="s">
        <v>154</v>
      </c>
      <c r="H19" s="8">
        <v>1172000</v>
      </c>
      <c r="I19" s="9" t="s">
        <v>154</v>
      </c>
      <c r="J19" s="9" t="s">
        <v>154</v>
      </c>
      <c r="K19" s="9" t="s">
        <v>154</v>
      </c>
      <c r="L19" s="9" t="s">
        <v>154</v>
      </c>
      <c r="S19" s="252" t="e">
        <f t="shared" si="1"/>
        <v>#DIV/0!</v>
      </c>
    </row>
    <row r="20" spans="1:19" x14ac:dyDescent="0.15">
      <c r="A20" s="59" t="s">
        <v>157</v>
      </c>
      <c r="B20" s="8">
        <v>6576000</v>
      </c>
      <c r="C20" s="8">
        <v>6408000</v>
      </c>
      <c r="D20" s="8">
        <v>6222000</v>
      </c>
      <c r="E20" s="8">
        <v>6048000</v>
      </c>
      <c r="F20" s="8">
        <v>5971000</v>
      </c>
      <c r="G20" s="8">
        <v>5825000</v>
      </c>
      <c r="H20" s="8">
        <v>5681000</v>
      </c>
      <c r="I20" s="8">
        <v>5542000</v>
      </c>
      <c r="J20" s="8">
        <v>5439000</v>
      </c>
      <c r="K20" s="8">
        <v>5574000</v>
      </c>
      <c r="L20" s="8">
        <v>5562000</v>
      </c>
      <c r="M20" s="236">
        <f t="shared" ref="M20:O24" si="3">J20/I20-1</f>
        <v>-1.858534824972935E-2</v>
      </c>
      <c r="N20" s="236">
        <f t="shared" si="3"/>
        <v>2.4820739106453438E-2</v>
      </c>
      <c r="O20" s="236">
        <f t="shared" si="3"/>
        <v>-2.1528525296017342E-3</v>
      </c>
      <c r="P20" s="243">
        <f>'Projected BS'!L19/'Quarterly BS'!I20-1</f>
        <v>1.1119792521584979</v>
      </c>
      <c r="Q20" s="243">
        <f>I20/E20-1</f>
        <v>-8.3664021164021163E-2</v>
      </c>
      <c r="R20" s="236">
        <f>L20/I20-1</f>
        <v>3.6088054853844476E-3</v>
      </c>
      <c r="S20" s="252">
        <f t="shared" si="1"/>
        <v>1.3608461090407846E-3</v>
      </c>
    </row>
    <row r="21" spans="1:19" x14ac:dyDescent="0.15">
      <c r="A21" s="59" t="s">
        <v>158</v>
      </c>
      <c r="B21" s="8">
        <v>3157000</v>
      </c>
      <c r="C21" s="8">
        <v>2922000</v>
      </c>
      <c r="D21" s="8">
        <v>3164000</v>
      </c>
      <c r="E21" s="8">
        <v>3376000</v>
      </c>
      <c r="F21" s="8">
        <v>3554000</v>
      </c>
      <c r="G21" s="8">
        <v>3553000</v>
      </c>
      <c r="H21" s="8">
        <v>3356000</v>
      </c>
      <c r="I21" s="9" t="s">
        <v>154</v>
      </c>
      <c r="J21" s="9" t="s">
        <v>154</v>
      </c>
      <c r="K21" s="9" t="s">
        <v>154</v>
      </c>
      <c r="L21" s="9" t="s">
        <v>154</v>
      </c>
      <c r="M21" s="25" t="e">
        <f t="shared" si="3"/>
        <v>#VALUE!</v>
      </c>
      <c r="N21" s="25" t="e">
        <f t="shared" si="3"/>
        <v>#VALUE!</v>
      </c>
      <c r="O21" s="25" t="e">
        <f t="shared" si="3"/>
        <v>#VALUE!</v>
      </c>
      <c r="P21" s="81" t="e">
        <f>'Projected BS'!L20/'Quarterly BS'!I21-1</f>
        <v>#VALUE!</v>
      </c>
      <c r="Q21" s="81" t="e">
        <f>I21/E21-1</f>
        <v>#VALUE!</v>
      </c>
      <c r="R21" s="25" t="e">
        <f>L21/I21-1</f>
        <v>#VALUE!</v>
      </c>
      <c r="S21" s="252" t="e">
        <f t="shared" si="1"/>
        <v>#VALUE!</v>
      </c>
    </row>
    <row r="22" spans="1:19" x14ac:dyDescent="0.15">
      <c r="A22" s="59" t="s">
        <v>159</v>
      </c>
      <c r="B22" s="8">
        <v>1784000</v>
      </c>
      <c r="C22" s="8">
        <v>2225000</v>
      </c>
      <c r="D22" s="8">
        <v>2762000</v>
      </c>
      <c r="E22" s="8">
        <v>3396000</v>
      </c>
      <c r="F22" s="8">
        <v>4568000</v>
      </c>
      <c r="G22" s="8">
        <v>5398000</v>
      </c>
      <c r="H22" s="8">
        <v>5982000</v>
      </c>
      <c r="I22" s="8">
        <v>6081000</v>
      </c>
      <c r="J22" s="8">
        <v>7798000</v>
      </c>
      <c r="K22" s="8">
        <v>9578000</v>
      </c>
      <c r="L22" s="8">
        <v>10276000</v>
      </c>
      <c r="M22" s="25">
        <f t="shared" si="3"/>
        <v>0.28235487584278895</v>
      </c>
      <c r="N22" s="25">
        <f t="shared" si="3"/>
        <v>0.22826365734803788</v>
      </c>
      <c r="O22" s="25">
        <f t="shared" si="3"/>
        <v>7.2875339319273369E-2</v>
      </c>
      <c r="P22" s="81">
        <f>'Projected BS'!L21/'Quarterly BS'!I22-1</f>
        <v>1.274187495640128</v>
      </c>
      <c r="Q22" s="81">
        <f>I22/E22-1</f>
        <v>0.79063604240282692</v>
      </c>
      <c r="R22" s="25">
        <f>L22/I22-1</f>
        <v>0.68985364249301107</v>
      </c>
      <c r="S22" s="252">
        <f t="shared" si="1"/>
        <v>0.19449795750336674</v>
      </c>
    </row>
    <row r="23" spans="1:19" x14ac:dyDescent="0.15">
      <c r="A23" s="59" t="s">
        <v>51</v>
      </c>
      <c r="B23" s="8">
        <v>1204000</v>
      </c>
      <c r="C23" s="8">
        <v>1270000</v>
      </c>
      <c r="D23" s="8">
        <v>1343000</v>
      </c>
      <c r="E23" s="8">
        <v>1183000</v>
      </c>
      <c r="F23" s="8">
        <v>1744000</v>
      </c>
      <c r="G23" s="8">
        <v>2183000</v>
      </c>
      <c r="H23" s="8">
        <v>1455000</v>
      </c>
      <c r="I23" s="8">
        <v>5846000</v>
      </c>
      <c r="J23" s="8">
        <v>6100000</v>
      </c>
      <c r="K23" s="8">
        <v>5557000</v>
      </c>
      <c r="L23" s="8">
        <v>7192000</v>
      </c>
      <c r="M23" s="25">
        <f t="shared" si="3"/>
        <v>4.344851180294218E-2</v>
      </c>
      <c r="N23" s="25">
        <f t="shared" si="3"/>
        <v>-8.901639344262291E-2</v>
      </c>
      <c r="O23" s="25">
        <f t="shared" si="3"/>
        <v>0.29422350188950874</v>
      </c>
      <c r="P23" s="81">
        <f>'Projected BS'!L22/'Quarterly BS'!I23-1</f>
        <v>0.30590535823589016</v>
      </c>
      <c r="Q23" s="81">
        <f>I23/E23-1</f>
        <v>3.9416737109044799</v>
      </c>
      <c r="R23" s="25">
        <f>L23/I23-1</f>
        <v>0.23024290112897705</v>
      </c>
      <c r="S23" s="252">
        <f t="shared" si="1"/>
        <v>8.2885206749942666E-2</v>
      </c>
    </row>
    <row r="24" spans="1:19" x14ac:dyDescent="0.15">
      <c r="A24" s="60" t="s">
        <v>53</v>
      </c>
      <c r="B24" s="13">
        <v>45212000</v>
      </c>
      <c r="C24" s="13">
        <v>43476000</v>
      </c>
      <c r="D24" s="13">
        <v>40488000</v>
      </c>
      <c r="E24" s="13">
        <v>41182000</v>
      </c>
      <c r="F24" s="13">
        <v>44460000</v>
      </c>
      <c r="G24" s="13">
        <v>49555000</v>
      </c>
      <c r="H24" s="13">
        <v>54148000</v>
      </c>
      <c r="I24" s="13">
        <v>65728000</v>
      </c>
      <c r="J24" s="13">
        <v>77072000</v>
      </c>
      <c r="K24" s="13">
        <v>85227000</v>
      </c>
      <c r="L24" s="13">
        <v>96013000</v>
      </c>
      <c r="M24" s="25">
        <f t="shared" si="3"/>
        <v>0.17259006815968836</v>
      </c>
      <c r="N24" s="25">
        <f t="shared" si="3"/>
        <v>0.10581015154660567</v>
      </c>
      <c r="O24" s="25">
        <f t="shared" si="3"/>
        <v>0.12655613831297585</v>
      </c>
      <c r="P24" s="81">
        <f>'Projected BS'!L23/'Quarterly BS'!I24-1</f>
        <v>1.2937695756273286</v>
      </c>
      <c r="Q24" s="81">
        <f>I24/E24-1</f>
        <v>0.59603710358894668</v>
      </c>
      <c r="R24" s="25">
        <f>L24/I24-1</f>
        <v>0.4607625365141188</v>
      </c>
      <c r="S24" s="252">
        <f t="shared" si="1"/>
        <v>0.13498545267308995</v>
      </c>
    </row>
    <row r="25" spans="1:19" x14ac:dyDescent="0.15">
      <c r="A25" s="59"/>
      <c r="B25" s="8"/>
      <c r="C25" s="8"/>
      <c r="D25" s="8"/>
      <c r="E25" s="8"/>
      <c r="F25" s="8"/>
      <c r="G25" s="8"/>
      <c r="H25" s="8"/>
      <c r="I25" s="8"/>
      <c r="J25" s="8"/>
      <c r="K25" s="8"/>
      <c r="L25" s="8"/>
      <c r="M25" s="25"/>
      <c r="N25" s="25"/>
      <c r="O25" s="25"/>
      <c r="P25" s="81"/>
      <c r="Q25" s="81"/>
      <c r="R25" s="25"/>
      <c r="S25" s="252" t="e">
        <f t="shared" si="1"/>
        <v>#DIV/0!</v>
      </c>
    </row>
    <row r="26" spans="1:19" x14ac:dyDescent="0.15">
      <c r="A26" s="59" t="s">
        <v>160</v>
      </c>
      <c r="B26" s="8">
        <v>3387000</v>
      </c>
      <c r="C26" s="8">
        <v>3000000</v>
      </c>
      <c r="D26" s="8">
        <v>1798000</v>
      </c>
      <c r="E26" s="8">
        <v>2919000</v>
      </c>
      <c r="F26" s="8">
        <v>3005000</v>
      </c>
      <c r="G26" s="8">
        <v>6461000</v>
      </c>
      <c r="H26" s="8">
        <v>4713000</v>
      </c>
      <c r="I26" s="8">
        <v>7496000</v>
      </c>
      <c r="J26" s="8">
        <v>11925000</v>
      </c>
      <c r="K26" s="8">
        <v>11559000</v>
      </c>
      <c r="L26" s="8">
        <v>14034000</v>
      </c>
      <c r="M26" s="25">
        <f t="shared" ref="M26:O30" si="4">J26/I26-1</f>
        <v>0.59084845250800422</v>
      </c>
      <c r="N26" s="25">
        <f t="shared" si="4"/>
        <v>-3.0691823899371085E-2</v>
      </c>
      <c r="O26" s="25">
        <f t="shared" si="4"/>
        <v>0.21411886841422278</v>
      </c>
      <c r="P26" s="81">
        <f>'Projected BS'!L25/'Quarterly BS'!I26-1</f>
        <v>0.98657013953895434</v>
      </c>
      <c r="Q26" s="81">
        <f>I26/E26-1</f>
        <v>1.5680027406646113</v>
      </c>
      <c r="R26" s="25">
        <f>L26/I26-1</f>
        <v>0.87219850586979719</v>
      </c>
      <c r="S26" s="252">
        <f t="shared" si="1"/>
        <v>0.25809183234095195</v>
      </c>
    </row>
    <row r="27" spans="1:19" x14ac:dyDescent="0.15">
      <c r="A27" s="59" t="s">
        <v>161</v>
      </c>
      <c r="B27" s="8">
        <v>1999000</v>
      </c>
      <c r="C27" s="8">
        <v>2421000</v>
      </c>
      <c r="D27" s="8">
        <v>1491000</v>
      </c>
      <c r="E27" s="8">
        <v>1193000</v>
      </c>
      <c r="F27" s="8">
        <v>1141000</v>
      </c>
      <c r="G27" s="8">
        <v>1929000</v>
      </c>
      <c r="H27" s="8">
        <v>2380000</v>
      </c>
      <c r="I27" s="8">
        <v>2699000</v>
      </c>
      <c r="J27" s="8">
        <v>2715000</v>
      </c>
      <c r="K27" s="8">
        <v>3680000</v>
      </c>
      <c r="L27" s="8">
        <v>5353000</v>
      </c>
      <c r="M27" s="25">
        <f t="shared" si="4"/>
        <v>5.9281215264912479E-3</v>
      </c>
      <c r="N27" s="25">
        <f t="shared" si="4"/>
        <v>0.35543278084714558</v>
      </c>
      <c r="O27" s="25">
        <f t="shared" si="4"/>
        <v>0.45461956521739122</v>
      </c>
      <c r="P27" s="81">
        <f>'Projected BS'!L26/'Quarterly BS'!I27-1</f>
        <v>1.7964264505706353</v>
      </c>
      <c r="Q27" s="81">
        <f>I27/E27-1</f>
        <v>1.2623637887678121</v>
      </c>
      <c r="R27" s="25">
        <f>L27/I27-1</f>
        <v>0.98332715820674332</v>
      </c>
      <c r="S27" s="252">
        <f t="shared" si="1"/>
        <v>0.27199348919700933</v>
      </c>
    </row>
    <row r="28" spans="1:19" x14ac:dyDescent="0.15">
      <c r="A28" s="59" t="s">
        <v>162</v>
      </c>
      <c r="B28" s="8">
        <v>1063000</v>
      </c>
      <c r="C28" s="8">
        <v>579000</v>
      </c>
      <c r="D28" s="8">
        <v>307000</v>
      </c>
      <c r="E28" s="8">
        <v>1726000</v>
      </c>
      <c r="F28" s="8">
        <v>1864000</v>
      </c>
      <c r="G28" s="8">
        <v>4532000</v>
      </c>
      <c r="H28" s="8">
        <v>2333000</v>
      </c>
      <c r="I28" s="8">
        <v>4797000</v>
      </c>
      <c r="J28" s="8">
        <v>9210000</v>
      </c>
      <c r="K28" s="8">
        <v>7879000</v>
      </c>
      <c r="L28" s="8">
        <v>8681000</v>
      </c>
      <c r="M28" s="25">
        <f t="shared" si="4"/>
        <v>0.91994996873045642</v>
      </c>
      <c r="N28" s="25">
        <f t="shared" si="4"/>
        <v>-0.14451682953311618</v>
      </c>
      <c r="O28" s="25">
        <f t="shared" si="4"/>
        <v>0.10178956720395993</v>
      </c>
      <c r="P28" s="81">
        <f>'Projected BS'!L27/'Quarterly BS'!I28-1</f>
        <v>0.5309098969968431</v>
      </c>
      <c r="Q28" s="81">
        <f>I28/E28-1</f>
        <v>1.7792584009269987</v>
      </c>
      <c r="R28" s="25">
        <f>L28/I28-1</f>
        <v>0.80967271211173641</v>
      </c>
      <c r="S28" s="252">
        <f t="shared" si="1"/>
        <v>0.29240756880043339</v>
      </c>
    </row>
    <row r="29" spans="1:19" x14ac:dyDescent="0.15">
      <c r="A29" s="59" t="s">
        <v>163</v>
      </c>
      <c r="B29" s="9" t="s">
        <v>154</v>
      </c>
      <c r="C29" s="8">
        <v>1249000</v>
      </c>
      <c r="D29" s="8">
        <v>1249000</v>
      </c>
      <c r="E29" s="8">
        <v>1250000</v>
      </c>
      <c r="F29" s="8">
        <v>1250000</v>
      </c>
      <c r="G29" s="8">
        <v>1249000</v>
      </c>
      <c r="H29" s="8">
        <v>1249000</v>
      </c>
      <c r="I29" s="8">
        <v>1250000</v>
      </c>
      <c r="J29" s="8">
        <v>1250000</v>
      </c>
      <c r="K29" s="9" t="s">
        <v>154</v>
      </c>
      <c r="L29" s="9" t="s">
        <v>154</v>
      </c>
      <c r="M29" s="25">
        <f t="shared" si="4"/>
        <v>0</v>
      </c>
      <c r="N29" s="25" t="e">
        <f t="shared" si="4"/>
        <v>#VALUE!</v>
      </c>
      <c r="O29" s="25" t="e">
        <f t="shared" si="4"/>
        <v>#VALUE!</v>
      </c>
      <c r="P29" s="81">
        <f>'Projected BS'!L28/'Quarterly BS'!I29-1</f>
        <v>0</v>
      </c>
      <c r="Q29" s="81">
        <f>I29/E29-1</f>
        <v>0</v>
      </c>
      <c r="R29" s="25" t="e">
        <f>L29/I29-1</f>
        <v>#VALUE!</v>
      </c>
      <c r="S29" s="252" t="e">
        <f t="shared" si="1"/>
        <v>#VALUE!</v>
      </c>
    </row>
    <row r="30" spans="1:19" x14ac:dyDescent="0.15">
      <c r="A30" s="59" t="s">
        <v>164</v>
      </c>
      <c r="B30" s="8">
        <v>2175000</v>
      </c>
      <c r="C30" s="8">
        <v>3324000</v>
      </c>
      <c r="D30" s="8">
        <v>3808000</v>
      </c>
      <c r="E30" s="8">
        <v>2394000</v>
      </c>
      <c r="F30" s="8">
        <v>3005000</v>
      </c>
      <c r="G30" s="8">
        <v>2624000</v>
      </c>
      <c r="H30" s="8">
        <v>3139000</v>
      </c>
      <c r="I30" s="8">
        <v>1885000</v>
      </c>
      <c r="J30" s="8">
        <v>2048000</v>
      </c>
      <c r="K30" s="8">
        <v>2410000</v>
      </c>
      <c r="L30" s="8">
        <v>2445000</v>
      </c>
      <c r="M30" s="25">
        <f t="shared" si="4"/>
        <v>8.6472148541113958E-2</v>
      </c>
      <c r="N30" s="25">
        <f t="shared" si="4"/>
        <v>0.1767578125</v>
      </c>
      <c r="O30" s="25">
        <f t="shared" si="4"/>
        <v>1.4522821576763434E-2</v>
      </c>
      <c r="P30" s="81">
        <f>'Projected BS'!L29/'Quarterly BS'!I30-1</f>
        <v>2.0463279122561993</v>
      </c>
      <c r="Q30" s="81">
        <f>I30/E30-1</f>
        <v>-0.21261487050960737</v>
      </c>
      <c r="R30" s="25">
        <f>L30/I30-1</f>
        <v>0.29708222811671092</v>
      </c>
      <c r="S30" s="252">
        <f t="shared" si="1"/>
        <v>9.2584260872625793E-2</v>
      </c>
    </row>
    <row r="31" spans="1:19" x14ac:dyDescent="0.15">
      <c r="A31" s="60" t="s">
        <v>56</v>
      </c>
      <c r="B31" s="13">
        <v>5562000</v>
      </c>
      <c r="C31" s="13">
        <v>7573000</v>
      </c>
      <c r="D31" s="13">
        <v>6855000</v>
      </c>
      <c r="E31" s="13">
        <v>6563000</v>
      </c>
      <c r="F31" s="13">
        <v>7260000</v>
      </c>
      <c r="G31" s="13">
        <v>10334000</v>
      </c>
      <c r="H31" s="13">
        <v>9101000</v>
      </c>
      <c r="I31" s="13">
        <v>10631000</v>
      </c>
      <c r="J31" s="13">
        <v>15223000</v>
      </c>
      <c r="K31" s="13">
        <v>13969000</v>
      </c>
      <c r="L31" s="13">
        <v>16479000</v>
      </c>
      <c r="M31" s="59"/>
      <c r="S31" s="252" t="e">
        <f t="shared" si="1"/>
        <v>#DIV/0!</v>
      </c>
    </row>
    <row r="32" spans="1:19" x14ac:dyDescent="0.15">
      <c r="A32" s="59" t="s">
        <v>165</v>
      </c>
      <c r="B32" s="8">
        <v>10947000</v>
      </c>
      <c r="C32" s="8">
        <v>9700000</v>
      </c>
      <c r="D32" s="8">
        <v>9701000</v>
      </c>
      <c r="E32" s="8">
        <v>9703000</v>
      </c>
      <c r="F32" s="8">
        <v>9704000</v>
      </c>
      <c r="G32" s="8">
        <v>8456000</v>
      </c>
      <c r="H32" s="8">
        <v>8457000</v>
      </c>
      <c r="I32" s="8">
        <v>8459000</v>
      </c>
      <c r="J32" s="8">
        <v>8460000</v>
      </c>
      <c r="K32" s="8">
        <v>8461000</v>
      </c>
      <c r="L32" s="8">
        <v>8462000</v>
      </c>
      <c r="M32" s="236">
        <f>J32/I32-1</f>
        <v>1.1821728336691706E-4</v>
      </c>
      <c r="N32" s="236">
        <f>K32/J32-1</f>
        <v>1.1820330969269932E-4</v>
      </c>
      <c r="O32" s="236">
        <f>L32/K32-1</f>
        <v>1.1818933932161713E-4</v>
      </c>
      <c r="P32" s="243">
        <f>'Projected BS'!L31/'Quarterly BS'!I32-1</f>
        <v>6.4738148717342403E-2</v>
      </c>
      <c r="Q32" s="243">
        <f>I32/E32-1</f>
        <v>-0.12820777079253842</v>
      </c>
      <c r="R32" s="236">
        <f>L32/I32-1</f>
        <v>3.5465185010052913E-4</v>
      </c>
      <c r="S32" s="252">
        <f t="shared" si="1"/>
        <v>1.1820331079374451E-4</v>
      </c>
    </row>
    <row r="33" spans="1:19" x14ac:dyDescent="0.15">
      <c r="A33" s="59" t="s">
        <v>166</v>
      </c>
      <c r="B33" s="8">
        <v>460000</v>
      </c>
      <c r="C33" s="8">
        <v>453000</v>
      </c>
      <c r="D33" s="8">
        <v>459000</v>
      </c>
      <c r="E33" s="8">
        <v>465000</v>
      </c>
      <c r="F33" s="8">
        <v>520000</v>
      </c>
      <c r="G33" s="8">
        <v>681000</v>
      </c>
      <c r="H33" s="8">
        <v>849000</v>
      </c>
      <c r="I33" s="8">
        <v>1035000</v>
      </c>
      <c r="J33" s="8">
        <v>583000</v>
      </c>
      <c r="K33" s="8">
        <v>697000</v>
      </c>
      <c r="L33" s="8">
        <v>790000</v>
      </c>
      <c r="M33" s="236">
        <f t="shared" ref="M33:M35" si="5">J33/I33-1</f>
        <v>-0.43671497584541064</v>
      </c>
      <c r="N33" s="236">
        <f t="shared" ref="N33:N35" si="6">K33/J33-1</f>
        <v>0.195540308747856</v>
      </c>
      <c r="O33" s="236">
        <f t="shared" ref="O33:O35" si="7">L33/K33-1</f>
        <v>0.13342898134863712</v>
      </c>
      <c r="P33" s="243">
        <f>'Projected BS'!L32/'Quarterly BS'!I33-1</f>
        <v>0.7582020309269033</v>
      </c>
      <c r="Q33" s="243">
        <f t="shared" ref="Q33:Q35" si="8">I33/E33-1</f>
        <v>1.225806451612903</v>
      </c>
      <c r="R33" s="236">
        <f t="shared" ref="R33:R35" si="9">L33/I33-1</f>
        <v>-0.23671497584541068</v>
      </c>
      <c r="S33" s="252">
        <f t="shared" si="1"/>
        <v>-3.5915228582972504E-2</v>
      </c>
    </row>
    <row r="34" spans="1:19" x14ac:dyDescent="0.15">
      <c r="A34" s="59" t="s">
        <v>167</v>
      </c>
      <c r="B34" s="8">
        <v>0</v>
      </c>
      <c r="C34" s="8">
        <v>0</v>
      </c>
      <c r="D34" s="8">
        <v>0</v>
      </c>
      <c r="E34" s="8">
        <v>0</v>
      </c>
      <c r="F34" s="8">
        <v>0</v>
      </c>
      <c r="G34" s="8">
        <v>0</v>
      </c>
      <c r="H34" s="8">
        <v>0</v>
      </c>
      <c r="I34" s="8">
        <v>0</v>
      </c>
      <c r="J34" s="8">
        <v>0</v>
      </c>
      <c r="K34" s="8">
        <v>0</v>
      </c>
      <c r="L34" s="8">
        <v>0</v>
      </c>
      <c r="M34" s="236" t="e">
        <f t="shared" si="5"/>
        <v>#DIV/0!</v>
      </c>
      <c r="N34" s="236" t="e">
        <f t="shared" si="6"/>
        <v>#DIV/0!</v>
      </c>
      <c r="O34" s="236" t="e">
        <f t="shared" si="7"/>
        <v>#DIV/0!</v>
      </c>
      <c r="P34" s="243" t="e">
        <f>'Projected BS'!L33/'Quarterly BS'!I34-1</f>
        <v>#DIV/0!</v>
      </c>
      <c r="Q34" s="243" t="e">
        <f t="shared" si="8"/>
        <v>#DIV/0!</v>
      </c>
      <c r="R34" s="236" t="e">
        <f t="shared" si="9"/>
        <v>#DIV/0!</v>
      </c>
      <c r="S34" s="252" t="e">
        <f t="shared" si="1"/>
        <v>#DIV/0!</v>
      </c>
    </row>
    <row r="35" spans="1:19" x14ac:dyDescent="0.15">
      <c r="A35" s="59" t="s">
        <v>168</v>
      </c>
      <c r="B35" s="8">
        <v>1923000</v>
      </c>
      <c r="C35" s="8">
        <v>1899000</v>
      </c>
      <c r="D35" s="8">
        <v>2124000</v>
      </c>
      <c r="E35" s="8">
        <v>2350000</v>
      </c>
      <c r="F35" s="8">
        <v>2456000</v>
      </c>
      <c r="G35" s="8">
        <v>2583000</v>
      </c>
      <c r="H35" s="8">
        <v>2476000</v>
      </c>
      <c r="I35" s="8">
        <v>2625000</v>
      </c>
      <c r="J35" s="8">
        <v>3664000</v>
      </c>
      <c r="K35" s="8">
        <v>3943000</v>
      </c>
      <c r="L35" s="8">
        <v>4383000</v>
      </c>
      <c r="M35" s="236">
        <f t="shared" si="5"/>
        <v>0.39580952380952383</v>
      </c>
      <c r="N35" s="236">
        <f t="shared" si="6"/>
        <v>7.6146288209606894E-2</v>
      </c>
      <c r="O35" s="236">
        <f t="shared" si="7"/>
        <v>0.11159015977681963</v>
      </c>
      <c r="P35" s="243">
        <f>'Projected BS'!L34/'Quarterly BS'!I35-1</f>
        <v>1.8969130926616229</v>
      </c>
      <c r="Q35" s="243">
        <f t="shared" si="8"/>
        <v>0.11702127659574457</v>
      </c>
      <c r="R35" s="236">
        <f t="shared" si="9"/>
        <v>0.66971428571428571</v>
      </c>
      <c r="S35" s="252">
        <f t="shared" si="1"/>
        <v>0.19451532393198345</v>
      </c>
    </row>
    <row r="36" spans="1:19" x14ac:dyDescent="0.15">
      <c r="A36" s="60" t="s">
        <v>58</v>
      </c>
      <c r="B36" s="13">
        <v>18892000</v>
      </c>
      <c r="C36" s="13">
        <v>19625000</v>
      </c>
      <c r="D36" s="13">
        <v>19139000</v>
      </c>
      <c r="E36" s="13">
        <v>19081000</v>
      </c>
      <c r="F36" s="13">
        <v>19940000</v>
      </c>
      <c r="G36" s="13">
        <v>22054000</v>
      </c>
      <c r="H36" s="13">
        <v>20883000</v>
      </c>
      <c r="I36" s="13">
        <v>22750000</v>
      </c>
      <c r="J36" s="13">
        <v>27930000</v>
      </c>
      <c r="K36" s="13">
        <v>27070000</v>
      </c>
      <c r="L36" s="13">
        <v>30114000</v>
      </c>
      <c r="M36" s="59"/>
      <c r="S36" s="252" t="e">
        <f t="shared" si="1"/>
        <v>#DIV/0!</v>
      </c>
    </row>
    <row r="37" spans="1:19" x14ac:dyDescent="0.15">
      <c r="A37" s="59"/>
      <c r="B37" s="8"/>
      <c r="C37" s="8"/>
      <c r="D37" s="8"/>
      <c r="E37" s="8"/>
      <c r="F37" s="8"/>
      <c r="G37" s="8"/>
      <c r="H37" s="8"/>
      <c r="I37" s="8"/>
      <c r="J37" s="8"/>
      <c r="K37" s="8"/>
      <c r="L37" s="8"/>
      <c r="M37" s="59"/>
      <c r="S37" s="252" t="e">
        <f t="shared" si="1"/>
        <v>#DIV/0!</v>
      </c>
    </row>
    <row r="38" spans="1:19" x14ac:dyDescent="0.15">
      <c r="A38" s="59" t="s">
        <v>170</v>
      </c>
      <c r="B38" s="8">
        <v>3000</v>
      </c>
      <c r="C38" s="8">
        <v>2000</v>
      </c>
      <c r="D38" s="8">
        <v>2000</v>
      </c>
      <c r="E38" s="8">
        <v>2000</v>
      </c>
      <c r="F38" s="8">
        <v>2000</v>
      </c>
      <c r="G38" s="8">
        <v>2000</v>
      </c>
      <c r="H38" s="8">
        <v>2000</v>
      </c>
      <c r="I38" s="8">
        <v>2000</v>
      </c>
      <c r="J38" s="8">
        <v>2000</v>
      </c>
      <c r="K38" s="8">
        <v>25000</v>
      </c>
      <c r="L38" s="8">
        <v>25000</v>
      </c>
      <c r="M38" s="59"/>
      <c r="S38" s="252" t="e">
        <f t="shared" si="1"/>
        <v>#DIV/0!</v>
      </c>
    </row>
    <row r="39" spans="1:19" x14ac:dyDescent="0.15">
      <c r="A39" s="59" t="s">
        <v>171</v>
      </c>
      <c r="B39" s="8">
        <v>10623000</v>
      </c>
      <c r="C39" s="8">
        <v>10968000</v>
      </c>
      <c r="D39" s="8">
        <v>11565000</v>
      </c>
      <c r="E39" s="8">
        <v>11971000</v>
      </c>
      <c r="F39" s="8">
        <v>12453000</v>
      </c>
      <c r="G39" s="8">
        <v>12629000</v>
      </c>
      <c r="H39" s="8">
        <v>12991000</v>
      </c>
      <c r="I39" s="8">
        <v>13132000</v>
      </c>
      <c r="J39" s="8">
        <v>12651000</v>
      </c>
      <c r="K39" s="8">
        <v>12115000</v>
      </c>
      <c r="L39" s="8">
        <v>11821000</v>
      </c>
      <c r="M39" s="59"/>
      <c r="S39" s="252" t="e">
        <f t="shared" si="1"/>
        <v>#DIV/0!</v>
      </c>
    </row>
    <row r="40" spans="1:19" x14ac:dyDescent="0.15">
      <c r="A40" s="59" t="s">
        <v>59</v>
      </c>
      <c r="B40" s="8">
        <v>15758000</v>
      </c>
      <c r="C40" s="8">
        <v>12971000</v>
      </c>
      <c r="D40" s="8">
        <v>9905000</v>
      </c>
      <c r="E40" s="8">
        <v>10171000</v>
      </c>
      <c r="F40" s="8">
        <v>12115000</v>
      </c>
      <c r="G40" s="8">
        <v>14921000</v>
      </c>
      <c r="H40" s="8">
        <v>20360000</v>
      </c>
      <c r="I40" s="8">
        <v>29817000</v>
      </c>
      <c r="J40" s="8">
        <v>36598000</v>
      </c>
      <c r="K40" s="8">
        <v>45961000</v>
      </c>
      <c r="L40" s="8">
        <v>53950000</v>
      </c>
      <c r="M40" s="25">
        <f>J40/I40-1</f>
        <v>0.22742059898715494</v>
      </c>
      <c r="N40" s="25">
        <f>K40/J40-1</f>
        <v>0.25583365211213738</v>
      </c>
      <c r="O40" s="25">
        <f>L40/K40-1</f>
        <v>0.17382128326189594</v>
      </c>
      <c r="P40" s="81">
        <f>'Projected BS'!L39/'Quarterly BS'!I40-1</f>
        <v>-0.49351712110540968</v>
      </c>
      <c r="Q40" s="81">
        <f>I40/E40-1</f>
        <v>1.9315701504276865</v>
      </c>
      <c r="R40" s="25">
        <f>L40/I40-1</f>
        <v>0.80937049334272393</v>
      </c>
      <c r="S40" s="252">
        <f t="shared" si="1"/>
        <v>0.2190251781203961</v>
      </c>
    </row>
    <row r="41" spans="1:19" x14ac:dyDescent="0.15">
      <c r="A41" s="59" t="s">
        <v>172</v>
      </c>
      <c r="B41" s="8">
        <v>-64000</v>
      </c>
      <c r="C41" s="8">
        <v>-90000</v>
      </c>
      <c r="D41" s="8">
        <v>-123000</v>
      </c>
      <c r="E41" s="8">
        <v>-43000</v>
      </c>
      <c r="F41" s="8">
        <v>-50000</v>
      </c>
      <c r="G41" s="8">
        <v>-51000</v>
      </c>
      <c r="H41" s="8">
        <v>-88000</v>
      </c>
      <c r="I41" s="8">
        <v>27000</v>
      </c>
      <c r="J41" s="8">
        <v>-109000</v>
      </c>
      <c r="K41" s="8">
        <v>56000</v>
      </c>
      <c r="L41" s="8">
        <v>103000</v>
      </c>
      <c r="M41" s="59"/>
      <c r="S41" s="252" t="e">
        <f t="shared" si="1"/>
        <v>#DIV/0!</v>
      </c>
    </row>
    <row r="42" spans="1:19" x14ac:dyDescent="0.15">
      <c r="A42" s="59" t="s">
        <v>174</v>
      </c>
      <c r="B42" s="8">
        <v>0</v>
      </c>
      <c r="C42" s="8">
        <v>0</v>
      </c>
      <c r="D42" s="8">
        <v>0</v>
      </c>
      <c r="E42" s="8">
        <v>0</v>
      </c>
      <c r="F42" s="8">
        <v>0</v>
      </c>
      <c r="G42" s="8">
        <v>0</v>
      </c>
      <c r="H42" s="8">
        <v>0</v>
      </c>
      <c r="I42" s="8">
        <v>0</v>
      </c>
      <c r="J42" s="8">
        <v>0</v>
      </c>
      <c r="K42" s="8">
        <v>0</v>
      </c>
      <c r="L42" s="8">
        <v>0</v>
      </c>
      <c r="M42" s="59"/>
      <c r="S42" s="252" t="e">
        <f t="shared" si="1"/>
        <v>#DIV/0!</v>
      </c>
    </row>
    <row r="43" spans="1:19" x14ac:dyDescent="0.15">
      <c r="A43" s="235" t="s">
        <v>60</v>
      </c>
      <c r="B43" s="234">
        <v>26320000</v>
      </c>
      <c r="C43" s="234">
        <v>23851000</v>
      </c>
      <c r="D43" s="234">
        <v>21349000</v>
      </c>
      <c r="E43" s="234">
        <v>22101000</v>
      </c>
      <c r="F43" s="234">
        <v>24520000</v>
      </c>
      <c r="G43" s="234">
        <v>27501000</v>
      </c>
      <c r="H43" s="234">
        <v>33265000</v>
      </c>
      <c r="I43" s="234">
        <v>42978000</v>
      </c>
      <c r="J43" s="234">
        <v>49142000</v>
      </c>
      <c r="K43" s="234">
        <v>58157000</v>
      </c>
      <c r="L43" s="234">
        <v>65899000</v>
      </c>
      <c r="M43" s="59"/>
      <c r="S43" s="252" t="e">
        <f t="shared" si="1"/>
        <v>#DIV/0!</v>
      </c>
    </row>
    <row r="44" spans="1:19" x14ac:dyDescent="0.15">
      <c r="A44" s="60" t="s">
        <v>61</v>
      </c>
      <c r="B44" s="13">
        <v>45212000</v>
      </c>
      <c r="C44" s="13">
        <v>43476000</v>
      </c>
      <c r="D44" s="13">
        <v>40488000</v>
      </c>
      <c r="E44" s="13">
        <v>41182000</v>
      </c>
      <c r="F44" s="13">
        <v>44460000</v>
      </c>
      <c r="G44" s="13">
        <v>49555000</v>
      </c>
      <c r="H44" s="13">
        <v>54148000</v>
      </c>
      <c r="I44" s="13">
        <v>65728000</v>
      </c>
      <c r="J44" s="13">
        <v>77072000</v>
      </c>
      <c r="K44" s="13">
        <v>85227000</v>
      </c>
      <c r="L44" s="13">
        <v>96013000</v>
      </c>
      <c r="M44" s="59"/>
      <c r="S44" s="252" t="e">
        <f t="shared" si="1"/>
        <v>#DIV/0!</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4C313-B6EB-481B-968F-F249C7E2893E}">
  <sheetPr>
    <tabColor rgb="FFFFC000"/>
  </sheetPr>
  <dimension ref="A4:X59"/>
  <sheetViews>
    <sheetView topLeftCell="A39" workbookViewId="0">
      <selection activeCell="J66" sqref="J66"/>
    </sheetView>
  </sheetViews>
  <sheetFormatPr baseColWidth="10" defaultColWidth="8.83203125" defaultRowHeight="13" x14ac:dyDescent="0.15"/>
  <cols>
    <col min="1" max="1" width="43.5" style="52" customWidth="1"/>
    <col min="2" max="13" width="12" style="52" customWidth="1"/>
    <col min="14" max="14" width="29" style="52" bestFit="1" customWidth="1"/>
    <col min="15" max="15" width="8.1640625" style="52" bestFit="1" customWidth="1"/>
    <col min="16" max="17" width="8.6640625" style="52" bestFit="1" customWidth="1"/>
    <col min="18" max="21" width="8.1640625" style="52" bestFit="1" customWidth="1"/>
    <col min="22" max="23" width="8.6640625" style="52" bestFit="1" customWidth="1"/>
    <col min="24" max="24" width="8" style="52" bestFit="1" customWidth="1"/>
    <col min="25" max="191" width="12" style="52" customWidth="1"/>
    <col min="192" max="16384" width="8.83203125" style="52"/>
  </cols>
  <sheetData>
    <row r="4" spans="1:24" x14ac:dyDescent="0.15">
      <c r="A4" s="51" t="s">
        <v>212</v>
      </c>
    </row>
    <row r="5" spans="1:24" ht="20" x14ac:dyDescent="0.2">
      <c r="A5" s="53" t="s">
        <v>213</v>
      </c>
    </row>
    <row r="7" spans="1:24" ht="28" x14ac:dyDescent="0.15">
      <c r="A7" s="54" t="s">
        <v>214</v>
      </c>
    </row>
    <row r="10" spans="1:24" ht="14" x14ac:dyDescent="0.15">
      <c r="A10" s="55" t="s">
        <v>215</v>
      </c>
    </row>
    <row r="11" spans="1:24" ht="14" x14ac:dyDescent="0.15">
      <c r="A11" s="67" t="s">
        <v>131</v>
      </c>
      <c r="B11" s="68">
        <v>42029</v>
      </c>
      <c r="C11" s="68" t="s">
        <v>133</v>
      </c>
      <c r="D11" s="68" t="s">
        <v>134</v>
      </c>
      <c r="E11" s="68" t="s">
        <v>135</v>
      </c>
      <c r="F11" s="68" t="s">
        <v>136</v>
      </c>
      <c r="G11" s="68" t="s">
        <v>137</v>
      </c>
      <c r="H11" s="68" t="s">
        <v>138</v>
      </c>
      <c r="I11" s="68" t="s">
        <v>139</v>
      </c>
      <c r="J11" s="68" t="s">
        <v>140</v>
      </c>
      <c r="K11" s="68" t="s">
        <v>141</v>
      </c>
      <c r="L11" s="57"/>
    </row>
    <row r="12" spans="1:24" ht="14" x14ac:dyDescent="0.15">
      <c r="A12" s="57" t="s">
        <v>142</v>
      </c>
      <c r="B12" s="58" t="s">
        <v>143</v>
      </c>
      <c r="C12" s="58" t="s">
        <v>143</v>
      </c>
      <c r="D12" s="58" t="s">
        <v>143</v>
      </c>
      <c r="E12" s="58" t="s">
        <v>143</v>
      </c>
      <c r="F12" s="58" t="s">
        <v>143</v>
      </c>
      <c r="G12" s="58" t="s">
        <v>143</v>
      </c>
      <c r="H12" s="58" t="s">
        <v>143</v>
      </c>
      <c r="I12" s="58" t="s">
        <v>143</v>
      </c>
      <c r="J12" s="58" t="s">
        <v>143</v>
      </c>
      <c r="K12" s="58" t="s">
        <v>143</v>
      </c>
      <c r="L12" s="57"/>
    </row>
    <row r="13" spans="1:24" ht="14" x14ac:dyDescent="0.15">
      <c r="A13" s="57" t="s">
        <v>144</v>
      </c>
      <c r="B13" s="58" t="s">
        <v>145</v>
      </c>
      <c r="C13" s="58" t="s">
        <v>145</v>
      </c>
      <c r="D13" s="58" t="s">
        <v>145</v>
      </c>
      <c r="E13" s="58" t="s">
        <v>145</v>
      </c>
      <c r="F13" s="58" t="s">
        <v>145</v>
      </c>
      <c r="G13" s="58" t="s">
        <v>145</v>
      </c>
      <c r="H13" s="58" t="s">
        <v>145</v>
      </c>
      <c r="I13" s="58" t="s">
        <v>145</v>
      </c>
      <c r="J13" s="58" t="s">
        <v>145</v>
      </c>
      <c r="K13" s="58" t="s">
        <v>145</v>
      </c>
      <c r="L13" s="57"/>
    </row>
    <row r="14" spans="1:24" ht="15" thickBot="1" x14ac:dyDescent="0.2">
      <c r="A14" s="57" t="s">
        <v>146</v>
      </c>
      <c r="B14" s="58" t="s">
        <v>147</v>
      </c>
      <c r="C14" s="58" t="s">
        <v>147</v>
      </c>
      <c r="D14" s="58" t="s">
        <v>147</v>
      </c>
      <c r="E14" s="58" t="s">
        <v>147</v>
      </c>
      <c r="F14" s="58" t="s">
        <v>147</v>
      </c>
      <c r="G14" s="58" t="s">
        <v>147</v>
      </c>
      <c r="H14" s="58" t="s">
        <v>147</v>
      </c>
      <c r="I14" s="58" t="s">
        <v>147</v>
      </c>
      <c r="J14" s="58" t="s">
        <v>147</v>
      </c>
      <c r="K14" s="58" t="s">
        <v>147</v>
      </c>
      <c r="L14" s="57"/>
    </row>
    <row r="15" spans="1:24" ht="15" thickBot="1" x14ac:dyDescent="0.2">
      <c r="A15" s="57" t="s">
        <v>148</v>
      </c>
      <c r="B15" s="58" t="s">
        <v>149</v>
      </c>
      <c r="C15" s="58" t="s">
        <v>149</v>
      </c>
      <c r="D15" s="58" t="s">
        <v>149</v>
      </c>
      <c r="E15" s="58" t="s">
        <v>149</v>
      </c>
      <c r="F15" s="58" t="s">
        <v>149</v>
      </c>
      <c r="G15" s="58" t="s">
        <v>149</v>
      </c>
      <c r="H15" s="58" t="s">
        <v>149</v>
      </c>
      <c r="I15" s="58" t="s">
        <v>149</v>
      </c>
      <c r="J15" s="58" t="s">
        <v>149</v>
      </c>
      <c r="K15" s="58" t="s">
        <v>149</v>
      </c>
      <c r="L15" s="57"/>
      <c r="N15" s="87"/>
      <c r="O15" s="129" t="s">
        <v>121</v>
      </c>
      <c r="P15" s="130" t="s">
        <v>122</v>
      </c>
      <c r="Q15" s="130" t="s">
        <v>123</v>
      </c>
      <c r="R15" s="130" t="s">
        <v>124</v>
      </c>
      <c r="S15" s="130" t="s">
        <v>125</v>
      </c>
      <c r="T15" s="130" t="s">
        <v>126</v>
      </c>
      <c r="U15" s="130" t="s">
        <v>127</v>
      </c>
      <c r="V15" s="130" t="s">
        <v>128</v>
      </c>
      <c r="W15" s="130" t="s">
        <v>129</v>
      </c>
      <c r="X15" s="131" t="s">
        <v>130</v>
      </c>
    </row>
    <row r="16" spans="1:24" x14ac:dyDescent="0.15">
      <c r="A16" s="59" t="s">
        <v>216</v>
      </c>
      <c r="B16" s="69">
        <f>IFERROR('Balance Sheet'!B7/'Balance Sheet'!B$23,0)</f>
        <v>6.8966618564694937E-2</v>
      </c>
      <c r="C16" s="70">
        <f>IFERROR('Balance Sheet'!C7/'Balance Sheet'!C$23,0)</f>
        <v>8.0868385345997287E-2</v>
      </c>
      <c r="D16" s="70">
        <f>IFERROR('Balance Sheet'!D7/'Balance Sheet'!D$23,0)</f>
        <v>0.179453307590692</v>
      </c>
      <c r="E16" s="70">
        <f>IFERROR('Balance Sheet'!E7/'Balance Sheet'!E$23,0)</f>
        <v>0.35601814785161462</v>
      </c>
      <c r="F16" s="70">
        <f>IFERROR('Balance Sheet'!F7/'Balance Sheet'!F$23,0)</f>
        <v>5.8832380379175445E-2</v>
      </c>
      <c r="G16" s="69">
        <f>IFERROR('Balance Sheet'!G7/'Balance Sheet'!G$23,0)</f>
        <v>0.62928097025700258</v>
      </c>
      <c r="H16" s="69">
        <f>IFERROR('Balance Sheet'!H7/'Balance Sheet'!H$23,0)</f>
        <v>2.9418915633357648E-2</v>
      </c>
      <c r="I16" s="69">
        <f>IFERROR('Balance Sheet'!I7/'Balance Sheet'!I$23,0)</f>
        <v>4.5035870278588727E-2</v>
      </c>
      <c r="J16" s="69">
        <f>IFERROR('Balance Sheet'!J7/'Balance Sheet'!J$23,0)</f>
        <v>8.2293234908455151E-2</v>
      </c>
      <c r="K16" s="69">
        <f>IFERROR('Balance Sheet'!K7/'Balance Sheet'!K$23,0)</f>
        <v>0.11075949367088607</v>
      </c>
      <c r="L16" s="59"/>
      <c r="N16" s="116" t="s">
        <v>216</v>
      </c>
      <c r="O16" s="117">
        <v>6.8970000000000004E-2</v>
      </c>
      <c r="P16" s="118">
        <v>8.0869999999999997E-2</v>
      </c>
      <c r="Q16" s="118">
        <v>0.17945</v>
      </c>
      <c r="R16" s="118">
        <v>0.35601999999999995</v>
      </c>
      <c r="S16" s="118">
        <v>5.883E-2</v>
      </c>
      <c r="T16" s="118">
        <v>0.62927999999999995</v>
      </c>
      <c r="U16" s="118">
        <v>2.9420000000000002E-2</v>
      </c>
      <c r="V16" s="118">
        <v>4.5039999999999997E-2</v>
      </c>
      <c r="W16" s="118">
        <v>8.2289999999999988E-2</v>
      </c>
      <c r="X16" s="119">
        <v>0.11076000000000001</v>
      </c>
    </row>
    <row r="17" spans="1:24" x14ac:dyDescent="0.15">
      <c r="A17" s="59" t="s">
        <v>217</v>
      </c>
      <c r="B17" s="69">
        <f>IFERROR('Balance Sheet'!B8/'Balance Sheet'!B$23,0)</f>
        <v>0.57304181649930963</v>
      </c>
      <c r="C17" s="69">
        <f>IFERROR('Balance Sheet'!C8/'Balance Sheet'!C$23,0)</f>
        <v>0.60257801899592944</v>
      </c>
      <c r="D17" s="70">
        <f>IFERROR('Balance Sheet'!D8/'Balance Sheet'!D$23,0)</f>
        <v>0.51133014937506349</v>
      </c>
      <c r="E17" s="70">
        <f>IFERROR('Balance Sheet'!E8/'Balance Sheet'!E$23,0)</f>
        <v>0.27630993683835958</v>
      </c>
      <c r="F17" s="69">
        <f>IFERROR('Balance Sheet'!F8/'Balance Sheet'!F$23,0)</f>
        <v>0.49954860066205237</v>
      </c>
      <c r="G17" s="69">
        <f>IFERROR('Balance Sheet'!G8/'Balance Sheet'!G$23,0)</f>
        <v>5.7753393011839443E-5</v>
      </c>
      <c r="H17" s="69">
        <f>IFERROR('Balance Sheet'!H8/'Balance Sheet'!H$23,0)</f>
        <v>0.37213017957000449</v>
      </c>
      <c r="I17" s="69">
        <f>IFERROR('Balance Sheet'!I8/'Balance Sheet'!I$23,0)</f>
        <v>0.43492429900196888</v>
      </c>
      <c r="J17" s="69">
        <f>IFERROR('Balance Sheet'!J8/'Balance Sheet'!J$23,0)</f>
        <v>0.24056626681559906</v>
      </c>
      <c r="K17" s="69">
        <f>IFERROR('Balance Sheet'!K8/'Balance Sheet'!K$23,0)</f>
        <v>0.28456669912366117</v>
      </c>
      <c r="L17" s="59"/>
      <c r="N17" s="86" t="s">
        <v>217</v>
      </c>
      <c r="O17" s="111">
        <v>0.57303999999999999</v>
      </c>
      <c r="P17" s="109">
        <v>0.60258</v>
      </c>
      <c r="Q17" s="109">
        <v>0.51133000000000006</v>
      </c>
      <c r="R17" s="109">
        <v>0.27631</v>
      </c>
      <c r="S17" s="109">
        <v>0.49954999999999999</v>
      </c>
      <c r="T17" s="109">
        <v>6.0000000000000002E-5</v>
      </c>
      <c r="U17" s="109">
        <v>0.37213000000000002</v>
      </c>
      <c r="V17" s="109">
        <v>0.43491999999999997</v>
      </c>
      <c r="W17" s="109">
        <v>0.24056999999999998</v>
      </c>
      <c r="X17" s="110">
        <v>0.28456999999999999</v>
      </c>
    </row>
    <row r="18" spans="1:24" x14ac:dyDescent="0.15">
      <c r="A18" s="59" t="s">
        <v>218</v>
      </c>
      <c r="B18" s="69">
        <f>IFERROR('Balance Sheet'!B9/'Balance Sheet'!B$23,0)</f>
        <v>0.64200843506400451</v>
      </c>
      <c r="C18" s="69">
        <f>IFERROR('Balance Sheet'!C9/'Balance Sheet'!C$23,0)</f>
        <v>0.68344640434192672</v>
      </c>
      <c r="D18" s="69">
        <f>IFERROR('Balance Sheet'!D9/'Balance Sheet'!D$23,0)</f>
        <v>0.69078345696575549</v>
      </c>
      <c r="E18" s="69">
        <f>IFERROR('Balance Sheet'!E9/'Balance Sheet'!E$23,0)</f>
        <v>0.63232808468997426</v>
      </c>
      <c r="F18" s="69">
        <f>IFERROR('Balance Sheet'!F9/'Balance Sheet'!F$23,0)</f>
        <v>0.5583809810412278</v>
      </c>
      <c r="G18" s="71">
        <f>IFERROR('Balance Sheet'!G9/'Balance Sheet'!G$23,0)</f>
        <v>0.62933872365001442</v>
      </c>
      <c r="H18" s="71">
        <f>IFERROR('Balance Sheet'!H9/'Balance Sheet'!H$23,0)</f>
        <v>0.40154909520336218</v>
      </c>
      <c r="I18" s="69">
        <f>IFERROR('Balance Sheet'!I9/'Balance Sheet'!I$23,0)</f>
        <v>0.47996016928055762</v>
      </c>
      <c r="J18" s="69">
        <f>IFERROR('Balance Sheet'!J9/'Balance Sheet'!J$23,0)</f>
        <v>0.3228595017240542</v>
      </c>
      <c r="K18" s="69">
        <f>IFERROR('Balance Sheet'!K9/'Balance Sheet'!K$23,0)</f>
        <v>0.39532619279454723</v>
      </c>
      <c r="L18" s="59"/>
      <c r="N18" s="86" t="s">
        <v>218</v>
      </c>
      <c r="O18" s="111">
        <v>0.64200999999999997</v>
      </c>
      <c r="P18" s="109">
        <v>0.68345</v>
      </c>
      <c r="Q18" s="109">
        <v>0.69078000000000006</v>
      </c>
      <c r="R18" s="109">
        <v>0.63232999999999995</v>
      </c>
      <c r="S18" s="109">
        <v>0.55837999999999999</v>
      </c>
      <c r="T18" s="109">
        <v>0.62934000000000001</v>
      </c>
      <c r="U18" s="109">
        <v>0.40155000000000002</v>
      </c>
      <c r="V18" s="109">
        <v>0.47996</v>
      </c>
      <c r="W18" s="109">
        <v>0.32286000000000004</v>
      </c>
      <c r="X18" s="110">
        <v>0.39533000000000001</v>
      </c>
    </row>
    <row r="19" spans="1:24" x14ac:dyDescent="0.15">
      <c r="A19" s="59" t="s">
        <v>219</v>
      </c>
      <c r="B19" s="69">
        <f>IFERROR('Balance Sheet'!B10/'Balance Sheet'!B$23,0)</f>
        <v>6.5770420286812167E-2</v>
      </c>
      <c r="C19" s="69">
        <f>IFERROR('Balance Sheet'!C10/'Balance Sheet'!C$23,0)</f>
        <v>6.8521031207598365E-2</v>
      </c>
      <c r="D19" s="69">
        <f>IFERROR('Balance Sheet'!D10/'Balance Sheet'!D$23,0)</f>
        <v>8.3934559495986175E-2</v>
      </c>
      <c r="E19" s="69">
        <f>IFERROR('Balance Sheet'!E10/'Balance Sheet'!E$23,0)</f>
        <v>0.1125344720220621</v>
      </c>
      <c r="F19" s="69">
        <f>IFERROR('Balance Sheet'!F10/'Balance Sheet'!F$23,0)</f>
        <v>0.10713210953957268</v>
      </c>
      <c r="G19" s="69">
        <f>IFERROR('Balance Sheet'!G10/'Balance Sheet'!G$23,0)</f>
        <v>9.5697372220617957E-2</v>
      </c>
      <c r="H19" s="69">
        <f>IFERROR('Balance Sheet'!H10/'Balance Sheet'!H$23,0)</f>
        <v>8.4366642353513252E-2</v>
      </c>
      <c r="I19" s="69">
        <f>IFERROR('Balance Sheet'!I10/'Balance Sheet'!I$23,0)</f>
        <v>0.10523457125398873</v>
      </c>
      <c r="J19" s="69">
        <f>IFERROR('Balance Sheet'!J10/'Balance Sheet'!J$23,0)</f>
        <v>9.2928949541061623E-2</v>
      </c>
      <c r="K19" s="69">
        <f>IFERROR('Balance Sheet'!K10/'Balance Sheet'!K$23,0)</f>
        <v>0.15212694741966895</v>
      </c>
      <c r="L19" s="59"/>
      <c r="N19" s="86" t="s">
        <v>219</v>
      </c>
      <c r="O19" s="111">
        <v>6.5769999999999995E-2</v>
      </c>
      <c r="P19" s="109">
        <v>6.8519999999999998E-2</v>
      </c>
      <c r="Q19" s="109">
        <v>8.3930000000000005E-2</v>
      </c>
      <c r="R19" s="109">
        <v>0.11253000000000001</v>
      </c>
      <c r="S19" s="109">
        <v>0.10712999999999999</v>
      </c>
      <c r="T19" s="109">
        <v>9.5700000000000007E-2</v>
      </c>
      <c r="U19" s="109">
        <v>8.4370000000000001E-2</v>
      </c>
      <c r="V19" s="109">
        <v>0.10522999999999999</v>
      </c>
      <c r="W19" s="109">
        <v>9.2929999999999999E-2</v>
      </c>
      <c r="X19" s="110">
        <v>0.15212999999999999</v>
      </c>
    </row>
    <row r="20" spans="1:24" x14ac:dyDescent="0.15">
      <c r="A20" s="59" t="s">
        <v>220</v>
      </c>
      <c r="B20" s="69">
        <f>IFERROR('Balance Sheet'!B11/'Balance Sheet'!B$23,0)</f>
        <v>6.7055731633211907E-2</v>
      </c>
      <c r="C20" s="69">
        <f>IFERROR('Balance Sheet'!C11/'Balance Sheet'!C$23,0)</f>
        <v>5.6716417910447764E-2</v>
      </c>
      <c r="D20" s="69">
        <f>IFERROR('Balance Sheet'!D11/'Balance Sheet'!D$23,0)</f>
        <v>8.0682857433187691E-2</v>
      </c>
      <c r="E20" s="69">
        <f>IFERROR('Balance Sheet'!E11/'Balance Sheet'!E$23,0)</f>
        <v>7.0812205319811403E-2</v>
      </c>
      <c r="F20" s="69">
        <f>IFERROR('Balance Sheet'!F11/'Balance Sheet'!F$23,0)</f>
        <v>0.11849232621125488</v>
      </c>
      <c r="G20" s="69">
        <f>IFERROR('Balance Sheet'!G11/'Balance Sheet'!G$23,0)</f>
        <v>5.654057175859082E-2</v>
      </c>
      <c r="H20" s="69">
        <f>IFERROR('Balance Sheet'!H11/'Balance Sheet'!H$23,0)</f>
        <v>6.3422597339446357E-2</v>
      </c>
      <c r="I20" s="69">
        <f>IFERROR('Balance Sheet'!I11/'Balance Sheet'!I$23,0)</f>
        <v>5.8953990992825944E-2</v>
      </c>
      <c r="J20" s="69">
        <f>IFERROR('Balance Sheet'!J11/'Balance Sheet'!J$23,0)</f>
        <v>0.1252731776018649</v>
      </c>
      <c r="K20" s="69">
        <f>IFERROR('Balance Sheet'!K11/'Balance Sheet'!K$23,0)</f>
        <v>8.0361489776046735E-2</v>
      </c>
      <c r="L20" s="59"/>
      <c r="N20" s="86" t="s">
        <v>220</v>
      </c>
      <c r="O20" s="111">
        <v>6.7060000000000008E-2</v>
      </c>
      <c r="P20" s="109">
        <v>5.672E-2</v>
      </c>
      <c r="Q20" s="109">
        <v>8.0680000000000002E-2</v>
      </c>
      <c r="R20" s="109">
        <v>7.0809999999999998E-2</v>
      </c>
      <c r="S20" s="109">
        <v>0.11849</v>
      </c>
      <c r="T20" s="109">
        <v>5.654E-2</v>
      </c>
      <c r="U20" s="109">
        <v>6.341999999999999E-2</v>
      </c>
      <c r="V20" s="109">
        <v>5.8949999999999995E-2</v>
      </c>
      <c r="W20" s="109">
        <v>0.12526999999999999</v>
      </c>
      <c r="X20" s="110">
        <v>8.0360000000000001E-2</v>
      </c>
    </row>
    <row r="21" spans="1:24" x14ac:dyDescent="0.15">
      <c r="A21" s="59" t="s">
        <v>221</v>
      </c>
      <c r="B21" s="69">
        <f>IFERROR('Balance Sheet'!B12/'Balance Sheet'!B$23,0)</f>
        <v>8.7836088920882818E-3</v>
      </c>
      <c r="C21" s="72">
        <f>IFERROR('Balance Sheet'!C12/'Balance Sheet'!C$23,0)</f>
        <v>0</v>
      </c>
      <c r="D21" s="72">
        <f>IFERROR('Balance Sheet'!D12/'Balance Sheet'!D$23,0)</f>
        <v>0</v>
      </c>
      <c r="E21" s="72">
        <f>IFERROR('Balance Sheet'!E12/'Balance Sheet'!E$23,0)</f>
        <v>0</v>
      </c>
      <c r="F21" s="72">
        <f>IFERROR('Balance Sheet'!F12/'Balance Sheet'!F$23,0)</f>
        <v>0</v>
      </c>
      <c r="G21" s="72">
        <f>IFERROR('Balance Sheet'!G12/'Balance Sheet'!G$23,0)</f>
        <v>0</v>
      </c>
      <c r="H21" s="72">
        <f>IFERROR('Balance Sheet'!H12/'Balance Sheet'!H$23,0)</f>
        <v>0</v>
      </c>
      <c r="I21" s="72">
        <f>IFERROR('Balance Sheet'!I12/'Balance Sheet'!I$23,0)</f>
        <v>0</v>
      </c>
      <c r="J21" s="72">
        <f>IFERROR('Balance Sheet'!J12/'Balance Sheet'!J$23,0)</f>
        <v>0</v>
      </c>
      <c r="K21" s="72">
        <f>IFERROR('Balance Sheet'!K12/'Balance Sheet'!K$23,0)</f>
        <v>0</v>
      </c>
      <c r="L21" s="59"/>
      <c r="N21" s="86" t="s">
        <v>221</v>
      </c>
      <c r="O21" s="111">
        <v>8.7799999999999996E-3</v>
      </c>
      <c r="P21" s="148" t="s">
        <v>154</v>
      </c>
      <c r="Q21" s="148" t="s">
        <v>154</v>
      </c>
      <c r="R21" s="148" t="s">
        <v>154</v>
      </c>
      <c r="S21" s="148" t="s">
        <v>154</v>
      </c>
      <c r="T21" s="148" t="s">
        <v>154</v>
      </c>
      <c r="U21" s="148" t="s">
        <v>154</v>
      </c>
      <c r="V21" s="148" t="s">
        <v>154</v>
      </c>
      <c r="W21" s="148" t="s">
        <v>154</v>
      </c>
      <c r="X21" s="149" t="s">
        <v>154</v>
      </c>
    </row>
    <row r="22" spans="1:24" ht="14" thickBot="1" x14ac:dyDescent="0.2">
      <c r="A22" s="59" t="s">
        <v>222</v>
      </c>
      <c r="B22" s="69">
        <f>IFERROR('Balance Sheet'!B13/'Balance Sheet'!B$23,0)</f>
        <v>9.7445374267778016E-3</v>
      </c>
      <c r="C22" s="69">
        <f>IFERROR('Balance Sheet'!C13/'Balance Sheet'!C$23,0)</f>
        <v>1.2618724559023067E-2</v>
      </c>
      <c r="D22" s="69">
        <f>IFERROR('Balance Sheet'!D13/'Balance Sheet'!D$23,0)</f>
        <v>1.1990651356569454E-2</v>
      </c>
      <c r="E22" s="69">
        <f>IFERROR('Balance Sheet'!E13/'Balance Sheet'!E$23,0)</f>
        <v>7.6505648963615339E-3</v>
      </c>
      <c r="F22" s="69">
        <f>IFERROR('Balance Sheet'!F13/'Balance Sheet'!F$23,0)</f>
        <v>1.0231718326813121E-2</v>
      </c>
      <c r="G22" s="69">
        <f>IFERROR('Balance Sheet'!G13/'Balance Sheet'!G$23,0)</f>
        <v>9.0672827028587932E-3</v>
      </c>
      <c r="H22" s="69">
        <f>IFERROR('Balance Sheet'!H13/'Balance Sheet'!H$23,0)</f>
        <v>8.3012052377479072E-3</v>
      </c>
      <c r="I22" s="69">
        <f>IFERROR('Balance Sheet'!I13/'Balance Sheet'!I$23,0)</f>
        <v>8.2829791567655651E-3</v>
      </c>
      <c r="J22" s="69">
        <f>IFERROR('Balance Sheet'!J13/'Balance Sheet'!J$23,0)</f>
        <v>1.9207420717789324E-2</v>
      </c>
      <c r="K22" s="69">
        <f>IFERROR('Balance Sheet'!K13/'Balance Sheet'!K$23,0)</f>
        <v>4.6859785783836413E-2</v>
      </c>
      <c r="L22" s="59"/>
      <c r="N22" s="112" t="s">
        <v>222</v>
      </c>
      <c r="O22" s="113">
        <v>9.7400000000000004E-3</v>
      </c>
      <c r="P22" s="114">
        <v>1.2619999999999999E-2</v>
      </c>
      <c r="Q22" s="114">
        <v>1.1990000000000001E-2</v>
      </c>
      <c r="R22" s="114">
        <v>7.6500000000000005E-3</v>
      </c>
      <c r="S22" s="114">
        <v>1.023E-2</v>
      </c>
      <c r="T22" s="114">
        <v>9.0699999999999999E-3</v>
      </c>
      <c r="U22" s="114">
        <v>8.3000000000000001E-3</v>
      </c>
      <c r="V22" s="114">
        <v>8.2799999999999992E-3</v>
      </c>
      <c r="W22" s="114">
        <v>1.9210000000000001E-2</v>
      </c>
      <c r="X22" s="115">
        <v>4.6859999999999999E-2</v>
      </c>
    </row>
    <row r="23" spans="1:24" ht="14" thickBot="1" x14ac:dyDescent="0.2">
      <c r="A23" s="73" t="s">
        <v>223</v>
      </c>
      <c r="B23" s="74">
        <f>IFERROR('Balance Sheet'!B14/'Balance Sheet'!B$23,0)</f>
        <v>0.79336273330289464</v>
      </c>
      <c r="C23" s="74">
        <f>IFERROR('Balance Sheet'!C14/'Balance Sheet'!C$23,0)</f>
        <v>0.82130257801899598</v>
      </c>
      <c r="D23" s="74">
        <f>IFERROR('Balance Sheet'!D14/'Balance Sheet'!D$23,0)</f>
        <v>0.86739152525149887</v>
      </c>
      <c r="E23" s="74">
        <f>IFERROR('Balance Sheet'!E14/'Balance Sheet'!E$23,0)</f>
        <v>0.82332532692820926</v>
      </c>
      <c r="F23" s="74">
        <f>IFERROR('Balance Sheet'!F14/'Balance Sheet'!F$23,0)</f>
        <v>0.79423713511886851</v>
      </c>
      <c r="G23" s="75">
        <f>IFERROR('Balance Sheet'!G14/'Balance Sheet'!G$23,0)</f>
        <v>0.79064395033208201</v>
      </c>
      <c r="H23" s="75">
        <f>IFERROR('Balance Sheet'!H14/'Balance Sheet'!H$23,0)</f>
        <v>0.55763954013406969</v>
      </c>
      <c r="I23" s="74">
        <f>IFERROR('Balance Sheet'!I14/'Balance Sheet'!I$23,0)</f>
        <v>0.65243171068413786</v>
      </c>
      <c r="J23" s="74">
        <f>IFERROR('Balance Sheet'!J14/'Balance Sheet'!J$23,0)</f>
        <v>0.56026904958477008</v>
      </c>
      <c r="K23" s="74">
        <f>IFERROR('Balance Sheet'!K14/'Balance Sheet'!K$23,0)</f>
        <v>0.67467441577409937</v>
      </c>
      <c r="L23" s="59"/>
      <c r="N23" s="121" t="s">
        <v>223</v>
      </c>
      <c r="O23" s="122">
        <v>0.79335999999999995</v>
      </c>
      <c r="P23" s="123">
        <v>0.82129999999999992</v>
      </c>
      <c r="Q23" s="123">
        <v>0.86738999999999999</v>
      </c>
      <c r="R23" s="123">
        <v>0.82333000000000001</v>
      </c>
      <c r="S23" s="123">
        <v>0.79424000000000006</v>
      </c>
      <c r="T23" s="123">
        <v>0.7906399999999999</v>
      </c>
      <c r="U23" s="123">
        <v>0.55764000000000002</v>
      </c>
      <c r="V23" s="123">
        <v>0.65242999999999995</v>
      </c>
      <c r="W23" s="123">
        <v>0.56027000000000005</v>
      </c>
      <c r="X23" s="124">
        <v>0.67466999999999999</v>
      </c>
    </row>
    <row r="24" spans="1:24" x14ac:dyDescent="0.15">
      <c r="A24" s="59" t="s">
        <v>224</v>
      </c>
      <c r="B24" s="69">
        <f>IFERROR('Balance Sheet'!B15/'Balance Sheet'!B$23,0)</f>
        <v>0.16375458107404037</v>
      </c>
      <c r="C24" s="69">
        <f>IFERROR('Balance Sheet'!C15/'Balance Sheet'!C$23,0)</f>
        <v>0.14925373134328357</v>
      </c>
      <c r="D24" s="69">
        <f>IFERROR('Balance Sheet'!D15/'Balance Sheet'!D$23,0)</f>
        <v>0.12102428614978153</v>
      </c>
      <c r="E24" s="69">
        <f>IFERROR('Balance Sheet'!E15/'Balance Sheet'!E$23,0)</f>
        <v>0.15452361889511609</v>
      </c>
      <c r="F24" s="69">
        <f>IFERROR('Balance Sheet'!F15/'Balance Sheet'!F$23,0)</f>
        <v>0.16333132711405357</v>
      </c>
      <c r="G24" s="69">
        <f>IFERROR('Balance Sheet'!G15/'Balance Sheet'!G$23,0)</f>
        <v>0.15506786023678892</v>
      </c>
      <c r="H24" s="69">
        <f>IFERROR('Balance Sheet'!H15/'Balance Sheet'!H$23,0)</f>
        <v>0.12354555242957868</v>
      </c>
      <c r="I24" s="69">
        <f>IFERROR('Balance Sheet'!I15/'Balance Sheet'!I$23,0)</f>
        <v>0.10593613506234865</v>
      </c>
      <c r="J24" s="69">
        <f>IFERROR('Balance Sheet'!J15/'Balance Sheet'!J$23,0)</f>
        <v>0.15786023019765918</v>
      </c>
      <c r="K24" s="69">
        <f>IFERROR('Balance Sheet'!K15/'Balance Sheet'!K$23,0)</f>
        <v>0.11293512658227849</v>
      </c>
      <c r="L24" s="59"/>
      <c r="N24" s="116" t="s">
        <v>224</v>
      </c>
      <c r="O24" s="117">
        <v>0.16375000000000001</v>
      </c>
      <c r="P24" s="118">
        <v>0.14924999999999999</v>
      </c>
      <c r="Q24" s="118">
        <v>0.12102</v>
      </c>
      <c r="R24" s="118">
        <v>0.15451999999999999</v>
      </c>
      <c r="S24" s="118">
        <v>0.16332999999999998</v>
      </c>
      <c r="T24" s="118">
        <v>0.15506999999999999</v>
      </c>
      <c r="U24" s="118">
        <v>0.12355000000000001</v>
      </c>
      <c r="V24" s="118">
        <v>0.10593999999999999</v>
      </c>
      <c r="W24" s="118">
        <v>0.15786</v>
      </c>
      <c r="X24" s="119">
        <v>0.11294</v>
      </c>
    </row>
    <row r="25" spans="1:24" x14ac:dyDescent="0.15">
      <c r="A25" s="59" t="s">
        <v>225</v>
      </c>
      <c r="B25" s="69">
        <f>IFERROR('Balance Sheet'!B16/'Balance Sheet'!B$23,0)</f>
        <v>8.6369006555421138E-2</v>
      </c>
      <c r="C25" s="69">
        <f>IFERROR('Balance Sheet'!C16/'Balance Sheet'!C$23,0)</f>
        <v>8.6024423337856176E-2</v>
      </c>
      <c r="D25" s="69">
        <f>IFERROR('Balance Sheet'!D16/'Balance Sheet'!D$23,0)</f>
        <v>6.8082511939843507E-2</v>
      </c>
      <c r="E25" s="69">
        <f>IFERROR('Balance Sheet'!E16/'Balance Sheet'!E$23,0)</f>
        <v>6.5830442131482966E-2</v>
      </c>
      <c r="F25" s="69">
        <f>IFERROR('Balance Sheet'!F16/'Balance Sheet'!F$23,0)</f>
        <v>5.7703882034306347E-2</v>
      </c>
      <c r="G25" s="69">
        <f>IFERROR('Balance Sheet'!G16/'Balance Sheet'!G$23,0)</f>
        <v>5.8388680334969682E-2</v>
      </c>
      <c r="H25" s="69">
        <f>IFERROR('Balance Sheet'!H16/'Balance Sheet'!H$23,0)</f>
        <v>4.8904171442464658E-2</v>
      </c>
      <c r="I25" s="69">
        <f>IFERROR('Balance Sheet'!I16/'Balance Sheet'!I$23,0)</f>
        <v>4.3066965397062486E-2</v>
      </c>
      <c r="J25" s="69">
        <f>IFERROR('Balance Sheet'!J16/'Balance Sheet'!J$23,0)</f>
        <v>6.5416929726579573E-2</v>
      </c>
      <c r="K25" s="69">
        <f>IFERROR('Balance Sheet'!K16/'Balance Sheet'!K$23,0)</f>
        <v>5.3386684518013629E-2</v>
      </c>
      <c r="L25" s="59"/>
      <c r="N25" s="86" t="s">
        <v>225</v>
      </c>
      <c r="O25" s="111">
        <v>8.6370000000000002E-2</v>
      </c>
      <c r="P25" s="109">
        <v>8.6019999999999999E-2</v>
      </c>
      <c r="Q25" s="109">
        <v>6.8080000000000002E-2</v>
      </c>
      <c r="R25" s="109">
        <v>6.583E-2</v>
      </c>
      <c r="S25" s="109">
        <v>5.7699999999999994E-2</v>
      </c>
      <c r="T25" s="109">
        <v>5.8390000000000004E-2</v>
      </c>
      <c r="U25" s="109">
        <v>4.8899999999999999E-2</v>
      </c>
      <c r="V25" s="109">
        <v>4.3070000000000004E-2</v>
      </c>
      <c r="W25" s="109">
        <v>6.5419999999999992E-2</v>
      </c>
      <c r="X25" s="110">
        <v>5.3390000000000007E-2</v>
      </c>
    </row>
    <row r="26" spans="1:24" x14ac:dyDescent="0.15">
      <c r="A26" s="59" t="s">
        <v>226</v>
      </c>
      <c r="B26" s="69">
        <f>IFERROR('Balance Sheet'!B17/'Balance Sheet'!B$23,0)</f>
        <v>7.7385574518619243E-2</v>
      </c>
      <c r="C26" s="69">
        <f>IFERROR('Balance Sheet'!C17/'Balance Sheet'!C$23,0)</f>
        <v>6.3229308005427406E-2</v>
      </c>
      <c r="D26" s="69">
        <f>IFERROR('Balance Sheet'!D17/'Balance Sheet'!D$23,0)</f>
        <v>5.2941774209938015E-2</v>
      </c>
      <c r="E26" s="69">
        <f>IFERROR('Balance Sheet'!E17/'Balance Sheet'!E$23,0)</f>
        <v>8.8693176763633128E-2</v>
      </c>
      <c r="F26" s="69">
        <f>IFERROR('Balance Sheet'!F17/'Balance Sheet'!F$23,0)</f>
        <v>0.10562744507974722</v>
      </c>
      <c r="G26" s="69">
        <f>IFERROR('Balance Sheet'!G17/'Balance Sheet'!G$23,0)</f>
        <v>9.6679179901819234E-2</v>
      </c>
      <c r="H26" s="69">
        <f>IFERROR('Balance Sheet'!H17/'Balance Sheet'!H$23,0)</f>
        <v>7.4641380987114023E-2</v>
      </c>
      <c r="I26" s="69">
        <f>IFERROR('Balance Sheet'!I17/'Balance Sheet'!I$23,0)</f>
        <v>6.2869169665286176E-2</v>
      </c>
      <c r="J26" s="69">
        <f>IFERROR('Balance Sheet'!J17/'Balance Sheet'!J$23,0)</f>
        <v>9.2443300471079598E-2</v>
      </c>
      <c r="K26" s="69">
        <f>IFERROR('Balance Sheet'!K17/'Balance Sheet'!K$23,0)</f>
        <v>5.954844206426485E-2</v>
      </c>
      <c r="L26" s="59"/>
      <c r="N26" s="86" t="s">
        <v>226</v>
      </c>
      <c r="O26" s="111">
        <v>7.739E-2</v>
      </c>
      <c r="P26" s="109">
        <v>6.3230000000000008E-2</v>
      </c>
      <c r="Q26" s="109">
        <v>5.2939999999999994E-2</v>
      </c>
      <c r="R26" s="109">
        <v>8.8689999999999991E-2</v>
      </c>
      <c r="S26" s="109">
        <v>0.10563</v>
      </c>
      <c r="T26" s="109">
        <v>9.6679999999999988E-2</v>
      </c>
      <c r="U26" s="109">
        <v>7.4639999999999998E-2</v>
      </c>
      <c r="V26" s="109">
        <v>6.2869999999999995E-2</v>
      </c>
      <c r="W26" s="109">
        <v>9.2439999999999994E-2</v>
      </c>
      <c r="X26" s="110">
        <v>5.9549999999999999E-2</v>
      </c>
    </row>
    <row r="27" spans="1:24" x14ac:dyDescent="0.15">
      <c r="A27" s="59" t="s">
        <v>227</v>
      </c>
      <c r="B27" s="72">
        <f>IFERROR('Balance Sheet'!B18/'Balance Sheet'!B$23,0)</f>
        <v>0</v>
      </c>
      <c r="C27" s="72">
        <f>IFERROR('Balance Sheet'!C18/'Balance Sheet'!C$23,0)</f>
        <v>0</v>
      </c>
      <c r="D27" s="72">
        <f>IFERROR('Balance Sheet'!D18/'Balance Sheet'!D$23,0)</f>
        <v>0</v>
      </c>
      <c r="E27" s="72">
        <f>IFERROR('Balance Sheet'!E18/'Balance Sheet'!E$23,0)</f>
        <v>0</v>
      </c>
      <c r="F27" s="72">
        <f>IFERROR('Balance Sheet'!F18/'Balance Sheet'!F$23,0)</f>
        <v>0</v>
      </c>
      <c r="G27" s="72">
        <f>IFERROR('Balance Sheet'!G18/'Balance Sheet'!G$23,0)</f>
        <v>0</v>
      </c>
      <c r="H27" s="72">
        <f>IFERROR('Balance Sheet'!H18/'Balance Sheet'!H$23,0)</f>
        <v>0</v>
      </c>
      <c r="I27" s="69">
        <f>IFERROR('Balance Sheet'!I18/'Balance Sheet'!I$23,0)</f>
        <v>6.0198700975400005E-3</v>
      </c>
      <c r="J27" s="69">
        <f>IFERROR('Balance Sheet'!J18/'Balance Sheet'!J$23,0)</f>
        <v>7.2604535962313629E-3</v>
      </c>
      <c r="K27" s="72">
        <f>IFERROR('Balance Sheet'!K18/'Balance Sheet'!K$23,0)</f>
        <v>0</v>
      </c>
      <c r="L27" s="59"/>
      <c r="N27" s="86" t="s">
        <v>227</v>
      </c>
      <c r="O27" s="150" t="s">
        <v>154</v>
      </c>
      <c r="P27" s="151" t="s">
        <v>154</v>
      </c>
      <c r="Q27" s="151" t="s">
        <v>154</v>
      </c>
      <c r="R27" s="151" t="s">
        <v>154</v>
      </c>
      <c r="S27" s="151" t="s">
        <v>154</v>
      </c>
      <c r="T27" s="151" t="s">
        <v>154</v>
      </c>
      <c r="U27" s="151" t="s">
        <v>154</v>
      </c>
      <c r="V27" s="109">
        <v>6.0200000000000002E-3</v>
      </c>
      <c r="W27" s="109">
        <v>7.26E-3</v>
      </c>
      <c r="X27" s="152" t="s">
        <v>154</v>
      </c>
    </row>
    <row r="28" spans="1:24" x14ac:dyDescent="0.15">
      <c r="A28" s="59" t="s">
        <v>228</v>
      </c>
      <c r="B28" s="69">
        <f>IFERROR('Balance Sheet'!B19/'Balance Sheet'!B$23,0)</f>
        <v>0.11662964592283022</v>
      </c>
      <c r="C28" s="69">
        <f>IFERROR('Balance Sheet'!C19/'Balance Sheet'!C$23,0)</f>
        <v>0.10637720488466756</v>
      </c>
      <c r="D28" s="69">
        <f>IFERROR('Balance Sheet'!D19/'Balance Sheet'!D$23,0)</f>
        <v>7.3366527791891067E-2</v>
      </c>
      <c r="E28" s="69">
        <f>IFERROR('Balance Sheet'!E19/'Balance Sheet'!E$23,0)</f>
        <v>5.9603238146072414E-2</v>
      </c>
      <c r="F28" s="69">
        <f>IFERROR('Balance Sheet'!F19/'Balance Sheet'!F$23,0)</f>
        <v>4.987962684321396E-2</v>
      </c>
      <c r="G28" s="76">
        <f>IFERROR('Balance Sheet'!G19/'Balance Sheet'!G$23,0)</f>
        <v>3.8521513138896908E-2</v>
      </c>
      <c r="H28" s="76">
        <f>IFERROR('Balance Sheet'!H19/'Balance Sheet'!H$23,0)</f>
        <v>0.24070021881838075</v>
      </c>
      <c r="I28" s="69">
        <f>IFERROR('Balance Sheet'!I19/'Balance Sheet'!I$23,0)</f>
        <v>0.15135673388100573</v>
      </c>
      <c r="J28" s="71">
        <f>IFERROR('Balance Sheet'!J19/'Balance Sheet'!J$23,0)</f>
        <v>0.14686027876256616</v>
      </c>
      <c r="K28" s="71">
        <f>IFERROR('Balance Sheet'!K19/'Balance Sheet'!K$23,0)</f>
        <v>8.4317185978578388E-2</v>
      </c>
      <c r="L28" s="59"/>
      <c r="N28" s="86" t="s">
        <v>228</v>
      </c>
      <c r="O28" s="111">
        <v>0.11663</v>
      </c>
      <c r="P28" s="109">
        <v>0.10638</v>
      </c>
      <c r="Q28" s="109">
        <v>7.3369999999999991E-2</v>
      </c>
      <c r="R28" s="109">
        <v>5.96E-2</v>
      </c>
      <c r="S28" s="109">
        <v>4.9880000000000008E-2</v>
      </c>
      <c r="T28" s="109">
        <v>3.8519999999999999E-2</v>
      </c>
      <c r="U28" s="109">
        <v>0.2407</v>
      </c>
      <c r="V28" s="109">
        <v>0.15135999999999999</v>
      </c>
      <c r="W28" s="109">
        <v>0.14685999999999999</v>
      </c>
      <c r="X28" s="110">
        <v>8.4320000000000006E-2</v>
      </c>
    </row>
    <row r="29" spans="1:24" x14ac:dyDescent="0.15">
      <c r="A29" s="59" t="s">
        <v>229</v>
      </c>
      <c r="B29" s="72">
        <f>IFERROR('Balance Sheet'!B20/'Balance Sheet'!B$23,0)</f>
        <v>0</v>
      </c>
      <c r="C29" s="72">
        <f>IFERROR('Balance Sheet'!C20/'Balance Sheet'!C$23,0)</f>
        <v>0</v>
      </c>
      <c r="D29" s="72">
        <f>IFERROR('Balance Sheet'!D20/'Balance Sheet'!D$23,0)</f>
        <v>0</v>
      </c>
      <c r="E29" s="72">
        <f>IFERROR('Balance Sheet'!E20/'Balance Sheet'!E$23,0)</f>
        <v>0</v>
      </c>
      <c r="F29" s="72">
        <f>IFERROR('Balance Sheet'!F20/'Balance Sheet'!F$23,0)</f>
        <v>0</v>
      </c>
      <c r="G29" s="72">
        <f>IFERROR('Balance Sheet'!G20/'Balance Sheet'!G$23,0)</f>
        <v>0</v>
      </c>
      <c r="H29" s="72">
        <f>IFERROR('Balance Sheet'!H20/'Balance Sheet'!H$23,0)</f>
        <v>0</v>
      </c>
      <c r="I29" s="69">
        <f>IFERROR('Balance Sheet'!I20/'Balance Sheet'!I$23,0)</f>
        <v>4.8792631316903159E-2</v>
      </c>
      <c r="J29" s="69">
        <f>IFERROR('Balance Sheet'!J20/'Balance Sheet'!J$23,0)</f>
        <v>8.1977563012966825E-2</v>
      </c>
      <c r="K29" s="72">
        <f>IFERROR('Balance Sheet'!K20/'Balance Sheet'!K$23,0)</f>
        <v>0</v>
      </c>
      <c r="L29" s="59"/>
      <c r="N29" s="86" t="s">
        <v>229</v>
      </c>
      <c r="O29" s="150" t="s">
        <v>154</v>
      </c>
      <c r="P29" s="151" t="s">
        <v>154</v>
      </c>
      <c r="Q29" s="151" t="s">
        <v>154</v>
      </c>
      <c r="R29" s="151" t="s">
        <v>154</v>
      </c>
      <c r="S29" s="151" t="s">
        <v>154</v>
      </c>
      <c r="T29" s="151" t="s">
        <v>154</v>
      </c>
      <c r="U29" s="151" t="s">
        <v>154</v>
      </c>
      <c r="V29" s="109">
        <v>4.8789999999999993E-2</v>
      </c>
      <c r="W29" s="109">
        <v>8.1979999999999997E-2</v>
      </c>
      <c r="X29" s="152" t="s">
        <v>154</v>
      </c>
    </row>
    <row r="30" spans="1:24" x14ac:dyDescent="0.15">
      <c r="A30" s="59" t="s">
        <v>230</v>
      </c>
      <c r="B30" s="72">
        <f>IFERROR('Balance Sheet'!B21/'Balance Sheet'!B$23,0)</f>
        <v>0</v>
      </c>
      <c r="C30" s="72">
        <f>IFERROR('Balance Sheet'!C21/'Balance Sheet'!C$23,0)</f>
        <v>0</v>
      </c>
      <c r="D30" s="72">
        <f>IFERROR('Balance Sheet'!D21/'Balance Sheet'!D$23,0)</f>
        <v>0</v>
      </c>
      <c r="E30" s="72">
        <f>IFERROR('Balance Sheet'!E21/'Balance Sheet'!E$23,0)</f>
        <v>0</v>
      </c>
      <c r="F30" s="72">
        <f>IFERROR('Balance Sheet'!F21/'Balance Sheet'!F$23,0)</f>
        <v>0</v>
      </c>
      <c r="G30" s="69">
        <f>IFERROR('Balance Sheet'!G21/'Balance Sheet'!G$23,0)</f>
        <v>3.1648859370488017E-2</v>
      </c>
      <c r="H30" s="69">
        <f>IFERROR('Balance Sheet'!H21/'Balance Sheet'!H$23,0)</f>
        <v>2.7994859504706333E-2</v>
      </c>
      <c r="I30" s="69">
        <f>IFERROR('Balance Sheet'!I21/'Balance Sheet'!I$23,0)</f>
        <v>2.7655192703736394E-2</v>
      </c>
      <c r="J30" s="69">
        <f>IFERROR('Balance Sheet'!J21/'Balance Sheet'!J$23,0)</f>
        <v>8.2463212082948864E-2</v>
      </c>
      <c r="K30" s="69">
        <f>IFERROR('Balance Sheet'!K21/'Balance Sheet'!K$23,0)</f>
        <v>9.2517648490749754E-2</v>
      </c>
      <c r="L30" s="59"/>
      <c r="N30" s="86" t="s">
        <v>230</v>
      </c>
      <c r="O30" s="150" t="s">
        <v>154</v>
      </c>
      <c r="P30" s="151" t="s">
        <v>154</v>
      </c>
      <c r="Q30" s="151" t="s">
        <v>154</v>
      </c>
      <c r="R30" s="151" t="s">
        <v>154</v>
      </c>
      <c r="S30" s="151" t="s">
        <v>154</v>
      </c>
      <c r="T30" s="109">
        <v>3.1649999999999998E-2</v>
      </c>
      <c r="U30" s="109">
        <v>2.7990000000000001E-2</v>
      </c>
      <c r="V30" s="109">
        <v>2.7660000000000001E-2</v>
      </c>
      <c r="W30" s="109">
        <v>8.2460000000000006E-2</v>
      </c>
      <c r="X30" s="110">
        <v>9.2520000000000005E-2</v>
      </c>
    </row>
    <row r="31" spans="1:24" ht="14" thickBot="1" x14ac:dyDescent="0.2">
      <c r="A31" s="59" t="s">
        <v>231</v>
      </c>
      <c r="B31" s="69">
        <f>IFERROR('Balance Sheet'!B22/'Balance Sheet'!B$23,0)</f>
        <v>1.2622046255655869E-2</v>
      </c>
      <c r="C31" s="69">
        <f>IFERROR('Balance Sheet'!C22/'Balance Sheet'!C$23,0)</f>
        <v>9.0909090909090905E-3</v>
      </c>
      <c r="D31" s="69">
        <f>IFERROR('Balance Sheet'!D22/'Balance Sheet'!D$23,0)</f>
        <v>6.3001727466720859E-3</v>
      </c>
      <c r="E31" s="69">
        <f>IFERROR('Balance Sheet'!E22/'Balance Sheet'!E$23,0)</f>
        <v>2.8378258162085224E-2</v>
      </c>
      <c r="F31" s="69">
        <f>IFERROR('Balance Sheet'!F22/'Balance Sheet'!F$23,0)</f>
        <v>5.0255792958170328E-2</v>
      </c>
      <c r="G31" s="69">
        <f>IFERROR('Balance Sheet'!G22/'Balance Sheet'!G$23,0)</f>
        <v>4.2506497256713835E-2</v>
      </c>
      <c r="H31" s="69">
        <f>IFERROR('Balance Sheet'!H22/'Balance Sheet'!H$23,0)</f>
        <v>9.9024000555729227E-2</v>
      </c>
      <c r="I31" s="69">
        <f>IFERROR('Balance Sheet'!I22/'Balance Sheet'!I$23,0)</f>
        <v>5.0874691651390677E-2</v>
      </c>
      <c r="J31" s="69">
        <f>IFERROR('Balance Sheet'!J22/'Balance Sheet'!J$23,0)</f>
        <v>2.8726142489437133E-2</v>
      </c>
      <c r="K31" s="69">
        <f>IFERROR('Balance Sheet'!K22/'Balance Sheet'!K$23,0)</f>
        <v>8.8942307692307696E-2</v>
      </c>
      <c r="L31" s="59"/>
      <c r="N31" s="112" t="s">
        <v>231</v>
      </c>
      <c r="O31" s="113">
        <v>1.2619999999999999E-2</v>
      </c>
      <c r="P31" s="114">
        <v>9.0900000000000009E-3</v>
      </c>
      <c r="Q31" s="114">
        <v>6.3E-3</v>
      </c>
      <c r="R31" s="114">
        <v>2.8380000000000002E-2</v>
      </c>
      <c r="S31" s="114">
        <v>5.0259999999999999E-2</v>
      </c>
      <c r="T31" s="114">
        <v>4.2510000000000006E-2</v>
      </c>
      <c r="U31" s="114">
        <v>9.9019999999999997E-2</v>
      </c>
      <c r="V31" s="114">
        <v>5.0869999999999999E-2</v>
      </c>
      <c r="W31" s="114">
        <v>2.8730000000000002E-2</v>
      </c>
      <c r="X31" s="115">
        <v>8.8940000000000005E-2</v>
      </c>
    </row>
    <row r="32" spans="1:24" ht="14" thickBot="1" x14ac:dyDescent="0.2">
      <c r="A32" s="73" t="s">
        <v>232</v>
      </c>
      <c r="B32" s="74">
        <f>IFERROR('Balance Sheet'!B23/'Balance Sheet'!B$23,0)</f>
        <v>1</v>
      </c>
      <c r="C32" s="74">
        <f>IFERROR('Balance Sheet'!C23/'Balance Sheet'!C$23,0)</f>
        <v>1</v>
      </c>
      <c r="D32" s="74">
        <f>IFERROR('Balance Sheet'!D23/'Balance Sheet'!D$23,0)</f>
        <v>1</v>
      </c>
      <c r="E32" s="74">
        <f>IFERROR('Balance Sheet'!E23/'Balance Sheet'!E$23,0)</f>
        <v>1</v>
      </c>
      <c r="F32" s="74">
        <f>IFERROR('Balance Sheet'!F23/'Balance Sheet'!F$23,0)</f>
        <v>1</v>
      </c>
      <c r="G32" s="74">
        <f>IFERROR('Balance Sheet'!G23/'Balance Sheet'!G$23,0)</f>
        <v>1</v>
      </c>
      <c r="H32" s="74">
        <f>IFERROR('Balance Sheet'!H23/'Balance Sheet'!H$23,0)</f>
        <v>1</v>
      </c>
      <c r="I32" s="74">
        <f>IFERROR('Balance Sheet'!I23/'Balance Sheet'!I$23,0)</f>
        <v>1</v>
      </c>
      <c r="J32" s="74">
        <f>IFERROR('Balance Sheet'!J23/'Balance Sheet'!J$23,0)</f>
        <v>1</v>
      </c>
      <c r="K32" s="74">
        <f>IFERROR('Balance Sheet'!K23/'Balance Sheet'!K$23,0)</f>
        <v>1</v>
      </c>
      <c r="L32" s="59"/>
      <c r="N32" s="121" t="s">
        <v>232</v>
      </c>
      <c r="O32" s="122">
        <v>1</v>
      </c>
      <c r="P32" s="123">
        <v>1</v>
      </c>
      <c r="Q32" s="123">
        <v>1</v>
      </c>
      <c r="R32" s="123">
        <v>1</v>
      </c>
      <c r="S32" s="123">
        <v>1</v>
      </c>
      <c r="T32" s="123">
        <v>1</v>
      </c>
      <c r="U32" s="123">
        <v>1</v>
      </c>
      <c r="V32" s="123">
        <v>1</v>
      </c>
      <c r="W32" s="123">
        <v>1</v>
      </c>
      <c r="X32" s="124">
        <v>1</v>
      </c>
    </row>
    <row r="33" spans="1:24" x14ac:dyDescent="0.15">
      <c r="A33" s="59"/>
      <c r="B33" s="69"/>
      <c r="C33" s="69"/>
      <c r="D33" s="69"/>
      <c r="E33" s="69"/>
      <c r="F33" s="69"/>
      <c r="G33" s="69"/>
      <c r="H33" s="69"/>
      <c r="I33" s="69"/>
      <c r="J33" s="69"/>
      <c r="K33" s="69"/>
      <c r="L33" s="59"/>
      <c r="N33" s="116"/>
      <c r="O33" s="117"/>
      <c r="P33" s="118"/>
      <c r="Q33" s="118"/>
      <c r="R33" s="118"/>
      <c r="S33" s="118"/>
      <c r="T33" s="118"/>
      <c r="U33" s="118"/>
      <c r="V33" s="118"/>
      <c r="W33" s="118"/>
      <c r="X33" s="119"/>
    </row>
    <row r="34" spans="1:24" x14ac:dyDescent="0.15">
      <c r="A34" s="59" t="s">
        <v>233</v>
      </c>
      <c r="B34" s="69">
        <f>IFERROR('Balance Sheet'!B25/'Balance Sheet'!$B$45,0)</f>
        <v>7.9611957061491656E-2</v>
      </c>
      <c r="C34" s="69">
        <f>IFERROR('Balance Sheet'!C25/'Balance Sheet'!C$45,0)</f>
        <v>7.9647218453188603E-2</v>
      </c>
      <c r="D34" s="69">
        <f>IFERROR('Balance Sheet'!D25/'Balance Sheet'!D$45,0)</f>
        <v>8.7491108627172035E-2</v>
      </c>
      <c r="E34" s="69">
        <f>IFERROR('Balance Sheet'!E25/'Balance Sheet'!E$45,0)</f>
        <v>8.9671737389911924E-2</v>
      </c>
      <c r="F34" s="69">
        <f>IFERROR('Balance Sheet'!F25/'Balance Sheet'!F$45,0)</f>
        <v>7.9070117363827866E-2</v>
      </c>
      <c r="G34" s="69">
        <f>IFERROR('Balance Sheet'!G25/'Balance Sheet'!G$45,0)</f>
        <v>7.7043026277793816E-2</v>
      </c>
      <c r="H34" s="69">
        <f>IFERROR('Balance Sheet'!H25/'Balance Sheet'!H$45,0)</f>
        <v>7.3911986384634087E-2</v>
      </c>
      <c r="I34" s="69">
        <f>IFERROR('Balance Sheet'!I25/'Balance Sheet'!I$45,0)</f>
        <v>7.2238441170480006E-2</v>
      </c>
      <c r="J34" s="69">
        <f>IFERROR('Balance Sheet'!J25/'Balance Sheet'!J$45,0)</f>
        <v>7.0880481763877429E-2</v>
      </c>
      <c r="K34" s="69">
        <f>IFERROR('Balance Sheet'!K25/'Balance Sheet'!K$45,0)</f>
        <v>0.11404576436222005</v>
      </c>
      <c r="L34" s="59"/>
      <c r="N34" s="86" t="s">
        <v>233</v>
      </c>
      <c r="O34" s="111">
        <v>7.961E-2</v>
      </c>
      <c r="P34" s="109">
        <v>7.9649999999999999E-2</v>
      </c>
      <c r="Q34" s="109">
        <v>8.7490000000000012E-2</v>
      </c>
      <c r="R34" s="109">
        <v>8.967E-2</v>
      </c>
      <c r="S34" s="109">
        <v>7.9070000000000001E-2</v>
      </c>
      <c r="T34" s="109">
        <v>7.7039999999999997E-2</v>
      </c>
      <c r="U34" s="109">
        <v>7.3910000000000003E-2</v>
      </c>
      <c r="V34" s="109">
        <v>7.2239999999999999E-2</v>
      </c>
      <c r="W34" s="109">
        <v>7.0879999999999999E-2</v>
      </c>
      <c r="X34" s="110">
        <v>0.11405</v>
      </c>
    </row>
    <row r="35" spans="1:24" x14ac:dyDescent="0.15">
      <c r="A35" s="59" t="s">
        <v>234</v>
      </c>
      <c r="B35" s="69">
        <f>IFERROR('Balance Sheet'!B26/'Balance Sheet'!B$45,0)</f>
        <v>4.0717680307408258E-2</v>
      </c>
      <c r="C35" s="69">
        <f>IFERROR('Balance Sheet'!C26/'Balance Sheet'!C$45,0)</f>
        <v>4.016282225237449E-2</v>
      </c>
      <c r="D35" s="69">
        <f>IFERROR('Balance Sheet'!D26/'Balance Sheet'!D$45,0)</f>
        <v>4.9283609389289704E-2</v>
      </c>
      <c r="E35" s="69">
        <f>IFERROR('Balance Sheet'!E26/'Balance Sheet'!E$45,0)</f>
        <v>5.302019393292412E-2</v>
      </c>
      <c r="F35" s="69">
        <f>IFERROR('Balance Sheet'!F26/'Balance Sheet'!F$45,0)</f>
        <v>3.8444176948540479E-2</v>
      </c>
      <c r="G35" s="69">
        <f>IFERROR('Balance Sheet'!G26/'Balance Sheet'!G$45,0)</f>
        <v>3.9676580999133702E-2</v>
      </c>
      <c r="H35" s="69">
        <f>IFERROR('Balance Sheet'!H26/'Balance Sheet'!H$45,0)</f>
        <v>4.1714424646590947E-2</v>
      </c>
      <c r="I35" s="69">
        <f>IFERROR('Balance Sheet'!I26/'Balance Sheet'!I$45,0)</f>
        <v>4.0351234525991805E-2</v>
      </c>
      <c r="J35" s="69">
        <f>IFERROR('Balance Sheet'!J26/'Balance Sheet'!J$45,0)</f>
        <v>2.8968967024428149E-2</v>
      </c>
      <c r="K35" s="69">
        <f>IFERROR('Balance Sheet'!K26/'Balance Sheet'!K$45,0)</f>
        <v>4.1063169425511199E-2</v>
      </c>
      <c r="L35" s="59"/>
      <c r="N35" s="86" t="s">
        <v>234</v>
      </c>
      <c r="O35" s="111">
        <v>4.0719999999999999E-2</v>
      </c>
      <c r="P35" s="109">
        <v>4.0160000000000001E-2</v>
      </c>
      <c r="Q35" s="109">
        <v>4.9279999999999997E-2</v>
      </c>
      <c r="R35" s="109">
        <v>5.3019999999999998E-2</v>
      </c>
      <c r="S35" s="109">
        <v>3.8440000000000002E-2</v>
      </c>
      <c r="T35" s="109">
        <v>3.968E-2</v>
      </c>
      <c r="U35" s="109">
        <v>4.1710000000000004E-2</v>
      </c>
      <c r="V35" s="109">
        <v>4.0350000000000004E-2</v>
      </c>
      <c r="W35" s="109">
        <v>2.8969999999999999E-2</v>
      </c>
      <c r="X35" s="110">
        <v>4.1059999999999999E-2</v>
      </c>
    </row>
    <row r="36" spans="1:24" x14ac:dyDescent="0.15">
      <c r="A36" s="59" t="s">
        <v>235</v>
      </c>
      <c r="B36" s="69">
        <f>IFERROR('Balance Sheet'!B27/'Balance Sheet'!B$45,0)</f>
        <v>3.8894276754083391E-2</v>
      </c>
      <c r="C36" s="69">
        <f>IFERROR('Balance Sheet'!C27/'Balance Sheet'!C$45,0)</f>
        <v>3.9484396200814113E-2</v>
      </c>
      <c r="D36" s="69">
        <f>IFERROR('Balance Sheet'!D27/'Balance Sheet'!D$45,0)</f>
        <v>3.8207499237882331E-2</v>
      </c>
      <c r="E36" s="69">
        <f>IFERROR('Balance Sheet'!E27/'Balance Sheet'!E$45,0)</f>
        <v>3.665154345698781E-2</v>
      </c>
      <c r="F36" s="69">
        <f>IFERROR('Balance Sheet'!F27/'Balance Sheet'!F$45,0)</f>
        <v>4.0625940415287394E-2</v>
      </c>
      <c r="G36" s="69">
        <f>IFERROR('Balance Sheet'!G27/'Balance Sheet'!G$45,0)</f>
        <v>3.7366445278660121E-2</v>
      </c>
      <c r="H36" s="69">
        <f>IFERROR('Balance Sheet'!H27/'Balance Sheet'!H$45,0)</f>
        <v>3.219756173804314E-2</v>
      </c>
      <c r="I36" s="69">
        <f>IFERROR('Balance Sheet'!I27/'Balance Sheet'!I$45,0)</f>
        <v>3.18872066444882E-2</v>
      </c>
      <c r="J36" s="69">
        <f>IFERROR('Balance Sheet'!J27/'Balance Sheet'!J$45,0)</f>
        <v>4.1911514739449277E-2</v>
      </c>
      <c r="K36" s="69">
        <f>IFERROR('Balance Sheet'!K27/'Balance Sheet'!K$45,0)</f>
        <v>7.2982594936708861E-2</v>
      </c>
      <c r="L36" s="59"/>
      <c r="N36" s="86" t="s">
        <v>235</v>
      </c>
      <c r="O36" s="111">
        <v>3.8890000000000001E-2</v>
      </c>
      <c r="P36" s="109">
        <v>3.9480000000000001E-2</v>
      </c>
      <c r="Q36" s="109">
        <v>3.8210000000000001E-2</v>
      </c>
      <c r="R36" s="109">
        <v>3.6650000000000002E-2</v>
      </c>
      <c r="S36" s="109">
        <v>4.0629999999999999E-2</v>
      </c>
      <c r="T36" s="109">
        <v>3.737E-2</v>
      </c>
      <c r="U36" s="109">
        <v>3.2199999999999999E-2</v>
      </c>
      <c r="V36" s="109">
        <v>3.1890000000000002E-2</v>
      </c>
      <c r="W36" s="109">
        <v>4.1909999999999996E-2</v>
      </c>
      <c r="X36" s="110">
        <v>7.2980000000000003E-2</v>
      </c>
    </row>
    <row r="37" spans="1:24" x14ac:dyDescent="0.15">
      <c r="A37" s="59" t="s">
        <v>236</v>
      </c>
      <c r="B37" s="72">
        <f>IFERROR('Balance Sheet'!B28/'Balance Sheet'!B$45,0)</f>
        <v>0</v>
      </c>
      <c r="C37" s="69">
        <f>IFERROR('Balance Sheet'!C28/'Balance Sheet'!C$45,0)</f>
        <v>0.19172320217096336</v>
      </c>
      <c r="D37" s="69">
        <f>IFERROR('Balance Sheet'!D28/'Balance Sheet'!D$45,0)</f>
        <v>8.0886088812112594E-2</v>
      </c>
      <c r="E37" s="69">
        <f>IFERROR('Balance Sheet'!E28/'Balance Sheet'!E$45,0)</f>
        <v>1.3344008540165466E-3</v>
      </c>
      <c r="F37" s="72">
        <f>IFERROR('Balance Sheet'!F28/'Balance Sheet'!F$45,0)</f>
        <v>0</v>
      </c>
      <c r="G37" s="72">
        <f>IFERROR('Balance Sheet'!G28/'Balance Sheet'!G$45,0)</f>
        <v>0</v>
      </c>
      <c r="H37" s="69">
        <f>IFERROR('Balance Sheet'!H28/'Balance Sheet'!H$45,0)</f>
        <v>3.4698343232260079E-2</v>
      </c>
      <c r="I37" s="72">
        <f>IFERROR('Balance Sheet'!I28/'Balance Sheet'!I$45,0)</f>
        <v>0</v>
      </c>
      <c r="J37" s="69">
        <f>IFERROR('Balance Sheet'!J28/'Balance Sheet'!J$45,0)</f>
        <v>3.0353066873876938E-2</v>
      </c>
      <c r="K37" s="69">
        <f>IFERROR('Balance Sheet'!K28/'Balance Sheet'!K$45,0)</f>
        <v>1.9017770204479065E-2</v>
      </c>
      <c r="L37" s="59"/>
      <c r="N37" s="86" t="s">
        <v>236</v>
      </c>
      <c r="O37" s="111" t="s">
        <v>154</v>
      </c>
      <c r="P37" s="109">
        <v>0.19172</v>
      </c>
      <c r="Q37" s="109">
        <v>8.0890000000000004E-2</v>
      </c>
      <c r="R37" s="109">
        <v>1.33E-3</v>
      </c>
      <c r="S37" s="109" t="s">
        <v>154</v>
      </c>
      <c r="T37" s="151" t="s">
        <v>154</v>
      </c>
      <c r="U37" s="109">
        <v>3.4700000000000002E-2</v>
      </c>
      <c r="V37" s="151" t="s">
        <v>154</v>
      </c>
      <c r="W37" s="109">
        <v>3.0350000000000002E-2</v>
      </c>
      <c r="X37" s="110">
        <v>1.9019999999999999E-2</v>
      </c>
    </row>
    <row r="38" spans="1:24" ht="14" thickBot="1" x14ac:dyDescent="0.2">
      <c r="A38" s="59" t="s">
        <v>237</v>
      </c>
      <c r="B38" s="69">
        <f>IFERROR('Balance Sheet'!B29/'Balance Sheet'!B$45,0)</f>
        <v>4.4813013305249783E-2</v>
      </c>
      <c r="C38" s="69">
        <f>IFERROR('Balance Sheet'!C29/'Balance Sheet'!C$45,0)</f>
        <v>4.762550881953867E-2</v>
      </c>
      <c r="D38" s="69">
        <f>IFERROR('Balance Sheet'!D29/'Balance Sheet'!D$45,0)</f>
        <v>1.3311655319581343E-2</v>
      </c>
      <c r="E38" s="69">
        <f>IFERROR('Balance Sheet'!E29/'Balance Sheet'!E$45,0)</f>
        <v>1.1564807401476737E-2</v>
      </c>
      <c r="F38" s="69">
        <f>IFERROR('Balance Sheet'!F29/'Balance Sheet'!F$45,0)</f>
        <v>2.0914835991573878E-2</v>
      </c>
      <c r="G38" s="69">
        <f>IFERROR('Balance Sheet'!G29/'Balance Sheet'!G$45,0)</f>
        <v>2.5989026855327751E-2</v>
      </c>
      <c r="H38" s="69">
        <f>IFERROR('Balance Sheet'!H29/'Balance Sheet'!H$45,0)</f>
        <v>2.7716994894237783E-2</v>
      </c>
      <c r="I38" s="69">
        <f>IFERROR('Balance Sheet'!I29/'Balance Sheet'!I$45,0)</f>
        <v>2.5867336546948196E-2</v>
      </c>
      <c r="J38" s="69">
        <f>IFERROR('Balance Sheet'!J29/'Balance Sheet'!J$45,0)</f>
        <v>5.813219367684911E-2</v>
      </c>
      <c r="K38" s="69">
        <f>IFERROR('Balance Sheet'!K29/'Balance Sheet'!K$45,0)</f>
        <v>2.8678797468354431E-2</v>
      </c>
      <c r="L38" s="59"/>
      <c r="N38" s="112" t="s">
        <v>237</v>
      </c>
      <c r="O38" s="113">
        <v>4.4809999999999996E-2</v>
      </c>
      <c r="P38" s="114">
        <v>4.7629999999999999E-2</v>
      </c>
      <c r="Q38" s="114">
        <v>1.3309999999999999E-2</v>
      </c>
      <c r="R38" s="114">
        <v>1.1559999999999999E-2</v>
      </c>
      <c r="S38" s="114">
        <v>2.0910000000000002E-2</v>
      </c>
      <c r="T38" s="114">
        <v>2.5990000000000003E-2</v>
      </c>
      <c r="U38" s="114">
        <v>2.7719999999999998E-2</v>
      </c>
      <c r="V38" s="114">
        <v>2.5870000000000001E-2</v>
      </c>
      <c r="W38" s="114">
        <v>5.8129999999999994E-2</v>
      </c>
      <c r="X38" s="115">
        <v>2.8679999999999997E-2</v>
      </c>
    </row>
    <row r="39" spans="1:24" ht="14" thickBot="1" x14ac:dyDescent="0.2">
      <c r="A39" s="73" t="s">
        <v>238</v>
      </c>
      <c r="B39" s="74">
        <f>IFERROR('Balance Sheet'!B30/'Balance Sheet'!B$45,0)</f>
        <v>0.12442497036674142</v>
      </c>
      <c r="C39" s="74">
        <f>IFERROR('Balance Sheet'!C30/'Balance Sheet'!C$45,0)</f>
        <v>0.31899592944369065</v>
      </c>
      <c r="D39" s="74">
        <f>IFERROR('Balance Sheet'!D30/'Balance Sheet'!D$45,0)</f>
        <v>0.18168885275886598</v>
      </c>
      <c r="E39" s="74">
        <f>IFERROR('Balance Sheet'!E30/'Balance Sheet'!E$45,0)</f>
        <v>0.10257094564540521</v>
      </c>
      <c r="F39" s="74">
        <f>IFERROR('Balance Sheet'!F30/'Balance Sheet'!F$45,0)</f>
        <v>9.9984953355401751E-2</v>
      </c>
      <c r="G39" s="74">
        <f>IFERROR('Balance Sheet'!G30/'Balance Sheet'!G$45,0)</f>
        <v>0.10303205313312157</v>
      </c>
      <c r="H39" s="74">
        <f>IFERROR('Balance Sheet'!H30/'Balance Sheet'!H$45,0)</f>
        <v>0.13632732451113194</v>
      </c>
      <c r="I39" s="74">
        <f>IFERROR('Balance Sheet'!I30/'Balance Sheet'!I$45,0)</f>
        <v>9.8105777717428205E-2</v>
      </c>
      <c r="J39" s="74">
        <f>IFERROR('Balance Sheet'!J30/'Balance Sheet'!J$45,0)</f>
        <v>0.15936574231460346</v>
      </c>
      <c r="K39" s="74">
        <f>IFERROR('Balance Sheet'!K30/'Balance Sheet'!K$45,0)</f>
        <v>0.16174233203505356</v>
      </c>
      <c r="L39" s="59"/>
      <c r="N39" s="121" t="s">
        <v>238</v>
      </c>
      <c r="O39" s="122">
        <v>0.12442</v>
      </c>
      <c r="P39" s="123">
        <v>0.31900000000000001</v>
      </c>
      <c r="Q39" s="123">
        <v>0.18169000000000002</v>
      </c>
      <c r="R39" s="123">
        <v>0.10256999999999999</v>
      </c>
      <c r="S39" s="123">
        <v>9.9979999999999999E-2</v>
      </c>
      <c r="T39" s="123">
        <v>0.10303000000000001</v>
      </c>
      <c r="U39" s="123">
        <v>0.13632999999999998</v>
      </c>
      <c r="V39" s="123">
        <v>9.8110000000000003E-2</v>
      </c>
      <c r="W39" s="123">
        <v>0.15936999999999998</v>
      </c>
      <c r="X39" s="124">
        <v>0.16173999999999999</v>
      </c>
    </row>
    <row r="40" spans="1:24" x14ac:dyDescent="0.15">
      <c r="A40" s="59" t="s">
        <v>239</v>
      </c>
      <c r="B40" s="71">
        <f>IFERROR('Balance Sheet'!B31/'Balance Sheet'!B$45,0)</f>
        <v>0.19418921516023066</v>
      </c>
      <c r="C40" s="71">
        <f>IFERROR('Balance Sheet'!C31/'Balance Sheet'!C$45,0)</f>
        <v>1.3568521031207597E-3</v>
      </c>
      <c r="D40" s="69">
        <f>IFERROR('Balance Sheet'!D31/'Balance Sheet'!D$45,0)</f>
        <v>0.20211360634081901</v>
      </c>
      <c r="E40" s="69">
        <f>IFERROR('Balance Sheet'!E31/'Balance Sheet'!E$45,0)</f>
        <v>0.17658571301485632</v>
      </c>
      <c r="F40" s="69">
        <f>IFERROR('Balance Sheet'!F31/'Balance Sheet'!F$45,0)</f>
        <v>0.14956364730665062</v>
      </c>
      <c r="G40" s="76">
        <f>IFERROR('Balance Sheet'!G31/'Balance Sheet'!G$45,0)</f>
        <v>0.11498700548657234</v>
      </c>
      <c r="H40" s="76">
        <f>IFERROR('Balance Sheet'!H31/'Balance Sheet'!H$45,0)</f>
        <v>0.20714806710430342</v>
      </c>
      <c r="I40" s="69">
        <f>IFERROR('Balance Sheet'!I31/'Balance Sheet'!I$45,0)</f>
        <v>0.24771991762283024</v>
      </c>
      <c r="J40" s="71">
        <f>IFERROR('Balance Sheet'!J31/'Balance Sheet'!J$45,0)</f>
        <v>0.23561264630178233</v>
      </c>
      <c r="K40" s="71">
        <f>IFERROR('Balance Sheet'!K31/'Balance Sheet'!K$45,0)</f>
        <v>0.12869705452775074</v>
      </c>
      <c r="L40" s="59"/>
      <c r="N40" s="116" t="s">
        <v>239</v>
      </c>
      <c r="O40" s="117">
        <v>0.19419</v>
      </c>
      <c r="P40" s="118">
        <v>1.3600000000000001E-3</v>
      </c>
      <c r="Q40" s="118">
        <v>0.20210999999999998</v>
      </c>
      <c r="R40" s="118">
        <v>0.17659</v>
      </c>
      <c r="S40" s="118">
        <v>0.14956</v>
      </c>
      <c r="T40" s="118">
        <v>0.11499000000000001</v>
      </c>
      <c r="U40" s="118">
        <v>0.20715</v>
      </c>
      <c r="V40" s="118">
        <v>0.24772</v>
      </c>
      <c r="W40" s="118">
        <v>0.23560999999999999</v>
      </c>
      <c r="X40" s="119">
        <v>0.12869999999999998</v>
      </c>
    </row>
    <row r="41" spans="1:24" x14ac:dyDescent="0.15">
      <c r="A41" s="59" t="s">
        <v>240</v>
      </c>
      <c r="B41" s="69">
        <f>IFERROR('Balance Sheet'!B32/'Balance Sheet'!B$45,0)</f>
        <v>4.7233386767625264E-2</v>
      </c>
      <c r="C41" s="71">
        <f>IFERROR('Balance Sheet'!C32/'Balance Sheet'!C$45,0)</f>
        <v>4.6811397557666216E-2</v>
      </c>
      <c r="D41" s="71">
        <f>IFERROR('Balance Sheet'!D32/'Balance Sheet'!D$45,0)</f>
        <v>1.4734274972055685E-2</v>
      </c>
      <c r="E41" s="71">
        <f>IFERROR('Balance Sheet'!E32/'Balance Sheet'!E$45,0)</f>
        <v>2.9356818788364024E-3</v>
      </c>
      <c r="F41" s="69">
        <f>IFERROR('Balance Sheet'!F32/'Balance Sheet'!F$45,0)</f>
        <v>4.8901594944327411E-3</v>
      </c>
      <c r="G41" s="69">
        <f>IFERROR('Balance Sheet'!G32/'Balance Sheet'!G$45,0)</f>
        <v>5.1400519780537106E-3</v>
      </c>
      <c r="H41" s="69">
        <f>IFERROR('Balance Sheet'!H32/'Balance Sheet'!H$45,0)</f>
        <v>1.4032162828661734E-2</v>
      </c>
      <c r="I41" s="69">
        <f>IFERROR('Balance Sheet'!I32/'Balance Sheet'!I$45,0)</f>
        <v>1.0116097494738272E-2</v>
      </c>
      <c r="J41" s="69">
        <f>IFERROR('Balance Sheet'!J32/'Balance Sheet'!J$45,0)</f>
        <v>1.129134087708222E-2</v>
      </c>
      <c r="K41" s="69">
        <f>IFERROR('Balance Sheet'!K32/'Balance Sheet'!K$45,0)</f>
        <v>1.5746713729308665E-2</v>
      </c>
      <c r="L41" s="59"/>
      <c r="N41" s="86" t="s">
        <v>240</v>
      </c>
      <c r="O41" s="111">
        <v>4.7230000000000001E-2</v>
      </c>
      <c r="P41" s="109">
        <v>4.6809999999999997E-2</v>
      </c>
      <c r="Q41" s="109">
        <v>1.473E-2</v>
      </c>
      <c r="R41" s="109">
        <v>2.9399999999999999E-3</v>
      </c>
      <c r="S41" s="109">
        <v>4.8900000000000002E-3</v>
      </c>
      <c r="T41" s="109">
        <v>5.1400000000000005E-3</v>
      </c>
      <c r="U41" s="109">
        <v>1.4030000000000001E-2</v>
      </c>
      <c r="V41" s="109">
        <v>1.0120000000000001E-2</v>
      </c>
      <c r="W41" s="109">
        <v>1.129E-2</v>
      </c>
      <c r="X41" s="110">
        <v>1.575E-2</v>
      </c>
    </row>
    <row r="42" spans="1:24" x14ac:dyDescent="0.15">
      <c r="A42" s="59" t="s">
        <v>241</v>
      </c>
      <c r="B42" s="69">
        <f>IFERROR('Balance Sheet'!B33/'Balance Sheet'!B$45,0)</f>
        <v>0</v>
      </c>
      <c r="C42" s="69">
        <f>IFERROR('Balance Sheet'!C33/'Balance Sheet'!C$45,0)</f>
        <v>0</v>
      </c>
      <c r="D42" s="69">
        <f>IFERROR('Balance Sheet'!D33/'Balance Sheet'!D$45,0)</f>
        <v>0</v>
      </c>
      <c r="E42" s="69">
        <f>IFERROR('Balance Sheet'!E33/'Balance Sheet'!E$45,0)</f>
        <v>0</v>
      </c>
      <c r="F42" s="69">
        <f>IFERROR('Balance Sheet'!F33/'Balance Sheet'!F$45,0)</f>
        <v>0</v>
      </c>
      <c r="G42" s="69">
        <f>IFERROR('Balance Sheet'!G33/'Balance Sheet'!G$45,0)</f>
        <v>0</v>
      </c>
      <c r="H42" s="69">
        <f>IFERROR('Balance Sheet'!H33/'Balance Sheet'!H$45,0)</f>
        <v>0</v>
      </c>
      <c r="I42" s="69">
        <f>IFERROR('Balance Sheet'!I33/'Balance Sheet'!I$45,0)</f>
        <v>0</v>
      </c>
      <c r="J42" s="69">
        <f>IFERROR('Balance Sheet'!J33/'Balance Sheet'!J$45,0)</f>
        <v>0</v>
      </c>
      <c r="K42" s="69">
        <f>IFERROR('Balance Sheet'!K33/'Balance Sheet'!K$45,0)</f>
        <v>0</v>
      </c>
      <c r="L42" s="59"/>
      <c r="N42" s="86" t="s">
        <v>241</v>
      </c>
      <c r="O42" s="111">
        <v>0</v>
      </c>
      <c r="P42" s="109">
        <v>0</v>
      </c>
      <c r="Q42" s="109">
        <v>0</v>
      </c>
      <c r="R42" s="109">
        <v>0</v>
      </c>
      <c r="S42" s="109">
        <v>0</v>
      </c>
      <c r="T42" s="109">
        <v>0</v>
      </c>
      <c r="U42" s="109">
        <v>0</v>
      </c>
      <c r="V42" s="109">
        <v>0</v>
      </c>
      <c r="W42" s="109">
        <v>0</v>
      </c>
      <c r="X42" s="110">
        <v>0</v>
      </c>
    </row>
    <row r="43" spans="1:24" ht="14" thickBot="1" x14ac:dyDescent="0.2">
      <c r="A43" s="59" t="s">
        <v>242</v>
      </c>
      <c r="B43" s="69">
        <f>IFERROR('Balance Sheet'!B34/'Balance Sheet'!B$45,0)</f>
        <v>2.066038008333972E-2</v>
      </c>
      <c r="C43" s="69">
        <f>IFERROR('Balance Sheet'!C34/'Balance Sheet'!C$45,0)</f>
        <v>1.4654002713704206E-2</v>
      </c>
      <c r="D43" s="69">
        <f>IFERROR('Balance Sheet'!D34/'Balance Sheet'!D$45,0)</f>
        <v>1.2803576872269079E-2</v>
      </c>
      <c r="E43" s="69">
        <f>IFERROR('Balance Sheet'!E34/'Balance Sheet'!E$45,0)</f>
        <v>5.3287074103727426E-2</v>
      </c>
      <c r="F43" s="69">
        <f>IFERROR('Balance Sheet'!F34/'Balance Sheet'!F$45,0)</f>
        <v>4.273247065904303E-2</v>
      </c>
      <c r="G43" s="69">
        <f>IFERROR('Balance Sheet'!G34/'Balance Sheet'!G$45,0)</f>
        <v>7.2018481085763794E-2</v>
      </c>
      <c r="H43" s="69">
        <f>IFERROR('Balance Sheet'!H34/'Balance Sheet'!H$45,0)</f>
        <v>5.5746587475252685E-2</v>
      </c>
      <c r="I43" s="69">
        <f>IFERROR('Balance Sheet'!I34/'Balance Sheet'!I$45,0)</f>
        <v>4.1799624323896167E-2</v>
      </c>
      <c r="J43" s="69">
        <f>IFERROR('Balance Sheet'!J34/'Balance Sheet'!J$45,0)</f>
        <v>5.706376572288864E-2</v>
      </c>
      <c r="K43" s="69">
        <f>IFERROR('Balance Sheet'!K34/'Balance Sheet'!K$45,0)</f>
        <v>3.9937317429406038E-2</v>
      </c>
      <c r="L43" s="59"/>
      <c r="N43" s="112" t="s">
        <v>242</v>
      </c>
      <c r="O43" s="113">
        <v>2.0659999999999998E-2</v>
      </c>
      <c r="P43" s="114">
        <v>1.4650000000000002E-2</v>
      </c>
      <c r="Q43" s="114">
        <v>1.2800000000000001E-2</v>
      </c>
      <c r="R43" s="114">
        <v>5.3289999999999997E-2</v>
      </c>
      <c r="S43" s="114">
        <v>4.2729999999999997E-2</v>
      </c>
      <c r="T43" s="114">
        <v>7.2020000000000001E-2</v>
      </c>
      <c r="U43" s="114">
        <v>5.5750000000000001E-2</v>
      </c>
      <c r="V43" s="114">
        <v>4.1799999999999997E-2</v>
      </c>
      <c r="W43" s="114">
        <v>5.7060000000000007E-2</v>
      </c>
      <c r="X43" s="115">
        <v>3.9940000000000003E-2</v>
      </c>
    </row>
    <row r="44" spans="1:24" ht="14" thickBot="1" x14ac:dyDescent="0.2">
      <c r="A44" s="73" t="s">
        <v>243</v>
      </c>
      <c r="B44" s="74">
        <f>IFERROR('Balance Sheet'!B35/'Balance Sheet'!B$45,0)</f>
        <v>0.38650795237793706</v>
      </c>
      <c r="C44" s="74">
        <f>IFERROR('Balance Sheet'!C35/'Balance Sheet'!C$45,0)</f>
        <v>0.38181818181818183</v>
      </c>
      <c r="D44" s="74">
        <f>IFERROR('Balance Sheet'!D35/'Balance Sheet'!D$45,0)</f>
        <v>0.41134031094400975</v>
      </c>
      <c r="E44" s="74">
        <f>IFERROR('Balance Sheet'!E35/'Balance Sheet'!E$45,0)</f>
        <v>0.33537941464282539</v>
      </c>
      <c r="F44" s="74">
        <f>IFERROR('Balance Sheet'!F35/'Balance Sheet'!F$45,0)</f>
        <v>0.29717123081552815</v>
      </c>
      <c r="G44" s="74">
        <f>IFERROR('Balance Sheet'!G35/'Balance Sheet'!G$45,0)</f>
        <v>0.29517759168351143</v>
      </c>
      <c r="H44" s="74">
        <f>IFERROR('Balance Sheet'!H35/'Balance Sheet'!H$45,0)</f>
        <v>0.41325414191934978</v>
      </c>
      <c r="I44" s="74">
        <f>IFERROR('Balance Sheet'!I35/'Balance Sheet'!I$45,0)</f>
        <v>0.39774141715889288</v>
      </c>
      <c r="J44" s="75">
        <f>IFERROR('Balance Sheet'!J35/'Balance Sheet'!J$45,0)</f>
        <v>0.46333349521635664</v>
      </c>
      <c r="K44" s="75">
        <f>IFERROR('Balance Sheet'!K35/'Balance Sheet'!K$45,0)</f>
        <v>0.346123417721519</v>
      </c>
      <c r="L44" s="59"/>
      <c r="N44" s="121" t="s">
        <v>243</v>
      </c>
      <c r="O44" s="122">
        <v>0.38651000000000002</v>
      </c>
      <c r="P44" s="123">
        <v>0.38182000000000005</v>
      </c>
      <c r="Q44" s="123">
        <v>0.41133999999999998</v>
      </c>
      <c r="R44" s="123">
        <v>0.33537999999999996</v>
      </c>
      <c r="S44" s="123">
        <v>0.29716999999999999</v>
      </c>
      <c r="T44" s="123">
        <v>0.29518</v>
      </c>
      <c r="U44" s="123">
        <v>0.41325000000000001</v>
      </c>
      <c r="V44" s="123">
        <v>0.39773999999999998</v>
      </c>
      <c r="W44" s="123">
        <v>0.46332999999999996</v>
      </c>
      <c r="X44" s="124">
        <v>0.34612000000000004</v>
      </c>
    </row>
    <row r="45" spans="1:24" x14ac:dyDescent="0.15">
      <c r="A45" s="59"/>
      <c r="B45" s="69"/>
      <c r="C45" s="69"/>
      <c r="D45" s="69"/>
      <c r="E45" s="69"/>
      <c r="F45" s="69"/>
      <c r="G45" s="69"/>
      <c r="H45" s="69"/>
      <c r="I45" s="69"/>
      <c r="J45" s="69"/>
      <c r="K45" s="69"/>
      <c r="L45" s="59"/>
      <c r="N45" s="116"/>
      <c r="O45" s="117"/>
      <c r="P45" s="118"/>
      <c r="Q45" s="118"/>
      <c r="R45" s="118"/>
      <c r="S45" s="118"/>
      <c r="T45" s="118"/>
      <c r="U45" s="118"/>
      <c r="V45" s="118"/>
      <c r="W45" s="118"/>
      <c r="X45" s="119"/>
    </row>
    <row r="46" spans="1:24" x14ac:dyDescent="0.15">
      <c r="A46" s="59" t="s">
        <v>244</v>
      </c>
      <c r="B46" s="69">
        <f>IFERROR('Balance Sheet'!B37/'Balance Sheet'!B$45,0)</f>
        <v>0</v>
      </c>
      <c r="C46" s="69">
        <f>IFERROR('Balance Sheet'!C37/'Balance Sheet'!C$45,0)</f>
        <v>1.180461329715061E-2</v>
      </c>
      <c r="D46" s="69">
        <f>IFERROR('Balance Sheet'!D37/'Balance Sheet'!D$45,0)</f>
        <v>3.1500863733360429E-3</v>
      </c>
      <c r="E46" s="72">
        <f>IFERROR('Balance Sheet'!E37/'Balance Sheet'!E$45,0)</f>
        <v>0</v>
      </c>
      <c r="F46" s="72">
        <f>IFERROR('Balance Sheet'!F37/'Balance Sheet'!F$45,0)</f>
        <v>0</v>
      </c>
      <c r="G46" s="72">
        <f>IFERROR('Balance Sheet'!G37/'Balance Sheet'!G$45,0)</f>
        <v>0</v>
      </c>
      <c r="H46" s="72">
        <f>IFERROR('Balance Sheet'!H37/'Balance Sheet'!H$45,0)</f>
        <v>0</v>
      </c>
      <c r="I46" s="72">
        <f>IFERROR('Balance Sheet'!I37/'Balance Sheet'!I$45,0)</f>
        <v>0</v>
      </c>
      <c r="J46" s="72">
        <f>IFERROR('Balance Sheet'!J37/'Balance Sheet'!J$45,0)</f>
        <v>0</v>
      </c>
      <c r="K46" s="72">
        <f>IFERROR('Balance Sheet'!K37/'Balance Sheet'!K$45,0)</f>
        <v>0</v>
      </c>
      <c r="L46" s="59"/>
      <c r="N46" s="86" t="s">
        <v>244</v>
      </c>
      <c r="O46" s="150" t="s">
        <v>154</v>
      </c>
      <c r="P46" s="109">
        <v>1.18E-2</v>
      </c>
      <c r="Q46" s="109">
        <v>3.15E-3</v>
      </c>
      <c r="R46" s="151" t="s">
        <v>154</v>
      </c>
      <c r="S46" s="151" t="s">
        <v>154</v>
      </c>
      <c r="T46" s="151" t="s">
        <v>154</v>
      </c>
      <c r="U46" s="151" t="s">
        <v>154</v>
      </c>
      <c r="V46" s="151" t="s">
        <v>154</v>
      </c>
      <c r="W46" s="151" t="s">
        <v>154</v>
      </c>
      <c r="X46" s="152" t="s">
        <v>154</v>
      </c>
    </row>
    <row r="47" spans="1:24" x14ac:dyDescent="0.15">
      <c r="A47" s="59" t="s">
        <v>245</v>
      </c>
      <c r="B47" s="69">
        <f>IFERROR('Balance Sheet'!B38/'Balance Sheet'!B$45,0)</f>
        <v>1.0470232877975407E-4</v>
      </c>
      <c r="C47" s="69">
        <f>IFERROR('Balance Sheet'!C38/'Balance Sheet'!C$45,0)</f>
        <v>1.3568521031207599E-4</v>
      </c>
      <c r="D47" s="69">
        <f>IFERROR('Balance Sheet'!D38/'Balance Sheet'!D$45,0)</f>
        <v>1.01615689462453E-4</v>
      </c>
      <c r="E47" s="69">
        <f>IFERROR('Balance Sheet'!E38/'Balance Sheet'!E$45,0)</f>
        <v>8.8960056934436443E-5</v>
      </c>
      <c r="F47" s="69">
        <f>IFERROR('Balance Sheet'!F38/'Balance Sheet'!F$45,0)</f>
        <v>7.5233222991272951E-5</v>
      </c>
      <c r="G47" s="69">
        <f>IFERROR('Balance Sheet'!G38/'Balance Sheet'!G$45,0)</f>
        <v>5.7753393011839443E-5</v>
      </c>
      <c r="H47" s="69">
        <f>IFERROR('Balance Sheet'!H38/'Balance Sheet'!H$45,0)</f>
        <v>3.473307630856865E-5</v>
      </c>
      <c r="I47" s="69">
        <f>IFERROR('Balance Sheet'!I38/'Balance Sheet'!I$45,0)</f>
        <v>6.7893271776766926E-5</v>
      </c>
      <c r="J47" s="69">
        <f>IFERROR('Balance Sheet'!J38/'Balance Sheet'!J$45,0)</f>
        <v>4.8564906998203096E-5</v>
      </c>
      <c r="K47" s="69">
        <f>IFERROR('Balance Sheet'!K38/'Balance Sheet'!K$45,0)</f>
        <v>3.0428432327166505E-5</v>
      </c>
      <c r="L47" s="59"/>
      <c r="N47" s="86" t="s">
        <v>245</v>
      </c>
      <c r="O47" s="111">
        <v>1E-4</v>
      </c>
      <c r="P47" s="109">
        <v>1.4000000000000001E-4</v>
      </c>
      <c r="Q47" s="109">
        <v>1E-4</v>
      </c>
      <c r="R47" s="109">
        <v>8.9999999999999992E-5</v>
      </c>
      <c r="S47" s="109">
        <v>8.0000000000000007E-5</v>
      </c>
      <c r="T47" s="109">
        <v>6.0000000000000002E-5</v>
      </c>
      <c r="U47" s="109">
        <v>3.0000000000000001E-5</v>
      </c>
      <c r="V47" s="109">
        <v>7.0000000000000007E-5</v>
      </c>
      <c r="W47" s="109">
        <v>5.0000000000000002E-5</v>
      </c>
      <c r="X47" s="110">
        <v>3.0000000000000001E-5</v>
      </c>
    </row>
    <row r="48" spans="1:24" x14ac:dyDescent="0.15">
      <c r="A48" s="59" t="s">
        <v>246</v>
      </c>
      <c r="B48" s="69">
        <f>IFERROR('Balance Sheet'!B39/'Balance Sheet'!B$45,0)</f>
        <v>0.53532773217533114</v>
      </c>
      <c r="C48" s="69">
        <f>IFERROR('Balance Sheet'!C39/'Balance Sheet'!C$45,0)</f>
        <v>0.56580732700135683</v>
      </c>
      <c r="D48" s="69">
        <f>IFERROR('Balance Sheet'!D39/'Balance Sheet'!D$45,0)</f>
        <v>0.47840666598922876</v>
      </c>
      <c r="E48" s="69">
        <f>IFERROR('Balance Sheet'!E39/'Balance Sheet'!E$45,0)</f>
        <v>0.4760252646561694</v>
      </c>
      <c r="F48" s="69">
        <f>IFERROR('Balance Sheet'!F39/'Balance Sheet'!F$45,0)</f>
        <v>0.45523623232019261</v>
      </c>
      <c r="G48" s="69">
        <f>IFERROR('Balance Sheet'!G39/'Balance Sheet'!G$45,0)</f>
        <v>0.40687265376840892</v>
      </c>
      <c r="H48" s="69">
        <f>IFERROR('Balance Sheet'!H39/'Balance Sheet'!H$45,0)</f>
        <v>0.30290715848702721</v>
      </c>
      <c r="I48" s="69">
        <f>IFERROR('Balance Sheet'!I39/'Balance Sheet'!I$45,0)</f>
        <v>0.23502387580057482</v>
      </c>
      <c r="J48" s="71">
        <f>IFERROR('Balance Sheet'!J39/'Balance Sheet'!J$45,0)</f>
        <v>0.29068525083774466</v>
      </c>
      <c r="K48" s="71">
        <f>IFERROR('Balance Sheet'!K39/'Balance Sheet'!K$45,0)</f>
        <v>0.19979308666017526</v>
      </c>
      <c r="L48" s="59"/>
      <c r="N48" s="86" t="s">
        <v>246</v>
      </c>
      <c r="O48" s="111">
        <v>0.53532999999999997</v>
      </c>
      <c r="P48" s="109">
        <v>0.56581000000000004</v>
      </c>
      <c r="Q48" s="109">
        <v>0.47841</v>
      </c>
      <c r="R48" s="109">
        <v>0.47603000000000001</v>
      </c>
      <c r="S48" s="109">
        <v>0.45524000000000003</v>
      </c>
      <c r="T48" s="109">
        <v>0.40686999999999995</v>
      </c>
      <c r="U48" s="109">
        <v>0.30291000000000001</v>
      </c>
      <c r="V48" s="109">
        <v>0.23501999999999998</v>
      </c>
      <c r="W48" s="109">
        <v>0.29069</v>
      </c>
      <c r="X48" s="110">
        <v>0.19979</v>
      </c>
    </row>
    <row r="49" spans="1:24" x14ac:dyDescent="0.15">
      <c r="A49" s="59" t="s">
        <v>247</v>
      </c>
      <c r="B49" s="69">
        <f>IFERROR('Balance Sheet'!B40/'Balance Sheet'!B$45,0)</f>
        <v>0.54835095220796937</v>
      </c>
      <c r="C49" s="69">
        <f>IFERROR('Balance Sheet'!C40/'Balance Sheet'!C$45,0)</f>
        <v>0.59023066485753051</v>
      </c>
      <c r="D49" s="69">
        <f>IFERROR('Balance Sheet'!D40/'Balance Sheet'!D$45,0)</f>
        <v>0.62066863123666294</v>
      </c>
      <c r="E49" s="76">
        <f>IFERROR('Balance Sheet'!E40/'Balance Sheet'!E$45,0)</f>
        <v>0.78169202028289297</v>
      </c>
      <c r="F49" s="76">
        <f>IFERROR('Balance Sheet'!F40/'Balance Sheet'!F$45,0)</f>
        <v>0.94530544688534457</v>
      </c>
      <c r="G49" s="71">
        <f>IFERROR('Balance Sheet'!G40/'Balance Sheet'!G$45,0)</f>
        <v>0.86462604678024835</v>
      </c>
      <c r="H49" s="71">
        <f>IFERROR('Balance Sheet'!H40/'Balance Sheet'!H$45,0)</f>
        <v>0.65673300684241598</v>
      </c>
      <c r="I49" s="69">
        <f>IFERROR('Balance Sheet'!I40/'Balance Sheet'!I$45,0)</f>
        <v>0.3674157557652703</v>
      </c>
      <c r="J49" s="76">
        <f>IFERROR('Balance Sheet'!J40/'Balance Sheet'!J$45,0)</f>
        <v>0.24697683453936187</v>
      </c>
      <c r="K49" s="76">
        <f>IFERROR('Balance Sheet'!K40/'Balance Sheet'!K$45,0)</f>
        <v>0.4536422833495618</v>
      </c>
      <c r="L49" s="59"/>
      <c r="N49" s="86" t="s">
        <v>247</v>
      </c>
      <c r="O49" s="111">
        <v>0.54835</v>
      </c>
      <c r="P49" s="109">
        <v>0.59023000000000003</v>
      </c>
      <c r="Q49" s="109">
        <v>0.62067000000000005</v>
      </c>
      <c r="R49" s="109">
        <v>0.78169</v>
      </c>
      <c r="S49" s="109">
        <v>0.94531000000000009</v>
      </c>
      <c r="T49" s="109">
        <v>0.8646299999999999</v>
      </c>
      <c r="U49" s="109">
        <v>0.65673000000000004</v>
      </c>
      <c r="V49" s="109">
        <v>0.36741999999999997</v>
      </c>
      <c r="W49" s="109">
        <v>0.24698000000000001</v>
      </c>
      <c r="X49" s="110">
        <v>0.45363999999999999</v>
      </c>
    </row>
    <row r="50" spans="1:24" x14ac:dyDescent="0.15">
      <c r="A50" s="59" t="s">
        <v>248</v>
      </c>
      <c r="B50" s="69">
        <f>IFERROR('Balance Sheet'!B41/'Balance Sheet'!B$45,0)</f>
        <v>1.0892374893214734E-3</v>
      </c>
      <c r="C50" s="69">
        <f>IFERROR('Balance Sheet'!C41/'Balance Sheet'!C$45,0)</f>
        <v>-5.4274084124830398E-4</v>
      </c>
      <c r="D50" s="69">
        <f>IFERROR('Balance Sheet'!D41/'Balance Sheet'!D$45,0)</f>
        <v>-1.625851031399248E-3</v>
      </c>
      <c r="E50" s="69">
        <f>IFERROR('Balance Sheet'!E41/'Balance Sheet'!E$45,0)</f>
        <v>-1.6012810248198558E-3</v>
      </c>
      <c r="F50" s="69">
        <f>IFERROR('Balance Sheet'!F41/'Balance Sheet'!F$45,0)</f>
        <v>-9.0279867589527531E-4</v>
      </c>
      <c r="G50" s="69">
        <f>IFERROR('Balance Sheet'!G41/'Balance Sheet'!G$45,0)</f>
        <v>5.7753393011839443E-5</v>
      </c>
      <c r="H50" s="69">
        <f>IFERROR('Balance Sheet'!H41/'Balance Sheet'!H$45,0)</f>
        <v>6.599284498628044E-4</v>
      </c>
      <c r="I50" s="69">
        <f>IFERROR('Balance Sheet'!I41/'Balance Sheet'!I$45,0)</f>
        <v>-2.4894199651481205E-4</v>
      </c>
      <c r="J50" s="69">
        <f>IFERROR('Balance Sheet'!J41/'Balance Sheet'!J$45,0)</f>
        <v>-1.0441455004613666E-3</v>
      </c>
      <c r="K50" s="69">
        <f>IFERROR('Balance Sheet'!K41/'Balance Sheet'!K$45,0)</f>
        <v>4.1078383641674783E-4</v>
      </c>
      <c r="L50" s="59"/>
      <c r="N50" s="86" t="s">
        <v>248</v>
      </c>
      <c r="O50" s="111">
        <v>1.09E-3</v>
      </c>
      <c r="P50" s="109">
        <v>-5.4000000000000001E-4</v>
      </c>
      <c r="Q50" s="109">
        <v>-1.6300000000000002E-3</v>
      </c>
      <c r="R50" s="109">
        <v>-1.6000000000000001E-3</v>
      </c>
      <c r="S50" s="109">
        <v>-8.9999999999999998E-4</v>
      </c>
      <c r="T50" s="109">
        <v>6.0000000000000002E-5</v>
      </c>
      <c r="U50" s="109">
        <v>6.6E-4</v>
      </c>
      <c r="V50" s="109">
        <v>-2.5000000000000001E-4</v>
      </c>
      <c r="W50" s="109">
        <v>-1.0399999999999999E-3</v>
      </c>
      <c r="X50" s="110">
        <v>4.0999999999999999E-4</v>
      </c>
    </row>
    <row r="51" spans="1:24" ht="14" thickBot="1" x14ac:dyDescent="0.2">
      <c r="A51" s="59" t="s">
        <v>249</v>
      </c>
      <c r="B51" s="69">
        <f>'Balance Sheet'!B43/'Balance Sheet'!B$45</f>
        <v>0</v>
      </c>
      <c r="C51" s="69">
        <f>'Balance Sheet'!C43/'Balance Sheet'!C$45</f>
        <v>0</v>
      </c>
      <c r="D51" s="69">
        <f>'Balance Sheet'!D43/'Balance Sheet'!D$45</f>
        <v>0</v>
      </c>
      <c r="E51" s="69">
        <f>'Balance Sheet'!E43/'Balance Sheet'!E$45</f>
        <v>0</v>
      </c>
      <c r="F51" s="69">
        <f>'Balance Sheet'!F43/'Balance Sheet'!F$45</f>
        <v>0</v>
      </c>
      <c r="G51" s="69">
        <f>'Balance Sheet'!G43/'Balance Sheet'!G$45</f>
        <v>0</v>
      </c>
      <c r="H51" s="69">
        <f>'Balance Sheet'!H43/'Balance Sheet'!H$45</f>
        <v>0</v>
      </c>
      <c r="I51" s="69">
        <f>'Balance Sheet'!I43/'Balance Sheet'!I$45</f>
        <v>0</v>
      </c>
      <c r="J51" s="69">
        <f>'Balance Sheet'!J43/'Balance Sheet'!J$45</f>
        <v>0</v>
      </c>
      <c r="K51" s="69">
        <f>'Balance Sheet'!K43/'Balance Sheet'!K$45</f>
        <v>0</v>
      </c>
      <c r="L51" s="59"/>
      <c r="N51" s="112" t="s">
        <v>249</v>
      </c>
      <c r="O51" s="113">
        <v>0</v>
      </c>
      <c r="P51" s="114">
        <v>0</v>
      </c>
      <c r="Q51" s="114">
        <v>0</v>
      </c>
      <c r="R51" s="114">
        <v>0</v>
      </c>
      <c r="S51" s="114">
        <v>0</v>
      </c>
      <c r="T51" s="114">
        <v>0</v>
      </c>
      <c r="U51" s="114">
        <v>0</v>
      </c>
      <c r="V51" s="114">
        <v>0</v>
      </c>
      <c r="W51" s="114">
        <v>0</v>
      </c>
      <c r="X51" s="115">
        <v>0</v>
      </c>
    </row>
    <row r="52" spans="1:24" ht="14" thickBot="1" x14ac:dyDescent="0.2">
      <c r="A52" s="73" t="s">
        <v>250</v>
      </c>
      <c r="B52" s="74">
        <f>'Balance Sheet'!B44/'Balance Sheet'!B$45</f>
        <v>0.61349204762206289</v>
      </c>
      <c r="C52" s="74">
        <f>'Balance Sheet'!C44/'Balance Sheet'!C$45</f>
        <v>0.61818181818181817</v>
      </c>
      <c r="D52" s="74">
        <f>'Balance Sheet'!D44/'Balance Sheet'!D$45</f>
        <v>0.5886596890559902</v>
      </c>
      <c r="E52" s="74">
        <f>'Balance Sheet'!E44/'Balance Sheet'!E$45</f>
        <v>0.66462058535717461</v>
      </c>
      <c r="F52" s="74">
        <f>'Balance Sheet'!F44/'Balance Sheet'!F$45</f>
        <v>0.7028287691844719</v>
      </c>
      <c r="G52" s="74">
        <f>'Balance Sheet'!G44/'Balance Sheet'!G$45</f>
        <v>0.70482240831648857</v>
      </c>
      <c r="H52" s="74">
        <f>'Balance Sheet'!H44/'Balance Sheet'!H$45</f>
        <v>0.58674585808065016</v>
      </c>
      <c r="I52" s="74">
        <f>'Balance Sheet'!I44/'Balance Sheet'!I$45</f>
        <v>0.60225858284110712</v>
      </c>
      <c r="J52" s="74">
        <f>'Balance Sheet'!J44/'Balance Sheet'!J$45</f>
        <v>0.53666650478364331</v>
      </c>
      <c r="K52" s="74">
        <f>'Balance Sheet'!K44/'Balance Sheet'!K$45</f>
        <v>0.653876582278481</v>
      </c>
      <c r="L52" s="59"/>
      <c r="N52" s="121" t="s">
        <v>250</v>
      </c>
      <c r="O52" s="122">
        <v>0.61348999999999998</v>
      </c>
      <c r="P52" s="123">
        <v>0.61817999999999995</v>
      </c>
      <c r="Q52" s="123">
        <v>0.58865999999999996</v>
      </c>
      <c r="R52" s="123">
        <v>0.66461999999999999</v>
      </c>
      <c r="S52" s="123">
        <v>0.70283000000000007</v>
      </c>
      <c r="T52" s="123">
        <v>0.70482</v>
      </c>
      <c r="U52" s="123">
        <v>0.58674999999999999</v>
      </c>
      <c r="V52" s="123">
        <v>0.60226000000000002</v>
      </c>
      <c r="W52" s="123">
        <v>0.53666999999999998</v>
      </c>
      <c r="X52" s="124">
        <v>0.65388000000000002</v>
      </c>
    </row>
    <row r="53" spans="1:24" ht="14" thickBot="1" x14ac:dyDescent="0.2">
      <c r="A53" s="77" t="s">
        <v>251</v>
      </c>
      <c r="B53" s="78">
        <f>'Balance Sheet'!B45/'Balance Sheet'!B$45</f>
        <v>1</v>
      </c>
      <c r="C53" s="78">
        <f>'Balance Sheet'!C45/'Balance Sheet'!C$45</f>
        <v>1</v>
      </c>
      <c r="D53" s="78">
        <f>'Balance Sheet'!D45/'Balance Sheet'!D$45</f>
        <v>1</v>
      </c>
      <c r="E53" s="78">
        <f>'Balance Sheet'!E45/'Balance Sheet'!E$45</f>
        <v>1</v>
      </c>
      <c r="F53" s="78">
        <f>'Balance Sheet'!F45/'Balance Sheet'!F$45</f>
        <v>1</v>
      </c>
      <c r="G53" s="78">
        <f>'Balance Sheet'!G45/'Balance Sheet'!G$45</f>
        <v>1</v>
      </c>
      <c r="H53" s="78">
        <f>'Balance Sheet'!H45/'Balance Sheet'!H$45</f>
        <v>1</v>
      </c>
      <c r="I53" s="78">
        <f>'Balance Sheet'!I45/'Balance Sheet'!I$45</f>
        <v>1</v>
      </c>
      <c r="J53" s="78">
        <f>'Balance Sheet'!J45/'Balance Sheet'!J$45</f>
        <v>1</v>
      </c>
      <c r="K53" s="78">
        <f>'Balance Sheet'!K45/'Balance Sheet'!K$45</f>
        <v>1</v>
      </c>
      <c r="L53" s="59"/>
      <c r="N53" s="125" t="s">
        <v>251</v>
      </c>
      <c r="O53" s="126">
        <v>1</v>
      </c>
      <c r="P53" s="127">
        <v>1</v>
      </c>
      <c r="Q53" s="127">
        <v>1</v>
      </c>
      <c r="R53" s="127">
        <v>1</v>
      </c>
      <c r="S53" s="127">
        <v>1</v>
      </c>
      <c r="T53" s="127">
        <v>1</v>
      </c>
      <c r="U53" s="127">
        <v>1</v>
      </c>
      <c r="V53" s="127">
        <v>1</v>
      </c>
      <c r="W53" s="127">
        <v>1</v>
      </c>
      <c r="X53" s="128">
        <v>1</v>
      </c>
    </row>
    <row r="59" spans="1:24" x14ac:dyDescent="0.15">
      <c r="B59" s="94"/>
      <c r="C59" s="94"/>
      <c r="D59" s="94"/>
      <c r="E59" s="94"/>
      <c r="F59" s="94"/>
      <c r="G59" s="94"/>
      <c r="H59" s="94"/>
      <c r="I59" s="94"/>
      <c r="J59" s="94"/>
      <c r="K59" s="94"/>
    </row>
  </sheetData>
  <sheetProtection formatCells="0" formatColumns="0" formatRows="0" insertColumns="0" insertRows="0" insertHyperlinks="0" deleteColumns="0" deleteRows="0" sort="0" autoFilter="0" pivotTables="0"/>
  <pageMargins left="0.7" right="0.7" top="0.75" bottom="0.75" header="0.3" footer="0.3"/>
  <pageSetup orientation="portrait"/>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A3201-A985-4C91-AB8F-A9621B09AC23}">
  <sheetPr>
    <tabColor rgb="FFFFC000"/>
  </sheetPr>
  <dimension ref="A4:N54"/>
  <sheetViews>
    <sheetView topLeftCell="A13" workbookViewId="0">
      <selection activeCell="J41" sqref="J41"/>
    </sheetView>
  </sheetViews>
  <sheetFormatPr baseColWidth="10" defaultColWidth="8.83203125" defaultRowHeight="13" x14ac:dyDescent="0.15"/>
  <cols>
    <col min="1" max="1" width="43.5" style="52" customWidth="1"/>
    <col min="2" max="7" width="12" style="52" customWidth="1"/>
    <col min="8" max="8" width="12.33203125" style="52" bestFit="1" customWidth="1"/>
    <col min="9" max="191" width="12" style="52" customWidth="1"/>
    <col min="192" max="16384" width="8.83203125" style="52"/>
  </cols>
  <sheetData>
    <row r="4" spans="1:12" x14ac:dyDescent="0.15">
      <c r="A4" s="51"/>
    </row>
    <row r="5" spans="1:12" ht="20" x14ac:dyDescent="0.2">
      <c r="A5" s="53"/>
    </row>
    <row r="7" spans="1:12" x14ac:dyDescent="0.15">
      <c r="A7" s="54"/>
    </row>
    <row r="10" spans="1:12" x14ac:dyDescent="0.15">
      <c r="A10" s="55"/>
    </row>
    <row r="11" spans="1:12" x14ac:dyDescent="0.15">
      <c r="A11" s="67"/>
      <c r="B11" s="68"/>
      <c r="C11" s="68"/>
      <c r="D11" s="68"/>
      <c r="E11" s="68"/>
      <c r="F11" s="68"/>
      <c r="G11" s="68"/>
      <c r="H11" s="68"/>
      <c r="I11" s="68"/>
      <c r="J11" s="68"/>
      <c r="K11" s="68"/>
      <c r="L11" s="57"/>
    </row>
    <row r="12" spans="1:12" x14ac:dyDescent="0.15">
      <c r="A12" s="57"/>
      <c r="B12" s="58"/>
      <c r="C12" s="58"/>
      <c r="D12" s="58"/>
      <c r="E12" s="58"/>
      <c r="F12" s="58"/>
      <c r="G12" s="58"/>
      <c r="H12" s="58"/>
      <c r="I12" s="58"/>
      <c r="J12" s="58"/>
      <c r="K12" s="58"/>
      <c r="L12" s="57"/>
    </row>
    <row r="13" spans="1:12" x14ac:dyDescent="0.15">
      <c r="A13" s="57"/>
      <c r="B13" s="58"/>
      <c r="C13" s="58"/>
      <c r="D13" s="58"/>
      <c r="E13" s="58"/>
      <c r="F13" s="58"/>
      <c r="G13" s="58"/>
      <c r="H13" s="58"/>
      <c r="I13" s="58"/>
      <c r="J13" s="58"/>
      <c r="K13" s="58"/>
      <c r="L13" s="57"/>
    </row>
    <row r="14" spans="1:12" ht="14" thickBot="1" x14ac:dyDescent="0.2">
      <c r="A14" s="57"/>
      <c r="B14" s="58"/>
      <c r="C14" s="58"/>
      <c r="D14" s="58"/>
      <c r="E14" s="58"/>
      <c r="F14" s="58"/>
      <c r="G14" s="58"/>
      <c r="H14" s="58"/>
      <c r="I14" s="58"/>
      <c r="J14" s="58"/>
      <c r="K14" s="58"/>
      <c r="L14" s="57"/>
    </row>
    <row r="15" spans="1:12" x14ac:dyDescent="0.15">
      <c r="A15" s="181"/>
      <c r="B15" s="186" t="s">
        <v>121</v>
      </c>
      <c r="C15" s="187" t="s">
        <v>122</v>
      </c>
      <c r="D15" s="187" t="s">
        <v>123</v>
      </c>
      <c r="E15" s="187" t="s">
        <v>124</v>
      </c>
      <c r="F15" s="187" t="s">
        <v>125</v>
      </c>
      <c r="G15" s="187" t="s">
        <v>126</v>
      </c>
      <c r="H15" s="187" t="s">
        <v>127</v>
      </c>
      <c r="I15" s="187" t="s">
        <v>128</v>
      </c>
      <c r="J15" s="187" t="s">
        <v>129</v>
      </c>
      <c r="K15" s="188" t="s">
        <v>130</v>
      </c>
      <c r="L15" s="57"/>
    </row>
    <row r="16" spans="1:12" x14ac:dyDescent="0.15">
      <c r="A16" s="79" t="s">
        <v>150</v>
      </c>
      <c r="B16" s="170"/>
      <c r="C16" s="103">
        <f>IFERROR('Balance Sheet'!C7/'Balance Sheet'!B7-1,0)</f>
        <v>0.200030604807371</v>
      </c>
      <c r="D16" s="103">
        <f>IFERROR('Balance Sheet'!D7/'Balance Sheet'!C7-1,0)</f>
        <v>1.9630872483221475</v>
      </c>
      <c r="E16" s="103">
        <f>IFERROR('Balance Sheet'!E7/'Balance Sheet'!D7-1,0)</f>
        <v>1.2661381653454136</v>
      </c>
      <c r="F16" s="103">
        <f>IFERROR('Balance Sheet'!F7/'Balance Sheet'!E7-1,0)</f>
        <v>-0.8045977011494253</v>
      </c>
      <c r="G16" s="103">
        <f>IFERROR('Balance Sheet'!G7/'Balance Sheet'!F7-1,0)</f>
        <v>12.933503836317136</v>
      </c>
      <c r="H16" s="103">
        <f>IFERROR('Balance Sheet'!H7/'Balance Sheet'!G7-1,0)</f>
        <v>-0.92226505139500736</v>
      </c>
      <c r="I16" s="103">
        <f>IFERROR('Balance Sheet'!I7/'Balance Sheet'!H7-1,0)</f>
        <v>1.3494687131050767</v>
      </c>
      <c r="J16" s="103">
        <f>IFERROR('Balance Sheet'!J7/'Balance Sheet'!I7-1,0)</f>
        <v>0.70301507537688446</v>
      </c>
      <c r="K16" s="161">
        <f>IFERROR('Balance Sheet'!K7/'Balance Sheet'!J7-1,0)</f>
        <v>1.1481262909412808</v>
      </c>
      <c r="L16" s="59"/>
    </row>
    <row r="17" spans="1:14" x14ac:dyDescent="0.15">
      <c r="A17" s="79" t="s">
        <v>151</v>
      </c>
      <c r="B17" s="170"/>
      <c r="C17" s="103">
        <f>IFERROR('Balance Sheet'!C8/'Balance Sheet'!B8-1,0)</f>
        <v>7.6166462911513744E-2</v>
      </c>
      <c r="D17" s="103">
        <f>IFERROR('Balance Sheet'!D8/'Balance Sheet'!C8-1,0)</f>
        <v>0.13307813555505521</v>
      </c>
      <c r="E17" s="103">
        <f>IFERROR('Balance Sheet'!E8/'Balance Sheet'!D8-1,0)</f>
        <v>-0.38275039745627981</v>
      </c>
      <c r="F17" s="103">
        <f>IFERROR('Balance Sheet'!F8/'Balance Sheet'!E8-1,0)</f>
        <v>1.1377978106889892</v>
      </c>
      <c r="G17" s="103">
        <f>IFERROR('Balance Sheet'!G8/'Balance Sheet'!F8-1,0)</f>
        <v>-0.9998493975903614</v>
      </c>
      <c r="H17" s="103">
        <f>IFERROR('Balance Sheet'!H8/'Balance Sheet'!G8-1,0)</f>
        <v>10713</v>
      </c>
      <c r="I17" s="103">
        <f>IFERROR('Balance Sheet'!I8/'Balance Sheet'!H8-1,0)</f>
        <v>0.79372783274220637</v>
      </c>
      <c r="J17" s="103">
        <f>IFERROR('Balance Sheet'!J8/'Balance Sheet'!I8-1,0)</f>
        <v>-0.48449370381933599</v>
      </c>
      <c r="K17" s="161">
        <f>IFERROR('Balance Sheet'!K8/'Balance Sheet'!J8-1,0)</f>
        <v>0.88795800948824066</v>
      </c>
      <c r="L17" s="59"/>
    </row>
    <row r="18" spans="1:14" x14ac:dyDescent="0.15">
      <c r="A18" s="79" t="s">
        <v>44</v>
      </c>
      <c r="B18" s="170"/>
      <c r="C18" s="103">
        <f>IFERROR('Balance Sheet'!C9/'Balance Sheet'!B9-1,0)</f>
        <v>8.9472348880322183E-2</v>
      </c>
      <c r="D18" s="103">
        <f>IFERROR('Balance Sheet'!D9/'Balance Sheet'!C9-1,0)</f>
        <v>0.34961286480047638</v>
      </c>
      <c r="E18" s="103">
        <f>IFERROR('Balance Sheet'!E9/'Balance Sheet'!D9-1,0)</f>
        <v>4.560164754339513E-2</v>
      </c>
      <c r="F18" s="103">
        <f>IFERROR('Balance Sheet'!F9/'Balance Sheet'!E9-1,0)</f>
        <v>4.4175576814856399E-2</v>
      </c>
      <c r="G18" s="103">
        <f>IFERROR('Balance Sheet'!G9/'Balance Sheet'!F9-1,0)</f>
        <v>0.46820264079762874</v>
      </c>
      <c r="H18" s="103">
        <f>IFERROR('Balance Sheet'!H9/'Balance Sheet'!G9-1,0)</f>
        <v>6.0934202073965382E-2</v>
      </c>
      <c r="I18" s="103">
        <f>IFERROR('Balance Sheet'!I9/'Balance Sheet'!H9-1,0)</f>
        <v>0.83444338725023792</v>
      </c>
      <c r="J18" s="103">
        <f>IFERROR('Balance Sheet'!J9/'Balance Sheet'!I9-1,0)</f>
        <v>-0.37306676725763865</v>
      </c>
      <c r="K18" s="161">
        <f>IFERROR('Balance Sheet'!K9/'Balance Sheet'!J9-1,0)</f>
        <v>0.95427196149217819</v>
      </c>
      <c r="L18" s="59"/>
    </row>
    <row r="19" spans="1:14" x14ac:dyDescent="0.15">
      <c r="A19" s="79" t="s">
        <v>45</v>
      </c>
      <c r="B19" s="170"/>
      <c r="C19" s="103">
        <f>IFERROR('Balance Sheet'!C10/'Balance Sheet'!B10-1,0)</f>
        <v>6.6217377443062997E-2</v>
      </c>
      <c r="D19" s="103">
        <f>IFERROR('Balance Sheet'!D10/'Balance Sheet'!C10-1,0)</f>
        <v>0.63564356435643554</v>
      </c>
      <c r="E19" s="103">
        <f>IFERROR('Balance Sheet'!E10/'Balance Sheet'!D10-1,0)</f>
        <v>0.5314769975786926</v>
      </c>
      <c r="F19" s="103">
        <f>IFERROR('Balance Sheet'!F10/'Balance Sheet'!E10-1,0)</f>
        <v>0.12569169960474302</v>
      </c>
      <c r="G19" s="103">
        <f>IFERROR('Balance Sheet'!G10/'Balance Sheet'!F10-1,0)</f>
        <v>0.163623595505618</v>
      </c>
      <c r="H19" s="103">
        <f>IFERROR('Balance Sheet'!H10/'Balance Sheet'!G10-1,0)</f>
        <v>0.46590223295111644</v>
      </c>
      <c r="I19" s="103">
        <f>IFERROR('Balance Sheet'!I10/'Balance Sheet'!H10-1,0)</f>
        <v>0.91436805269658294</v>
      </c>
      <c r="J19" s="103">
        <f>IFERROR('Balance Sheet'!J10/'Balance Sheet'!I10-1,0)</f>
        <v>-0.17698924731182797</v>
      </c>
      <c r="K19" s="161">
        <f>IFERROR('Balance Sheet'!K10/'Balance Sheet'!J10-1,0)</f>
        <v>1.6127515024823622</v>
      </c>
      <c r="L19" s="59"/>
    </row>
    <row r="20" spans="1:14" x14ac:dyDescent="0.15">
      <c r="A20" s="79" t="s">
        <v>152</v>
      </c>
      <c r="B20" s="170"/>
      <c r="C20" s="103">
        <f>IFERROR('Balance Sheet'!C11/'Balance Sheet'!B11-1,0)</f>
        <v>-0.1343838075929864</v>
      </c>
      <c r="D20" s="103">
        <f>IFERROR('Balance Sheet'!D11/'Balance Sheet'!C11-1,0)</f>
        <v>0.8995215311004785</v>
      </c>
      <c r="E20" s="103">
        <f>IFERROR('Balance Sheet'!E11/'Balance Sheet'!D11-1,0)</f>
        <v>2.5188916876575096E-3</v>
      </c>
      <c r="F20" s="103">
        <f>IFERROR('Balance Sheet'!F11/'Balance Sheet'!E11-1,0)</f>
        <v>0.97864321608040195</v>
      </c>
      <c r="G20" s="103">
        <f>IFERROR('Balance Sheet'!G11/'Balance Sheet'!F11-1,0)</f>
        <v>-0.37841269841269842</v>
      </c>
      <c r="H20" s="103">
        <f>IFERROR('Balance Sheet'!H11/'Balance Sheet'!G11-1,0)</f>
        <v>0.86516853932584259</v>
      </c>
      <c r="I20" s="103">
        <f>IFERROR('Balance Sheet'!I11/'Balance Sheet'!H11-1,0)</f>
        <v>0.42661555312157717</v>
      </c>
      <c r="J20" s="103">
        <f>IFERROR('Balance Sheet'!J11/'Balance Sheet'!I11-1,0)</f>
        <v>0.98042226487523987</v>
      </c>
      <c r="K20" s="161">
        <f>IFERROR('Balance Sheet'!K11/'Balance Sheet'!J11-1,0)</f>
        <v>2.3841829811979132E-2</v>
      </c>
      <c r="L20" s="253">
        <f>AVERAGE(F20:K20)</f>
        <v>0.48271311746705708</v>
      </c>
    </row>
    <row r="21" spans="1:14" x14ac:dyDescent="0.15">
      <c r="A21" s="79" t="s">
        <v>153</v>
      </c>
      <c r="B21" s="170"/>
      <c r="C21" s="103">
        <f>IFERROR('Balance Sheet'!C12/'Balance Sheet'!B12-1,0)</f>
        <v>0</v>
      </c>
      <c r="D21" s="103">
        <f>IFERROR('Balance Sheet'!D12/'Balance Sheet'!C12-1,0)</f>
        <v>0</v>
      </c>
      <c r="E21" s="103">
        <f>IFERROR('Balance Sheet'!E12/'Balance Sheet'!D12-1,0)</f>
        <v>0</v>
      </c>
      <c r="F21" s="103">
        <f>IFERROR('Balance Sheet'!F12/'Balance Sheet'!E12-1,0)</f>
        <v>0</v>
      </c>
      <c r="G21" s="103">
        <f>IFERROR('Balance Sheet'!G12/'Balance Sheet'!F12-1,0)</f>
        <v>0</v>
      </c>
      <c r="H21" s="103">
        <f>IFERROR('Balance Sheet'!H12/'Balance Sheet'!G12-1,0)</f>
        <v>0</v>
      </c>
      <c r="I21" s="103">
        <f>IFERROR('Balance Sheet'!I12/'Balance Sheet'!H12-1,0)</f>
        <v>0</v>
      </c>
      <c r="J21" s="103">
        <f>IFERROR('Balance Sheet'!J12/'Balance Sheet'!I12-1,0)</f>
        <v>0</v>
      </c>
      <c r="K21" s="161">
        <f>IFERROR('Balance Sheet'!K12/'Balance Sheet'!J12-1,0)</f>
        <v>0</v>
      </c>
      <c r="L21" s="59"/>
    </row>
    <row r="22" spans="1:14" x14ac:dyDescent="0.15">
      <c r="A22" s="79" t="s">
        <v>155</v>
      </c>
      <c r="B22" s="173"/>
      <c r="C22" s="103">
        <f>IFERROR('Balance Sheet'!C13/'Balance Sheet'!B13-1,0)</f>
        <v>0.32527716818194774</v>
      </c>
      <c r="D22" s="103">
        <f>IFERROR('Balance Sheet'!D13/'Balance Sheet'!C13-1,0)</f>
        <v>0.26881720430107525</v>
      </c>
      <c r="E22" s="103">
        <f>IFERROR('Balance Sheet'!E13/'Balance Sheet'!D13-1,0)</f>
        <v>-0.27118644067796616</v>
      </c>
      <c r="F22" s="103">
        <f>IFERROR('Balance Sheet'!F13/'Balance Sheet'!E13-1,0)</f>
        <v>0.58139534883720922</v>
      </c>
      <c r="G22" s="103">
        <f>IFERROR('Balance Sheet'!G13/'Balance Sheet'!F13-1,0)</f>
        <v>0.15441176470588225</v>
      </c>
      <c r="H22" s="103">
        <f>IFERROR('Balance Sheet'!H13/'Balance Sheet'!G13-1,0)</f>
        <v>0.52229299363057335</v>
      </c>
      <c r="I22" s="103">
        <f>IFERROR('Balance Sheet'!I13/'Balance Sheet'!H13-1,0)</f>
        <v>0.53138075313807542</v>
      </c>
      <c r="J22" s="103">
        <f>IFERROR('Balance Sheet'!J13/'Balance Sheet'!I13-1,0)</f>
        <v>1.1612021857923498</v>
      </c>
      <c r="K22" s="161">
        <f>IFERROR('Balance Sheet'!K13/'Balance Sheet'!J13-1,0)</f>
        <v>2.8938053097345131</v>
      </c>
      <c r="L22" s="59"/>
    </row>
    <row r="23" spans="1:14" x14ac:dyDescent="0.15">
      <c r="A23" s="182" t="s">
        <v>47</v>
      </c>
      <c r="B23" s="160"/>
      <c r="C23" s="159">
        <f>IFERROR('Balance Sheet'!C14/'Balance Sheet'!B14-1,0)</f>
        <v>5.9458312774567812E-2</v>
      </c>
      <c r="D23" s="159">
        <f>IFERROR('Balance Sheet'!D14/'Balance Sheet'!C14-1,0)</f>
        <v>0.41020981331571127</v>
      </c>
      <c r="E23" s="159">
        <f>IFERROR('Balance Sheet'!E14/'Balance Sheet'!D14-1,0)</f>
        <v>8.4231490159325295E-2</v>
      </c>
      <c r="F23" s="159">
        <f>IFERROR('Balance Sheet'!F14/'Balance Sheet'!E14-1,0)</f>
        <v>0.14068071312803898</v>
      </c>
      <c r="G23" s="159">
        <f>IFERROR('Balance Sheet'!G14/'Balance Sheet'!F14-1,0)</f>
        <v>0.29676991569574684</v>
      </c>
      <c r="H23" s="159">
        <f>IFERROR('Balance Sheet'!H14/'Balance Sheet'!G14-1,0)</f>
        <v>0.17275383491599716</v>
      </c>
      <c r="I23" s="159">
        <f>IFERROR('Balance Sheet'!I14/'Balance Sheet'!H14-1,0)</f>
        <v>0.7956399875428215</v>
      </c>
      <c r="J23" s="159">
        <f>IFERROR('Balance Sheet'!J14/'Balance Sheet'!I14-1,0)</f>
        <v>-0.19966006451836693</v>
      </c>
      <c r="K23" s="162">
        <f>IFERROR('Balance Sheet'!K14/'Balance Sheet'!J14-1,0)</f>
        <v>0.92194339704416417</v>
      </c>
      <c r="L23" s="59"/>
    </row>
    <row r="24" spans="1:14" x14ac:dyDescent="0.15">
      <c r="A24" s="79" t="s">
        <v>48</v>
      </c>
      <c r="B24" s="170"/>
      <c r="C24" s="103">
        <f>IFERROR('Balance Sheet'!C15/'Balance Sheet'!B15-1,0)</f>
        <v>-6.7209268208711093E-2</v>
      </c>
      <c r="D24" s="103">
        <f>IFERROR('Balance Sheet'!D15/'Balance Sheet'!C15-1,0)</f>
        <v>8.272727272727276E-2</v>
      </c>
      <c r="E24" s="103">
        <f>IFERROR('Balance Sheet'!E15/'Balance Sheet'!D15-1,0)</f>
        <v>0.45843828715365231</v>
      </c>
      <c r="F24" s="103">
        <f>IFERROR('Balance Sheet'!F15/'Balance Sheet'!E15-1,0)</f>
        <v>0.24985607369027063</v>
      </c>
      <c r="G24" s="103">
        <f>IFERROR('Balance Sheet'!G15/'Balance Sheet'!F15-1,0)</f>
        <v>0.23675725472132658</v>
      </c>
      <c r="H24" s="103">
        <f>IFERROR('Balance Sheet'!H15/'Balance Sheet'!G15-1,0)</f>
        <v>0.32476722532588465</v>
      </c>
      <c r="I24" s="103">
        <f>IFERROR('Balance Sheet'!I15/'Balance Sheet'!H15-1,0)</f>
        <v>0.31599662637053694</v>
      </c>
      <c r="J24" s="103">
        <f>IFERROR('Balance Sheet'!J15/'Balance Sheet'!I15-1,0)</f>
        <v>0.38880581072420428</v>
      </c>
      <c r="K24" s="161">
        <f>IFERROR('Balance Sheet'!K15/'Balance Sheet'!J15-1,0)</f>
        <v>0.1418243347177357</v>
      </c>
      <c r="L24" s="253">
        <f>AVERAGE(F24:K24)</f>
        <v>0.27633455425832648</v>
      </c>
    </row>
    <row r="25" spans="1:14" x14ac:dyDescent="0.15">
      <c r="A25" s="79" t="s">
        <v>49</v>
      </c>
      <c r="B25" s="170"/>
      <c r="C25" s="103">
        <f>IFERROR('Balance Sheet'!C16/'Balance Sheet'!B16-1,0)</f>
        <v>1.9333574500582928E-2</v>
      </c>
      <c r="D25" s="103">
        <f>IFERROR('Balance Sheet'!D16/'Balance Sheet'!C16-1,0)</f>
        <v>5.6782334384858135E-2</v>
      </c>
      <c r="E25" s="103">
        <f>IFERROR('Balance Sheet'!E16/'Balance Sheet'!D16-1,0)</f>
        <v>0.10447761194029859</v>
      </c>
      <c r="F25" s="103">
        <f>IFERROR('Balance Sheet'!F16/'Balance Sheet'!E16-1,0)</f>
        <v>3.6486486486486447E-2</v>
      </c>
      <c r="G25" s="103">
        <f>IFERROR('Balance Sheet'!G16/'Balance Sheet'!F16-1,0)</f>
        <v>0.31812255541069101</v>
      </c>
      <c r="H25" s="103">
        <f>IFERROR('Balance Sheet'!H16/'Balance Sheet'!G16-1,0)</f>
        <v>0.39268051434223539</v>
      </c>
      <c r="I25" s="103">
        <f>IFERROR('Balance Sheet'!I16/'Balance Sheet'!H16-1,0)</f>
        <v>0.3515625</v>
      </c>
      <c r="J25" s="103">
        <f>IFERROR('Balance Sheet'!J16/'Balance Sheet'!I16-1,0)</f>
        <v>0.4156594850236468</v>
      </c>
      <c r="K25" s="161">
        <f>IFERROR('Balance Sheet'!K16/'Balance Sheet'!J16-1,0)</f>
        <v>0.30252412769116566</v>
      </c>
      <c r="L25" s="253">
        <f>AVERAGE(E24:J24)</f>
        <v>0.32910354633097921</v>
      </c>
    </row>
    <row r="26" spans="1:14" x14ac:dyDescent="0.15">
      <c r="A26" s="79" t="s">
        <v>50</v>
      </c>
      <c r="B26" s="171"/>
      <c r="C26" s="103">
        <f>IFERROR('Balance Sheet'!C17/'Balance Sheet'!B17-1,0)</f>
        <v>-0.16379857953423937</v>
      </c>
      <c r="D26" s="103">
        <f>IFERROR('Balance Sheet'!D17/'Balance Sheet'!C17-1,0)</f>
        <v>0.11802575107296143</v>
      </c>
      <c r="E26" s="103">
        <f>IFERROR('Balance Sheet'!E17/'Balance Sheet'!D17-1,0)</f>
        <v>0.91362763915547029</v>
      </c>
      <c r="F26" s="103">
        <f>IFERROR('Balance Sheet'!F17/'Balance Sheet'!E17-1,0)</f>
        <v>0.4082246740220663</v>
      </c>
      <c r="G26" s="103">
        <f>IFERROR('Balance Sheet'!G17/'Balance Sheet'!F17-1,0)</f>
        <v>0.19230769230769229</v>
      </c>
      <c r="H26" s="103">
        <f>IFERROR('Balance Sheet'!H17/'Balance Sheet'!G17-1,0)</f>
        <v>0.2837514934289127</v>
      </c>
      <c r="I26" s="103">
        <f>IFERROR('Balance Sheet'!I17/'Balance Sheet'!H17-1,0)</f>
        <v>0.29269427640763146</v>
      </c>
      <c r="J26" s="103">
        <f>IFERROR('Balance Sheet'!J17/'Balance Sheet'!I17-1,0)</f>
        <v>0.37041036717062625</v>
      </c>
      <c r="K26" s="161">
        <f>IFERROR('Balance Sheet'!K17/'Balance Sheet'!J17-1,0)</f>
        <v>2.8106120304701943E-2</v>
      </c>
      <c r="L26" s="59"/>
    </row>
    <row r="27" spans="1:14" x14ac:dyDescent="0.15">
      <c r="A27" s="79" t="s">
        <v>156</v>
      </c>
      <c r="B27" s="170"/>
      <c r="C27" s="103">
        <f>IFERROR('Balance Sheet'!C18/'Balance Sheet'!B18-1,0)</f>
        <v>0</v>
      </c>
      <c r="D27" s="103">
        <f>IFERROR('Balance Sheet'!D18/'Balance Sheet'!C18-1,0)</f>
        <v>0</v>
      </c>
      <c r="E27" s="103">
        <f>IFERROR('Balance Sheet'!E18/'Balance Sheet'!D18-1,0)</f>
        <v>0</v>
      </c>
      <c r="F27" s="103">
        <f>IFERROR('Balance Sheet'!F18/'Balance Sheet'!E18-1,0)</f>
        <v>0</v>
      </c>
      <c r="G27" s="103">
        <f>IFERROR('Balance Sheet'!G18/'Balance Sheet'!F18-1,0)</f>
        <v>0</v>
      </c>
      <c r="H27" s="103">
        <f>IFERROR('Balance Sheet'!H18/'Balance Sheet'!G18-1,0)</f>
        <v>0</v>
      </c>
      <c r="I27" s="103">
        <f>IFERROR('Balance Sheet'!I18/'Balance Sheet'!H18-1,0)</f>
        <v>0</v>
      </c>
      <c r="J27" s="103">
        <f>IFERROR('Balance Sheet'!J18/'Balance Sheet'!I18-1,0)</f>
        <v>0.12406015037593976</v>
      </c>
      <c r="K27" s="161">
        <f>IFERROR('Balance Sheet'!K18/'Balance Sheet'!J18-1,0)</f>
        <v>0</v>
      </c>
      <c r="L27" s="59"/>
    </row>
    <row r="28" spans="1:14" x14ac:dyDescent="0.15">
      <c r="A28" s="79" t="s">
        <v>157</v>
      </c>
      <c r="B28" s="171"/>
      <c r="C28" s="103">
        <f>IFERROR('Balance Sheet'!C19/'Balance Sheet'!B19-1,0)</f>
        <v>-6.6547762631668506E-2</v>
      </c>
      <c r="D28" s="103">
        <f>IFERROR('Balance Sheet'!D19/'Balance Sheet'!C19-1,0)</f>
        <v>-7.9081632653061229E-2</v>
      </c>
      <c r="E28" s="103">
        <f>IFERROR('Balance Sheet'!E19/'Balance Sheet'!D19-1,0)</f>
        <v>-7.2022160664819923E-2</v>
      </c>
      <c r="F28" s="103">
        <f>IFERROR('Balance Sheet'!F19/'Balance Sheet'!E19-1,0)</f>
        <v>-1.0447761194029903E-2</v>
      </c>
      <c r="G28" s="103">
        <f>IFERROR('Balance Sheet'!G19/'Balance Sheet'!F19-1,0)</f>
        <v>6.0331825037707176E-3</v>
      </c>
      <c r="H28" s="103">
        <f>IFERROR('Balance Sheet'!H19/'Balance Sheet'!G19-1,0)</f>
        <v>9.3898050974512746</v>
      </c>
      <c r="I28" s="103">
        <f>IFERROR('Balance Sheet'!I19/'Balance Sheet'!H19-1,0)</f>
        <v>-3.4920634920634908E-2</v>
      </c>
      <c r="J28" s="103">
        <f>IFERROR('Balance Sheet'!J19/'Balance Sheet'!I19-1,0)</f>
        <v>-9.5693779904306275E-2</v>
      </c>
      <c r="K28" s="161">
        <f>IFERROR('Balance Sheet'!K19/'Balance Sheet'!J19-1,0)</f>
        <v>-8.3664021164021163E-2</v>
      </c>
      <c r="L28" s="59"/>
    </row>
    <row r="29" spans="1:14" x14ac:dyDescent="0.15">
      <c r="A29" s="79" t="s">
        <v>158</v>
      </c>
      <c r="B29" s="171"/>
      <c r="C29" s="103">
        <f>IFERROR('Balance Sheet'!C20/'Balance Sheet'!B20-1,0)</f>
        <v>0</v>
      </c>
      <c r="D29" s="103">
        <f>IFERROR('Balance Sheet'!D20/'Balance Sheet'!C20-1,0)</f>
        <v>0</v>
      </c>
      <c r="E29" s="103">
        <f>IFERROR('Balance Sheet'!E20/'Balance Sheet'!D20-1,0)</f>
        <v>0</v>
      </c>
      <c r="F29" s="103">
        <f>IFERROR('Balance Sheet'!F20/'Balance Sheet'!E20-1,0)</f>
        <v>0</v>
      </c>
      <c r="G29" s="103">
        <f>IFERROR('Balance Sheet'!G20/'Balance Sheet'!F20-1,0)</f>
        <v>0</v>
      </c>
      <c r="H29" s="103">
        <f>IFERROR('Balance Sheet'!H20/'Balance Sheet'!G20-1,0)</f>
        <v>0</v>
      </c>
      <c r="I29" s="103">
        <f>IFERROR('Balance Sheet'!I20/'Balance Sheet'!H20-1,0)</f>
        <v>0</v>
      </c>
      <c r="J29" s="103">
        <f>IFERROR('Balance Sheet'!J20/'Balance Sheet'!I20-1,0)</f>
        <v>0.56586270871985156</v>
      </c>
      <c r="K29" s="161">
        <f>IFERROR('Balance Sheet'!K20/'Balance Sheet'!J20-1,0)</f>
        <v>0</v>
      </c>
      <c r="L29" s="59"/>
    </row>
    <row r="30" spans="1:14" x14ac:dyDescent="0.15">
      <c r="A30" s="79" t="s">
        <v>159</v>
      </c>
      <c r="B30" s="170"/>
      <c r="C30" s="103">
        <f>IFERROR('Balance Sheet'!C21/'Balance Sheet'!B21-1,0)</f>
        <v>0</v>
      </c>
      <c r="D30" s="103">
        <f>IFERROR('Balance Sheet'!D21/'Balance Sheet'!C21-1,0)</f>
        <v>0</v>
      </c>
      <c r="E30" s="103">
        <f>IFERROR('Balance Sheet'!E21/'Balance Sheet'!D21-1,0)</f>
        <v>0</v>
      </c>
      <c r="F30" s="103">
        <f>IFERROR('Balance Sheet'!F21/'Balance Sheet'!E21-1,0)</f>
        <v>0</v>
      </c>
      <c r="G30" s="103">
        <f>IFERROR('Balance Sheet'!G21/'Balance Sheet'!F21-1,0)</f>
        <v>0</v>
      </c>
      <c r="H30" s="103">
        <f>IFERROR('Balance Sheet'!H21/'Balance Sheet'!G21-1,0)</f>
        <v>0.47080291970802923</v>
      </c>
      <c r="I30" s="103">
        <f>IFERROR('Balance Sheet'!I21/'Balance Sheet'!H21-1,0)</f>
        <v>0.5161290322580645</v>
      </c>
      <c r="J30" s="103">
        <f>IFERROR('Balance Sheet'!J21/'Balance Sheet'!I21-1,0)</f>
        <v>1.779050736497545</v>
      </c>
      <c r="K30" s="161">
        <f>IFERROR('Balance Sheet'!K21/'Balance Sheet'!J21-1,0)</f>
        <v>0.79063604240282692</v>
      </c>
      <c r="L30" s="59"/>
    </row>
    <row r="31" spans="1:14" x14ac:dyDescent="0.15">
      <c r="A31" s="79" t="s">
        <v>51</v>
      </c>
      <c r="B31" s="258"/>
      <c r="C31" s="106">
        <f>IFERROR('Balance Sheet'!C22/'Balance Sheet'!B22-1,0)</f>
        <v>-0.26289385671536702</v>
      </c>
      <c r="D31" s="106">
        <f>IFERROR('Balance Sheet'!D22/'Balance Sheet'!C22-1,0)</f>
        <v>-7.4626865671641784E-2</v>
      </c>
      <c r="E31" s="106">
        <f>IFERROR('Balance Sheet'!E22/'Balance Sheet'!D22-1,0)</f>
        <v>4.145161290322581</v>
      </c>
      <c r="F31" s="106">
        <f>IFERROR('Balance Sheet'!F22/'Balance Sheet'!E22-1,0)</f>
        <v>1.0940438871473352</v>
      </c>
      <c r="G31" s="106">
        <f>IFERROR('Balance Sheet'!G22/'Balance Sheet'!F22-1,0)</f>
        <v>0.10179640718562877</v>
      </c>
      <c r="H31" s="106">
        <f>IFERROR('Balance Sheet'!H22/'Balance Sheet'!G22-1,0)</f>
        <v>2.8736413043478262</v>
      </c>
      <c r="I31" s="106">
        <f>IFERROR('Balance Sheet'!I22/'Balance Sheet'!H22-1,0)</f>
        <v>-0.21150473518063839</v>
      </c>
      <c r="J31" s="106">
        <f>IFERROR('Balance Sheet'!J22/'Balance Sheet'!I22-1,0)</f>
        <v>-0.4737544483985765</v>
      </c>
      <c r="K31" s="165">
        <f>IFERROR('Balance Sheet'!K22/'Balance Sheet'!J22-1,0)</f>
        <v>3.9416737109044799</v>
      </c>
      <c r="L31" s="59"/>
      <c r="N31" s="94"/>
    </row>
    <row r="32" spans="1:14" x14ac:dyDescent="0.15">
      <c r="A32" s="182" t="s">
        <v>53</v>
      </c>
      <c r="B32" s="160"/>
      <c r="C32" s="159">
        <f>IFERROR('Balance Sheet'!C23/'Balance Sheet'!B23-1,0)</f>
        <v>2.3416661945341533E-2</v>
      </c>
      <c r="D32" s="159">
        <f>IFERROR('Balance Sheet'!D23/'Balance Sheet'!C23-1,0)</f>
        <v>0.33527815468113986</v>
      </c>
      <c r="E32" s="159">
        <f>IFERROR('Balance Sheet'!E23/'Balance Sheet'!D23-1,0)</f>
        <v>0.14226196524743417</v>
      </c>
      <c r="F32" s="159">
        <f>IFERROR('Balance Sheet'!F23/'Balance Sheet'!E23-1,0)</f>
        <v>0.18245707677252909</v>
      </c>
      <c r="G32" s="159">
        <f>IFERROR('Balance Sheet'!G23/'Balance Sheet'!F23-1,0)</f>
        <v>0.30266325609389111</v>
      </c>
      <c r="H32" s="159">
        <f>IFERROR('Balance Sheet'!H23/'Balance Sheet'!G23-1,0)</f>
        <v>0.66277793820386943</v>
      </c>
      <c r="I32" s="159">
        <f>IFERROR('Balance Sheet'!I23/'Balance Sheet'!H23-1,0)</f>
        <v>0.53475044284672291</v>
      </c>
      <c r="J32" s="159">
        <f>IFERROR('Balance Sheet'!J23/'Balance Sheet'!I23-1,0)</f>
        <v>-6.8006427229728161E-2</v>
      </c>
      <c r="K32" s="162">
        <f>IFERROR('Balance Sheet'!K23/'Balance Sheet'!J23-1,0)</f>
        <v>0.59603710358894668</v>
      </c>
      <c r="L32" s="59"/>
    </row>
    <row r="33" spans="1:12" s="94" customFormat="1" x14ac:dyDescent="0.15">
      <c r="A33" s="183"/>
      <c r="B33" s="108"/>
      <c r="C33" s="108"/>
      <c r="D33" s="108"/>
      <c r="E33" s="108"/>
      <c r="F33" s="108"/>
      <c r="G33" s="108"/>
      <c r="H33" s="108"/>
      <c r="I33" s="108"/>
      <c r="J33" s="108"/>
      <c r="K33" s="163"/>
      <c r="L33" s="105"/>
    </row>
    <row r="34" spans="1:12" x14ac:dyDescent="0.15">
      <c r="A34" s="79" t="s">
        <v>160</v>
      </c>
      <c r="B34" s="170"/>
      <c r="C34" s="103">
        <f>IFERROR('Balance Sheet'!C25/'Balance Sheet'!B25-1,0)</f>
        <v>2.3869949329775153E-2</v>
      </c>
      <c r="D34" s="103">
        <f>IFERROR('Balance Sheet'!D25/'Balance Sheet'!C25-1,0)</f>
        <v>0.46678023850085171</v>
      </c>
      <c r="E34" s="103">
        <f>IFERROR('Balance Sheet'!E25/'Balance Sheet'!D25-1,0)</f>
        <v>0.1707317073170731</v>
      </c>
      <c r="F34" s="103">
        <f>IFERROR('Balance Sheet'!F25/'Balance Sheet'!E25-1,0)</f>
        <v>4.2658730158730229E-2</v>
      </c>
      <c r="G34" s="103">
        <f>IFERROR('Balance Sheet'!G25/'Balance Sheet'!F25-1,0)</f>
        <v>0.26926736441484311</v>
      </c>
      <c r="H34" s="103">
        <f>IFERROR('Balance Sheet'!H25/'Balance Sheet'!G25-1,0)</f>
        <v>0.59520239880059966</v>
      </c>
      <c r="I34" s="103">
        <f>IFERROR('Balance Sheet'!I25/'Balance Sheet'!H25-1,0)</f>
        <v>0.5</v>
      </c>
      <c r="J34" s="103">
        <f>IFERROR('Balance Sheet'!J25/'Balance Sheet'!I25-1,0)</f>
        <v>-8.5526315789473673E-2</v>
      </c>
      <c r="K34" s="161">
        <f>IFERROR('Balance Sheet'!K25/'Balance Sheet'!J25-1,0)</f>
        <v>1.5680027406646113</v>
      </c>
      <c r="L34" s="59"/>
    </row>
    <row r="35" spans="1:12" x14ac:dyDescent="0.15">
      <c r="A35" s="79" t="s">
        <v>161</v>
      </c>
      <c r="B35" s="172"/>
      <c r="C35" s="107">
        <f>IFERROR('Balance Sheet'!C26/'Balance Sheet'!B26-1,0)</f>
        <v>9.4706076944850448E-3</v>
      </c>
      <c r="D35" s="107">
        <f>IFERROR('Balance Sheet'!D26/'Balance Sheet'!C26-1,0)</f>
        <v>0.6385135135135136</v>
      </c>
      <c r="E35" s="107">
        <f>IFERROR('Balance Sheet'!E26/'Balance Sheet'!D26-1,0)</f>
        <v>0.22886597938144337</v>
      </c>
      <c r="F35" s="107">
        <f>IFERROR('Balance Sheet'!F26/'Balance Sheet'!E26-1,0)</f>
        <v>-0.14261744966442957</v>
      </c>
      <c r="G35" s="107">
        <f>IFERROR('Balance Sheet'!G26/'Balance Sheet'!F26-1,0)</f>
        <v>0.34442270058708413</v>
      </c>
      <c r="H35" s="107">
        <f>IFERROR('Balance Sheet'!H26/'Balance Sheet'!G26-1,0)</f>
        <v>0.74818049490538563</v>
      </c>
      <c r="I35" s="107">
        <f>IFERROR('Balance Sheet'!I26/'Balance Sheet'!H26-1,0)</f>
        <v>0.48459616985845133</v>
      </c>
      <c r="J35" s="107">
        <f>IFERROR('Balance Sheet'!J26/'Balance Sheet'!I26-1,0)</f>
        <v>-0.33090297251822776</v>
      </c>
      <c r="K35" s="164">
        <f>IFERROR('Balance Sheet'!K26/'Balance Sheet'!J26-1,0)</f>
        <v>1.2623637887678121</v>
      </c>
      <c r="L35" s="59"/>
    </row>
    <row r="36" spans="1:12" x14ac:dyDescent="0.15">
      <c r="A36" s="79" t="s">
        <v>162</v>
      </c>
      <c r="B36" s="170"/>
      <c r="C36" s="103">
        <f>IFERROR('Balance Sheet'!C27/'Balance Sheet'!B27-1,0)</f>
        <v>3.8944346857461065E-2</v>
      </c>
      <c r="D36" s="103">
        <f>IFERROR('Balance Sheet'!D27/'Balance Sheet'!C27-1,0)</f>
        <v>0.29209621993127155</v>
      </c>
      <c r="E36" s="103">
        <f>IFERROR('Balance Sheet'!E27/'Balance Sheet'!D27-1,0)</f>
        <v>9.5744680851063801E-2</v>
      </c>
      <c r="F36" s="103">
        <f>IFERROR('Balance Sheet'!F27/'Balance Sheet'!E27-1,0)</f>
        <v>0.31067961165048552</v>
      </c>
      <c r="G36" s="103">
        <f>IFERROR('Balance Sheet'!G27/'Balance Sheet'!F27-1,0)</f>
        <v>0.19814814814814818</v>
      </c>
      <c r="H36" s="103">
        <f>IFERROR('Balance Sheet'!H27/'Balance Sheet'!G27-1,0)</f>
        <v>0.43276661514683146</v>
      </c>
      <c r="I36" s="103">
        <f>IFERROR('Balance Sheet'!I27/'Balance Sheet'!H27-1,0)</f>
        <v>0.51995685005393733</v>
      </c>
      <c r="J36" s="103">
        <f>IFERROR('Balance Sheet'!J27/'Balance Sheet'!I27-1,0)</f>
        <v>0.22498225691980123</v>
      </c>
      <c r="K36" s="161">
        <f>IFERROR('Balance Sheet'!K27/'Balance Sheet'!J27-1,0)</f>
        <v>1.7792584009269987</v>
      </c>
      <c r="L36" s="59"/>
    </row>
    <row r="37" spans="1:12" x14ac:dyDescent="0.15">
      <c r="A37" s="79" t="s">
        <v>163</v>
      </c>
      <c r="B37" s="173"/>
      <c r="C37" s="103">
        <f>IFERROR('Balance Sheet'!C28/'Balance Sheet'!B28-1,0)</f>
        <v>0</v>
      </c>
      <c r="D37" s="103">
        <f>IFERROR('Balance Sheet'!D28/'Balance Sheet'!C28-1,0)</f>
        <v>-0.43665958952583162</v>
      </c>
      <c r="E37" s="103">
        <f>IFERROR('Balance Sheet'!E28/'Balance Sheet'!D28-1,0)</f>
        <v>-0.98115577889447236</v>
      </c>
      <c r="F37" s="103">
        <f>IFERROR('Balance Sheet'!F28/'Balance Sheet'!E28-1,0)</f>
        <v>0</v>
      </c>
      <c r="G37" s="103">
        <f>IFERROR('Balance Sheet'!G28/'Balance Sheet'!F28-1,0)</f>
        <v>0</v>
      </c>
      <c r="H37" s="103">
        <f>IFERROR('Balance Sheet'!H28/'Balance Sheet'!G28-1,0)</f>
        <v>0</v>
      </c>
      <c r="I37" s="103">
        <f>IFERROR('Balance Sheet'!I28/'Balance Sheet'!H28-1,0)</f>
        <v>0</v>
      </c>
      <c r="J37" s="103">
        <f>IFERROR('Balance Sheet'!J28/'Balance Sheet'!I28-1,0)</f>
        <v>0</v>
      </c>
      <c r="K37" s="161">
        <f>IFERROR('Balance Sheet'!K28/'Balance Sheet'!J28-1,0)</f>
        <v>0</v>
      </c>
      <c r="L37" s="59"/>
    </row>
    <row r="38" spans="1:12" x14ac:dyDescent="0.15">
      <c r="A38" s="79" t="s">
        <v>164</v>
      </c>
      <c r="B38" s="173"/>
      <c r="C38" s="103">
        <f>IFERROR('Balance Sheet'!C29/'Balance Sheet'!B29-1,0)</f>
        <v>8.7646995026571473E-2</v>
      </c>
      <c r="D38" s="103">
        <f>IFERROR('Balance Sheet'!D29/'Balance Sheet'!C29-1,0)</f>
        <v>-0.62678062678062685</v>
      </c>
      <c r="E38" s="103">
        <f>IFERROR('Balance Sheet'!E29/'Balance Sheet'!D29-1,0)</f>
        <v>-7.6335877862595547E-3</v>
      </c>
      <c r="F38" s="103">
        <f>IFERROR('Balance Sheet'!F29/'Balance Sheet'!E29-1,0)</f>
        <v>1.1384615384615384</v>
      </c>
      <c r="G38" s="103">
        <f>IFERROR('Balance Sheet'!G29/'Balance Sheet'!F29-1,0)</f>
        <v>0.61870503597122295</v>
      </c>
      <c r="H38" s="103">
        <f>IFERROR('Balance Sheet'!H29/'Balance Sheet'!G29-1,0)</f>
        <v>0.77333333333333343</v>
      </c>
      <c r="I38" s="103">
        <f>IFERROR('Balance Sheet'!I29/'Balance Sheet'!H29-1,0)</f>
        <v>0.43233082706766912</v>
      </c>
      <c r="J38" s="103">
        <f>IFERROR('Balance Sheet'!J29/'Balance Sheet'!I29-1,0)</f>
        <v>1.0944881889763778</v>
      </c>
      <c r="K38" s="161">
        <f>IFERROR('Balance Sheet'!K29/'Balance Sheet'!J29-1,0)</f>
        <v>-0.21261487050960737</v>
      </c>
      <c r="L38" s="59"/>
    </row>
    <row r="39" spans="1:12" x14ac:dyDescent="0.15">
      <c r="A39" s="182" t="s">
        <v>56</v>
      </c>
      <c r="B39" s="160"/>
      <c r="C39" s="159">
        <f>IFERROR('Balance Sheet'!C30/'Balance Sheet'!B30-1,0)</f>
        <v>1.6237960782563086</v>
      </c>
      <c r="D39" s="159">
        <f>IFERROR('Balance Sheet'!D30/'Balance Sheet'!C30-1,0)</f>
        <v>-0.23947256486601443</v>
      </c>
      <c r="E39" s="159">
        <f>IFERROR('Balance Sheet'!E30/'Balance Sheet'!D30-1,0)</f>
        <v>-0.35514541387024612</v>
      </c>
      <c r="F39" s="159">
        <f>IFERROR('Balance Sheet'!F30/'Balance Sheet'!E30-1,0)</f>
        <v>0.15264527320034693</v>
      </c>
      <c r="G39" s="159">
        <f>IFERROR('Balance Sheet'!G30/'Balance Sheet'!F30-1,0)</f>
        <v>0.34236267870579384</v>
      </c>
      <c r="H39" s="159">
        <f>IFERROR('Balance Sheet'!H30/'Balance Sheet'!G30-1,0)</f>
        <v>1.2001121076233185</v>
      </c>
      <c r="I39" s="159">
        <f>IFERROR('Balance Sheet'!I30/'Balance Sheet'!H30-1,0)</f>
        <v>0.10445859872611463</v>
      </c>
      <c r="J39" s="159">
        <f>IFERROR('Balance Sheet'!J30/'Balance Sheet'!I30-1,0)</f>
        <v>0.51395617070357558</v>
      </c>
      <c r="K39" s="162">
        <f>IFERROR('Balance Sheet'!K30/'Balance Sheet'!J30-1,0)</f>
        <v>0.61983848849611456</v>
      </c>
      <c r="L39" s="59"/>
    </row>
    <row r="40" spans="1:12" x14ac:dyDescent="0.15">
      <c r="A40" s="79" t="s">
        <v>165</v>
      </c>
      <c r="B40" s="173"/>
      <c r="C40" s="103">
        <f>IFERROR('Balance Sheet'!C31/'Balance Sheet'!B31-1,0)</f>
        <v>-0.99284911343308346</v>
      </c>
      <c r="D40" s="103">
        <f>IFERROR('Balance Sheet'!D31/'Balance Sheet'!C31-1,0)</f>
        <v>197.9</v>
      </c>
      <c r="E40" s="103">
        <f>IFERROR('Balance Sheet'!E31/'Balance Sheet'!D31-1,0)</f>
        <v>-2.0110608345902392E-3</v>
      </c>
      <c r="F40" s="103">
        <f>IFERROR('Balance Sheet'!F31/'Balance Sheet'!E31-1,0)</f>
        <v>1.5113350125943725E-3</v>
      </c>
      <c r="G40" s="103">
        <f>IFERROR('Balance Sheet'!G31/'Balance Sheet'!F31-1,0)</f>
        <v>1.5090543259557165E-3</v>
      </c>
      <c r="H40" s="103">
        <f>IFERROR('Balance Sheet'!H31/'Balance Sheet'!G31-1,0)</f>
        <v>1.9954796584630841</v>
      </c>
      <c r="I40" s="103">
        <f>IFERROR('Balance Sheet'!I31/'Balance Sheet'!H31-1,0)</f>
        <v>0.83534540576794103</v>
      </c>
      <c r="J40" s="103">
        <f>IFERROR('Balance Sheet'!J31/'Balance Sheet'!I31-1,0)</f>
        <v>-0.11355746391375843</v>
      </c>
      <c r="K40" s="161">
        <f>IFERROR('Balance Sheet'!K31/'Balance Sheet'!J31-1,0)</f>
        <v>-0.12820777079253842</v>
      </c>
      <c r="L40" s="59"/>
    </row>
    <row r="41" spans="1:12" x14ac:dyDescent="0.15">
      <c r="A41" s="79" t="s">
        <v>166</v>
      </c>
      <c r="B41" s="173"/>
      <c r="C41" s="103">
        <f>IFERROR('Balance Sheet'!C32/'Balance Sheet'!B32-1,0)</f>
        <v>1.4273324611562721E-2</v>
      </c>
      <c r="D41" s="103">
        <f>IFERROR('Balance Sheet'!D32/'Balance Sheet'!C32-1,0)</f>
        <v>-0.57971014492753625</v>
      </c>
      <c r="E41" s="103">
        <f>IFERROR('Balance Sheet'!E32/'Balance Sheet'!D32-1,0)</f>
        <v>-0.77241379310344827</v>
      </c>
      <c r="F41" s="103">
        <f>IFERROR('Balance Sheet'!F32/'Balance Sheet'!E32-1,0)</f>
        <v>0.96969696969696972</v>
      </c>
      <c r="G41" s="103">
        <f>IFERROR('Balance Sheet'!G32/'Balance Sheet'!F32-1,0)</f>
        <v>0.36923076923076925</v>
      </c>
      <c r="H41" s="103">
        <f>IFERROR('Balance Sheet'!H32/'Balance Sheet'!G32-1,0)</f>
        <v>3.5393258426966296</v>
      </c>
      <c r="I41" s="103">
        <f>IFERROR('Balance Sheet'!I32/'Balance Sheet'!H32-1,0)</f>
        <v>0.10643564356435653</v>
      </c>
      <c r="J41" s="103">
        <f>IFERROR('Balance Sheet'!J32/'Balance Sheet'!I32-1,0)</f>
        <v>4.0268456375838868E-2</v>
      </c>
      <c r="K41" s="161">
        <f>IFERROR('Balance Sheet'!K32/'Balance Sheet'!J32-1,0)</f>
        <v>1.225806451612903</v>
      </c>
      <c r="L41" s="59"/>
    </row>
    <row r="42" spans="1:12" x14ac:dyDescent="0.15">
      <c r="A42" s="79" t="s">
        <v>167</v>
      </c>
      <c r="B42" s="173"/>
      <c r="C42" s="103">
        <f>IFERROR('Balance Sheet'!C33/'Balance Sheet'!B33-1,0)</f>
        <v>0</v>
      </c>
      <c r="D42" s="103">
        <f>IFERROR('Balance Sheet'!D33/'Balance Sheet'!C33-1,0)</f>
        <v>0</v>
      </c>
      <c r="E42" s="103">
        <f>IFERROR('Balance Sheet'!E33/'Balance Sheet'!D33-1,0)</f>
        <v>0</v>
      </c>
      <c r="F42" s="103">
        <f>IFERROR('Balance Sheet'!F33/'Balance Sheet'!E33-1,0)</f>
        <v>0</v>
      </c>
      <c r="G42" s="103">
        <f>IFERROR('Balance Sheet'!G33/'Balance Sheet'!F33-1,0)</f>
        <v>0</v>
      </c>
      <c r="H42" s="103">
        <f>IFERROR('Balance Sheet'!H33/'Balance Sheet'!G33-1,0)</f>
        <v>0</v>
      </c>
      <c r="I42" s="103">
        <f>IFERROR('Balance Sheet'!I33/'Balance Sheet'!H33-1,0)</f>
        <v>0</v>
      </c>
      <c r="J42" s="103">
        <f>IFERROR('Balance Sheet'!J33/'Balance Sheet'!I33-1,0)</f>
        <v>0</v>
      </c>
      <c r="K42" s="161">
        <f>IFERROR('Balance Sheet'!K33/'Balance Sheet'!J33-1,0)</f>
        <v>0</v>
      </c>
      <c r="L42" s="59"/>
    </row>
    <row r="43" spans="1:12" x14ac:dyDescent="0.15">
      <c r="A43" s="79" t="s">
        <v>168</v>
      </c>
      <c r="B43" s="174"/>
      <c r="C43" s="106">
        <f>IFERROR('Balance Sheet'!C34/'Balance Sheet'!B34-1,0)</f>
        <v>-0.27411061747645904</v>
      </c>
      <c r="D43" s="106">
        <f>IFERROR('Balance Sheet'!D34/'Balance Sheet'!C34-1,0)</f>
        <v>0.16666666666666674</v>
      </c>
      <c r="E43" s="106">
        <f>IFERROR('Balance Sheet'!E34/'Balance Sheet'!D34-1,0)</f>
        <v>3.753968253968254</v>
      </c>
      <c r="F43" s="106">
        <f>IFERROR('Balance Sheet'!F34/'Balance Sheet'!E34-1,0)</f>
        <v>-5.175292153589317E-2</v>
      </c>
      <c r="G43" s="106">
        <f>IFERROR('Balance Sheet'!G34/'Balance Sheet'!F34-1,0)</f>
        <v>1.1954225352112675</v>
      </c>
      <c r="H43" s="106">
        <f>IFERROR('Balance Sheet'!H34/'Balance Sheet'!G34-1,0)</f>
        <v>0.28708901363271844</v>
      </c>
      <c r="I43" s="106">
        <f>IFERROR('Balance Sheet'!I34/'Balance Sheet'!H34-1,0)</f>
        <v>0.15077881619937705</v>
      </c>
      <c r="J43" s="106">
        <f>IFERROR('Balance Sheet'!J34/'Balance Sheet'!I34-1,0)</f>
        <v>0.27233351380617221</v>
      </c>
      <c r="K43" s="165">
        <f>IFERROR('Balance Sheet'!K34/'Balance Sheet'!J34-1,0)</f>
        <v>0.11702127659574457</v>
      </c>
      <c r="L43" s="59"/>
    </row>
    <row r="44" spans="1:12" x14ac:dyDescent="0.15">
      <c r="A44" s="182" t="s">
        <v>58</v>
      </c>
      <c r="B44" s="160"/>
      <c r="C44" s="159">
        <f>IFERROR('Balance Sheet'!C35/'Balance Sheet'!B35-1,0)</f>
        <v>1.0998833794522156E-2</v>
      </c>
      <c r="D44" s="159">
        <f>IFERROR('Balance Sheet'!D35/'Balance Sheet'!C35-1,0)</f>
        <v>0.43852167732764746</v>
      </c>
      <c r="E44" s="159">
        <f>IFERROR('Balance Sheet'!E35/'Balance Sheet'!D35-1,0)</f>
        <v>-6.8675889328063233E-2</v>
      </c>
      <c r="F44" s="159">
        <f>IFERROR('Balance Sheet'!F35/'Balance Sheet'!E35-1,0)</f>
        <v>4.7745358090185652E-2</v>
      </c>
      <c r="G44" s="159">
        <f>IFERROR('Balance Sheet'!G35/'Balance Sheet'!F35-1,0)</f>
        <v>0.29392405063291149</v>
      </c>
      <c r="H44" s="159">
        <f>IFERROR('Balance Sheet'!H35/'Balance Sheet'!G35-1,0)</f>
        <v>1.3279201721776559</v>
      </c>
      <c r="I44" s="159">
        <f>IFERROR('Balance Sheet'!I35/'Balance Sheet'!H35-1,0)</f>
        <v>0.47713901496049749</v>
      </c>
      <c r="J44" s="159">
        <f>IFERROR('Balance Sheet'!J35/'Balance Sheet'!I35-1,0)</f>
        <v>8.5689900426742627E-2</v>
      </c>
      <c r="K44" s="162">
        <f>IFERROR('Balance Sheet'!K35/'Balance Sheet'!J35-1,0)</f>
        <v>0.19228551962685403</v>
      </c>
      <c r="L44" s="59"/>
    </row>
    <row r="45" spans="1:12" s="94" customFormat="1" x14ac:dyDescent="0.15">
      <c r="A45" s="183"/>
      <c r="B45" s="108"/>
      <c r="C45" s="108"/>
      <c r="D45" s="108"/>
      <c r="E45" s="108"/>
      <c r="F45" s="108"/>
      <c r="G45" s="108"/>
      <c r="H45" s="108"/>
      <c r="I45" s="108"/>
      <c r="J45" s="108"/>
      <c r="K45" s="163"/>
      <c r="L45" s="105"/>
    </row>
    <row r="46" spans="1:12" x14ac:dyDescent="0.15">
      <c r="A46" s="79" t="s">
        <v>169</v>
      </c>
      <c r="B46" s="170"/>
      <c r="C46" s="103">
        <f>IFERROR('Balance Sheet'!C37/'Balance Sheet'!B37-1,0)</f>
        <v>0</v>
      </c>
      <c r="D46" s="103">
        <f>IFERROR('Balance Sheet'!D37/'Balance Sheet'!C37-1,0)</f>
        <v>-0.64367816091954022</v>
      </c>
      <c r="E46" s="103">
        <f>IFERROR('Balance Sheet'!E37/'Balance Sheet'!D37-1,0)</f>
        <v>0</v>
      </c>
      <c r="F46" s="103">
        <f>IFERROR('Balance Sheet'!F37/'Balance Sheet'!E37-1,0)</f>
        <v>0</v>
      </c>
      <c r="G46" s="103">
        <f>IFERROR('Balance Sheet'!G37/'Balance Sheet'!F37-1,0)</f>
        <v>0</v>
      </c>
      <c r="H46" s="103">
        <f>IFERROR('Balance Sheet'!H37/'Balance Sheet'!G37-1,0)</f>
        <v>0</v>
      </c>
      <c r="I46" s="103">
        <f>IFERROR('Balance Sheet'!I37/'Balance Sheet'!H37-1,0)</f>
        <v>0</v>
      </c>
      <c r="J46" s="103">
        <f>IFERROR('Balance Sheet'!J37/'Balance Sheet'!I37-1,0)</f>
        <v>0</v>
      </c>
      <c r="K46" s="161">
        <f>IFERROR('Balance Sheet'!K37/'Balance Sheet'!J37-1,0)</f>
        <v>0</v>
      </c>
      <c r="L46" s="59"/>
    </row>
    <row r="47" spans="1:12" x14ac:dyDescent="0.15">
      <c r="A47" s="79" t="s">
        <v>170</v>
      </c>
      <c r="B47" s="175"/>
      <c r="C47" s="107">
        <f>IFERROR('Balance Sheet'!C38/'Balance Sheet'!B38-1,0)</f>
        <v>0.32625994694960214</v>
      </c>
      <c r="D47" s="107">
        <f>IFERROR('Balance Sheet'!D38/'Balance Sheet'!C38-1,0)</f>
        <v>0</v>
      </c>
      <c r="E47" s="107">
        <f>IFERROR('Balance Sheet'!E38/'Balance Sheet'!D38-1,0)</f>
        <v>0</v>
      </c>
      <c r="F47" s="107">
        <f>IFERROR('Balance Sheet'!F38/'Balance Sheet'!E38-1,0)</f>
        <v>0</v>
      </c>
      <c r="G47" s="107">
        <f>IFERROR('Balance Sheet'!G38/'Balance Sheet'!F38-1,0)</f>
        <v>0</v>
      </c>
      <c r="H47" s="107">
        <f>IFERROR('Balance Sheet'!H38/'Balance Sheet'!G38-1,0)</f>
        <v>0</v>
      </c>
      <c r="I47" s="107">
        <f>IFERROR('Balance Sheet'!I38/'Balance Sheet'!H38-1,0)</f>
        <v>2</v>
      </c>
      <c r="J47" s="107">
        <f>IFERROR('Balance Sheet'!J38/'Balance Sheet'!I38-1,0)</f>
        <v>-0.33333333333333337</v>
      </c>
      <c r="K47" s="164">
        <f>IFERROR('Balance Sheet'!K38/'Balance Sheet'!J38-1,0)</f>
        <v>0</v>
      </c>
      <c r="L47" s="59"/>
    </row>
    <row r="48" spans="1:12" x14ac:dyDescent="0.15">
      <c r="A48" s="79" t="s">
        <v>171</v>
      </c>
      <c r="B48" s="170"/>
      <c r="C48" s="103">
        <f>IFERROR('Balance Sheet'!C39/'Balance Sheet'!B39-1,0)</f>
        <v>8.1686247695256009E-2</v>
      </c>
      <c r="D48" s="103">
        <f>IFERROR('Balance Sheet'!D39/'Balance Sheet'!C39-1,0)</f>
        <v>0.12901678657074345</v>
      </c>
      <c r="E48" s="103">
        <f>IFERROR('Balance Sheet'!E39/'Balance Sheet'!D39-1,0)</f>
        <v>0.13657604078164831</v>
      </c>
      <c r="F48" s="103">
        <f>IFERROR('Balance Sheet'!F39/'Balance Sheet'!E39-1,0)</f>
        <v>0.13081666978134932</v>
      </c>
      <c r="G48" s="103">
        <f>IFERROR('Balance Sheet'!G39/'Balance Sheet'!F39-1,0)</f>
        <v>0.16427036853412669</v>
      </c>
      <c r="H48" s="103">
        <f>IFERROR('Balance Sheet'!H39/'Balance Sheet'!G39-1,0)</f>
        <v>0.23789921930447133</v>
      </c>
      <c r="I48" s="103">
        <f>IFERROR('Balance Sheet'!I39/'Balance Sheet'!H39-1,0)</f>
        <v>0.19080380690287813</v>
      </c>
      <c r="J48" s="103">
        <f>IFERROR('Balance Sheet'!J39/'Balance Sheet'!I39-1,0)</f>
        <v>0.15272026961964369</v>
      </c>
      <c r="K48" s="161">
        <f>IFERROR('Balance Sheet'!K39/'Balance Sheet'!J39-1,0)</f>
        <v>9.6984378915712988E-2</v>
      </c>
      <c r="L48" s="59"/>
    </row>
    <row r="49" spans="1:12" x14ac:dyDescent="0.15">
      <c r="A49" s="79" t="s">
        <v>59</v>
      </c>
      <c r="B49" s="176"/>
      <c r="C49" s="104">
        <f>IFERROR('Balance Sheet'!C40/'Balance Sheet'!B40-1,0)</f>
        <v>0.10157900587939306</v>
      </c>
      <c r="D49" s="104">
        <f>IFERROR('Balance Sheet'!D40/'Balance Sheet'!C40-1,0)</f>
        <v>0.40413793103448281</v>
      </c>
      <c r="E49" s="104">
        <f>IFERROR('Balance Sheet'!E40/'Balance Sheet'!D40-1,0)</f>
        <v>0.43860510805500974</v>
      </c>
      <c r="F49" s="104">
        <f>IFERROR('Balance Sheet'!F40/'Balance Sheet'!E40-1,0)</f>
        <v>0.42995334016160247</v>
      </c>
      <c r="G49" s="104">
        <f>IFERROR('Balance Sheet'!G40/'Balance Sheet'!F40-1,0)</f>
        <v>0.19148428173497822</v>
      </c>
      <c r="H49" s="104">
        <f>IFERROR('Balance Sheet'!H40/'Balance Sheet'!G40-1,0)</f>
        <v>0.26297508516465173</v>
      </c>
      <c r="I49" s="104">
        <f>IFERROR('Balance Sheet'!I40/'Balance Sheet'!H40-1,0)</f>
        <v>-0.1413687328115083</v>
      </c>
      <c r="J49" s="104">
        <f>IFERROR('Balance Sheet'!J40/'Balance Sheet'!I40-1,0)</f>
        <v>-0.37351401293501696</v>
      </c>
      <c r="K49" s="166">
        <f>IFERROR('Balance Sheet'!K40/'Balance Sheet'!J40-1,0)</f>
        <v>1.9315701504276865</v>
      </c>
      <c r="L49" s="59"/>
    </row>
    <row r="50" spans="1:12" x14ac:dyDescent="0.15">
      <c r="A50" s="259" t="s">
        <v>172</v>
      </c>
      <c r="B50" s="177"/>
      <c r="C50" s="104">
        <f>IFERROR('Balance Sheet'!C41/'Balance Sheet'!B41-1,0)</f>
        <v>-1.5099439061703213</v>
      </c>
      <c r="D50" s="104">
        <f>IFERROR('Balance Sheet'!D41/'Balance Sheet'!C41-1,0)</f>
        <v>3</v>
      </c>
      <c r="E50" s="104">
        <f>IFERROR('Balance Sheet'!E41/'Balance Sheet'!D41-1,0)</f>
        <v>0.125</v>
      </c>
      <c r="F50" s="104">
        <f>IFERROR('Balance Sheet'!F41/'Balance Sheet'!E41-1,0)</f>
        <v>-0.33333333333333337</v>
      </c>
      <c r="G50" s="104">
        <f>IFERROR('Balance Sheet'!G41/'Balance Sheet'!F41-1,0)</f>
        <v>-1.0833333333333333</v>
      </c>
      <c r="H50" s="104">
        <f>IFERROR('Balance Sheet'!H41/'Balance Sheet'!G41-1,0)</f>
        <v>18</v>
      </c>
      <c r="I50" s="104">
        <f>IFERROR('Balance Sheet'!I41/'Balance Sheet'!H41-1,0)</f>
        <v>-1.5789473684210527</v>
      </c>
      <c r="J50" s="104">
        <f>IFERROR('Balance Sheet'!J41/'Balance Sheet'!I41-1,0)</f>
        <v>2.9090909090909092</v>
      </c>
      <c r="K50" s="166">
        <f>IFERROR('Balance Sheet'!K41/'Balance Sheet'!J41-1,0)</f>
        <v>-1.6279069767441861</v>
      </c>
      <c r="L50" s="59"/>
    </row>
    <row r="51" spans="1:12" x14ac:dyDescent="0.15">
      <c r="A51" s="86" t="s">
        <v>173</v>
      </c>
      <c r="B51" s="178"/>
      <c r="C51" s="120">
        <f>IFERROR('Balance Sheet'!C42/'Balance Sheet'!B42-1,0)</f>
        <v>0.19248744691913733</v>
      </c>
      <c r="D51" s="104">
        <f>IFERROR('Balance Sheet'!D42/'Balance Sheet'!C42-1,0)</f>
        <v>0.24481225296442677</v>
      </c>
      <c r="E51" s="104">
        <f>IFERROR('Balance Sheet'!E42/'Balance Sheet'!D42-1,0)</f>
        <v>0.31970629093074021</v>
      </c>
      <c r="F51" s="104">
        <f>IFERROR('Balance Sheet'!F42/'Balance Sheet'!E42-1,0)</f>
        <v>0.39293233082706758</v>
      </c>
      <c r="G51" s="104">
        <f>IFERROR('Balance Sheet'!G42/'Balance Sheet'!F42-1,0)</f>
        <v>5.9483968476735427E-2</v>
      </c>
      <c r="H51" s="104">
        <f>IFERROR('Balance Sheet'!H42/'Balance Sheet'!G42-1,0)</f>
        <v>9.5985327083757843E-2</v>
      </c>
      <c r="I51" s="104">
        <f>IFERROR('Balance Sheet'!I42/'Balance Sheet'!H42-1,0)</f>
        <v>0</v>
      </c>
      <c r="J51" s="104">
        <f>IFERROR('Balance Sheet'!J42/'Balance Sheet'!I42-1,0)</f>
        <v>0</v>
      </c>
      <c r="K51" s="166">
        <f>IFERROR('Balance Sheet'!K42/'Balance Sheet'!J42-1,0)</f>
        <v>0</v>
      </c>
    </row>
    <row r="52" spans="1:12" x14ac:dyDescent="0.15">
      <c r="A52" s="86" t="s">
        <v>174</v>
      </c>
      <c r="B52" s="178"/>
      <c r="C52" s="120">
        <f>IFERROR('Balance Sheet'!C43/'Balance Sheet'!B43-1,0)</f>
        <v>0</v>
      </c>
      <c r="D52" s="104">
        <f>IFERROR('Balance Sheet'!D43/'Balance Sheet'!C43-1,0)</f>
        <v>0</v>
      </c>
      <c r="E52" s="104">
        <f>IFERROR('Balance Sheet'!E43/'Balance Sheet'!D43-1,0)</f>
        <v>0</v>
      </c>
      <c r="F52" s="104">
        <f>IFERROR('Balance Sheet'!F43/'Balance Sheet'!E43-1,0)</f>
        <v>0</v>
      </c>
      <c r="G52" s="104">
        <f>IFERROR('Balance Sheet'!G43/'Balance Sheet'!F43-1,0)</f>
        <v>0</v>
      </c>
      <c r="H52" s="104">
        <f>IFERROR('Balance Sheet'!H43/'Balance Sheet'!G43-1,0)</f>
        <v>0</v>
      </c>
      <c r="I52" s="104">
        <f>IFERROR('Balance Sheet'!I43/'Balance Sheet'!H43-1,0)</f>
        <v>0</v>
      </c>
      <c r="J52" s="104">
        <f>IFERROR('Balance Sheet'!J43/'Balance Sheet'!I43-1,0)</f>
        <v>0</v>
      </c>
      <c r="K52" s="166">
        <f>IFERROR('Balance Sheet'!K43/'Balance Sheet'!J43-1,0)</f>
        <v>0</v>
      </c>
    </row>
    <row r="53" spans="1:12" x14ac:dyDescent="0.15">
      <c r="A53" s="184" t="s">
        <v>60</v>
      </c>
      <c r="B53" s="179"/>
      <c r="C53" s="160">
        <f>IFERROR('Balance Sheet'!C44/'Balance Sheet'!B44-1,0)</f>
        <v>3.1240054848571175E-2</v>
      </c>
      <c r="D53" s="159">
        <f>IFERROR('Balance Sheet'!D44/'Balance Sheet'!C44-1,0)</f>
        <v>0.27151009657594383</v>
      </c>
      <c r="E53" s="159">
        <f>IFERROR('Balance Sheet'!E44/'Balance Sheet'!D44-1,0)</f>
        <v>0.28965993440359061</v>
      </c>
      <c r="F53" s="159">
        <f>IFERROR('Balance Sheet'!F44/'Balance Sheet'!E44-1,0)</f>
        <v>0.25043501539285229</v>
      </c>
      <c r="G53" s="159">
        <f>IFERROR('Balance Sheet'!G44/'Balance Sheet'!F44-1,0)</f>
        <v>0.30635838150289008</v>
      </c>
      <c r="H53" s="159">
        <f>IFERROR('Balance Sheet'!H44/'Balance Sheet'!G44-1,0)</f>
        <v>0.38421828908554567</v>
      </c>
      <c r="I53" s="159">
        <f>IFERROR('Balance Sheet'!I44/'Balance Sheet'!H44-1,0)</f>
        <v>0.57532705854495947</v>
      </c>
      <c r="J53" s="159">
        <f>IFERROR('Balance Sheet'!J44/'Balance Sheet'!I44-1,0)</f>
        <v>-0.16950999549075607</v>
      </c>
      <c r="K53" s="162">
        <f>IFERROR('Balance Sheet'!K44/'Balance Sheet'!J44-1,0)</f>
        <v>0.9446178905931859</v>
      </c>
    </row>
    <row r="54" spans="1:12" ht="14" thickBot="1" x14ac:dyDescent="0.2">
      <c r="A54" s="185" t="s">
        <v>61</v>
      </c>
      <c r="B54" s="180"/>
      <c r="C54" s="167">
        <f>IFERROR('Balance Sheet'!C45/'Balance Sheet'!B45-1,0)</f>
        <v>2.3416661945341533E-2</v>
      </c>
      <c r="D54" s="168">
        <f>IFERROR('Balance Sheet'!D45/'Balance Sheet'!C45-1,0)</f>
        <v>0.33527815468113986</v>
      </c>
      <c r="E54" s="168">
        <f>IFERROR('Balance Sheet'!E45/'Balance Sheet'!D45-1,0)</f>
        <v>0.14226196524743417</v>
      </c>
      <c r="F54" s="168">
        <f>IFERROR('Balance Sheet'!F45/'Balance Sheet'!E45-1,0)</f>
        <v>0.18245707677252909</v>
      </c>
      <c r="G54" s="168">
        <f>IFERROR('Balance Sheet'!G45/'Balance Sheet'!F45-1,0)</f>
        <v>0.30266325609389111</v>
      </c>
      <c r="H54" s="168">
        <f>IFERROR('Balance Sheet'!H45/'Balance Sheet'!G45-1,0)</f>
        <v>0.66277793820386943</v>
      </c>
      <c r="I54" s="168">
        <f>IFERROR('Balance Sheet'!I45/'Balance Sheet'!H45-1,0)</f>
        <v>0.53475044284672291</v>
      </c>
      <c r="J54" s="168">
        <f>IFERROR('Balance Sheet'!J45/'Balance Sheet'!I45-1,0)</f>
        <v>-6.8006427229728161E-2</v>
      </c>
      <c r="K54" s="169">
        <f>IFERROR('Balance Sheet'!K45/'Balance Sheet'!J45-1,0)</f>
        <v>0.59603710358894668</v>
      </c>
    </row>
  </sheetData>
  <sheetProtection formatCells="0" formatColumns="0" formatRows="0" insertColumns="0" insertRows="0" insertHyperlinks="0" deleteColumns="0" deleteRows="0" sort="0" autoFilter="0" pivotTables="0"/>
  <pageMargins left="0.7" right="0.7" top="0.75" bottom="0.75" header="0.3" footer="0.3"/>
  <pageSetup orientation="portrait"/>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2ECDA-AB6D-46C7-89C4-90568801905F}">
  <sheetPr>
    <tabColor rgb="FFFFC000"/>
  </sheetPr>
  <dimension ref="A1"/>
  <sheetViews>
    <sheetView topLeftCell="A13" workbookViewId="0">
      <selection activeCell="G43" sqref="G43"/>
    </sheetView>
  </sheetViews>
  <sheetFormatPr baseColWidth="10" defaultColWidth="11.5" defaultRowHeight="13" x14ac:dyDescent="0.15"/>
  <cols>
    <col min="1" max="16384" width="11.5" style="52"/>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DCF Model</vt:lpstr>
      <vt:lpstr>Relative Val</vt:lpstr>
      <vt:lpstr>Balance Sheet</vt:lpstr>
      <vt:lpstr>Projected BS</vt:lpstr>
      <vt:lpstr>Projected BS Graphs</vt:lpstr>
      <vt:lpstr>Quarterly BS</vt:lpstr>
      <vt:lpstr>BS CS Vertical</vt:lpstr>
      <vt:lpstr>BS CS Horizontal</vt:lpstr>
      <vt:lpstr>BS Graphs</vt:lpstr>
      <vt:lpstr>Cash Flows</vt:lpstr>
      <vt:lpstr>Income Statement</vt:lpstr>
      <vt:lpstr>Projected IS</vt:lpstr>
      <vt:lpstr>Quarterly IS</vt:lpstr>
      <vt:lpstr>Projected IS Graph</vt:lpstr>
      <vt:lpstr>IS CS Vertical</vt:lpstr>
      <vt:lpstr>IS CS Horizontal</vt:lpstr>
      <vt:lpstr>IS Size Graph</vt:lpstr>
      <vt:lpstr>IS Graphs</vt:lpstr>
      <vt:lpstr>Fin Ratio Graph</vt:lpstr>
      <vt:lpstr>Retained Earnings</vt:lpstr>
      <vt:lpstr>Market Share</vt:lpstr>
      <vt:lpstr>Revenue BreakDown</vt:lpstr>
      <vt:lpstr>BOD</vt:lpstr>
      <vt:lpstr>SWOT &amp; Porter</vt:lpstr>
      <vt:lpstr>Quick facts chart</vt:lpstr>
    </vt:vector>
  </TitlesOfParts>
  <Manager/>
  <Company>Microsoft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Mazen Alhaffar</cp:lastModifiedBy>
  <cp:revision/>
  <dcterms:created xsi:type="dcterms:W3CDTF">2025-01-14T16:23:33Z</dcterms:created>
  <dcterms:modified xsi:type="dcterms:W3CDTF">2025-03-01T22:43:14Z</dcterms:modified>
  <cp:category/>
  <cp:contentStatus/>
</cp:coreProperties>
</file>