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64" windowWidth="20100" windowHeight="9024" activeTab="6"/>
  </bookViews>
  <sheets>
    <sheet name="start" sheetId="7" r:id="rId1"/>
    <sheet name="korelacje" sheetId="31" r:id="rId2"/>
    <sheet name="Zestawienie" sheetId="15" r:id="rId3"/>
    <sheet name="Gini" sheetId="2" r:id="rId4"/>
    <sheet name="locational Gini" sheetId="16" r:id="rId5"/>
    <sheet name="Guillain and LeGallo" sheetId="17" r:id="rId6"/>
    <sheet name="LQ" sheetId="1" r:id="rId7"/>
    <sheet name="cluster. index" sheetId="18" r:id="rId8"/>
    <sheet name="cluster2" sheetId="32" r:id="rId9"/>
    <sheet name="cluster3" sheetId="33" r:id="rId10"/>
    <sheet name="Ogive" sheetId="3" r:id="rId11"/>
    <sheet name="diversif.index" sheetId="29" r:id="rId12"/>
    <sheet name="Krugman" sheetId="5" r:id="rId13"/>
    <sheet name="Entropia" sheetId="6" r:id="rId14"/>
    <sheet name="KLD" sheetId="22" r:id="rId15"/>
    <sheet name="Hallet" sheetId="8" r:id="rId16"/>
    <sheet name="Lilien" sheetId="9" r:id="rId17"/>
    <sheet name="Geogr. concentr." sheetId="10" r:id="rId18"/>
    <sheet name="Brulhart" sheetId="11" r:id="rId19"/>
    <sheet name="NAI" sheetId="12" r:id="rId20"/>
    <sheet name="Hachman" sheetId="13" r:id="rId21"/>
    <sheet name="Agglomeration V" sheetId="14" r:id="rId22"/>
    <sheet name="Arbia and Piras" sheetId="19" r:id="rId23"/>
    <sheet name="Herfindahl" sheetId="20" r:id="rId24"/>
    <sheet name="EG big firms" sheetId="21" r:id="rId25"/>
    <sheet name="EG small firms" sheetId="23" r:id="rId26"/>
    <sheet name="EG very small firms" sheetId="24" r:id="rId27"/>
    <sheet name="MS big firms" sheetId="25" r:id="rId28"/>
    <sheet name="MS small firms" sheetId="26" r:id="rId29"/>
    <sheet name="RDI" sheetId="27" r:id="rId30"/>
  </sheets>
  <calcPr calcId="145621"/>
</workbook>
</file>

<file path=xl/calcChain.xml><?xml version="1.0" encoding="utf-8"?>
<calcChain xmlns="http://schemas.openxmlformats.org/spreadsheetml/2006/main">
  <c r="K6" i="3" l="1"/>
  <c r="D33" i="17" l="1"/>
  <c r="E33" i="17"/>
  <c r="F33" i="17"/>
  <c r="G33" i="17"/>
  <c r="H33" i="17"/>
  <c r="I33" i="17"/>
  <c r="D34" i="17"/>
  <c r="E34" i="17"/>
  <c r="F34" i="17"/>
  <c r="G34" i="17"/>
  <c r="H34" i="17"/>
  <c r="I34" i="17"/>
  <c r="D35" i="17"/>
  <c r="E35" i="17"/>
  <c r="F35" i="17"/>
  <c r="G35" i="17"/>
  <c r="H35" i="17"/>
  <c r="I35" i="17"/>
  <c r="D36" i="17"/>
  <c r="E36" i="17"/>
  <c r="F36" i="17"/>
  <c r="G36" i="17"/>
  <c r="H36" i="17"/>
  <c r="I36" i="17"/>
  <c r="D37" i="17"/>
  <c r="E37" i="17"/>
  <c r="F37" i="17"/>
  <c r="G37" i="17"/>
  <c r="H37" i="17"/>
  <c r="I37" i="17"/>
  <c r="E32" i="17"/>
  <c r="F32" i="17"/>
  <c r="G32" i="17"/>
  <c r="H32" i="17"/>
  <c r="I32" i="17"/>
  <c r="D32" i="17"/>
  <c r="E52" i="33"/>
  <c r="L56" i="33"/>
  <c r="E63" i="33"/>
  <c r="E61" i="33"/>
  <c r="E60" i="33"/>
  <c r="E53" i="33"/>
  <c r="F53" i="33"/>
  <c r="G53" i="33"/>
  <c r="H53" i="33"/>
  <c r="I53" i="33"/>
  <c r="J53" i="33"/>
  <c r="E54" i="33"/>
  <c r="F54" i="33"/>
  <c r="G54" i="33"/>
  <c r="H54" i="33"/>
  <c r="I54" i="33"/>
  <c r="J54" i="33"/>
  <c r="E55" i="33"/>
  <c r="F55" i="33"/>
  <c r="G55" i="33"/>
  <c r="H55" i="33"/>
  <c r="I55" i="33"/>
  <c r="J55" i="33"/>
  <c r="E56" i="33"/>
  <c r="F56" i="33"/>
  <c r="G56" i="33"/>
  <c r="H56" i="33"/>
  <c r="I56" i="33"/>
  <c r="J56" i="33"/>
  <c r="E57" i="33"/>
  <c r="F57" i="33"/>
  <c r="G57" i="33"/>
  <c r="H57" i="33"/>
  <c r="I57" i="33"/>
  <c r="J57" i="33"/>
  <c r="F52" i="33"/>
  <c r="G52" i="33"/>
  <c r="H52" i="33"/>
  <c r="I52" i="33"/>
  <c r="J52" i="33"/>
  <c r="E42" i="33"/>
  <c r="F42" i="33"/>
  <c r="G42" i="33"/>
  <c r="H42" i="33"/>
  <c r="I42" i="33"/>
  <c r="J42" i="33"/>
  <c r="E43" i="33"/>
  <c r="F43" i="33"/>
  <c r="G43" i="33"/>
  <c r="H43" i="33"/>
  <c r="I43" i="33"/>
  <c r="J43" i="33"/>
  <c r="E44" i="33"/>
  <c r="F44" i="33"/>
  <c r="G44" i="33"/>
  <c r="H44" i="33"/>
  <c r="I44" i="33"/>
  <c r="J44" i="33"/>
  <c r="E45" i="33"/>
  <c r="F45" i="33"/>
  <c r="G45" i="33"/>
  <c r="H45" i="33"/>
  <c r="I45" i="33"/>
  <c r="J45" i="33"/>
  <c r="E46" i="33"/>
  <c r="F46" i="33"/>
  <c r="G46" i="33"/>
  <c r="H46" i="33"/>
  <c r="I46" i="33"/>
  <c r="J46" i="33"/>
  <c r="F41" i="33"/>
  <c r="G41" i="33"/>
  <c r="H41" i="33"/>
  <c r="I41" i="33"/>
  <c r="J41" i="33"/>
  <c r="E41" i="33"/>
  <c r="L20" i="33"/>
  <c r="M20" i="33"/>
  <c r="N20" i="33"/>
  <c r="O20" i="33"/>
  <c r="P20" i="33"/>
  <c r="Q20" i="33"/>
  <c r="L21" i="33"/>
  <c r="M21" i="33"/>
  <c r="N21" i="33"/>
  <c r="O21" i="33"/>
  <c r="P21" i="33"/>
  <c r="Q21" i="33"/>
  <c r="L22" i="33"/>
  <c r="M22" i="33"/>
  <c r="N22" i="33"/>
  <c r="O22" i="33"/>
  <c r="P22" i="33"/>
  <c r="Q22" i="33"/>
  <c r="L23" i="33"/>
  <c r="M23" i="33"/>
  <c r="N23" i="33"/>
  <c r="O23" i="33"/>
  <c r="P23" i="33"/>
  <c r="Q23" i="33"/>
  <c r="L24" i="33"/>
  <c r="M24" i="33"/>
  <c r="N24" i="33"/>
  <c r="O24" i="33"/>
  <c r="P24" i="33"/>
  <c r="Q24" i="33"/>
  <c r="M19" i="33"/>
  <c r="N19" i="33"/>
  <c r="O19" i="33"/>
  <c r="P19" i="33"/>
  <c r="Q19" i="33"/>
  <c r="L19" i="33"/>
  <c r="J85" i="33"/>
  <c r="I85" i="33"/>
  <c r="H85" i="33"/>
  <c r="G85" i="33"/>
  <c r="F85" i="33"/>
  <c r="E85" i="33"/>
  <c r="J84" i="33"/>
  <c r="I84" i="33"/>
  <c r="H84" i="33"/>
  <c r="G84" i="33"/>
  <c r="F84" i="33"/>
  <c r="E84" i="33"/>
  <c r="J83" i="33"/>
  <c r="I83" i="33"/>
  <c r="H83" i="33"/>
  <c r="G83" i="33"/>
  <c r="F83" i="33"/>
  <c r="E83" i="33"/>
  <c r="J82" i="33"/>
  <c r="I82" i="33"/>
  <c r="H82" i="33"/>
  <c r="G82" i="33"/>
  <c r="F82" i="33"/>
  <c r="E82" i="33"/>
  <c r="J81" i="33"/>
  <c r="I81" i="33"/>
  <c r="H81" i="33"/>
  <c r="G81" i="33"/>
  <c r="F81" i="33"/>
  <c r="E81" i="33"/>
  <c r="J80" i="33"/>
  <c r="I80" i="33"/>
  <c r="H80" i="33"/>
  <c r="G80" i="33"/>
  <c r="F80" i="33"/>
  <c r="E80" i="33"/>
  <c r="E89" i="33" s="1"/>
  <c r="J74" i="33"/>
  <c r="I74" i="33"/>
  <c r="H74" i="33"/>
  <c r="G74" i="33"/>
  <c r="F74" i="33"/>
  <c r="E74" i="33"/>
  <c r="J73" i="33"/>
  <c r="I73" i="33"/>
  <c r="H73" i="33"/>
  <c r="G73" i="33"/>
  <c r="F73" i="33"/>
  <c r="E73" i="33"/>
  <c r="J72" i="33"/>
  <c r="I72" i="33"/>
  <c r="H72" i="33"/>
  <c r="G72" i="33"/>
  <c r="F72" i="33"/>
  <c r="E72" i="33"/>
  <c r="J71" i="33"/>
  <c r="I71" i="33"/>
  <c r="H71" i="33"/>
  <c r="G71" i="33"/>
  <c r="F71" i="33"/>
  <c r="E71" i="33"/>
  <c r="J70" i="33"/>
  <c r="I70" i="33"/>
  <c r="H70" i="33"/>
  <c r="G70" i="33"/>
  <c r="F70" i="33"/>
  <c r="E70" i="33"/>
  <c r="J69" i="33"/>
  <c r="I69" i="33"/>
  <c r="H69" i="33"/>
  <c r="G69" i="33"/>
  <c r="F69" i="33"/>
  <c r="E69" i="33"/>
  <c r="E88" i="33" s="1"/>
  <c r="E91" i="33" s="1"/>
  <c r="M53" i="33"/>
  <c r="M42" i="33"/>
  <c r="I35" i="33"/>
  <c r="H35" i="33"/>
  <c r="G35" i="33"/>
  <c r="F35" i="33"/>
  <c r="E35" i="33"/>
  <c r="J34" i="33"/>
  <c r="H34" i="33"/>
  <c r="G34" i="33"/>
  <c r="F34" i="33"/>
  <c r="E34" i="33"/>
  <c r="J33" i="33"/>
  <c r="I33" i="33"/>
  <c r="G33" i="33"/>
  <c r="F33" i="33"/>
  <c r="E33" i="33"/>
  <c r="J32" i="33"/>
  <c r="I32" i="33"/>
  <c r="H32" i="33"/>
  <c r="F32" i="33"/>
  <c r="E32" i="33"/>
  <c r="J31" i="33"/>
  <c r="I31" i="33"/>
  <c r="H31" i="33"/>
  <c r="G31" i="33"/>
  <c r="E31" i="33"/>
  <c r="J30" i="33"/>
  <c r="I30" i="33"/>
  <c r="H30" i="33"/>
  <c r="G30" i="33"/>
  <c r="M30" i="33" s="1"/>
  <c r="F30" i="33"/>
  <c r="M31" i="33" s="1"/>
  <c r="I15" i="33"/>
  <c r="H15" i="33"/>
  <c r="G15" i="33"/>
  <c r="F15" i="33"/>
  <c r="E15" i="33"/>
  <c r="D15" i="33"/>
  <c r="I14" i="33"/>
  <c r="H14" i="33"/>
  <c r="G14" i="33"/>
  <c r="F14" i="33"/>
  <c r="E14" i="33"/>
  <c r="D14" i="33"/>
  <c r="I13" i="33"/>
  <c r="H13" i="33"/>
  <c r="G13" i="33"/>
  <c r="F13" i="33"/>
  <c r="E13" i="33"/>
  <c r="D13" i="33"/>
  <c r="I12" i="33"/>
  <c r="H12" i="33"/>
  <c r="G12" i="33"/>
  <c r="F12" i="33"/>
  <c r="E12" i="33"/>
  <c r="D12" i="33"/>
  <c r="I11" i="33"/>
  <c r="H11" i="33"/>
  <c r="G11" i="33"/>
  <c r="F11" i="33"/>
  <c r="E11" i="33"/>
  <c r="D11" i="33"/>
  <c r="E42" i="18"/>
  <c r="E31" i="18"/>
  <c r="M78" i="6"/>
  <c r="N78" i="6"/>
  <c r="M79" i="6"/>
  <c r="N79" i="6"/>
  <c r="M80" i="6"/>
  <c r="N80" i="6"/>
  <c r="L80" i="6"/>
  <c r="L79" i="6"/>
  <c r="L78" i="6"/>
  <c r="D78" i="6"/>
  <c r="N70" i="6"/>
  <c r="N72" i="6"/>
  <c r="N74" i="6"/>
  <c r="N76" i="6"/>
  <c r="N68" i="6"/>
  <c r="M70" i="6"/>
  <c r="M72" i="6"/>
  <c r="M74" i="6"/>
  <c r="M76" i="6"/>
  <c r="M68" i="6"/>
  <c r="L70" i="6"/>
  <c r="L72" i="6"/>
  <c r="L74" i="6"/>
  <c r="L76" i="6"/>
  <c r="L68" i="6"/>
  <c r="J76" i="6"/>
  <c r="J74" i="6"/>
  <c r="J72" i="6"/>
  <c r="J70" i="6"/>
  <c r="J68" i="6"/>
  <c r="I76" i="6"/>
  <c r="H76" i="6"/>
  <c r="G76" i="6"/>
  <c r="F76" i="6"/>
  <c r="E76" i="6"/>
  <c r="D76" i="6"/>
  <c r="I74" i="6"/>
  <c r="H74" i="6"/>
  <c r="G74" i="6"/>
  <c r="F74" i="6"/>
  <c r="E74" i="6"/>
  <c r="D74" i="6"/>
  <c r="I72" i="6"/>
  <c r="H72" i="6"/>
  <c r="G72" i="6"/>
  <c r="F72" i="6"/>
  <c r="E72" i="6"/>
  <c r="D72" i="6"/>
  <c r="I70" i="6"/>
  <c r="H70" i="6"/>
  <c r="G70" i="6"/>
  <c r="F70" i="6"/>
  <c r="E70" i="6"/>
  <c r="D70" i="6"/>
  <c r="E68" i="6"/>
  <c r="F68" i="6"/>
  <c r="G68" i="6"/>
  <c r="H68" i="6"/>
  <c r="I68" i="6"/>
  <c r="D68" i="6"/>
  <c r="J69" i="6"/>
  <c r="J71" i="6"/>
  <c r="J73" i="6"/>
  <c r="J75" i="6"/>
  <c r="E69" i="6"/>
  <c r="F69" i="6"/>
  <c r="G69" i="6"/>
  <c r="H69" i="6"/>
  <c r="I69" i="6"/>
  <c r="E71" i="6"/>
  <c r="F71" i="6"/>
  <c r="G71" i="6"/>
  <c r="H71" i="6"/>
  <c r="I71" i="6"/>
  <c r="E73" i="6"/>
  <c r="F73" i="6"/>
  <c r="G73" i="6"/>
  <c r="H73" i="6"/>
  <c r="I73" i="6"/>
  <c r="E75" i="6"/>
  <c r="F75" i="6"/>
  <c r="G75" i="6"/>
  <c r="H75" i="6"/>
  <c r="I75" i="6"/>
  <c r="D75" i="6"/>
  <c r="D73" i="6"/>
  <c r="D71" i="6"/>
  <c r="D69" i="6"/>
  <c r="J67" i="6"/>
  <c r="E67" i="6"/>
  <c r="F67" i="6"/>
  <c r="G67" i="6"/>
  <c r="H67" i="6"/>
  <c r="I67" i="6"/>
  <c r="D67" i="6"/>
  <c r="M41" i="33" l="1"/>
  <c r="M52" i="33"/>
  <c r="D41" i="17"/>
  <c r="E40" i="17"/>
  <c r="D40" i="17"/>
  <c r="K14" i="13" l="1"/>
  <c r="H45" i="15" l="1"/>
  <c r="I45" i="15" s="1"/>
  <c r="G45" i="15"/>
  <c r="H48" i="15"/>
  <c r="G48" i="15"/>
  <c r="H47" i="15"/>
  <c r="G47" i="15"/>
  <c r="H44" i="15"/>
  <c r="I44" i="15" s="1"/>
  <c r="G44" i="15"/>
  <c r="H43" i="15"/>
  <c r="I43" i="15" s="1"/>
  <c r="G43" i="15"/>
  <c r="H42" i="15"/>
  <c r="I42" i="15" s="1"/>
  <c r="G42" i="15"/>
  <c r="H41" i="15"/>
  <c r="I41" i="15" s="1"/>
  <c r="G41" i="15"/>
  <c r="H40" i="15"/>
  <c r="I40" i="15" s="1"/>
  <c r="G40" i="15"/>
  <c r="H39" i="15"/>
  <c r="I39" i="15" s="1"/>
  <c r="G39" i="15"/>
  <c r="H38" i="15"/>
  <c r="I38" i="15" s="1"/>
  <c r="G38" i="15"/>
  <c r="F78" i="32"/>
  <c r="G78" i="32"/>
  <c r="H78" i="32"/>
  <c r="I78" i="32"/>
  <c r="J78" i="32"/>
  <c r="C81" i="32"/>
  <c r="C82" i="32"/>
  <c r="C83" i="32"/>
  <c r="C84" i="32"/>
  <c r="C85" i="32"/>
  <c r="F67" i="32"/>
  <c r="G67" i="32"/>
  <c r="H67" i="32"/>
  <c r="I67" i="32"/>
  <c r="J67" i="32"/>
  <c r="C70" i="32"/>
  <c r="C71" i="32"/>
  <c r="C72" i="32"/>
  <c r="C73" i="32"/>
  <c r="C74" i="32"/>
  <c r="C69" i="32"/>
  <c r="C80" i="32" s="1"/>
  <c r="F50" i="32"/>
  <c r="G50" i="32"/>
  <c r="H50" i="32"/>
  <c r="I50" i="32"/>
  <c r="J50" i="32"/>
  <c r="C53" i="32"/>
  <c r="C54" i="32"/>
  <c r="C55" i="32"/>
  <c r="C56" i="32"/>
  <c r="C57" i="32"/>
  <c r="C52" i="32"/>
  <c r="J39" i="32"/>
  <c r="I39" i="32"/>
  <c r="H39" i="32"/>
  <c r="G39" i="32"/>
  <c r="F39" i="32"/>
  <c r="E39" i="32"/>
  <c r="E67" i="32" s="1"/>
  <c r="E78" i="32" s="1"/>
  <c r="B70" i="32"/>
  <c r="B81" i="32" s="1"/>
  <c r="B71" i="32"/>
  <c r="B82" i="32" s="1"/>
  <c r="B72" i="32"/>
  <c r="B83" i="32" s="1"/>
  <c r="B73" i="32"/>
  <c r="B84" i="32" s="1"/>
  <c r="B74" i="32"/>
  <c r="B85" i="32" s="1"/>
  <c r="B69" i="32"/>
  <c r="B80" i="32" s="1"/>
  <c r="B53" i="32"/>
  <c r="B54" i="32"/>
  <c r="B55" i="32"/>
  <c r="B56" i="32"/>
  <c r="B57" i="32"/>
  <c r="B52" i="32"/>
  <c r="J38" i="32"/>
  <c r="J66" i="32" s="1"/>
  <c r="I38" i="32"/>
  <c r="I49" i="32" s="1"/>
  <c r="H38" i="32"/>
  <c r="H66" i="32" s="1"/>
  <c r="G38" i="32"/>
  <c r="G49" i="32" s="1"/>
  <c r="F38" i="32"/>
  <c r="F41" i="32" s="1"/>
  <c r="E38" i="32"/>
  <c r="E42" i="32" s="1"/>
  <c r="J85" i="32"/>
  <c r="I85" i="32"/>
  <c r="H85" i="32"/>
  <c r="G85" i="32"/>
  <c r="F85" i="32"/>
  <c r="J84" i="32"/>
  <c r="I84" i="32"/>
  <c r="H84" i="32"/>
  <c r="G84" i="32"/>
  <c r="F84" i="32"/>
  <c r="J83" i="32"/>
  <c r="I83" i="32"/>
  <c r="H83" i="32"/>
  <c r="G83" i="32"/>
  <c r="F83" i="32"/>
  <c r="J82" i="32"/>
  <c r="I82" i="32"/>
  <c r="H82" i="32"/>
  <c r="G82" i="32"/>
  <c r="F82" i="32"/>
  <c r="J81" i="32"/>
  <c r="I81" i="32"/>
  <c r="H81" i="32"/>
  <c r="G81" i="32"/>
  <c r="F81" i="32"/>
  <c r="I57" i="32"/>
  <c r="H57" i="32"/>
  <c r="G57" i="32"/>
  <c r="F57" i="32"/>
  <c r="J56" i="32"/>
  <c r="H56" i="32"/>
  <c r="G56" i="32"/>
  <c r="F56" i="32"/>
  <c r="J55" i="32"/>
  <c r="I55" i="32"/>
  <c r="G55" i="32"/>
  <c r="F55" i="32"/>
  <c r="J54" i="32"/>
  <c r="I54" i="32"/>
  <c r="H54" i="32"/>
  <c r="F54" i="32"/>
  <c r="J53" i="32"/>
  <c r="I53" i="32"/>
  <c r="H53" i="32"/>
  <c r="G53" i="32"/>
  <c r="J52" i="32"/>
  <c r="I52" i="32"/>
  <c r="H52" i="32"/>
  <c r="G52" i="32"/>
  <c r="F52" i="32"/>
  <c r="H46" i="32"/>
  <c r="F46" i="32"/>
  <c r="J45" i="32"/>
  <c r="H45" i="32"/>
  <c r="G45" i="32"/>
  <c r="F45" i="32"/>
  <c r="E45" i="32"/>
  <c r="J44" i="32"/>
  <c r="I44" i="32"/>
  <c r="F44" i="32"/>
  <c r="J43" i="32"/>
  <c r="H43" i="32"/>
  <c r="F43" i="32"/>
  <c r="E43" i="32"/>
  <c r="J42" i="32"/>
  <c r="I42" i="32"/>
  <c r="H42" i="32"/>
  <c r="G42" i="32"/>
  <c r="J41" i="32"/>
  <c r="I41" i="32"/>
  <c r="H41" i="32"/>
  <c r="I35" i="32"/>
  <c r="H35" i="32"/>
  <c r="G35" i="32"/>
  <c r="F35" i="32"/>
  <c r="E35" i="32"/>
  <c r="J34" i="32"/>
  <c r="H34" i="32"/>
  <c r="G34" i="32"/>
  <c r="F34" i="32"/>
  <c r="E34" i="32"/>
  <c r="J33" i="32"/>
  <c r="I33" i="32"/>
  <c r="G33" i="32"/>
  <c r="F33" i="32"/>
  <c r="E33" i="32"/>
  <c r="J32" i="32"/>
  <c r="I32" i="32"/>
  <c r="H32" i="32"/>
  <c r="F32" i="32"/>
  <c r="E32" i="32"/>
  <c r="J31" i="32"/>
  <c r="I31" i="32"/>
  <c r="H31" i="32"/>
  <c r="G31" i="32"/>
  <c r="E31" i="32"/>
  <c r="J30" i="32"/>
  <c r="I30" i="32"/>
  <c r="H30" i="32"/>
  <c r="G30" i="32"/>
  <c r="F30" i="32"/>
  <c r="M31" i="32" s="1"/>
  <c r="I15" i="32"/>
  <c r="H15" i="32"/>
  <c r="G15" i="32"/>
  <c r="F15" i="32"/>
  <c r="E15" i="32"/>
  <c r="D15" i="32"/>
  <c r="I14" i="32"/>
  <c r="H14" i="32"/>
  <c r="G14" i="32"/>
  <c r="F14" i="32"/>
  <c r="E14" i="32"/>
  <c r="D14" i="32"/>
  <c r="I13" i="32"/>
  <c r="H13" i="32"/>
  <c r="G13" i="32"/>
  <c r="F13" i="32"/>
  <c r="E13" i="32"/>
  <c r="D13" i="32"/>
  <c r="I12" i="32"/>
  <c r="H12" i="32"/>
  <c r="G12" i="32"/>
  <c r="F12" i="32"/>
  <c r="E12" i="32"/>
  <c r="D12" i="32"/>
  <c r="I11" i="32"/>
  <c r="H11" i="32"/>
  <c r="G11" i="32"/>
  <c r="F11" i="32"/>
  <c r="E11" i="32"/>
  <c r="D11" i="32"/>
  <c r="Q8" i="1"/>
  <c r="I47" i="15" l="1"/>
  <c r="I48" i="15"/>
  <c r="H49" i="32"/>
  <c r="J49" i="32"/>
  <c r="F49" i="32"/>
  <c r="H73" i="32"/>
  <c r="H71" i="32"/>
  <c r="H69" i="32"/>
  <c r="H77" i="32"/>
  <c r="H74" i="32"/>
  <c r="H72" i="32"/>
  <c r="H70" i="32"/>
  <c r="J73" i="32"/>
  <c r="J71" i="32"/>
  <c r="J69" i="32"/>
  <c r="J77" i="32"/>
  <c r="J74" i="32"/>
  <c r="J72" i="32"/>
  <c r="J70" i="32"/>
  <c r="I66" i="32"/>
  <c r="G66" i="32"/>
  <c r="G41" i="32"/>
  <c r="I43" i="32"/>
  <c r="E44" i="32"/>
  <c r="G44" i="32"/>
  <c r="E46" i="32"/>
  <c r="G46" i="32"/>
  <c r="I46" i="32"/>
  <c r="F66" i="32"/>
  <c r="E85" i="32"/>
  <c r="E84" i="32"/>
  <c r="E83" i="32"/>
  <c r="E82" i="32"/>
  <c r="E81" i="32"/>
  <c r="E80" i="32"/>
  <c r="J80" i="32"/>
  <c r="H80" i="32"/>
  <c r="F80" i="32"/>
  <c r="I80" i="32"/>
  <c r="G80" i="32"/>
  <c r="E49" i="32"/>
  <c r="E66" i="32"/>
  <c r="E50" i="32"/>
  <c r="E60" i="32"/>
  <c r="M30" i="32"/>
  <c r="M41" i="32"/>
  <c r="M42" i="32"/>
  <c r="F73" i="32" l="1"/>
  <c r="F71" i="32"/>
  <c r="F69" i="32"/>
  <c r="F77" i="32"/>
  <c r="F74" i="32"/>
  <c r="F72" i="32"/>
  <c r="F70" i="32"/>
  <c r="G77" i="32"/>
  <c r="G74" i="32"/>
  <c r="G72" i="32"/>
  <c r="G70" i="32"/>
  <c r="G73" i="32"/>
  <c r="G71" i="32"/>
  <c r="G69" i="32"/>
  <c r="I77" i="32"/>
  <c r="I74" i="32"/>
  <c r="I72" i="32"/>
  <c r="I70" i="32"/>
  <c r="I73" i="32"/>
  <c r="I71" i="32"/>
  <c r="I69" i="32"/>
  <c r="E57" i="32"/>
  <c r="E55" i="32"/>
  <c r="E53" i="32"/>
  <c r="E56" i="32"/>
  <c r="E54" i="32"/>
  <c r="E89" i="32"/>
  <c r="E77" i="32"/>
  <c r="E74" i="32"/>
  <c r="E73" i="32"/>
  <c r="E72" i="32"/>
  <c r="E71" i="32"/>
  <c r="E70" i="32"/>
  <c r="E69" i="32"/>
  <c r="I29" i="15"/>
  <c r="J29" i="15"/>
  <c r="K29" i="15" s="1"/>
  <c r="I30" i="15"/>
  <c r="J30" i="15"/>
  <c r="I26" i="15"/>
  <c r="J26" i="15"/>
  <c r="K26" i="15" s="1"/>
  <c r="I28" i="15"/>
  <c r="J28" i="15"/>
  <c r="K28" i="15" s="1"/>
  <c r="J27" i="15"/>
  <c r="I27" i="15"/>
  <c r="J8" i="15"/>
  <c r="J10" i="15"/>
  <c r="J11" i="15"/>
  <c r="J12" i="15"/>
  <c r="J7" i="15"/>
  <c r="J5" i="15"/>
  <c r="J9" i="15"/>
  <c r="J6" i="15"/>
  <c r="J15" i="15"/>
  <c r="J14" i="15"/>
  <c r="J13" i="15"/>
  <c r="I8" i="15"/>
  <c r="I10" i="15"/>
  <c r="I11" i="15"/>
  <c r="I12" i="15"/>
  <c r="I7" i="15"/>
  <c r="I5" i="15"/>
  <c r="I9" i="15"/>
  <c r="I6" i="15"/>
  <c r="I15" i="15"/>
  <c r="I14" i="15"/>
  <c r="I13" i="15"/>
  <c r="E88" i="32" l="1"/>
  <c r="E91" i="32" s="1"/>
  <c r="E61" i="32"/>
  <c r="E63" i="32" s="1"/>
  <c r="M53" i="32"/>
  <c r="L56" i="32" s="1"/>
  <c r="M52" i="32"/>
  <c r="K27" i="15"/>
  <c r="K30" i="15"/>
  <c r="K14" i="15"/>
  <c r="K6" i="15"/>
  <c r="K5" i="15"/>
  <c r="K12" i="15"/>
  <c r="K10" i="15"/>
  <c r="K13" i="15"/>
  <c r="K15" i="15"/>
  <c r="K9" i="15"/>
  <c r="K7" i="15"/>
  <c r="K11" i="15"/>
  <c r="K8" i="15"/>
  <c r="K6" i="29"/>
  <c r="K7" i="29"/>
  <c r="K8" i="29"/>
  <c r="K5" i="29"/>
  <c r="K9" i="29"/>
  <c r="L9" i="29"/>
  <c r="H15" i="29"/>
  <c r="H16" i="29"/>
  <c r="H17" i="29"/>
  <c r="H14" i="29"/>
  <c r="I14" i="29" s="1"/>
  <c r="D15" i="29"/>
  <c r="D16" i="29"/>
  <c r="D17" i="29"/>
  <c r="D14" i="29"/>
  <c r="E14" i="29" s="1"/>
  <c r="Q9" i="29"/>
  <c r="N8" i="29"/>
  <c r="L8" i="29"/>
  <c r="N7" i="29"/>
  <c r="L7" i="29"/>
  <c r="N6" i="29"/>
  <c r="L6" i="29"/>
  <c r="R5" i="29"/>
  <c r="N5" i="29"/>
  <c r="N9" i="29" s="1"/>
  <c r="L5" i="29"/>
  <c r="F13" i="2"/>
  <c r="G13" i="2"/>
  <c r="H13" i="2"/>
  <c r="I13" i="2"/>
  <c r="J13" i="2"/>
  <c r="E13" i="2"/>
  <c r="O6" i="2"/>
  <c r="O7" i="2"/>
  <c r="O8" i="2"/>
  <c r="O5" i="2"/>
  <c r="E11" i="2"/>
  <c r="F10" i="2"/>
  <c r="E10" i="2"/>
  <c r="N5" i="2"/>
  <c r="M5" i="2"/>
  <c r="L5" i="2"/>
  <c r="R9" i="29" l="1"/>
  <c r="O5" i="29"/>
  <c r="R6" i="29"/>
  <c r="R7" i="29" s="1"/>
  <c r="R8" i="29" s="1"/>
  <c r="I15" i="29"/>
  <c r="I16" i="29" s="1"/>
  <c r="I17" i="29" s="1"/>
  <c r="E15" i="29"/>
  <c r="E16" i="29" s="1"/>
  <c r="E17" i="29" s="1"/>
  <c r="M12" i="1"/>
  <c r="D16" i="27"/>
  <c r="E16" i="27"/>
  <c r="F16" i="27"/>
  <c r="G16" i="27"/>
  <c r="H16" i="27"/>
  <c r="C16" i="27"/>
  <c r="K27" i="20"/>
  <c r="D27" i="20"/>
  <c r="H13" i="27"/>
  <c r="C13" i="27"/>
  <c r="D13" i="27"/>
  <c r="E13" i="27"/>
  <c r="F13" i="27"/>
  <c r="G13" i="27"/>
  <c r="K37" i="5"/>
  <c r="K38" i="5"/>
  <c r="K39" i="5"/>
  <c r="K36" i="5"/>
  <c r="E23" i="5"/>
  <c r="F23" i="5"/>
  <c r="G23" i="5"/>
  <c r="H23" i="5"/>
  <c r="I23" i="5"/>
  <c r="D23" i="5"/>
  <c r="E18" i="29" l="1"/>
  <c r="D22" i="29" s="1"/>
  <c r="O6" i="29"/>
  <c r="O7" i="29" s="1"/>
  <c r="O8" i="29" s="1"/>
  <c r="I18" i="29"/>
  <c r="J36" i="5"/>
  <c r="E18" i="5"/>
  <c r="D37" i="5"/>
  <c r="D36" i="5"/>
  <c r="J12" i="5"/>
  <c r="D18" i="5"/>
  <c r="D22" i="5"/>
  <c r="E29" i="5"/>
  <c r="I37" i="5"/>
  <c r="H37" i="5"/>
  <c r="J37" i="5"/>
  <c r="J38" i="5"/>
  <c r="J39" i="5"/>
  <c r="E37" i="5"/>
  <c r="F37" i="5"/>
  <c r="G37" i="5"/>
  <c r="D38" i="5"/>
  <c r="E38" i="5"/>
  <c r="F38" i="5"/>
  <c r="G38" i="5"/>
  <c r="H38" i="5"/>
  <c r="I38" i="5"/>
  <c r="D39" i="5"/>
  <c r="E39" i="5"/>
  <c r="F39" i="5"/>
  <c r="G39" i="5"/>
  <c r="H39" i="5"/>
  <c r="I39" i="5"/>
  <c r="E36" i="5"/>
  <c r="F36" i="5"/>
  <c r="G36" i="5"/>
  <c r="H36" i="5"/>
  <c r="I36" i="5"/>
  <c r="E33" i="5"/>
  <c r="F33" i="5"/>
  <c r="G33" i="5"/>
  <c r="H33" i="5"/>
  <c r="I33" i="5"/>
  <c r="D33" i="5"/>
  <c r="D30" i="5"/>
  <c r="E30" i="5"/>
  <c r="F30" i="5"/>
  <c r="G30" i="5"/>
  <c r="H30" i="5"/>
  <c r="I30" i="5"/>
  <c r="D31" i="5"/>
  <c r="E31" i="5"/>
  <c r="F31" i="5"/>
  <c r="G31" i="5"/>
  <c r="H31" i="5"/>
  <c r="I31" i="5"/>
  <c r="D32" i="5"/>
  <c r="E32" i="5"/>
  <c r="F32" i="5"/>
  <c r="G32" i="5"/>
  <c r="H32" i="5"/>
  <c r="I32" i="5"/>
  <c r="F29" i="5"/>
  <c r="G29" i="5"/>
  <c r="H29" i="5"/>
  <c r="I29" i="5"/>
  <c r="D29" i="5"/>
  <c r="D12" i="5"/>
  <c r="O9" i="29" l="1"/>
  <c r="H26" i="26"/>
  <c r="F32" i="26" s="1"/>
  <c r="K32" i="26" s="1"/>
  <c r="H25" i="26"/>
  <c r="G31" i="26" s="1"/>
  <c r="L31" i="26" s="1"/>
  <c r="H24" i="26"/>
  <c r="F30" i="26" s="1"/>
  <c r="K30" i="26" s="1"/>
  <c r="H23" i="26"/>
  <c r="G29" i="26" s="1"/>
  <c r="L29" i="26" s="1"/>
  <c r="I18" i="26"/>
  <c r="H18" i="26"/>
  <c r="G18" i="26"/>
  <c r="F18" i="26"/>
  <c r="E18" i="26"/>
  <c r="D18" i="26"/>
  <c r="J18" i="26" s="1"/>
  <c r="I17" i="26"/>
  <c r="H17" i="26"/>
  <c r="G17" i="26"/>
  <c r="F17" i="26"/>
  <c r="E17" i="26"/>
  <c r="D17" i="26"/>
  <c r="J17" i="26" s="1"/>
  <c r="I16" i="26"/>
  <c r="H16" i="26"/>
  <c r="G16" i="26"/>
  <c r="F16" i="26"/>
  <c r="E16" i="26"/>
  <c r="D16" i="26"/>
  <c r="J16" i="26" s="1"/>
  <c r="I15" i="26"/>
  <c r="H15" i="26"/>
  <c r="G15" i="26"/>
  <c r="F15" i="26"/>
  <c r="E15" i="26"/>
  <c r="D15" i="26"/>
  <c r="J15" i="26" s="1"/>
  <c r="I14" i="26"/>
  <c r="H14" i="26"/>
  <c r="G14" i="26"/>
  <c r="F14" i="26"/>
  <c r="E14" i="26"/>
  <c r="D14" i="26"/>
  <c r="J14" i="26" s="1"/>
  <c r="F39" i="25"/>
  <c r="F40" i="25"/>
  <c r="F41" i="25"/>
  <c r="F38" i="25"/>
  <c r="E39" i="25"/>
  <c r="E40" i="25"/>
  <c r="E41" i="25"/>
  <c r="E38" i="25"/>
  <c r="D41" i="25"/>
  <c r="D39" i="25"/>
  <c r="D40" i="25"/>
  <c r="D38" i="25"/>
  <c r="I29" i="25"/>
  <c r="G30" i="25"/>
  <c r="G31" i="25"/>
  <c r="G32" i="25"/>
  <c r="G29" i="25"/>
  <c r="F30" i="25"/>
  <c r="F31" i="25"/>
  <c r="F32" i="25"/>
  <c r="F29" i="25"/>
  <c r="E30" i="25"/>
  <c r="E31" i="25"/>
  <c r="E32" i="25"/>
  <c r="E29" i="25"/>
  <c r="H24" i="25"/>
  <c r="H25" i="25"/>
  <c r="H26" i="25"/>
  <c r="H23" i="25"/>
  <c r="D29" i="25" s="1"/>
  <c r="D32" i="25"/>
  <c r="D31" i="25"/>
  <c r="J14" i="25"/>
  <c r="D15" i="25"/>
  <c r="E15" i="25"/>
  <c r="F15" i="25"/>
  <c r="G15" i="25"/>
  <c r="H15" i="25"/>
  <c r="I15" i="25"/>
  <c r="D16" i="25"/>
  <c r="E16" i="25"/>
  <c r="F16" i="25"/>
  <c r="G16" i="25"/>
  <c r="H16" i="25"/>
  <c r="I16" i="25"/>
  <c r="D17" i="25"/>
  <c r="E17" i="25"/>
  <c r="F17" i="25"/>
  <c r="G17" i="25"/>
  <c r="H17" i="25"/>
  <c r="I17" i="25"/>
  <c r="D18" i="25"/>
  <c r="E18" i="25"/>
  <c r="F18" i="25"/>
  <c r="G18" i="25"/>
  <c r="H18" i="25"/>
  <c r="I18" i="25"/>
  <c r="E14" i="25"/>
  <c r="F14" i="25"/>
  <c r="G14" i="25"/>
  <c r="H14" i="25"/>
  <c r="I14" i="25"/>
  <c r="D14" i="25"/>
  <c r="J18" i="25"/>
  <c r="D20" i="21"/>
  <c r="J17" i="25"/>
  <c r="J16" i="25"/>
  <c r="J15" i="25"/>
  <c r="D16" i="21"/>
  <c r="H40" i="24"/>
  <c r="F46" i="24" s="1"/>
  <c r="K46" i="24" s="1"/>
  <c r="H39" i="24"/>
  <c r="F45" i="24" s="1"/>
  <c r="K45" i="24" s="1"/>
  <c r="S38" i="24"/>
  <c r="H38" i="24"/>
  <c r="G44" i="24" s="1"/>
  <c r="L44" i="24" s="1"/>
  <c r="S37" i="24"/>
  <c r="H37" i="24"/>
  <c r="F43" i="24" s="1"/>
  <c r="K43" i="24" s="1"/>
  <c r="S36" i="24"/>
  <c r="S35" i="24"/>
  <c r="S34" i="24"/>
  <c r="S33" i="24"/>
  <c r="S32" i="24"/>
  <c r="S31" i="24"/>
  <c r="S30" i="24"/>
  <c r="S29" i="24"/>
  <c r="H29" i="24"/>
  <c r="F29" i="24"/>
  <c r="D29" i="24"/>
  <c r="H27" i="24"/>
  <c r="F27" i="24"/>
  <c r="D27" i="24"/>
  <c r="J27" i="24" s="1"/>
  <c r="H25" i="24"/>
  <c r="F25" i="24"/>
  <c r="D25" i="24"/>
  <c r="J20" i="24"/>
  <c r="I20" i="24"/>
  <c r="I29" i="24" s="1"/>
  <c r="H20" i="24"/>
  <c r="G20" i="24"/>
  <c r="G29" i="24" s="1"/>
  <c r="F20" i="24"/>
  <c r="E20" i="24"/>
  <c r="E29" i="24" s="1"/>
  <c r="D20" i="24"/>
  <c r="I19" i="24"/>
  <c r="I28" i="24" s="1"/>
  <c r="H19" i="24"/>
  <c r="H28" i="24" s="1"/>
  <c r="G19" i="24"/>
  <c r="G28" i="24" s="1"/>
  <c r="F19" i="24"/>
  <c r="F28" i="24" s="1"/>
  <c r="E19" i="24"/>
  <c r="E28" i="24" s="1"/>
  <c r="D19" i="24"/>
  <c r="D28" i="24" s="1"/>
  <c r="J28" i="24" s="1"/>
  <c r="I18" i="24"/>
  <c r="I27" i="24" s="1"/>
  <c r="H18" i="24"/>
  <c r="G18" i="24"/>
  <c r="G27" i="24" s="1"/>
  <c r="F18" i="24"/>
  <c r="E18" i="24"/>
  <c r="E27" i="24" s="1"/>
  <c r="D18" i="24"/>
  <c r="J18" i="24" s="1"/>
  <c r="I17" i="24"/>
  <c r="I26" i="24" s="1"/>
  <c r="H17" i="24"/>
  <c r="H26" i="24" s="1"/>
  <c r="G17" i="24"/>
  <c r="G26" i="24" s="1"/>
  <c r="F17" i="24"/>
  <c r="F26" i="24" s="1"/>
  <c r="E17" i="24"/>
  <c r="E26" i="24" s="1"/>
  <c r="D17" i="24"/>
  <c r="D26" i="24" s="1"/>
  <c r="J26" i="24" s="1"/>
  <c r="I16" i="24"/>
  <c r="I25" i="24" s="1"/>
  <c r="H16" i="24"/>
  <c r="G16" i="24"/>
  <c r="G25" i="24" s="1"/>
  <c r="F16" i="24"/>
  <c r="E16" i="24"/>
  <c r="E25" i="24" s="1"/>
  <c r="D16" i="24"/>
  <c r="J16" i="24" s="1"/>
  <c r="H37" i="21"/>
  <c r="S30" i="23"/>
  <c r="S31" i="23"/>
  <c r="S32" i="23"/>
  <c r="S33" i="23"/>
  <c r="S34" i="23"/>
  <c r="S35" i="23"/>
  <c r="S36" i="23"/>
  <c r="S37" i="23"/>
  <c r="S38" i="23"/>
  <c r="S29" i="23"/>
  <c r="H40" i="23"/>
  <c r="F46" i="23" s="1"/>
  <c r="K46" i="23" s="1"/>
  <c r="H39" i="23"/>
  <c r="G45" i="23" s="1"/>
  <c r="L45" i="23" s="1"/>
  <c r="H38" i="23"/>
  <c r="F44" i="23" s="1"/>
  <c r="K44" i="23" s="1"/>
  <c r="H37" i="23"/>
  <c r="G43" i="23" s="1"/>
  <c r="L43" i="23" s="1"/>
  <c r="J20" i="23"/>
  <c r="I20" i="23"/>
  <c r="I29" i="23" s="1"/>
  <c r="H20" i="23"/>
  <c r="H29" i="23" s="1"/>
  <c r="G20" i="23"/>
  <c r="G29" i="23" s="1"/>
  <c r="F20" i="23"/>
  <c r="F29" i="23" s="1"/>
  <c r="E20" i="23"/>
  <c r="E29" i="23" s="1"/>
  <c r="D20" i="23"/>
  <c r="D29" i="23" s="1"/>
  <c r="I19" i="23"/>
  <c r="I28" i="23" s="1"/>
  <c r="H19" i="23"/>
  <c r="H28" i="23" s="1"/>
  <c r="G19" i="23"/>
  <c r="G28" i="23" s="1"/>
  <c r="F19" i="23"/>
  <c r="F28" i="23" s="1"/>
  <c r="E19" i="23"/>
  <c r="E28" i="23" s="1"/>
  <c r="D19" i="23"/>
  <c r="D28" i="23" s="1"/>
  <c r="I18" i="23"/>
  <c r="I27" i="23" s="1"/>
  <c r="H18" i="23"/>
  <c r="H27" i="23" s="1"/>
  <c r="G18" i="23"/>
  <c r="G27" i="23" s="1"/>
  <c r="F18" i="23"/>
  <c r="F27" i="23" s="1"/>
  <c r="E18" i="23"/>
  <c r="E27" i="23" s="1"/>
  <c r="D18" i="23"/>
  <c r="D27" i="23" s="1"/>
  <c r="I17" i="23"/>
  <c r="I26" i="23" s="1"/>
  <c r="H17" i="23"/>
  <c r="H26" i="23" s="1"/>
  <c r="G17" i="23"/>
  <c r="G26" i="23" s="1"/>
  <c r="F17" i="23"/>
  <c r="F26" i="23" s="1"/>
  <c r="E17" i="23"/>
  <c r="E26" i="23" s="1"/>
  <c r="D17" i="23"/>
  <c r="D26" i="23" s="1"/>
  <c r="I16" i="23"/>
  <c r="I25" i="23" s="1"/>
  <c r="H16" i="23"/>
  <c r="H25" i="23" s="1"/>
  <c r="G16" i="23"/>
  <c r="G25" i="23" s="1"/>
  <c r="F16" i="23"/>
  <c r="F25" i="23" s="1"/>
  <c r="E16" i="23"/>
  <c r="E25" i="23" s="1"/>
  <c r="D16" i="23"/>
  <c r="D25" i="23" s="1"/>
  <c r="H38" i="21"/>
  <c r="D43" i="21"/>
  <c r="I43" i="21" s="1"/>
  <c r="S34" i="22"/>
  <c r="S35" i="22"/>
  <c r="S36" i="22"/>
  <c r="N34" i="22"/>
  <c r="O34" i="22"/>
  <c r="P34" i="22"/>
  <c r="Q34" i="22"/>
  <c r="R34" i="22"/>
  <c r="N35" i="22"/>
  <c r="O35" i="22"/>
  <c r="P35" i="22"/>
  <c r="Q35" i="22"/>
  <c r="R35" i="22"/>
  <c r="N36" i="22"/>
  <c r="O36" i="22"/>
  <c r="P36" i="22"/>
  <c r="Q36" i="22"/>
  <c r="R36" i="22"/>
  <c r="M36" i="22"/>
  <c r="M34" i="22"/>
  <c r="M35" i="22"/>
  <c r="N33" i="22"/>
  <c r="O33" i="22"/>
  <c r="P33" i="22"/>
  <c r="Q33" i="22"/>
  <c r="R33" i="22"/>
  <c r="M33" i="22"/>
  <c r="S33" i="22" s="1"/>
  <c r="L5" i="6"/>
  <c r="T5" i="22"/>
  <c r="T8" i="22"/>
  <c r="T7" i="22"/>
  <c r="T6" i="22"/>
  <c r="D29" i="26" l="1"/>
  <c r="I29" i="26" s="1"/>
  <c r="F29" i="26"/>
  <c r="K29" i="26" s="1"/>
  <c r="E30" i="26"/>
  <c r="J30" i="26" s="1"/>
  <c r="G30" i="26"/>
  <c r="L30" i="26" s="1"/>
  <c r="D31" i="26"/>
  <c r="I31" i="26" s="1"/>
  <c r="F31" i="26"/>
  <c r="K31" i="26" s="1"/>
  <c r="E32" i="26"/>
  <c r="J32" i="26" s="1"/>
  <c r="G32" i="26"/>
  <c r="L32" i="26" s="1"/>
  <c r="E29" i="26"/>
  <c r="J29" i="26" s="1"/>
  <c r="D30" i="26"/>
  <c r="I30" i="26" s="1"/>
  <c r="M30" i="26" s="1"/>
  <c r="E39" i="26" s="1"/>
  <c r="E31" i="26"/>
  <c r="J31" i="26" s="1"/>
  <c r="D32" i="26"/>
  <c r="I32" i="26" s="1"/>
  <c r="M32" i="26" s="1"/>
  <c r="E41" i="26" s="1"/>
  <c r="J30" i="25"/>
  <c r="K32" i="25"/>
  <c r="L31" i="25"/>
  <c r="K30" i="25"/>
  <c r="D30" i="25"/>
  <c r="L29" i="25"/>
  <c r="K29" i="25"/>
  <c r="L30" i="25"/>
  <c r="I31" i="25"/>
  <c r="K31" i="25"/>
  <c r="J32" i="25"/>
  <c r="L32" i="25"/>
  <c r="J29" i="25"/>
  <c r="I30" i="25"/>
  <c r="M30" i="25" s="1"/>
  <c r="J31" i="25"/>
  <c r="I32" i="25"/>
  <c r="E45" i="24"/>
  <c r="J45" i="24" s="1"/>
  <c r="G45" i="24"/>
  <c r="L45" i="24" s="1"/>
  <c r="D44" i="24"/>
  <c r="I44" i="24" s="1"/>
  <c r="F44" i="24"/>
  <c r="K44" i="24" s="1"/>
  <c r="E43" i="24"/>
  <c r="J43" i="24" s="1"/>
  <c r="G43" i="24"/>
  <c r="L43" i="24" s="1"/>
  <c r="J25" i="24"/>
  <c r="J29" i="24"/>
  <c r="J17" i="24"/>
  <c r="J19" i="24"/>
  <c r="D43" i="24"/>
  <c r="I43" i="24" s="1"/>
  <c r="M43" i="24" s="1"/>
  <c r="E44" i="24"/>
  <c r="J44" i="24" s="1"/>
  <c r="M44" i="24" s="1"/>
  <c r="D45" i="24"/>
  <c r="I45" i="24" s="1"/>
  <c r="M45" i="24" s="1"/>
  <c r="E46" i="24"/>
  <c r="J46" i="24" s="1"/>
  <c r="G46" i="24"/>
  <c r="L46" i="24" s="1"/>
  <c r="D46" i="24"/>
  <c r="I46" i="24" s="1"/>
  <c r="M46" i="24" s="1"/>
  <c r="F43" i="21"/>
  <c r="E43" i="21"/>
  <c r="J43" i="21" s="1"/>
  <c r="J25" i="23"/>
  <c r="J26" i="23"/>
  <c r="J27" i="23"/>
  <c r="J28" i="23"/>
  <c r="J29" i="23"/>
  <c r="J16" i="23"/>
  <c r="J18" i="23"/>
  <c r="D43" i="23"/>
  <c r="I43" i="23" s="1"/>
  <c r="F43" i="23"/>
  <c r="K43" i="23" s="1"/>
  <c r="E44" i="23"/>
  <c r="J44" i="23" s="1"/>
  <c r="G44" i="23"/>
  <c r="L44" i="23" s="1"/>
  <c r="D45" i="23"/>
  <c r="I45" i="23" s="1"/>
  <c r="F45" i="23"/>
  <c r="K45" i="23" s="1"/>
  <c r="E46" i="23"/>
  <c r="J46" i="23" s="1"/>
  <c r="G46" i="23"/>
  <c r="L46" i="23" s="1"/>
  <c r="J17" i="23"/>
  <c r="J19" i="23"/>
  <c r="E43" i="23"/>
  <c r="J43" i="23" s="1"/>
  <c r="D44" i="23"/>
  <c r="I44" i="23" s="1"/>
  <c r="E45" i="23"/>
  <c r="J45" i="23" s="1"/>
  <c r="D46" i="23"/>
  <c r="I46" i="23" s="1"/>
  <c r="T9" i="22"/>
  <c r="D13" i="22"/>
  <c r="E13" i="22"/>
  <c r="F13" i="22"/>
  <c r="G13" i="22"/>
  <c r="H13" i="22"/>
  <c r="I13" i="22"/>
  <c r="D14" i="22"/>
  <c r="E14" i="22"/>
  <c r="F14" i="22"/>
  <c r="G14" i="22"/>
  <c r="H14" i="22"/>
  <c r="I14" i="22"/>
  <c r="D15" i="22"/>
  <c r="E15" i="22"/>
  <c r="F15" i="22"/>
  <c r="G15" i="22"/>
  <c r="H15" i="22"/>
  <c r="I15" i="22"/>
  <c r="D16" i="22"/>
  <c r="E16" i="22"/>
  <c r="F16" i="22"/>
  <c r="G16" i="22"/>
  <c r="H16" i="22"/>
  <c r="I16" i="22"/>
  <c r="D17" i="22"/>
  <c r="E17" i="22"/>
  <c r="F17" i="22"/>
  <c r="G17" i="22"/>
  <c r="H17" i="22"/>
  <c r="I17" i="22"/>
  <c r="C14" i="22"/>
  <c r="C15" i="22"/>
  <c r="C16" i="22"/>
  <c r="C13" i="22"/>
  <c r="N5" i="22"/>
  <c r="O5" i="22"/>
  <c r="P5" i="22"/>
  <c r="Q5" i="22"/>
  <c r="R5" i="22"/>
  <c r="N6" i="22"/>
  <c r="O6" i="22"/>
  <c r="P6" i="22"/>
  <c r="Q6" i="22"/>
  <c r="R6" i="22"/>
  <c r="N7" i="22"/>
  <c r="O7" i="22"/>
  <c r="P7" i="22"/>
  <c r="Q7" i="22"/>
  <c r="R7" i="22"/>
  <c r="N8" i="22"/>
  <c r="O8" i="22"/>
  <c r="P8" i="22"/>
  <c r="Q8" i="22"/>
  <c r="R8" i="22"/>
  <c r="O9" i="22"/>
  <c r="P9" i="22"/>
  <c r="Q9" i="22"/>
  <c r="R9" i="22"/>
  <c r="M8" i="22"/>
  <c r="M6" i="22"/>
  <c r="M7" i="22"/>
  <c r="M5" i="22"/>
  <c r="M9" i="22" s="1"/>
  <c r="C16" i="6"/>
  <c r="D39" i="26" l="1"/>
  <c r="F39" i="26" s="1"/>
  <c r="M31" i="26"/>
  <c r="M29" i="26"/>
  <c r="D41" i="26"/>
  <c r="F41" i="26" s="1"/>
  <c r="M32" i="25"/>
  <c r="M31" i="25"/>
  <c r="M29" i="25"/>
  <c r="M26" i="24"/>
  <c r="M25" i="24"/>
  <c r="M28" i="24"/>
  <c r="M27" i="24"/>
  <c r="L27" i="24"/>
  <c r="L26" i="24"/>
  <c r="N26" i="24" s="1"/>
  <c r="L25" i="24"/>
  <c r="L28" i="24"/>
  <c r="N28" i="24" s="1"/>
  <c r="M44" i="23"/>
  <c r="L26" i="23" s="1"/>
  <c r="M45" i="23"/>
  <c r="M27" i="23" s="1"/>
  <c r="M43" i="23"/>
  <c r="M25" i="23" s="1"/>
  <c r="M46" i="23"/>
  <c r="L28" i="23" s="1"/>
  <c r="N9" i="22"/>
  <c r="C17" i="22"/>
  <c r="D25" i="21"/>
  <c r="E40" i="26" l="1"/>
  <c r="D40" i="26"/>
  <c r="F40" i="26" s="1"/>
  <c r="E38" i="26"/>
  <c r="D38" i="26"/>
  <c r="F38" i="26" s="1"/>
  <c r="N25" i="24"/>
  <c r="N27" i="24"/>
  <c r="M26" i="23"/>
  <c r="M28" i="23"/>
  <c r="N28" i="23" s="1"/>
  <c r="L27" i="23"/>
  <c r="N27" i="23" s="1"/>
  <c r="L25" i="23"/>
  <c r="N25" i="23" s="1"/>
  <c r="N26" i="23"/>
  <c r="H40" i="21"/>
  <c r="F46" i="21" s="1"/>
  <c r="K46" i="21" s="1"/>
  <c r="H39" i="21"/>
  <c r="F45" i="21" s="1"/>
  <c r="K45" i="21" s="1"/>
  <c r="F44" i="21"/>
  <c r="K44" i="21" s="1"/>
  <c r="K43" i="21"/>
  <c r="D29" i="21"/>
  <c r="D18" i="21"/>
  <c r="E18" i="21"/>
  <c r="F18" i="21"/>
  <c r="G18" i="21"/>
  <c r="H18" i="21"/>
  <c r="I18" i="21"/>
  <c r="D19" i="21"/>
  <c r="E19" i="21"/>
  <c r="F19" i="21"/>
  <c r="G19" i="21"/>
  <c r="H19" i="21"/>
  <c r="I19" i="21"/>
  <c r="F17" i="21"/>
  <c r="E17" i="21"/>
  <c r="G17" i="21"/>
  <c r="H17" i="21"/>
  <c r="I17" i="21"/>
  <c r="D17" i="21"/>
  <c r="D26" i="21" s="1"/>
  <c r="I16" i="21"/>
  <c r="E20" i="21"/>
  <c r="E29" i="21" s="1"/>
  <c r="F20" i="21"/>
  <c r="F29" i="21" s="1"/>
  <c r="G20" i="21"/>
  <c r="G29" i="21" s="1"/>
  <c r="H20" i="21"/>
  <c r="H29" i="21" s="1"/>
  <c r="I20" i="21"/>
  <c r="I29" i="21" s="1"/>
  <c r="J20" i="21"/>
  <c r="E16" i="21"/>
  <c r="E25" i="21" s="1"/>
  <c r="F16" i="21"/>
  <c r="F25" i="21" s="1"/>
  <c r="G16" i="21"/>
  <c r="G25" i="21" s="1"/>
  <c r="H16" i="21"/>
  <c r="H25" i="21" s="1"/>
  <c r="J29" i="21" l="1"/>
  <c r="E45" i="21"/>
  <c r="J45" i="21" s="1"/>
  <c r="G28" i="21"/>
  <c r="I27" i="21"/>
  <c r="E27" i="21"/>
  <c r="F26" i="21"/>
  <c r="H28" i="21"/>
  <c r="F28" i="21"/>
  <c r="D28" i="21"/>
  <c r="H27" i="21"/>
  <c r="F27" i="21"/>
  <c r="D27" i="21"/>
  <c r="G43" i="21"/>
  <c r="L43" i="21" s="1"/>
  <c r="G45" i="21"/>
  <c r="L45" i="21" s="1"/>
  <c r="I28" i="21"/>
  <c r="E28" i="21"/>
  <c r="G27" i="21"/>
  <c r="G44" i="21"/>
  <c r="L44" i="21" s="1"/>
  <c r="E44" i="21"/>
  <c r="J44" i="21" s="1"/>
  <c r="G46" i="21"/>
  <c r="L46" i="21" s="1"/>
  <c r="E46" i="21"/>
  <c r="J46" i="21" s="1"/>
  <c r="I25" i="21"/>
  <c r="I26" i="21"/>
  <c r="G26" i="21"/>
  <c r="J19" i="21"/>
  <c r="M43" i="21"/>
  <c r="D44" i="21"/>
  <c r="I44" i="21" s="1"/>
  <c r="D45" i="21"/>
  <c r="I45" i="21" s="1"/>
  <c r="M45" i="21" s="1"/>
  <c r="D46" i="21"/>
  <c r="I46" i="21" s="1"/>
  <c r="J28" i="21"/>
  <c r="H26" i="21"/>
  <c r="E26" i="21"/>
  <c r="J18" i="21"/>
  <c r="J25" i="21"/>
  <c r="L25" i="21" s="1"/>
  <c r="J17" i="21"/>
  <c r="J16" i="21"/>
  <c r="O2" i="20"/>
  <c r="P2" i="20" s="1"/>
  <c r="P3" i="20"/>
  <c r="P4" i="20"/>
  <c r="P5" i="20"/>
  <c r="P6" i="20"/>
  <c r="O5" i="20"/>
  <c r="O4" i="20" s="1"/>
  <c r="O3" i="20" s="1"/>
  <c r="O6" i="20"/>
  <c r="O9" i="20"/>
  <c r="O10" i="20" s="1"/>
  <c r="P8" i="20"/>
  <c r="O8" i="20"/>
  <c r="P7" i="20"/>
  <c r="O7" i="20"/>
  <c r="L26" i="20"/>
  <c r="L25" i="20"/>
  <c r="L24" i="20"/>
  <c r="L23" i="20"/>
  <c r="L27" i="20" s="1"/>
  <c r="K26" i="20"/>
  <c r="K25" i="20"/>
  <c r="K24" i="20"/>
  <c r="K23" i="20"/>
  <c r="K16" i="20"/>
  <c r="K17" i="20"/>
  <c r="K18" i="20"/>
  <c r="K15" i="20"/>
  <c r="E23" i="20"/>
  <c r="F23" i="20"/>
  <c r="G23" i="20"/>
  <c r="H23" i="20"/>
  <c r="I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E26" i="20"/>
  <c r="F26" i="20"/>
  <c r="G26" i="20"/>
  <c r="H26" i="20"/>
  <c r="I26" i="20"/>
  <c r="J26" i="20"/>
  <c r="D24" i="20"/>
  <c r="D25" i="20"/>
  <c r="D26" i="20"/>
  <c r="D23" i="20"/>
  <c r="J27" i="20"/>
  <c r="I27" i="20"/>
  <c r="H27" i="20"/>
  <c r="G27" i="20"/>
  <c r="F27" i="20"/>
  <c r="E27" i="20"/>
  <c r="J27" i="21" l="1"/>
  <c r="M25" i="21"/>
  <c r="L27" i="21"/>
  <c r="M46" i="21"/>
  <c r="L28" i="21" s="1"/>
  <c r="M44" i="21"/>
  <c r="M26" i="21" s="1"/>
  <c r="M27" i="21"/>
  <c r="J26" i="21"/>
  <c r="L26" i="21" s="1"/>
  <c r="N26" i="21" s="1"/>
  <c r="O11" i="20"/>
  <c r="P10" i="20"/>
  <c r="P9" i="20"/>
  <c r="D16" i="20"/>
  <c r="E16" i="20"/>
  <c r="F16" i="20"/>
  <c r="F19" i="20" s="1"/>
  <c r="G16" i="20"/>
  <c r="H16" i="20"/>
  <c r="H19" i="20" s="1"/>
  <c r="I16" i="20"/>
  <c r="J16" i="20"/>
  <c r="J19" i="20" s="1"/>
  <c r="D17" i="20"/>
  <c r="E17" i="20"/>
  <c r="F17" i="20"/>
  <c r="G17" i="20"/>
  <c r="H17" i="20"/>
  <c r="I17" i="20"/>
  <c r="J17" i="20"/>
  <c r="D18" i="20"/>
  <c r="E18" i="20"/>
  <c r="F18" i="20"/>
  <c r="G18" i="20"/>
  <c r="H18" i="20"/>
  <c r="I18" i="20"/>
  <c r="J18" i="20"/>
  <c r="J15" i="20"/>
  <c r="E15" i="20"/>
  <c r="E19" i="20" s="1"/>
  <c r="F15" i="20"/>
  <c r="G15" i="20"/>
  <c r="G19" i="20" s="1"/>
  <c r="H15" i="20"/>
  <c r="I15" i="20"/>
  <c r="I19" i="20" s="1"/>
  <c r="D15" i="20"/>
  <c r="D19" i="20" s="1"/>
  <c r="N27" i="21" l="1"/>
  <c r="M28" i="21"/>
  <c r="N28" i="21" s="1"/>
  <c r="N25" i="21"/>
  <c r="O12" i="20"/>
  <c r="P12" i="20" s="1"/>
  <c r="P11" i="20"/>
  <c r="P5" i="2"/>
  <c r="K6" i="19" l="1"/>
  <c r="K7" i="19"/>
  <c r="K8" i="19"/>
  <c r="K9" i="19"/>
  <c r="L16" i="19"/>
  <c r="K16" i="19"/>
  <c r="E19" i="19"/>
  <c r="E18" i="19"/>
  <c r="E17" i="19"/>
  <c r="F17" i="19"/>
  <c r="G17" i="19"/>
  <c r="H17" i="19"/>
  <c r="I17" i="19"/>
  <c r="J17" i="19"/>
  <c r="K17" i="19"/>
  <c r="L17" i="19" s="1"/>
  <c r="F18" i="19"/>
  <c r="K18" i="19" s="1"/>
  <c r="L18" i="19" s="1"/>
  <c r="G18" i="19"/>
  <c r="H18" i="19"/>
  <c r="I18" i="19"/>
  <c r="J18" i="19"/>
  <c r="F19" i="19"/>
  <c r="G19" i="19"/>
  <c r="H19" i="19"/>
  <c r="I19" i="19"/>
  <c r="J19" i="19"/>
  <c r="K19" i="19"/>
  <c r="L19" i="19" s="1"/>
  <c r="K13" i="19"/>
  <c r="F13" i="19"/>
  <c r="G13" i="19"/>
  <c r="H13" i="19"/>
  <c r="I13" i="19"/>
  <c r="J13" i="19"/>
  <c r="E13" i="19"/>
  <c r="F16" i="19"/>
  <c r="G16" i="19"/>
  <c r="H16" i="19"/>
  <c r="I16" i="19"/>
  <c r="J16" i="19"/>
  <c r="E16" i="19"/>
  <c r="K10" i="19"/>
  <c r="E91" i="18"/>
  <c r="E89" i="18"/>
  <c r="E88" i="18"/>
  <c r="E81" i="18"/>
  <c r="F81" i="18"/>
  <c r="G81" i="18"/>
  <c r="H81" i="18"/>
  <c r="I81" i="18"/>
  <c r="J81" i="18"/>
  <c r="E82" i="18"/>
  <c r="F82" i="18"/>
  <c r="G82" i="18"/>
  <c r="H82" i="18"/>
  <c r="I82" i="18"/>
  <c r="J82" i="18"/>
  <c r="E83" i="18"/>
  <c r="F83" i="18"/>
  <c r="G83" i="18"/>
  <c r="H83" i="18"/>
  <c r="I83" i="18"/>
  <c r="J83" i="18"/>
  <c r="E84" i="18"/>
  <c r="F84" i="18"/>
  <c r="G84" i="18"/>
  <c r="H84" i="18"/>
  <c r="I84" i="18"/>
  <c r="J84" i="18"/>
  <c r="E85" i="18"/>
  <c r="F85" i="18"/>
  <c r="G85" i="18"/>
  <c r="H85" i="18"/>
  <c r="I85" i="18"/>
  <c r="J85" i="18"/>
  <c r="F80" i="18"/>
  <c r="G80" i="18"/>
  <c r="H80" i="18"/>
  <c r="I80" i="18"/>
  <c r="J80" i="18"/>
  <c r="E80" i="18"/>
  <c r="E70" i="18"/>
  <c r="F70" i="18"/>
  <c r="G70" i="18"/>
  <c r="H70" i="18"/>
  <c r="I70" i="18"/>
  <c r="J70" i="18"/>
  <c r="E71" i="18"/>
  <c r="F71" i="18"/>
  <c r="G71" i="18"/>
  <c r="H71" i="18"/>
  <c r="I71" i="18"/>
  <c r="J71" i="18"/>
  <c r="E72" i="18"/>
  <c r="F72" i="18"/>
  <c r="G72" i="18"/>
  <c r="H72" i="18"/>
  <c r="I72" i="18"/>
  <c r="J72" i="18"/>
  <c r="E73" i="18"/>
  <c r="F73" i="18"/>
  <c r="G73" i="18"/>
  <c r="H73" i="18"/>
  <c r="I73" i="18"/>
  <c r="J73" i="18"/>
  <c r="E74" i="18"/>
  <c r="F74" i="18"/>
  <c r="G74" i="18"/>
  <c r="H74" i="18"/>
  <c r="I74" i="18"/>
  <c r="J74" i="18"/>
  <c r="F69" i="18"/>
  <c r="G69" i="18"/>
  <c r="H69" i="18"/>
  <c r="I69" i="18"/>
  <c r="J69" i="18"/>
  <c r="E69" i="18"/>
  <c r="E60" i="18"/>
  <c r="E63" i="18" s="1"/>
  <c r="M31" i="18"/>
  <c r="L56" i="18"/>
  <c r="M53" i="18"/>
  <c r="M52" i="18"/>
  <c r="M42" i="18"/>
  <c r="M41" i="18"/>
  <c r="M30" i="18"/>
  <c r="E61" i="18"/>
  <c r="E53" i="18"/>
  <c r="G53" i="18"/>
  <c r="H53" i="18"/>
  <c r="I53" i="18"/>
  <c r="J53" i="18"/>
  <c r="E54" i="18"/>
  <c r="F54" i="18"/>
  <c r="H54" i="18"/>
  <c r="I54" i="18"/>
  <c r="J54" i="18"/>
  <c r="E55" i="18"/>
  <c r="F55" i="18"/>
  <c r="G55" i="18"/>
  <c r="I55" i="18"/>
  <c r="J55" i="18"/>
  <c r="E56" i="18"/>
  <c r="F56" i="18"/>
  <c r="G56" i="18"/>
  <c r="H56" i="18"/>
  <c r="J56" i="18"/>
  <c r="E57" i="18"/>
  <c r="F57" i="18"/>
  <c r="G57" i="18"/>
  <c r="H57" i="18"/>
  <c r="I57" i="18"/>
  <c r="F52" i="18"/>
  <c r="G52" i="18"/>
  <c r="H52" i="18"/>
  <c r="I52" i="18"/>
  <c r="J52" i="18"/>
  <c r="G42" i="18"/>
  <c r="H42" i="18"/>
  <c r="I42" i="18"/>
  <c r="J42" i="18"/>
  <c r="E43" i="18"/>
  <c r="F43" i="18"/>
  <c r="H43" i="18"/>
  <c r="I43" i="18"/>
  <c r="J43" i="18"/>
  <c r="E44" i="18"/>
  <c r="F44" i="18"/>
  <c r="G44" i="18"/>
  <c r="I44" i="18"/>
  <c r="J44" i="18"/>
  <c r="E45" i="18"/>
  <c r="F45" i="18"/>
  <c r="G45" i="18"/>
  <c r="H45" i="18"/>
  <c r="J45" i="18"/>
  <c r="E46" i="18"/>
  <c r="F46" i="18"/>
  <c r="G46" i="18"/>
  <c r="H46" i="18"/>
  <c r="I46" i="18"/>
  <c r="F41" i="18"/>
  <c r="G41" i="18"/>
  <c r="H41" i="18"/>
  <c r="I41" i="18"/>
  <c r="J41" i="18"/>
  <c r="E35" i="18"/>
  <c r="M6" i="1"/>
  <c r="G31" i="18"/>
  <c r="H31" i="18"/>
  <c r="I31" i="18"/>
  <c r="J31" i="18"/>
  <c r="E32" i="18"/>
  <c r="F32" i="18"/>
  <c r="H32" i="18"/>
  <c r="I32" i="18"/>
  <c r="J32" i="18"/>
  <c r="E33" i="18"/>
  <c r="F33" i="18"/>
  <c r="G33" i="18"/>
  <c r="I33" i="18"/>
  <c r="J33" i="18"/>
  <c r="E34" i="18"/>
  <c r="F34" i="18"/>
  <c r="G34" i="18"/>
  <c r="H34" i="18"/>
  <c r="J34" i="18"/>
  <c r="F35" i="18"/>
  <c r="G35" i="18"/>
  <c r="H35" i="18"/>
  <c r="I35" i="18"/>
  <c r="F30" i="18"/>
  <c r="G30" i="18"/>
  <c r="H30" i="18"/>
  <c r="I30" i="18"/>
  <c r="J30" i="18"/>
  <c r="E15" i="18"/>
  <c r="F15" i="18"/>
  <c r="G15" i="18"/>
  <c r="H15" i="18"/>
  <c r="I15" i="18"/>
  <c r="D15" i="18"/>
  <c r="D12" i="18"/>
  <c r="E12" i="18"/>
  <c r="F12" i="18"/>
  <c r="G12" i="18"/>
  <c r="H12" i="18"/>
  <c r="I12" i="18"/>
  <c r="D13" i="18"/>
  <c r="E13" i="18"/>
  <c r="F13" i="18"/>
  <c r="G13" i="18"/>
  <c r="H13" i="18"/>
  <c r="I13" i="18"/>
  <c r="D14" i="18"/>
  <c r="E14" i="18"/>
  <c r="F14" i="18"/>
  <c r="G14" i="18"/>
  <c r="H14" i="18"/>
  <c r="I14" i="18"/>
  <c r="E11" i="18"/>
  <c r="F11" i="18"/>
  <c r="G11" i="18"/>
  <c r="H11" i="18"/>
  <c r="I11" i="18"/>
  <c r="D11" i="18"/>
  <c r="AF40" i="17"/>
  <c r="AG40" i="17"/>
  <c r="AH40" i="17"/>
  <c r="AI40" i="17"/>
  <c r="AJ40" i="17"/>
  <c r="AE40" i="17"/>
  <c r="AG36" i="17"/>
  <c r="AF35" i="17"/>
  <c r="AE33" i="17"/>
  <c r="AF33" i="17"/>
  <c r="AG33" i="17"/>
  <c r="AH33" i="17"/>
  <c r="AI33" i="17"/>
  <c r="AJ33" i="17"/>
  <c r="AE34" i="17"/>
  <c r="AF34" i="17"/>
  <c r="AG34" i="17"/>
  <c r="AH34" i="17"/>
  <c r="AI34" i="17"/>
  <c r="AJ34" i="17"/>
  <c r="AE35" i="17"/>
  <c r="AG35" i="17"/>
  <c r="AH35" i="17"/>
  <c r="AI35" i="17"/>
  <c r="AJ35" i="17"/>
  <c r="AE36" i="17"/>
  <c r="AF36" i="17"/>
  <c r="AH36" i="17"/>
  <c r="AI36" i="17"/>
  <c r="AJ36" i="17"/>
  <c r="AE37" i="17"/>
  <c r="AF37" i="17"/>
  <c r="AG37" i="17"/>
  <c r="AH37" i="17"/>
  <c r="AI37" i="17"/>
  <c r="AJ37" i="17"/>
  <c r="AF32" i="17"/>
  <c r="AG32" i="17"/>
  <c r="AH32" i="17"/>
  <c r="AI32" i="17"/>
  <c r="AJ32" i="17"/>
  <c r="AE32" i="17"/>
  <c r="M33" i="17"/>
  <c r="N33" i="17"/>
  <c r="O33" i="17"/>
  <c r="P33" i="17"/>
  <c r="Q33" i="17"/>
  <c r="R33" i="17"/>
  <c r="M34" i="17"/>
  <c r="N34" i="17"/>
  <c r="O34" i="17"/>
  <c r="P34" i="17"/>
  <c r="Q34" i="17"/>
  <c r="R34" i="17"/>
  <c r="M35" i="17"/>
  <c r="N35" i="17"/>
  <c r="O35" i="17"/>
  <c r="P35" i="17"/>
  <c r="Q35" i="17"/>
  <c r="R35" i="17"/>
  <c r="M36" i="17"/>
  <c r="N36" i="17"/>
  <c r="O36" i="17"/>
  <c r="P36" i="17"/>
  <c r="Q36" i="17"/>
  <c r="R36" i="17"/>
  <c r="M37" i="17"/>
  <c r="N37" i="17"/>
  <c r="O37" i="17"/>
  <c r="P37" i="17"/>
  <c r="Q37" i="17"/>
  <c r="R37" i="17"/>
  <c r="N32" i="17"/>
  <c r="O32" i="17"/>
  <c r="P32" i="17"/>
  <c r="Q32" i="17"/>
  <c r="R32" i="17"/>
  <c r="M32" i="17"/>
  <c r="V33" i="17"/>
  <c r="W33" i="17"/>
  <c r="X33" i="17"/>
  <c r="Y33" i="17"/>
  <c r="Z33" i="17"/>
  <c r="AA33" i="17"/>
  <c r="V34" i="17"/>
  <c r="W34" i="17"/>
  <c r="X34" i="17"/>
  <c r="Y34" i="17"/>
  <c r="Z34" i="17"/>
  <c r="AA34" i="17"/>
  <c r="V35" i="17"/>
  <c r="W35" i="17"/>
  <c r="X35" i="17"/>
  <c r="Y35" i="17"/>
  <c r="Z35" i="17"/>
  <c r="AA35" i="17"/>
  <c r="V36" i="17"/>
  <c r="W36" i="17"/>
  <c r="X36" i="17"/>
  <c r="Y36" i="17"/>
  <c r="Z36" i="17"/>
  <c r="AA36" i="17"/>
  <c r="V37" i="17"/>
  <c r="W37" i="17"/>
  <c r="X37" i="17"/>
  <c r="Y37" i="17"/>
  <c r="Z37" i="17"/>
  <c r="AA37" i="17"/>
  <c r="W32" i="17"/>
  <c r="X32" i="17"/>
  <c r="Y32" i="17"/>
  <c r="Z32" i="17"/>
  <c r="AA32" i="17"/>
  <c r="V32" i="17"/>
  <c r="W40" i="17"/>
  <c r="X40" i="17"/>
  <c r="Y40" i="17"/>
  <c r="Z40" i="17"/>
  <c r="AA40" i="17"/>
  <c r="V40" i="17"/>
  <c r="N40" i="17"/>
  <c r="O40" i="17"/>
  <c r="P40" i="17"/>
  <c r="Q40" i="17"/>
  <c r="R40" i="17"/>
  <c r="M40" i="17"/>
  <c r="AE41" i="17"/>
  <c r="D38" i="17"/>
  <c r="D42" i="17" s="1"/>
  <c r="J14" i="17"/>
  <c r="AE38" i="17" l="1"/>
  <c r="AE42" i="17" s="1"/>
  <c r="V38" i="17"/>
  <c r="V41" i="17"/>
  <c r="M38" i="17"/>
  <c r="M41" i="17"/>
  <c r="F40" i="17"/>
  <c r="G40" i="17"/>
  <c r="H40" i="17"/>
  <c r="I40" i="17"/>
  <c r="J15" i="17"/>
  <c r="J16" i="17"/>
  <c r="J17" i="17"/>
  <c r="AE23" i="16"/>
  <c r="AF23" i="16"/>
  <c r="AG23" i="16"/>
  <c r="AH23" i="16"/>
  <c r="AI23" i="16"/>
  <c r="AJ23" i="16"/>
  <c r="AE24" i="16"/>
  <c r="AF24" i="16"/>
  <c r="AG24" i="16"/>
  <c r="AH24" i="16"/>
  <c r="AI24" i="16"/>
  <c r="AJ24" i="16"/>
  <c r="AE25" i="16"/>
  <c r="AF25" i="16"/>
  <c r="AG25" i="16"/>
  <c r="AH25" i="16"/>
  <c r="AI25" i="16"/>
  <c r="AJ25" i="16"/>
  <c r="AE26" i="16"/>
  <c r="AF26" i="16"/>
  <c r="AG26" i="16"/>
  <c r="AH26" i="16"/>
  <c r="AI26" i="16"/>
  <c r="AJ26" i="16"/>
  <c r="AE27" i="16"/>
  <c r="AF27" i="16"/>
  <c r="AG27" i="16"/>
  <c r="AH27" i="16"/>
  <c r="AI27" i="16"/>
  <c r="AJ27" i="16"/>
  <c r="AF22" i="16"/>
  <c r="AG22" i="16"/>
  <c r="AH22" i="16"/>
  <c r="AI22" i="16"/>
  <c r="AJ22" i="16"/>
  <c r="AE22" i="16"/>
  <c r="AE32" i="16"/>
  <c r="AE31" i="16"/>
  <c r="AE30" i="16"/>
  <c r="AE33" i="16" s="1"/>
  <c r="V23" i="16"/>
  <c r="W23" i="16"/>
  <c r="X23" i="16"/>
  <c r="Y23" i="16"/>
  <c r="Z23" i="16"/>
  <c r="AA23" i="16"/>
  <c r="V24" i="16"/>
  <c r="W24" i="16"/>
  <c r="X24" i="16"/>
  <c r="Y24" i="16"/>
  <c r="Z24" i="16"/>
  <c r="AA24" i="16"/>
  <c r="V25" i="16"/>
  <c r="W25" i="16"/>
  <c r="X25" i="16"/>
  <c r="Y25" i="16"/>
  <c r="Z25" i="16"/>
  <c r="AA25" i="16"/>
  <c r="V26" i="16"/>
  <c r="W26" i="16"/>
  <c r="X26" i="16"/>
  <c r="Y26" i="16"/>
  <c r="Z26" i="16"/>
  <c r="AA26" i="16"/>
  <c r="V27" i="16"/>
  <c r="W27" i="16"/>
  <c r="X27" i="16"/>
  <c r="Y27" i="16"/>
  <c r="Z27" i="16"/>
  <c r="AA27" i="16"/>
  <c r="W22" i="16"/>
  <c r="X22" i="16"/>
  <c r="Y22" i="16"/>
  <c r="Z22" i="16"/>
  <c r="AA22" i="16"/>
  <c r="V22" i="16"/>
  <c r="V32" i="16"/>
  <c r="V31" i="16"/>
  <c r="V30" i="16"/>
  <c r="V33" i="16" s="1"/>
  <c r="M33" i="16"/>
  <c r="M32" i="16"/>
  <c r="M31" i="16"/>
  <c r="M30" i="16"/>
  <c r="M23" i="16"/>
  <c r="N23" i="16"/>
  <c r="O23" i="16"/>
  <c r="P23" i="16"/>
  <c r="Q23" i="16"/>
  <c r="R23" i="16"/>
  <c r="M24" i="16"/>
  <c r="N24" i="16"/>
  <c r="O24" i="16"/>
  <c r="P24" i="16"/>
  <c r="Q24" i="16"/>
  <c r="R24" i="16"/>
  <c r="M25" i="16"/>
  <c r="N25" i="16"/>
  <c r="O25" i="16"/>
  <c r="P25" i="16"/>
  <c r="Q25" i="16"/>
  <c r="R25" i="16"/>
  <c r="M26" i="16"/>
  <c r="N26" i="16"/>
  <c r="O26" i="16"/>
  <c r="P26" i="16"/>
  <c r="Q26" i="16"/>
  <c r="R26" i="16"/>
  <c r="M27" i="16"/>
  <c r="N27" i="16"/>
  <c r="O27" i="16"/>
  <c r="P27" i="16"/>
  <c r="Q27" i="16"/>
  <c r="R27" i="16"/>
  <c r="N22" i="16"/>
  <c r="O22" i="16"/>
  <c r="P22" i="16"/>
  <c r="Q22" i="16"/>
  <c r="R22" i="16"/>
  <c r="M22" i="16"/>
  <c r="I43" i="7"/>
  <c r="I44" i="7"/>
  <c r="I45" i="7"/>
  <c r="I46" i="7"/>
  <c r="I47" i="7"/>
  <c r="I42" i="7"/>
  <c r="C43" i="7"/>
  <c r="D43" i="7"/>
  <c r="E43" i="7"/>
  <c r="F43" i="7"/>
  <c r="G43" i="7"/>
  <c r="H43" i="7"/>
  <c r="C44" i="7"/>
  <c r="D44" i="7"/>
  <c r="E44" i="7"/>
  <c r="F44" i="7"/>
  <c r="G44" i="7"/>
  <c r="H44" i="7"/>
  <c r="C45" i="7"/>
  <c r="D45" i="7"/>
  <c r="E45" i="7"/>
  <c r="F45" i="7"/>
  <c r="G45" i="7"/>
  <c r="H45" i="7"/>
  <c r="C46" i="7"/>
  <c r="D46" i="7"/>
  <c r="E46" i="7"/>
  <c r="F46" i="7"/>
  <c r="G46" i="7"/>
  <c r="H46" i="7"/>
  <c r="C47" i="7"/>
  <c r="D47" i="7"/>
  <c r="E47" i="7"/>
  <c r="F47" i="7"/>
  <c r="G47" i="7"/>
  <c r="H47" i="7"/>
  <c r="D42" i="7"/>
  <c r="E42" i="7"/>
  <c r="F42" i="7"/>
  <c r="G42" i="7"/>
  <c r="H42" i="7"/>
  <c r="C42" i="7"/>
  <c r="I34" i="7"/>
  <c r="I35" i="7"/>
  <c r="I36" i="7"/>
  <c r="I37" i="7"/>
  <c r="I38" i="7"/>
  <c r="I33" i="7"/>
  <c r="V42" i="17" l="1"/>
  <c r="M42" i="17"/>
  <c r="D14" i="16"/>
  <c r="D33" i="16" l="1"/>
  <c r="D32" i="16"/>
  <c r="D31" i="16"/>
  <c r="D30" i="16"/>
  <c r="D23" i="16"/>
  <c r="E23" i="16"/>
  <c r="F23" i="16"/>
  <c r="G23" i="16"/>
  <c r="H23" i="16"/>
  <c r="I23" i="16"/>
  <c r="D24" i="16"/>
  <c r="E24" i="16"/>
  <c r="F24" i="16"/>
  <c r="G24" i="16"/>
  <c r="H24" i="16"/>
  <c r="I24" i="16"/>
  <c r="D25" i="16"/>
  <c r="E25" i="16"/>
  <c r="F25" i="16"/>
  <c r="G25" i="16"/>
  <c r="H25" i="16"/>
  <c r="I25" i="16"/>
  <c r="D26" i="16"/>
  <c r="E26" i="16"/>
  <c r="F26" i="16"/>
  <c r="G26" i="16"/>
  <c r="H26" i="16"/>
  <c r="I26" i="16"/>
  <c r="D27" i="16"/>
  <c r="E27" i="16"/>
  <c r="F27" i="16"/>
  <c r="G27" i="16"/>
  <c r="H27" i="16"/>
  <c r="I27" i="16"/>
  <c r="E22" i="16"/>
  <c r="F22" i="16"/>
  <c r="G22" i="16"/>
  <c r="H22" i="16"/>
  <c r="I22" i="16"/>
  <c r="D22" i="16"/>
  <c r="D15" i="16"/>
  <c r="E15" i="16"/>
  <c r="F15" i="16"/>
  <c r="G15" i="16"/>
  <c r="H15" i="16"/>
  <c r="I15" i="16"/>
  <c r="D16" i="16"/>
  <c r="E16" i="16"/>
  <c r="F16" i="16"/>
  <c r="G16" i="16"/>
  <c r="H16" i="16"/>
  <c r="I16" i="16"/>
  <c r="D17" i="16"/>
  <c r="E17" i="16"/>
  <c r="F17" i="16"/>
  <c r="G17" i="16"/>
  <c r="H17" i="16"/>
  <c r="I17" i="16"/>
  <c r="E14" i="16"/>
  <c r="F14" i="16"/>
  <c r="G14" i="16"/>
  <c r="H14" i="16"/>
  <c r="I14" i="16"/>
  <c r="L21" i="14"/>
  <c r="K26" i="14"/>
  <c r="E18" i="14" l="1"/>
  <c r="F18" i="14"/>
  <c r="G18" i="14"/>
  <c r="H18" i="14"/>
  <c r="I18" i="14"/>
  <c r="D18" i="14"/>
  <c r="D15" i="14"/>
  <c r="E15" i="14"/>
  <c r="F15" i="14"/>
  <c r="G15" i="14"/>
  <c r="H15" i="14"/>
  <c r="I15" i="14"/>
  <c r="D16" i="14"/>
  <c r="E16" i="14"/>
  <c r="F16" i="14"/>
  <c r="G16" i="14"/>
  <c r="H16" i="14"/>
  <c r="I16" i="14"/>
  <c r="D17" i="14"/>
  <c r="E17" i="14"/>
  <c r="F17" i="14"/>
  <c r="G17" i="14"/>
  <c r="H17" i="14"/>
  <c r="I17" i="14"/>
  <c r="E14" i="14"/>
  <c r="F14" i="14"/>
  <c r="G14" i="14"/>
  <c r="H14" i="14"/>
  <c r="I14" i="14"/>
  <c r="D14" i="14"/>
  <c r="J14" i="14" s="1"/>
  <c r="J15" i="14" l="1"/>
  <c r="J17" i="14"/>
  <c r="D24" i="14" s="1"/>
  <c r="J16" i="14"/>
  <c r="I23" i="14" s="1"/>
  <c r="F21" i="14"/>
  <c r="H21" i="14"/>
  <c r="I21" i="14"/>
  <c r="G21" i="14"/>
  <c r="E21" i="14"/>
  <c r="D23" i="14"/>
  <c r="J18" i="14"/>
  <c r="D21" i="14"/>
  <c r="J21" i="14" s="1"/>
  <c r="K21" i="14" s="1"/>
  <c r="I24" i="14"/>
  <c r="G24" i="14"/>
  <c r="E24" i="14"/>
  <c r="I22" i="14"/>
  <c r="G22" i="14"/>
  <c r="E22" i="14"/>
  <c r="H24" i="14"/>
  <c r="F24" i="14"/>
  <c r="H23" i="14"/>
  <c r="F23" i="14"/>
  <c r="H22" i="14"/>
  <c r="F22" i="14"/>
  <c r="D22" i="14"/>
  <c r="K8" i="13"/>
  <c r="D14" i="13"/>
  <c r="K5" i="13"/>
  <c r="K6" i="13"/>
  <c r="L6" i="13"/>
  <c r="M6" i="13"/>
  <c r="N6" i="13"/>
  <c r="O6" i="13"/>
  <c r="P6" i="13"/>
  <c r="K7" i="13"/>
  <c r="L7" i="13"/>
  <c r="M7" i="13"/>
  <c r="N7" i="13"/>
  <c r="O7" i="13"/>
  <c r="P7" i="13"/>
  <c r="L8" i="13"/>
  <c r="M8" i="13"/>
  <c r="N8" i="13"/>
  <c r="O8" i="13"/>
  <c r="P8" i="13"/>
  <c r="L5" i="13"/>
  <c r="M5" i="13"/>
  <c r="N5" i="13"/>
  <c r="O5" i="13"/>
  <c r="P5" i="13"/>
  <c r="K18" i="13"/>
  <c r="K19" i="13" s="1"/>
  <c r="K15" i="13"/>
  <c r="L15" i="13"/>
  <c r="M15" i="13"/>
  <c r="N15" i="13"/>
  <c r="O15" i="13"/>
  <c r="P15" i="13"/>
  <c r="K16" i="13"/>
  <c r="L16" i="13"/>
  <c r="M16" i="13"/>
  <c r="N16" i="13"/>
  <c r="O16" i="13"/>
  <c r="P16" i="13"/>
  <c r="K17" i="13"/>
  <c r="L17" i="13"/>
  <c r="M17" i="13"/>
  <c r="N17" i="13"/>
  <c r="O17" i="13"/>
  <c r="P17" i="13"/>
  <c r="L14" i="13"/>
  <c r="M14" i="13"/>
  <c r="M18" i="13" s="1"/>
  <c r="M19" i="13" s="1"/>
  <c r="N14" i="13"/>
  <c r="O14" i="13"/>
  <c r="O18" i="13" s="1"/>
  <c r="O19" i="13" s="1"/>
  <c r="P14" i="13"/>
  <c r="D15" i="13"/>
  <c r="E15" i="13"/>
  <c r="F15" i="13"/>
  <c r="G15" i="13"/>
  <c r="H15" i="13"/>
  <c r="I15" i="13"/>
  <c r="J15" i="13"/>
  <c r="D16" i="13"/>
  <c r="E16" i="13"/>
  <c r="F16" i="13"/>
  <c r="G16" i="13"/>
  <c r="H16" i="13"/>
  <c r="I16" i="13"/>
  <c r="J16" i="13"/>
  <c r="D17" i="13"/>
  <c r="E17" i="13"/>
  <c r="F17" i="13"/>
  <c r="G17" i="13"/>
  <c r="H17" i="13"/>
  <c r="I17" i="13"/>
  <c r="J17" i="13"/>
  <c r="D18" i="13"/>
  <c r="E18" i="13"/>
  <c r="F18" i="13"/>
  <c r="G18" i="13"/>
  <c r="H18" i="13"/>
  <c r="I18" i="13"/>
  <c r="J18" i="13"/>
  <c r="E14" i="13"/>
  <c r="F14" i="13"/>
  <c r="G14" i="13"/>
  <c r="H14" i="13"/>
  <c r="I14" i="13"/>
  <c r="J14" i="13"/>
  <c r="D26" i="12"/>
  <c r="E26" i="12"/>
  <c r="F26" i="12"/>
  <c r="G26" i="12"/>
  <c r="H26" i="12"/>
  <c r="I26" i="12"/>
  <c r="D27" i="12"/>
  <c r="E27" i="12"/>
  <c r="F27" i="12"/>
  <c r="G27" i="12"/>
  <c r="H27" i="12"/>
  <c r="I27" i="12"/>
  <c r="D28" i="12"/>
  <c r="E28" i="12"/>
  <c r="F28" i="12"/>
  <c r="G28" i="12"/>
  <c r="H28" i="12"/>
  <c r="I28" i="12"/>
  <c r="E25" i="12"/>
  <c r="F25" i="12"/>
  <c r="G25" i="12"/>
  <c r="H25" i="12"/>
  <c r="I25" i="12"/>
  <c r="D25" i="12"/>
  <c r="I29" i="12"/>
  <c r="E29" i="12"/>
  <c r="F29" i="12"/>
  <c r="G29" i="12"/>
  <c r="H29" i="12"/>
  <c r="D29" i="12"/>
  <c r="D17" i="12"/>
  <c r="E17" i="12"/>
  <c r="F17" i="12"/>
  <c r="G17" i="12"/>
  <c r="H17" i="12"/>
  <c r="I17" i="12"/>
  <c r="J17" i="12"/>
  <c r="D18" i="12"/>
  <c r="E18" i="12"/>
  <c r="F18" i="12"/>
  <c r="G18" i="12"/>
  <c r="H18" i="12"/>
  <c r="I18" i="12"/>
  <c r="J18" i="12"/>
  <c r="D19" i="12"/>
  <c r="E19" i="12"/>
  <c r="F19" i="12"/>
  <c r="G19" i="12"/>
  <c r="H19" i="12"/>
  <c r="I19" i="12"/>
  <c r="J19" i="12"/>
  <c r="D20" i="12"/>
  <c r="E20" i="12"/>
  <c r="F20" i="12"/>
  <c r="G20" i="12"/>
  <c r="H20" i="12"/>
  <c r="I20" i="12"/>
  <c r="J20" i="12"/>
  <c r="E16" i="12"/>
  <c r="F16" i="12"/>
  <c r="G16" i="12"/>
  <c r="H16" i="12"/>
  <c r="I16" i="12"/>
  <c r="J16" i="12"/>
  <c r="D16" i="12"/>
  <c r="G23" i="14" l="1"/>
  <c r="J22" i="14"/>
  <c r="K22" i="14" s="1"/>
  <c r="E23" i="14"/>
  <c r="J23" i="14" s="1"/>
  <c r="K23" i="14" s="1"/>
  <c r="J24" i="14"/>
  <c r="K24" i="14" s="1"/>
  <c r="G26" i="14"/>
  <c r="F26" i="14"/>
  <c r="D26" i="14"/>
  <c r="E26" i="14"/>
  <c r="I26" i="14"/>
  <c r="H26" i="14"/>
  <c r="P18" i="13"/>
  <c r="P19" i="13" s="1"/>
  <c r="N18" i="13"/>
  <c r="N19" i="13" s="1"/>
  <c r="L18" i="13"/>
  <c r="L19" i="13" s="1"/>
  <c r="C16" i="11"/>
  <c r="J5" i="11"/>
  <c r="I19" i="11"/>
  <c r="I17" i="11"/>
  <c r="I18" i="11"/>
  <c r="I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D16" i="11"/>
  <c r="E16" i="11"/>
  <c r="F16" i="11"/>
  <c r="G16" i="11"/>
  <c r="H16" i="11"/>
  <c r="C10" i="11"/>
  <c r="J6" i="11"/>
  <c r="K6" i="11"/>
  <c r="L6" i="11"/>
  <c r="M6" i="11"/>
  <c r="N6" i="11"/>
  <c r="O6" i="11"/>
  <c r="J7" i="11"/>
  <c r="K7" i="11"/>
  <c r="L7" i="11"/>
  <c r="M7" i="11"/>
  <c r="N7" i="11"/>
  <c r="O7" i="11"/>
  <c r="J8" i="11"/>
  <c r="K8" i="11"/>
  <c r="L8" i="11"/>
  <c r="M8" i="11"/>
  <c r="N8" i="11"/>
  <c r="O8" i="11"/>
  <c r="K5" i="11"/>
  <c r="L5" i="11"/>
  <c r="M5" i="11"/>
  <c r="N5" i="11"/>
  <c r="O5" i="11"/>
  <c r="D10" i="11"/>
  <c r="E10" i="11"/>
  <c r="F10" i="11"/>
  <c r="G10" i="11"/>
  <c r="H10" i="11"/>
  <c r="J26" i="14" l="1"/>
  <c r="I12" i="10"/>
  <c r="D12" i="10"/>
  <c r="E12" i="10"/>
  <c r="F12" i="10"/>
  <c r="G12" i="10"/>
  <c r="H12" i="10"/>
  <c r="C12" i="10"/>
  <c r="I10" i="10"/>
  <c r="D10" i="10"/>
  <c r="E10" i="10"/>
  <c r="F10" i="10"/>
  <c r="G10" i="10"/>
  <c r="H10" i="10"/>
  <c r="C10" i="10"/>
  <c r="I11" i="10"/>
  <c r="C38" i="9"/>
  <c r="D38" i="9"/>
  <c r="E38" i="9"/>
  <c r="F38" i="9"/>
  <c r="G38" i="9"/>
  <c r="H38" i="9"/>
  <c r="C39" i="9"/>
  <c r="D39" i="9"/>
  <c r="E39" i="9"/>
  <c r="F39" i="9"/>
  <c r="G39" i="9"/>
  <c r="H39" i="9"/>
  <c r="C40" i="9"/>
  <c r="D40" i="9"/>
  <c r="E40" i="9"/>
  <c r="F40" i="9"/>
  <c r="G40" i="9"/>
  <c r="H40" i="9"/>
  <c r="C41" i="9"/>
  <c r="D41" i="9"/>
  <c r="E41" i="9"/>
  <c r="F41" i="9"/>
  <c r="G41" i="9"/>
  <c r="H41" i="9"/>
  <c r="D37" i="9"/>
  <c r="E37" i="9"/>
  <c r="F37" i="9"/>
  <c r="G37" i="9"/>
  <c r="H37" i="9"/>
  <c r="C37" i="9"/>
  <c r="G18" i="9"/>
  <c r="F18" i="9"/>
  <c r="F20" i="9"/>
  <c r="G19" i="9"/>
  <c r="G20" i="9"/>
  <c r="G21" i="9"/>
  <c r="C16" i="7"/>
  <c r="C25" i="7" s="1"/>
  <c r="D16" i="7"/>
  <c r="D25" i="7" s="1"/>
  <c r="E16" i="7"/>
  <c r="E25" i="7" s="1"/>
  <c r="F16" i="7"/>
  <c r="F25" i="7" s="1"/>
  <c r="G16" i="7"/>
  <c r="G25" i="7" s="1"/>
  <c r="H16" i="7"/>
  <c r="H25" i="7" s="1"/>
  <c r="C17" i="7"/>
  <c r="C26" i="7" s="1"/>
  <c r="D17" i="7"/>
  <c r="D26" i="7" s="1"/>
  <c r="E17" i="7"/>
  <c r="E26" i="7" s="1"/>
  <c r="F17" i="7"/>
  <c r="F26" i="7" s="1"/>
  <c r="G17" i="7"/>
  <c r="G26" i="7" s="1"/>
  <c r="H17" i="7"/>
  <c r="H26" i="7" s="1"/>
  <c r="C18" i="7"/>
  <c r="C27" i="7" s="1"/>
  <c r="D18" i="7"/>
  <c r="D27" i="7" s="1"/>
  <c r="E18" i="7"/>
  <c r="E27" i="7" s="1"/>
  <c r="F18" i="7"/>
  <c r="F27" i="7" s="1"/>
  <c r="G18" i="7"/>
  <c r="G27" i="7" s="1"/>
  <c r="H18" i="7"/>
  <c r="H27" i="7" s="1"/>
  <c r="D15" i="7"/>
  <c r="D24" i="7" s="1"/>
  <c r="E15" i="7"/>
  <c r="E24" i="7" s="1"/>
  <c r="F15" i="7"/>
  <c r="F24" i="7" s="1"/>
  <c r="G15" i="7"/>
  <c r="G24" i="7" s="1"/>
  <c r="H15" i="7"/>
  <c r="H24" i="7" s="1"/>
  <c r="C15" i="7"/>
  <c r="C24" i="7" s="1"/>
  <c r="L24" i="14" l="1"/>
  <c r="L22" i="14"/>
  <c r="L23" i="14"/>
  <c r="F21" i="9"/>
  <c r="G22" i="9"/>
  <c r="H21" i="9" s="1"/>
  <c r="I21" i="9" s="1"/>
  <c r="F19" i="9"/>
  <c r="J21" i="9"/>
  <c r="F22" i="9"/>
  <c r="I24" i="7"/>
  <c r="I27" i="7"/>
  <c r="I26" i="7"/>
  <c r="I25" i="7"/>
  <c r="H28" i="7"/>
  <c r="F28" i="7"/>
  <c r="D28" i="7"/>
  <c r="C28" i="7"/>
  <c r="G28" i="7"/>
  <c r="E28" i="7"/>
  <c r="L7" i="8"/>
  <c r="L8" i="8"/>
  <c r="L9" i="8"/>
  <c r="L10" i="8"/>
  <c r="L18" i="8" s="1"/>
  <c r="L27" i="8" s="1"/>
  <c r="L6" i="8"/>
  <c r="L19" i="8"/>
  <c r="L17" i="8"/>
  <c r="L26" i="8" s="1"/>
  <c r="D26" i="8"/>
  <c r="F26" i="8"/>
  <c r="H26" i="8"/>
  <c r="D16" i="8"/>
  <c r="D25" i="8" s="1"/>
  <c r="E16" i="8"/>
  <c r="E25" i="8" s="1"/>
  <c r="F16" i="8"/>
  <c r="F25" i="8" s="1"/>
  <c r="G16" i="8"/>
  <c r="G25" i="8" s="1"/>
  <c r="H16" i="8"/>
  <c r="H25" i="8" s="1"/>
  <c r="I16" i="8"/>
  <c r="I25" i="8" s="1"/>
  <c r="J16" i="8"/>
  <c r="D17" i="8"/>
  <c r="E17" i="8"/>
  <c r="E26" i="8" s="1"/>
  <c r="F17" i="8"/>
  <c r="G17" i="8"/>
  <c r="G26" i="8" s="1"/>
  <c r="H17" i="8"/>
  <c r="I17" i="8"/>
  <c r="I26" i="8" s="1"/>
  <c r="J17" i="8"/>
  <c r="D18" i="8"/>
  <c r="D27" i="8" s="1"/>
  <c r="E18" i="8"/>
  <c r="E27" i="8" s="1"/>
  <c r="F18" i="8"/>
  <c r="F27" i="8" s="1"/>
  <c r="G18" i="8"/>
  <c r="G27" i="8" s="1"/>
  <c r="H18" i="8"/>
  <c r="H27" i="8" s="1"/>
  <c r="I18" i="8"/>
  <c r="I27" i="8" s="1"/>
  <c r="J18" i="8"/>
  <c r="D19" i="8"/>
  <c r="E19" i="8"/>
  <c r="F19" i="8"/>
  <c r="G19" i="8"/>
  <c r="H19" i="8"/>
  <c r="I19" i="8"/>
  <c r="J19" i="8"/>
  <c r="E15" i="8"/>
  <c r="E24" i="8" s="1"/>
  <c r="E28" i="8" s="1"/>
  <c r="E29" i="8" s="1"/>
  <c r="F15" i="8"/>
  <c r="F24" i="8" s="1"/>
  <c r="F28" i="8" s="1"/>
  <c r="F29" i="8" s="1"/>
  <c r="G15" i="8"/>
  <c r="G24" i="8" s="1"/>
  <c r="G28" i="8" s="1"/>
  <c r="G29" i="8" s="1"/>
  <c r="H15" i="8"/>
  <c r="H24" i="8" s="1"/>
  <c r="H28" i="8" s="1"/>
  <c r="H29" i="8" s="1"/>
  <c r="I15" i="8"/>
  <c r="I24" i="8" s="1"/>
  <c r="I28" i="8" s="1"/>
  <c r="I29" i="8" s="1"/>
  <c r="J15" i="8"/>
  <c r="D24" i="8" s="1"/>
  <c r="D28" i="8" s="1"/>
  <c r="D29" i="8" s="1"/>
  <c r="D15" i="8"/>
  <c r="H19" i="9" l="1"/>
  <c r="I19" i="9" s="1"/>
  <c r="J19" i="9" s="1"/>
  <c r="H20" i="9"/>
  <c r="I20" i="9" s="1"/>
  <c r="J20" i="9" s="1"/>
  <c r="H18" i="9"/>
  <c r="I18" i="9" s="1"/>
  <c r="J18" i="9" s="1"/>
  <c r="I28" i="7"/>
  <c r="M10" i="8"/>
  <c r="L16" i="8"/>
  <c r="L25" i="8" s="1"/>
  <c r="L28" i="8" s="1"/>
  <c r="L29" i="8" s="1"/>
  <c r="L15" i="8"/>
  <c r="L24" i="8" s="1"/>
  <c r="L24" i="6"/>
  <c r="M28" i="6"/>
  <c r="M29" i="6" s="1"/>
  <c r="N28" i="6"/>
  <c r="N29" i="6" s="1"/>
  <c r="O28" i="6"/>
  <c r="O29" i="6" s="1"/>
  <c r="P28" i="6"/>
  <c r="P29" i="6" s="1"/>
  <c r="Q28" i="6"/>
  <c r="Q29" i="6" s="1"/>
  <c r="L28" i="6"/>
  <c r="L29" i="6" s="1"/>
  <c r="S29" i="6" s="1"/>
  <c r="L26" i="6"/>
  <c r="M24" i="6"/>
  <c r="M26" i="6" s="1"/>
  <c r="N24" i="6"/>
  <c r="N26" i="6" s="1"/>
  <c r="O24" i="6"/>
  <c r="O26" i="6" s="1"/>
  <c r="P24" i="6"/>
  <c r="P26" i="6" s="1"/>
  <c r="Q24" i="6"/>
  <c r="Q26" i="6" s="1"/>
  <c r="C35" i="6"/>
  <c r="C43" i="6" s="1"/>
  <c r="D35" i="6"/>
  <c r="D43" i="6" s="1"/>
  <c r="E35" i="6"/>
  <c r="E43" i="6" s="1"/>
  <c r="F35" i="6"/>
  <c r="F43" i="6" s="1"/>
  <c r="G35" i="6"/>
  <c r="G43" i="6" s="1"/>
  <c r="H35" i="6"/>
  <c r="H43" i="6" s="1"/>
  <c r="C36" i="6"/>
  <c r="C44" i="6" s="1"/>
  <c r="D36" i="6"/>
  <c r="D44" i="6" s="1"/>
  <c r="E36" i="6"/>
  <c r="E44" i="6" s="1"/>
  <c r="F36" i="6"/>
  <c r="F44" i="6" s="1"/>
  <c r="G36" i="6"/>
  <c r="G44" i="6" s="1"/>
  <c r="H36" i="6"/>
  <c r="H44" i="6" s="1"/>
  <c r="C37" i="6"/>
  <c r="C45" i="6" s="1"/>
  <c r="D37" i="6"/>
  <c r="D45" i="6" s="1"/>
  <c r="E37" i="6"/>
  <c r="E45" i="6" s="1"/>
  <c r="F37" i="6"/>
  <c r="F45" i="6" s="1"/>
  <c r="G37" i="6"/>
  <c r="G45" i="6" s="1"/>
  <c r="H37" i="6"/>
  <c r="H45" i="6" s="1"/>
  <c r="D34" i="6"/>
  <c r="D42" i="6" s="1"/>
  <c r="E34" i="6"/>
  <c r="E42" i="6" s="1"/>
  <c r="F34" i="6"/>
  <c r="F42" i="6" s="1"/>
  <c r="G34" i="6"/>
  <c r="G42" i="6" s="1"/>
  <c r="H34" i="6"/>
  <c r="H42" i="6" s="1"/>
  <c r="C34" i="6"/>
  <c r="C42" i="6" s="1"/>
  <c r="I46" i="6" s="1"/>
  <c r="C24" i="6"/>
  <c r="C17" i="6"/>
  <c r="C25" i="6" s="1"/>
  <c r="D17" i="6"/>
  <c r="D25" i="6" s="1"/>
  <c r="E17" i="6"/>
  <c r="E25" i="6" s="1"/>
  <c r="F17" i="6"/>
  <c r="F25" i="6" s="1"/>
  <c r="G17" i="6"/>
  <c r="G25" i="6" s="1"/>
  <c r="H17" i="6"/>
  <c r="H25" i="6" s="1"/>
  <c r="C18" i="6"/>
  <c r="C26" i="6" s="1"/>
  <c r="D18" i="6"/>
  <c r="D26" i="6" s="1"/>
  <c r="E18" i="6"/>
  <c r="E26" i="6" s="1"/>
  <c r="F18" i="6"/>
  <c r="F26" i="6" s="1"/>
  <c r="G18" i="6"/>
  <c r="G26" i="6" s="1"/>
  <c r="H18" i="6"/>
  <c r="H26" i="6" s="1"/>
  <c r="C19" i="6"/>
  <c r="C27" i="6" s="1"/>
  <c r="D19" i="6"/>
  <c r="D27" i="6" s="1"/>
  <c r="E19" i="6"/>
  <c r="E27" i="6" s="1"/>
  <c r="F19" i="6"/>
  <c r="F27" i="6" s="1"/>
  <c r="G19" i="6"/>
  <c r="G27" i="6" s="1"/>
  <c r="H19" i="6"/>
  <c r="H27" i="6" s="1"/>
  <c r="D16" i="6"/>
  <c r="E16" i="6"/>
  <c r="E24" i="6" s="1"/>
  <c r="F16" i="6"/>
  <c r="F24" i="6" s="1"/>
  <c r="G16" i="6"/>
  <c r="G24" i="6" s="1"/>
  <c r="H16" i="6"/>
  <c r="H24" i="6" s="1"/>
  <c r="M14" i="6"/>
  <c r="I20" i="6" l="1"/>
  <c r="S26" i="6"/>
  <c r="S31" i="6" s="1"/>
  <c r="D24" i="6"/>
  <c r="I28" i="6" s="1"/>
  <c r="J22" i="9"/>
  <c r="J23" i="9" s="1"/>
  <c r="M19" i="8"/>
  <c r="M17" i="8"/>
  <c r="M26" i="8" s="1"/>
  <c r="M15" i="8"/>
  <c r="M24" i="8" s="1"/>
  <c r="M18" i="8"/>
  <c r="M27" i="8" s="1"/>
  <c r="M16" i="8"/>
  <c r="M25" i="8" s="1"/>
  <c r="AB6" i="6"/>
  <c r="AB8" i="6"/>
  <c r="AB7" i="6"/>
  <c r="AB5" i="6"/>
  <c r="AA9" i="6"/>
  <c r="X6" i="6"/>
  <c r="Y15" i="6" s="1"/>
  <c r="X7" i="6"/>
  <c r="Y16" i="6" s="1"/>
  <c r="X8" i="6"/>
  <c r="Y17" i="6" s="1"/>
  <c r="X5" i="6"/>
  <c r="Y14" i="6" s="1"/>
  <c r="M5" i="6"/>
  <c r="V6" i="6"/>
  <c r="W15" i="6" s="1"/>
  <c r="V7" i="6"/>
  <c r="W16" i="6" s="1"/>
  <c r="V8" i="6"/>
  <c r="W17" i="6" s="1"/>
  <c r="V9" i="6"/>
  <c r="V5" i="6"/>
  <c r="W14" i="6" s="1"/>
  <c r="T6" i="6"/>
  <c r="U15" i="6" s="1"/>
  <c r="T7" i="6"/>
  <c r="U16" i="6" s="1"/>
  <c r="T8" i="6"/>
  <c r="U17" i="6" s="1"/>
  <c r="T9" i="6"/>
  <c r="T5" i="6"/>
  <c r="U14" i="6" s="1"/>
  <c r="R6" i="6"/>
  <c r="S6" i="6" s="1"/>
  <c r="R7" i="6"/>
  <c r="S16" i="6" s="1"/>
  <c r="R8" i="6"/>
  <c r="S8" i="6" s="1"/>
  <c r="R9" i="6"/>
  <c r="R5" i="6"/>
  <c r="S14" i="6" s="1"/>
  <c r="P6" i="6"/>
  <c r="Q6" i="6" s="1"/>
  <c r="P7" i="6"/>
  <c r="Q16" i="6" s="1"/>
  <c r="P8" i="6"/>
  <c r="Q8" i="6" s="1"/>
  <c r="P9" i="6"/>
  <c r="P5" i="6"/>
  <c r="Q14" i="6" s="1"/>
  <c r="N6" i="6"/>
  <c r="O6" i="6" s="1"/>
  <c r="N7" i="6"/>
  <c r="O16" i="6" s="1"/>
  <c r="N8" i="6"/>
  <c r="O8" i="6" s="1"/>
  <c r="N9" i="6"/>
  <c r="N5" i="6"/>
  <c r="O14" i="6" s="1"/>
  <c r="L6" i="6"/>
  <c r="M6" i="6" s="1"/>
  <c r="L7" i="6"/>
  <c r="M16" i="6" s="1"/>
  <c r="L8" i="6"/>
  <c r="M8" i="6" s="1"/>
  <c r="L9" i="6"/>
  <c r="C49" i="6" l="1"/>
  <c r="C50" i="6"/>
  <c r="C51" i="6"/>
  <c r="M7" i="6"/>
  <c r="M9" i="6" s="1"/>
  <c r="O5" i="6"/>
  <c r="O7" i="6"/>
  <c r="Q5" i="6"/>
  <c r="Q9" i="6" s="1"/>
  <c r="Q7" i="6"/>
  <c r="S5" i="6"/>
  <c r="S9" i="6" s="1"/>
  <c r="S7" i="6"/>
  <c r="U6" i="6"/>
  <c r="U8" i="6"/>
  <c r="W6" i="6"/>
  <c r="W8" i="6"/>
  <c r="X9" i="6"/>
  <c r="Y8" i="6"/>
  <c r="Y6" i="6"/>
  <c r="M17" i="6"/>
  <c r="M15" i="6"/>
  <c r="O15" i="6"/>
  <c r="O17" i="6"/>
  <c r="Q15" i="6"/>
  <c r="Q17" i="6"/>
  <c r="S15" i="6"/>
  <c r="S17" i="6"/>
  <c r="U7" i="6"/>
  <c r="W5" i="6"/>
  <c r="W9" i="6" s="1"/>
  <c r="W7" i="6"/>
  <c r="U5" i="6"/>
  <c r="U9" i="6" s="1"/>
  <c r="Y5" i="6"/>
  <c r="Y7" i="6"/>
  <c r="M28" i="8"/>
  <c r="M29" i="8" s="1"/>
  <c r="AB9" i="6"/>
  <c r="E22" i="5"/>
  <c r="F22" i="5"/>
  <c r="G22" i="5"/>
  <c r="H22" i="5"/>
  <c r="I22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F18" i="5"/>
  <c r="G18" i="5"/>
  <c r="H18" i="5"/>
  <c r="I18" i="5"/>
  <c r="D13" i="5"/>
  <c r="E13" i="5"/>
  <c r="F13" i="5"/>
  <c r="G13" i="5"/>
  <c r="H13" i="5"/>
  <c r="I13" i="5"/>
  <c r="J13" i="5"/>
  <c r="D14" i="5"/>
  <c r="E14" i="5"/>
  <c r="F14" i="5"/>
  <c r="G14" i="5"/>
  <c r="H14" i="5"/>
  <c r="I14" i="5"/>
  <c r="J14" i="5"/>
  <c r="D15" i="5"/>
  <c r="E15" i="5"/>
  <c r="F15" i="5"/>
  <c r="G15" i="5"/>
  <c r="H15" i="5"/>
  <c r="I15" i="5"/>
  <c r="J15" i="5"/>
  <c r="E12" i="5"/>
  <c r="F12" i="5"/>
  <c r="G12" i="5"/>
  <c r="H12" i="5"/>
  <c r="I12" i="5"/>
  <c r="O9" i="6" l="1"/>
  <c r="Y9" i="6"/>
  <c r="O10" i="6" s="1"/>
  <c r="L9" i="3"/>
  <c r="M9" i="3"/>
  <c r="N9" i="3"/>
  <c r="O9" i="3"/>
  <c r="P9" i="3"/>
  <c r="K9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K7" i="3"/>
  <c r="K8" i="3"/>
  <c r="K5" i="3"/>
  <c r="L11" i="3"/>
  <c r="M11" i="3"/>
  <c r="N11" i="3"/>
  <c r="O11" i="3"/>
  <c r="P11" i="3"/>
  <c r="K11" i="3"/>
  <c r="Q10" i="6" l="1"/>
  <c r="W10" i="6"/>
  <c r="Q11" i="6"/>
  <c r="N25" i="6" s="1"/>
  <c r="U11" i="6"/>
  <c r="P25" i="6" s="1"/>
  <c r="M11" i="6"/>
  <c r="L25" i="6" s="1"/>
  <c r="O11" i="6"/>
  <c r="M25" i="6" s="1"/>
  <c r="S11" i="6"/>
  <c r="O25" i="6" s="1"/>
  <c r="W11" i="6"/>
  <c r="Q25" i="6" s="1"/>
  <c r="Y11" i="6"/>
  <c r="Y10" i="6"/>
  <c r="S10" i="6"/>
  <c r="U10" i="6"/>
  <c r="M10" i="6"/>
  <c r="P6" i="2"/>
  <c r="F18" i="2" s="1"/>
  <c r="N9" i="2"/>
  <c r="M8" i="2"/>
  <c r="N8" i="2"/>
  <c r="L7" i="2"/>
  <c r="L6" i="2"/>
  <c r="P7" i="2"/>
  <c r="E14" i="2"/>
  <c r="P8" i="2"/>
  <c r="E12" i="2"/>
  <c r="N6" i="2"/>
  <c r="N7" i="2"/>
  <c r="M6" i="2"/>
  <c r="M7" i="2"/>
  <c r="L8" i="2"/>
  <c r="F12" i="2"/>
  <c r="F14" i="2"/>
  <c r="G14" i="2"/>
  <c r="H14" i="2"/>
  <c r="I14" i="2"/>
  <c r="J14" i="2"/>
  <c r="K12" i="2"/>
  <c r="G12" i="2"/>
  <c r="H12" i="2"/>
  <c r="I12" i="2"/>
  <c r="J12" i="2"/>
  <c r="F11" i="2"/>
  <c r="G11" i="2"/>
  <c r="H11" i="2"/>
  <c r="I11" i="2"/>
  <c r="J11" i="2"/>
  <c r="G10" i="2"/>
  <c r="H10" i="2"/>
  <c r="I10" i="2"/>
  <c r="J10" i="2"/>
  <c r="R6" i="1"/>
  <c r="R7" i="1"/>
  <c r="R8" i="1"/>
  <c r="R9" i="1"/>
  <c r="M7" i="1"/>
  <c r="N7" i="1"/>
  <c r="O7" i="1"/>
  <c r="P7" i="1"/>
  <c r="Q7" i="1"/>
  <c r="M8" i="1"/>
  <c r="N8" i="1"/>
  <c r="O8" i="1"/>
  <c r="P8" i="1"/>
  <c r="M9" i="1"/>
  <c r="N9" i="1"/>
  <c r="O9" i="1"/>
  <c r="P9" i="1"/>
  <c r="Q9" i="1"/>
  <c r="N6" i="1"/>
  <c r="N12" i="1" s="1"/>
  <c r="O6" i="1"/>
  <c r="O12" i="1" s="1"/>
  <c r="P6" i="1"/>
  <c r="P12" i="1" s="1"/>
  <c r="Q6" i="1"/>
  <c r="Q12" i="1" s="1"/>
  <c r="S25" i="6" l="1"/>
  <c r="S33" i="6" s="1"/>
  <c r="R12" i="1"/>
  <c r="F17" i="2"/>
</calcChain>
</file>

<file path=xl/sharedStrings.xml><?xml version="1.0" encoding="utf-8"?>
<sst xmlns="http://schemas.openxmlformats.org/spreadsheetml/2006/main" count="1904" uniqueCount="190">
  <si>
    <t>region 3</t>
  </si>
  <si>
    <t>region 4</t>
  </si>
  <si>
    <t>region 5</t>
  </si>
  <si>
    <t>region 6</t>
  </si>
  <si>
    <t>Total</t>
  </si>
  <si>
    <t>Industry 1</t>
  </si>
  <si>
    <t>Industry 2</t>
  </si>
  <si>
    <t>Industry 3</t>
  </si>
  <si>
    <t>Industry 4</t>
  </si>
  <si>
    <t>---</t>
  </si>
  <si>
    <t>region 1</t>
  </si>
  <si>
    <t>region 2</t>
  </si>
  <si>
    <t>GINI concetr</t>
  </si>
  <si>
    <t>GINI spec</t>
  </si>
  <si>
    <r>
      <t>emp­</t>
    </r>
    <r>
      <rPr>
        <i/>
        <vertAlign val="subscript"/>
        <sz val="8"/>
        <color rgb="FF000000"/>
        <rFont val="Times New Roman"/>
        <family val="1"/>
        <charset val="238"/>
      </rPr>
      <t>i,j</t>
    </r>
  </si>
  <si>
    <t>ideal share</t>
  </si>
  <si>
    <t>shares 
region 1 
(%)</t>
  </si>
  <si>
    <t>shares by sectors all regions (%)</t>
  </si>
  <si>
    <t>shares 
region 1 
(%) (decreasingly)</t>
  </si>
  <si>
    <t>shares by sectors all regions (%) (decreasingly)</t>
  </si>
  <si>
    <t>cumulative sums</t>
  </si>
  <si>
    <t>cumulative sums for equal shares</t>
  </si>
  <si>
    <t>hypothetic full concentration shares (%)</t>
  </si>
  <si>
    <t>hypothetic equal shares (%)</t>
  </si>
  <si>
    <t>cumulative sums for concentration shares</t>
  </si>
  <si>
    <t>real shares 
region 1 
(%)</t>
  </si>
  <si>
    <t>real shares by sectors all regions (%)</t>
  </si>
  <si>
    <t>hypothetic equal shares (any region) (%)</t>
  </si>
  <si>
    <t>hypothetic full concentration shares (any region) (%)</t>
  </si>
  <si>
    <t>…</t>
  </si>
  <si>
    <t>shares</t>
  </si>
  <si>
    <t>abs(share-share*)</t>
  </si>
  <si>
    <t>Total - Krugman index</t>
  </si>
  <si>
    <t>s * ln s</t>
  </si>
  <si>
    <t>equal distrib.</t>
  </si>
  <si>
    <t>s</t>
  </si>
  <si>
    <t>relative</t>
  </si>
  <si>
    <t>Theil</t>
  </si>
  <si>
    <t>ln(s)</t>
  </si>
  <si>
    <t>H max</t>
  </si>
  <si>
    <t>Shannon</t>
  </si>
  <si>
    <t>thail</t>
  </si>
  <si>
    <t>s*lns</t>
  </si>
  <si>
    <t>shannon</t>
  </si>
  <si>
    <t>ważony theil</t>
  </si>
  <si>
    <t>s equal</t>
  </si>
  <si>
    <t>s*lns equal</t>
  </si>
  <si>
    <t>shannon max</t>
  </si>
  <si>
    <t>theil</t>
  </si>
  <si>
    <t>period 0</t>
  </si>
  <si>
    <t>period 1</t>
  </si>
  <si>
    <t>increase</t>
  </si>
  <si>
    <t>Periods</t>
  </si>
  <si>
    <t>Time 0</t>
  </si>
  <si>
    <t>Time 1</t>
  </si>
  <si>
    <t xml:space="preserve"> </t>
  </si>
  <si>
    <t>time 0</t>
  </si>
  <si>
    <t>time 1</t>
  </si>
  <si>
    <t>delta log empijt</t>
  </si>
  <si>
    <t>nawias</t>
  </si>
  <si>
    <t>nawias^2</t>
  </si>
  <si>
    <t>ułamek</t>
  </si>
  <si>
    <t>mnożenie</t>
  </si>
  <si>
    <t>Data</t>
  </si>
  <si>
    <t>Growth Rate</t>
  </si>
  <si>
    <t>share of employment in region</t>
  </si>
  <si>
    <t>area (in units)</t>
  </si>
  <si>
    <t>absolute difference</t>
  </si>
  <si>
    <t>n(j)/N</t>
  </si>
  <si>
    <t>share</t>
  </si>
  <si>
    <t>Hachman</t>
  </si>
  <si>
    <t>kwadrat różnicy w liczniku</t>
  </si>
  <si>
    <t>total</t>
  </si>
  <si>
    <t>shares yij</t>
  </si>
  <si>
    <t>average share by sectors</t>
  </si>
  <si>
    <t>average share by regions</t>
  </si>
  <si>
    <t>kwadrat różnicy w mianowniku</t>
  </si>
  <si>
    <t>pierwiastek z total/n</t>
  </si>
  <si>
    <t>Vi</t>
  </si>
  <si>
    <t>Gini</t>
  </si>
  <si>
    <t>policzyć</t>
  </si>
  <si>
    <t>LQ</t>
  </si>
  <si>
    <t>Ogive</t>
  </si>
  <si>
    <t>Krugman index</t>
  </si>
  <si>
    <t>Krugman</t>
  </si>
  <si>
    <t>Hallet</t>
  </si>
  <si>
    <t>Geographic concentration index</t>
  </si>
  <si>
    <t>Lilien</t>
  </si>
  <si>
    <t>NAI</t>
  </si>
  <si>
    <t>relative H</t>
  </si>
  <si>
    <t>Theil S</t>
  </si>
  <si>
    <t>Theil total</t>
  </si>
  <si>
    <t>Bruhlart i Traeger</t>
  </si>
  <si>
    <t>x</t>
  </si>
  <si>
    <t>suma</t>
  </si>
  <si>
    <t>n(n-1)</t>
  </si>
  <si>
    <t>mi</t>
  </si>
  <si>
    <t>G</t>
  </si>
  <si>
    <t>industry 1</t>
  </si>
  <si>
    <t>Gini ranking</t>
  </si>
  <si>
    <t>Moran's I for LQ</t>
  </si>
  <si>
    <t>Moran's I for LQ ranking</t>
  </si>
  <si>
    <t>macierze w</t>
  </si>
  <si>
    <t>industry 2</t>
  </si>
  <si>
    <t>industry 3</t>
  </si>
  <si>
    <t>w</t>
  </si>
  <si>
    <t>średnie LQ w sektorze</t>
  </si>
  <si>
    <t>squared difference of Lqi and Lqaverage</t>
  </si>
  <si>
    <t>Moran</t>
  </si>
  <si>
    <t>odległości</t>
  </si>
  <si>
    <t>sector n</t>
  </si>
  <si>
    <t>góra suma</t>
  </si>
  <si>
    <t>dół duma</t>
  </si>
  <si>
    <t>index</t>
  </si>
  <si>
    <t>średnia</t>
  </si>
  <si>
    <t>W</t>
  </si>
  <si>
    <t>źle</t>
  </si>
  <si>
    <t>góra</t>
  </si>
  <si>
    <t>dół</t>
  </si>
  <si>
    <t>bez ważenia odległością</t>
  </si>
  <si>
    <t>udziały</t>
  </si>
  <si>
    <t>permutation 1</t>
  </si>
  <si>
    <t>permutation 2</t>
  </si>
  <si>
    <t>permutation 3</t>
  </si>
  <si>
    <t>permutation 4</t>
  </si>
  <si>
    <t>original distribution</t>
  </si>
  <si>
    <t>nominator components</t>
  </si>
  <si>
    <t>average</t>
  </si>
  <si>
    <t>counter components</t>
  </si>
  <si>
    <t>lambda</t>
  </si>
  <si>
    <t>even distrib</t>
  </si>
  <si>
    <t>extreme distr</t>
  </si>
  <si>
    <t>(si-xi)2</t>
  </si>
  <si>
    <t>xi2</t>
  </si>
  <si>
    <t>si</t>
  </si>
  <si>
    <t>xi</t>
  </si>
  <si>
    <t>licznik</t>
  </si>
  <si>
    <t>mianownik</t>
  </si>
  <si>
    <t>EG</t>
  </si>
  <si>
    <t>industry1</t>
  </si>
  <si>
    <t>industry2</t>
  </si>
  <si>
    <t>industry3</t>
  </si>
  <si>
    <t>industry4</t>
  </si>
  <si>
    <t>Total H</t>
  </si>
  <si>
    <t>distrib of firms</t>
  </si>
  <si>
    <t>size of company</t>
  </si>
  <si>
    <t>number of companies</t>
  </si>
  <si>
    <t>Herfindahl Index</t>
  </si>
  <si>
    <t>moja macierzy wyjściowa</t>
  </si>
  <si>
    <t>Liczba zatrudnionych w regionie w branży</t>
  </si>
  <si>
    <t>Obliczenia</t>
  </si>
  <si>
    <t>sztuczny</t>
  </si>
  <si>
    <t>monoindustry</t>
  </si>
  <si>
    <t>medium (10)</t>
  </si>
  <si>
    <t>small (1)</t>
  </si>
  <si>
    <t>H</t>
  </si>
  <si>
    <t>very big (100)</t>
  </si>
  <si>
    <t>big (50)</t>
  </si>
  <si>
    <t>si^2</t>
  </si>
  <si>
    <t>xi^2</t>
  </si>
  <si>
    <t>counter</t>
  </si>
  <si>
    <t>nominator</t>
  </si>
  <si>
    <t>MS</t>
  </si>
  <si>
    <t>max</t>
  </si>
  <si>
    <t>degree</t>
  </si>
  <si>
    <t>Krugman Index (DIS)</t>
  </si>
  <si>
    <t>Herfindahl idnex (HH) for regions</t>
  </si>
  <si>
    <t>RSI (max LQ)</t>
  </si>
  <si>
    <t>Relative Diversity Index (RDI) (inverse Krugman)</t>
  </si>
  <si>
    <t>Absolute Diversity Index (ADI) (inverse HH)</t>
  </si>
  <si>
    <t>dla regionów</t>
  </si>
  <si>
    <t>dla sektorów</t>
  </si>
  <si>
    <t>locational Gini</t>
  </si>
  <si>
    <t>Guillain and LeGallo (Moran for LQ)</t>
  </si>
  <si>
    <t>clustering index</t>
  </si>
  <si>
    <t>refined diversification index</t>
  </si>
  <si>
    <t>KLD</t>
  </si>
  <si>
    <t>agglomeration V</t>
  </si>
  <si>
    <t>Herfindahl</t>
  </si>
  <si>
    <t>std.dev</t>
  </si>
  <si>
    <t>cv</t>
  </si>
  <si>
    <t>MAX LQ</t>
  </si>
  <si>
    <t>clustering index (Bergstrand)</t>
  </si>
  <si>
    <t>equal dist</t>
  </si>
  <si>
    <t>Shannon's H</t>
  </si>
  <si>
    <t>Relative H</t>
  </si>
  <si>
    <t>Theil's H</t>
  </si>
  <si>
    <t>śr</t>
  </si>
  <si>
    <t>odch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</si>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</sst>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0.0"/>
    <numFmt numFmtId="167" formatCode="0.0000"/>
  </numFmts>
  <fonts count="25" x14ac:knownFonts="1">
    <font>
      <sz val="11"/>
      <color theme="1"/>
      <name val="Calibri"/>
      <family val="2"/>
      <charset val="238"/>
      <scheme val="minor"/>
    </font>
    <font>
      <b/>
      <sz val="8"/>
      <color rgb="FF000000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8"/>
      <color theme="1"/>
      <name val="Times New Roman"/>
      <family val="1"/>
      <charset val="238"/>
    </font>
    <font>
      <b/>
      <i/>
      <sz val="11"/>
      <color theme="1"/>
      <name val="Calibri"/>
      <family val="2"/>
      <charset val="238"/>
      <scheme val="minor"/>
    </font>
    <font>
      <i/>
      <sz val="8"/>
      <color rgb="FF000000"/>
      <name val="Times New Roman"/>
      <family val="1"/>
      <charset val="238"/>
    </font>
    <font>
      <i/>
      <vertAlign val="subscript"/>
      <sz val="8"/>
      <color rgb="FF000000"/>
      <name val="Times New Roman"/>
      <family val="1"/>
      <charset val="238"/>
    </font>
    <font>
      <sz val="8"/>
      <color rgb="FF000000"/>
      <name val="Times New Roman"/>
      <family val="1"/>
      <charset val="238"/>
    </font>
    <font>
      <sz val="8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b/>
      <sz val="9"/>
      <color rgb="FF000000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rgb="FF000000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0"/>
      <color rgb="FF000000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ourier New"/>
      <family val="3"/>
      <charset val="238"/>
    </font>
    <font>
      <sz val="11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b/>
      <i/>
      <sz val="10"/>
      <color rgb="FF000000"/>
      <name val="Times New Roman"/>
      <family val="1"/>
      <charset val="238"/>
    </font>
    <font>
      <b/>
      <i/>
      <sz val="10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14">
    <xf numFmtId="0" fontId="0" fillId="0" borderId="0" xfId="0"/>
    <xf numFmtId="2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2" fontId="4" fillId="0" borderId="0" xfId="0" applyNumberFormat="1" applyFo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/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164" fontId="2" fillId="5" borderId="3" xfId="1" applyNumberFormat="1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center"/>
    </xf>
    <xf numFmtId="165" fontId="11" fillId="5" borderId="3" xfId="0" applyNumberFormat="1" applyFont="1" applyFill="1" applyBorder="1" applyAlignment="1">
      <alignment horizontal="center"/>
    </xf>
    <xf numFmtId="0" fontId="13" fillId="0" borderId="0" xfId="0" applyFont="1"/>
    <xf numFmtId="0" fontId="14" fillId="2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3" fillId="0" borderId="0" xfId="0" applyFont="1" applyFill="1"/>
    <xf numFmtId="0" fontId="15" fillId="0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3" fillId="0" borderId="3" xfId="0" applyNumberFormat="1" applyFont="1" applyFill="1" applyBorder="1" applyAlignment="1">
      <alignment horizontal="center"/>
    </xf>
    <xf numFmtId="2" fontId="15" fillId="0" borderId="3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165" fontId="13" fillId="3" borderId="3" xfId="0" applyNumberFormat="1" applyFont="1" applyFill="1" applyBorder="1" applyAlignment="1">
      <alignment horizontal="center" vertical="center"/>
    </xf>
    <xf numFmtId="165" fontId="15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6" fillId="0" borderId="0" xfId="0" applyFont="1"/>
    <xf numFmtId="164" fontId="2" fillId="3" borderId="3" xfId="1" applyNumberFormat="1" applyFont="1" applyFill="1" applyBorder="1" applyAlignment="1">
      <alignment horizontal="center" vertical="center"/>
    </xf>
    <xf numFmtId="164" fontId="11" fillId="3" borderId="3" xfId="1" applyNumberFormat="1" applyFont="1" applyFill="1" applyBorder="1" applyAlignment="1">
      <alignment horizontal="center" vertical="center"/>
    </xf>
    <xf numFmtId="164" fontId="2" fillId="3" borderId="3" xfId="1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166" fontId="0" fillId="0" borderId="0" xfId="0" applyNumberFormat="1"/>
    <xf numFmtId="165" fontId="3" fillId="3" borderId="3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 wrapText="1"/>
    </xf>
    <xf numFmtId="165" fontId="11" fillId="3" borderId="3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3" fillId="3" borderId="1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/>
    </xf>
    <xf numFmtId="0" fontId="10" fillId="2" borderId="3" xfId="0" applyFont="1" applyFill="1" applyBorder="1" applyAlignment="1">
      <alignment horizontal="center" vertical="center" wrapText="1"/>
    </xf>
    <xf numFmtId="165" fontId="11" fillId="3" borderId="3" xfId="1" applyNumberFormat="1" applyFont="1" applyFill="1" applyBorder="1" applyAlignment="1">
      <alignment horizontal="center" vertical="center"/>
    </xf>
    <xf numFmtId="165" fontId="0" fillId="0" borderId="3" xfId="0" applyNumberFormat="1" applyBorder="1"/>
    <xf numFmtId="0" fontId="0" fillId="0" borderId="3" xfId="0" applyBorder="1"/>
    <xf numFmtId="0" fontId="14" fillId="2" borderId="0" xfId="0" applyFont="1" applyFill="1" applyBorder="1" applyAlignment="1">
      <alignment horizontal="center" vertical="center"/>
    </xf>
    <xf numFmtId="2" fontId="13" fillId="3" borderId="3" xfId="0" applyNumberFormat="1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0" xfId="0" applyFont="1" applyAlignment="1">
      <alignment wrapText="1"/>
    </xf>
    <xf numFmtId="165" fontId="13" fillId="0" borderId="3" xfId="0" applyNumberFormat="1" applyFont="1" applyBorder="1" applyAlignment="1">
      <alignment horizontal="center"/>
    </xf>
    <xf numFmtId="165" fontId="15" fillId="0" borderId="3" xfId="0" quotePrefix="1" applyNumberFormat="1" applyFont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11" fillId="3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2" fillId="0" borderId="0" xfId="0" applyFont="1"/>
    <xf numFmtId="2" fontId="11" fillId="3" borderId="3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165" fontId="11" fillId="0" borderId="3" xfId="0" applyNumberFormat="1" applyFont="1" applyBorder="1"/>
    <xf numFmtId="165" fontId="2" fillId="0" borderId="0" xfId="0" applyNumberFormat="1" applyFont="1"/>
    <xf numFmtId="165" fontId="11" fillId="3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65" fontId="11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165" fontId="2" fillId="0" borderId="3" xfId="0" applyNumberFormat="1" applyFont="1" applyBorder="1"/>
    <xf numFmtId="2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wrapText="1"/>
    </xf>
    <xf numFmtId="0" fontId="13" fillId="5" borderId="3" xfId="0" applyFont="1" applyFill="1" applyBorder="1"/>
    <xf numFmtId="0" fontId="15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5" fillId="0" borderId="3" xfId="0" applyFont="1" applyBorder="1"/>
    <xf numFmtId="2" fontId="13" fillId="6" borderId="3" xfId="0" applyNumberFormat="1" applyFont="1" applyFill="1" applyBorder="1"/>
    <xf numFmtId="2" fontId="15" fillId="0" borderId="3" xfId="0" applyNumberFormat="1" applyFont="1" applyBorder="1"/>
    <xf numFmtId="0" fontId="13" fillId="0" borderId="0" xfId="0" applyFont="1" applyBorder="1"/>
    <xf numFmtId="165" fontId="13" fillId="0" borderId="3" xfId="0" applyNumberFormat="1" applyFont="1" applyBorder="1"/>
    <xf numFmtId="2" fontId="13" fillId="0" borderId="3" xfId="0" applyNumberFormat="1" applyFont="1" applyBorder="1"/>
    <xf numFmtId="2" fontId="12" fillId="2" borderId="3" xfId="0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0" fillId="7" borderId="3" xfId="0" applyFont="1" applyFill="1" applyBorder="1" applyAlignment="1">
      <alignment horizontal="center" vertical="center"/>
    </xf>
    <xf numFmtId="165" fontId="11" fillId="7" borderId="3" xfId="0" applyNumberFormat="1" applyFont="1" applyFill="1" applyBorder="1" applyAlignment="1">
      <alignment horizontal="center"/>
    </xf>
    <xf numFmtId="0" fontId="18" fillId="0" borderId="3" xfId="0" applyFont="1" applyBorder="1"/>
    <xf numFmtId="165" fontId="18" fillId="0" borderId="3" xfId="0" applyNumberFormat="1" applyFont="1" applyBorder="1"/>
    <xf numFmtId="2" fontId="15" fillId="3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/>
    </xf>
    <xf numFmtId="165" fontId="13" fillId="5" borderId="3" xfId="0" applyNumberFormat="1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2" fontId="13" fillId="0" borderId="0" xfId="0" applyNumberFormat="1" applyFont="1"/>
    <xf numFmtId="0" fontId="19" fillId="5" borderId="3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165" fontId="19" fillId="5" borderId="3" xfId="0" applyNumberFormat="1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 wrapText="1"/>
    </xf>
    <xf numFmtId="2" fontId="19" fillId="5" borderId="3" xfId="0" applyNumberFormat="1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 vertical="center"/>
    </xf>
    <xf numFmtId="166" fontId="0" fillId="0" borderId="3" xfId="0" applyNumberFormat="1" applyBorder="1"/>
    <xf numFmtId="2" fontId="0" fillId="0" borderId="3" xfId="0" applyNumberFormat="1" applyBorder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2" fillId="3" borderId="12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0" fillId="7" borderId="0" xfId="0" applyFill="1"/>
    <xf numFmtId="0" fontId="1" fillId="2" borderId="3" xfId="0" applyFont="1" applyFill="1" applyBorder="1" applyAlignment="1">
      <alignment horizontal="center" vertical="center"/>
    </xf>
    <xf numFmtId="0" fontId="2" fillId="3" borderId="3" xfId="1" applyNumberFormat="1" applyFont="1" applyFill="1" applyBorder="1" applyAlignment="1">
      <alignment horizontal="center" vertical="center"/>
    </xf>
    <xf numFmtId="2" fontId="2" fillId="3" borderId="3" xfId="1" applyNumberFormat="1" applyFont="1" applyFill="1" applyBorder="1" applyAlignment="1">
      <alignment horizontal="center" vertical="center"/>
    </xf>
    <xf numFmtId="2" fontId="2" fillId="3" borderId="0" xfId="1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 wrapText="1"/>
    </xf>
    <xf numFmtId="165" fontId="2" fillId="3" borderId="3" xfId="1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165" fontId="3" fillId="3" borderId="3" xfId="1" applyNumberFormat="1" applyFont="1" applyFill="1" applyBorder="1" applyAlignment="1">
      <alignment horizontal="center" vertical="center"/>
    </xf>
    <xf numFmtId="165" fontId="2" fillId="3" borderId="0" xfId="1" applyNumberFormat="1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2" fillId="8" borderId="0" xfId="1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22" fillId="0" borderId="0" xfId="0" applyFont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9" borderId="0" xfId="0" applyFill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2" fontId="7" fillId="3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1" fillId="3" borderId="3" xfId="1" applyNumberFormat="1" applyFont="1" applyFill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/>
    </xf>
    <xf numFmtId="165" fontId="23" fillId="10" borderId="3" xfId="0" applyNumberFormat="1" applyFont="1" applyFill="1" applyBorder="1" applyAlignment="1">
      <alignment horizontal="center"/>
    </xf>
    <xf numFmtId="165" fontId="16" fillId="10" borderId="3" xfId="0" applyNumberFormat="1" applyFont="1" applyFill="1" applyBorder="1" applyAlignment="1">
      <alignment horizontal="center"/>
    </xf>
    <xf numFmtId="0" fontId="2" fillId="10" borderId="3" xfId="1" applyNumberFormat="1" applyFont="1" applyFill="1" applyBorder="1" applyAlignment="1">
      <alignment horizontal="center" vertical="center"/>
    </xf>
    <xf numFmtId="167" fontId="2" fillId="3" borderId="3" xfId="1" applyNumberFormat="1" applyFont="1" applyFill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164" fontId="11" fillId="5" borderId="3" xfId="1" applyNumberFormat="1" applyFont="1" applyFill="1" applyBorder="1" applyAlignment="1">
      <alignment horizontal="center"/>
    </xf>
    <xf numFmtId="165" fontId="11" fillId="5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64" fontId="2" fillId="5" borderId="0" xfId="1" applyNumberFormat="1" applyFont="1" applyFill="1" applyAlignment="1">
      <alignment horizontal="center"/>
    </xf>
    <xf numFmtId="9" fontId="2" fillId="5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3" fillId="7" borderId="0" xfId="0" applyFont="1" applyFill="1"/>
    <xf numFmtId="2" fontId="8" fillId="6" borderId="3" xfId="0" applyNumberFormat="1" applyFont="1" applyFill="1" applyBorder="1" applyAlignment="1">
      <alignment horizontal="center" vertical="center"/>
    </xf>
    <xf numFmtId="2" fontId="3" fillId="7" borderId="0" xfId="0" applyNumberFormat="1" applyFont="1" applyFill="1"/>
    <xf numFmtId="0" fontId="0" fillId="0" borderId="0" xfId="0" applyFill="1" applyBorder="1" applyAlignment="1"/>
    <xf numFmtId="0" fontId="0" fillId="0" borderId="17" xfId="0" applyFill="1" applyBorder="1" applyAlignment="1"/>
    <xf numFmtId="0" fontId="24" fillId="0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165" fontId="0" fillId="0" borderId="0" xfId="0" applyNumberFormat="1" applyFill="1" applyBorder="1" applyAlignment="1"/>
    <xf numFmtId="165" fontId="0" fillId="0" borderId="17" xfId="0" applyNumberFormat="1" applyFill="1" applyBorder="1" applyAlignment="1"/>
    <xf numFmtId="0" fontId="3" fillId="0" borderId="3" xfId="0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11" xfId="0" applyNumberForma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165" fontId="13" fillId="6" borderId="3" xfId="0" applyNumberFormat="1" applyFont="1" applyFill="1" applyBorder="1" applyAlignment="1">
      <alignment horizontal="center"/>
    </xf>
    <xf numFmtId="165" fontId="13" fillId="11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2" fontId="2" fillId="0" borderId="3" xfId="0" applyNumberFormat="1" applyFont="1" applyFill="1" applyBorder="1" applyAlignment="1">
      <alignment horizontal="center"/>
    </xf>
    <xf numFmtId="2" fontId="2" fillId="0" borderId="3" xfId="1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9" borderId="0" xfId="0" applyFont="1" applyFill="1"/>
    <xf numFmtId="0" fontId="13" fillId="9" borderId="0" xfId="0" applyFont="1" applyFill="1" applyAlignment="1">
      <alignment horizontal="center"/>
    </xf>
    <xf numFmtId="0" fontId="15" fillId="0" borderId="3" xfId="0" applyFont="1" applyFill="1" applyBorder="1" applyAlignment="1">
      <alignment horizontal="center" wrapText="1"/>
    </xf>
    <xf numFmtId="2" fontId="15" fillId="5" borderId="3" xfId="0" applyNumberFormat="1" applyFont="1" applyFill="1" applyBorder="1" applyAlignment="1">
      <alignment horizontal="center" vertical="center" wrapText="1"/>
    </xf>
    <xf numFmtId="2" fontId="13" fillId="0" borderId="0" xfId="0" applyNumberFormat="1" applyFont="1" applyFill="1"/>
    <xf numFmtId="2" fontId="13" fillId="5" borderId="3" xfId="0" applyNumberFormat="1" applyFont="1" applyFill="1" applyBorder="1"/>
    <xf numFmtId="165" fontId="13" fillId="0" borderId="0" xfId="0" applyNumberFormat="1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2" fontId="12" fillId="2" borderId="10" xfId="0" applyNumberFormat="1" applyFont="1" applyFill="1" applyBorder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/>
    </xf>
    <xf numFmtId="2" fontId="12" fillId="2" borderId="11" xfId="0" applyNumberFormat="1" applyFont="1" applyFill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2" fontId="13" fillId="0" borderId="13" xfId="0" applyNumberFormat="1" applyFont="1" applyBorder="1" applyAlignment="1">
      <alignment horizontal="center"/>
    </xf>
    <xf numFmtId="2" fontId="13" fillId="0" borderId="11" xfId="0" applyNumberFormat="1" applyFont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2" fontId="2" fillId="3" borderId="14" xfId="1" applyNumberFormat="1" applyFont="1" applyFill="1" applyBorder="1" applyAlignment="1">
      <alignment horizontal="center" vertical="center"/>
    </xf>
    <xf numFmtId="2" fontId="2" fillId="3" borderId="15" xfId="1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8573928258967"/>
          <c:y val="4.7446665320681071E-2"/>
          <c:w val="0.63180314960629924"/>
          <c:h val="0.8454949862036476"/>
        </c:manualLayout>
      </c:layout>
      <c:lineChart>
        <c:grouping val="standard"/>
        <c:varyColors val="0"/>
        <c:ser>
          <c:idx val="0"/>
          <c:order val="0"/>
          <c:tx>
            <c:strRef>
              <c:f>Zestawienie!$B$26</c:f>
              <c:strCache>
                <c:ptCount val="1"/>
                <c:pt idx="0">
                  <c:v>Relative Diversity Index (RDI) (inverse Krugman)</c:v>
                </c:pt>
              </c:strCache>
            </c:strRef>
          </c:tx>
          <c:marker>
            <c:symbol val="none"/>
          </c:marker>
          <c:val>
            <c:numRef>
              <c:f>Zestawienie!$C$26:$H$26</c:f>
              <c:numCache>
                <c:formatCode>0.00</c:formatCode>
                <c:ptCount val="6"/>
                <c:pt idx="0">
                  <c:v>1.0962176509621764</c:v>
                </c:pt>
                <c:pt idx="1">
                  <c:v>2.1305555555555555</c:v>
                </c:pt>
                <c:pt idx="2">
                  <c:v>19.504132231404959</c:v>
                </c:pt>
                <c:pt idx="3">
                  <c:v>2.8499680102367249</c:v>
                </c:pt>
                <c:pt idx="4">
                  <c:v>1.2311023622047246</c:v>
                </c:pt>
                <c:pt idx="5">
                  <c:v>1.4603960396039604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Zestawienie!$B$27</c:f>
              <c:strCache>
                <c:ptCount val="1"/>
                <c:pt idx="0">
                  <c:v>Hachman</c:v>
                </c:pt>
              </c:strCache>
            </c:strRef>
          </c:tx>
          <c:marker>
            <c:symbol val="none"/>
          </c:marker>
          <c:val>
            <c:numRef>
              <c:f>Zestawienie!$C$27:$H$27</c:f>
              <c:numCache>
                <c:formatCode>0.00</c:formatCode>
                <c:ptCount val="6"/>
                <c:pt idx="0">
                  <c:v>0.42899999999999999</c:v>
                </c:pt>
                <c:pt idx="1">
                  <c:v>0.78600000000000003</c:v>
                </c:pt>
                <c:pt idx="2">
                  <c:v>0.997</c:v>
                </c:pt>
                <c:pt idx="3">
                  <c:v>0.85299999999999998</c:v>
                </c:pt>
                <c:pt idx="4">
                  <c:v>0.52900000000000003</c:v>
                </c:pt>
                <c:pt idx="5">
                  <c:v>0.53300000000000003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Zestawienie!$B$28</c:f>
              <c:strCache>
                <c:ptCount val="1"/>
                <c:pt idx="0">
                  <c:v>Absolute Diversity Index (ADI) (inverse HH)</c:v>
                </c:pt>
              </c:strCache>
            </c:strRef>
          </c:tx>
          <c:marker>
            <c:symbol val="none"/>
          </c:marker>
          <c:val>
            <c:numRef>
              <c:f>Zestawienie!$C$28:$H$28</c:f>
              <c:numCache>
                <c:formatCode>0.00</c:formatCode>
                <c:ptCount val="6"/>
                <c:pt idx="0">
                  <c:v>2.3703703703703702</c:v>
                </c:pt>
                <c:pt idx="1">
                  <c:v>2.9165867689357632</c:v>
                </c:pt>
                <c:pt idx="2">
                  <c:v>3.8694074969770256</c:v>
                </c:pt>
                <c:pt idx="3">
                  <c:v>3.0316447280946681</c:v>
                </c:pt>
                <c:pt idx="4">
                  <c:v>2.0669610007358354</c:v>
                </c:pt>
                <c:pt idx="5">
                  <c:v>2.7404921700223714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Zestawienie!$B$29</c:f>
              <c:strCache>
                <c:ptCount val="1"/>
                <c:pt idx="0">
                  <c:v>Shannon</c:v>
                </c:pt>
              </c:strCache>
            </c:strRef>
          </c:tx>
          <c:marker>
            <c:symbol val="none"/>
          </c:marker>
          <c:val>
            <c:numRef>
              <c:f>Zestawienie!$C$29:$H$29</c:f>
              <c:numCache>
                <c:formatCode>0.00</c:formatCode>
                <c:ptCount val="6"/>
                <c:pt idx="0">
                  <c:v>1.03</c:v>
                </c:pt>
                <c:pt idx="1">
                  <c:v>1.23</c:v>
                </c:pt>
                <c:pt idx="2">
                  <c:v>1.39</c:v>
                </c:pt>
                <c:pt idx="3">
                  <c:v>1.22</c:v>
                </c:pt>
                <c:pt idx="4">
                  <c:v>0.97</c:v>
                </c:pt>
                <c:pt idx="5">
                  <c:v>1.1200000000000001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Zestawienie!$B$30</c:f>
              <c:strCache>
                <c:ptCount val="1"/>
                <c:pt idx="0">
                  <c:v>relative H</c:v>
                </c:pt>
              </c:strCache>
            </c:strRef>
          </c:tx>
          <c:marker>
            <c:symbol val="none"/>
          </c:marker>
          <c:val>
            <c:numRef>
              <c:f>Zestawienie!$C$30:$H$30</c:f>
              <c:numCache>
                <c:formatCode>0.00</c:formatCode>
                <c:ptCount val="6"/>
                <c:pt idx="0">
                  <c:v>0.75</c:v>
                </c:pt>
                <c:pt idx="1">
                  <c:v>0.88</c:v>
                </c:pt>
                <c:pt idx="2">
                  <c:v>0.99</c:v>
                </c:pt>
                <c:pt idx="3">
                  <c:v>0.88</c:v>
                </c:pt>
                <c:pt idx="4">
                  <c:v>0.7</c:v>
                </c:pt>
                <c:pt idx="5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29344"/>
        <c:axId val="239555712"/>
      </c:lineChart>
      <c:catAx>
        <c:axId val="2395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555712"/>
        <c:crosses val="autoZero"/>
        <c:auto val="1"/>
        <c:lblAlgn val="ctr"/>
        <c:lblOffset val="100"/>
        <c:noMultiLvlLbl val="0"/>
      </c:catAx>
      <c:valAx>
        <c:axId val="239555712"/>
        <c:scaling>
          <c:orientation val="minMax"/>
          <c:max val="2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9529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774890638670166"/>
          <c:y val="3.5802207416380641E-2"/>
          <c:w val="0.22725109361329834"/>
          <c:h val="0.90142136079143953"/>
        </c:manualLayout>
      </c:layout>
      <c:overlay val="0"/>
      <c:txPr>
        <a:bodyPr/>
        <a:lstStyle/>
        <a:p>
          <a:pPr>
            <a:defRPr sz="800" baseline="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Zestawienie!$B$100:$B$102</c:f>
              <c:strCache>
                <c:ptCount val="3"/>
                <c:pt idx="0">
                  <c:v>Geographic concentration index</c:v>
                </c:pt>
                <c:pt idx="1">
                  <c:v>Theil total</c:v>
                </c:pt>
                <c:pt idx="2">
                  <c:v>clustering index</c:v>
                </c:pt>
              </c:strCache>
            </c:strRef>
          </c:cat>
          <c:val>
            <c:numRef>
              <c:f>Zestawienie!$C$100:$C$102</c:f>
              <c:numCache>
                <c:formatCode>General</c:formatCode>
                <c:ptCount val="3"/>
                <c:pt idx="0">
                  <c:v>0.25800000000000001</c:v>
                </c:pt>
                <c:pt idx="1">
                  <c:v>0.376</c:v>
                </c:pt>
                <c:pt idx="2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891328"/>
        <c:axId val="253892864"/>
      </c:lineChart>
      <c:catAx>
        <c:axId val="25389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892864"/>
        <c:crosses val="autoZero"/>
        <c:auto val="1"/>
        <c:lblAlgn val="ctr"/>
        <c:lblOffset val="100"/>
        <c:noMultiLvlLbl val="0"/>
      </c:catAx>
      <c:valAx>
        <c:axId val="2538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89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1241713342531E-2"/>
          <c:y val="3.6533463919181872E-2"/>
          <c:w val="0.70123183699975644"/>
          <c:h val="0.92693307216163623"/>
        </c:manualLayout>
      </c:layout>
      <c:lineChart>
        <c:grouping val="standard"/>
        <c:varyColors val="0"/>
        <c:ser>
          <c:idx val="0"/>
          <c:order val="0"/>
          <c:tx>
            <c:strRef>
              <c:f>Zestawienie!$B$5</c:f>
              <c:strCache>
                <c:ptCount val="1"/>
                <c:pt idx="0">
                  <c:v>NAI</c:v>
                </c:pt>
              </c:strCache>
            </c:strRef>
          </c:tx>
          <c:marker>
            <c:symbol val="none"/>
          </c:marker>
          <c:cat>
            <c:strRef>
              <c:f>Zestawienie!$C$4:$H$4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Zestawienie!$C$5:$H$5</c:f>
              <c:numCache>
                <c:formatCode>0.00</c:formatCode>
                <c:ptCount val="6"/>
                <c:pt idx="0">
                  <c:v>1.333</c:v>
                </c:pt>
                <c:pt idx="1">
                  <c:v>0.27200000000000002</c:v>
                </c:pt>
                <c:pt idx="2">
                  <c:v>3.0000000000000001E-3</c:v>
                </c:pt>
                <c:pt idx="3">
                  <c:v>0.17299999999999999</c:v>
                </c:pt>
                <c:pt idx="4">
                  <c:v>0.88900000000000001</c:v>
                </c:pt>
                <c:pt idx="5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Zestawienie!$B$6</c:f>
              <c:strCache>
                <c:ptCount val="1"/>
                <c:pt idx="0">
                  <c:v>KLD</c:v>
                </c:pt>
              </c:strCache>
            </c:strRef>
          </c:tx>
          <c:marker>
            <c:symbol val="none"/>
          </c:marker>
          <c:cat>
            <c:strRef>
              <c:f>Zestawienie!$C$4:$H$4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Zestawienie!$C$6:$H$6</c:f>
              <c:numCache>
                <c:formatCode>0.00</c:formatCode>
                <c:ptCount val="6"/>
                <c:pt idx="0">
                  <c:v>0.56299999999999994</c:v>
                </c:pt>
                <c:pt idx="1">
                  <c:v>0.13100000000000001</c:v>
                </c:pt>
                <c:pt idx="2">
                  <c:v>2E-3</c:v>
                </c:pt>
                <c:pt idx="3">
                  <c:v>8.5000000000000006E-2</c:v>
                </c:pt>
                <c:pt idx="4">
                  <c:v>0.38300000000000001</c:v>
                </c:pt>
                <c:pt idx="5">
                  <c:v>0.39600000000000002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Zestawienie!$B$7</c:f>
              <c:strCache>
                <c:ptCount val="1"/>
                <c:pt idx="0">
                  <c:v>Lilien</c:v>
                </c:pt>
              </c:strCache>
            </c:strRef>
          </c:tx>
          <c:marker>
            <c:symbol val="none"/>
          </c:marker>
          <c:cat>
            <c:strRef>
              <c:f>Zestawienie!$C$4:$H$4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Zestawienie!$C$7:$H$7</c:f>
              <c:numCache>
                <c:formatCode>0.00</c:formatCode>
                <c:ptCount val="6"/>
                <c:pt idx="0">
                  <c:v>0.13800000000000001</c:v>
                </c:pt>
                <c:pt idx="1">
                  <c:v>7.8E-2</c:v>
                </c:pt>
                <c:pt idx="2">
                  <c:v>4.4999999999999998E-2</c:v>
                </c:pt>
                <c:pt idx="3">
                  <c:v>2.5999999999999999E-2</c:v>
                </c:pt>
                <c:pt idx="4">
                  <c:v>0.23100000000000001</c:v>
                </c:pt>
                <c:pt idx="5">
                  <c:v>0.10199999999999999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Zestawienie!$B$8</c:f>
              <c:strCache>
                <c:ptCount val="1"/>
                <c:pt idx="0">
                  <c:v>Ogive</c:v>
                </c:pt>
              </c:strCache>
            </c:strRef>
          </c:tx>
          <c:marker>
            <c:symbol val="none"/>
          </c:marker>
          <c:cat>
            <c:strRef>
              <c:f>Zestawienie!$C$4:$H$4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Zestawienie!$C$8:$H$8</c:f>
              <c:numCache>
                <c:formatCode>0.00</c:formatCode>
                <c:ptCount val="6"/>
                <c:pt idx="0">
                  <c:v>0.69</c:v>
                </c:pt>
                <c:pt idx="1">
                  <c:v>0.37</c:v>
                </c:pt>
                <c:pt idx="2">
                  <c:v>0.03</c:v>
                </c:pt>
                <c:pt idx="3">
                  <c:v>0.32</c:v>
                </c:pt>
                <c:pt idx="4">
                  <c:v>0.94</c:v>
                </c:pt>
                <c:pt idx="5">
                  <c:v>0.46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Zestawienie!$B$9</c:f>
              <c:strCache>
                <c:ptCount val="1"/>
                <c:pt idx="0">
                  <c:v>Theil S</c:v>
                </c:pt>
              </c:strCache>
            </c:strRef>
          </c:tx>
          <c:marker>
            <c:symbol val="none"/>
          </c:marker>
          <c:cat>
            <c:strRef>
              <c:f>Zestawienie!$C$4:$H$4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Zestawienie!$C$9:$H$9</c:f>
              <c:numCache>
                <c:formatCode>0.00</c:formatCode>
                <c:ptCount val="6"/>
                <c:pt idx="0">
                  <c:v>0.35</c:v>
                </c:pt>
                <c:pt idx="1">
                  <c:v>0.16</c:v>
                </c:pt>
                <c:pt idx="2">
                  <c:v>0.02</c:v>
                </c:pt>
                <c:pt idx="3">
                  <c:v>0.17</c:v>
                </c:pt>
                <c:pt idx="4">
                  <c:v>0.41</c:v>
                </c:pt>
                <c:pt idx="5">
                  <c:v>0.27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Zestawienie!$B$10</c:f>
              <c:strCache>
                <c:ptCount val="1"/>
                <c:pt idx="0">
                  <c:v>refined diversification index</c:v>
                </c:pt>
              </c:strCache>
            </c:strRef>
          </c:tx>
          <c:marker>
            <c:symbol val="none"/>
          </c:marker>
          <c:cat>
            <c:strRef>
              <c:f>Zestawienie!$C$4:$H$4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Zestawienie!$C$10:$H$10</c:f>
              <c:numCache>
                <c:formatCode>0.00</c:formatCode>
                <c:ptCount val="6"/>
                <c:pt idx="0">
                  <c:v>0.52</c:v>
                </c:pt>
                <c:pt idx="1">
                  <c:v>0.27</c:v>
                </c:pt>
                <c:pt idx="2">
                  <c:v>-0.02</c:v>
                </c:pt>
                <c:pt idx="3">
                  <c:v>0.32</c:v>
                </c:pt>
                <c:pt idx="4">
                  <c:v>0.57999999999999996</c:v>
                </c:pt>
                <c:pt idx="5">
                  <c:v>0.42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Zestawienie!$B$11</c:f>
              <c:strCache>
                <c:ptCount val="1"/>
                <c:pt idx="0">
                  <c:v>Krugman index</c:v>
                </c:pt>
              </c:strCache>
            </c:strRef>
          </c:tx>
          <c:marker>
            <c:symbol val="none"/>
          </c:marker>
          <c:cat>
            <c:strRef>
              <c:f>Zestawienie!$C$4:$H$4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Zestawienie!$C$11:$H$11</c:f>
              <c:numCache>
                <c:formatCode>0.00</c:formatCode>
                <c:ptCount val="6"/>
                <c:pt idx="0">
                  <c:v>0.91200000000000003</c:v>
                </c:pt>
                <c:pt idx="1">
                  <c:v>0.46899999999999997</c:v>
                </c:pt>
                <c:pt idx="2">
                  <c:v>5.0999999999999997E-2</c:v>
                </c:pt>
                <c:pt idx="3">
                  <c:v>0.35099999999999998</c:v>
                </c:pt>
                <c:pt idx="4">
                  <c:v>0.81200000000000006</c:v>
                </c:pt>
                <c:pt idx="5">
                  <c:v>0.68500000000000005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Zestawienie!$B$12</c:f>
              <c:strCache>
                <c:ptCount val="1"/>
                <c:pt idx="0">
                  <c:v>Hallet</c:v>
                </c:pt>
              </c:strCache>
            </c:strRef>
          </c:tx>
          <c:marker>
            <c:symbol val="none"/>
          </c:marker>
          <c:cat>
            <c:strRef>
              <c:f>Zestawienie!$C$4:$H$4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Zestawienie!$C$12:$H$12</c:f>
              <c:numCache>
                <c:formatCode>0.00</c:formatCode>
                <c:ptCount val="6"/>
                <c:pt idx="0">
                  <c:v>0.45600000000000002</c:v>
                </c:pt>
                <c:pt idx="1">
                  <c:v>0.23499999999999999</c:v>
                </c:pt>
                <c:pt idx="2">
                  <c:v>2.5999999999999999E-2</c:v>
                </c:pt>
                <c:pt idx="3">
                  <c:v>0.17499999999999999</c:v>
                </c:pt>
                <c:pt idx="4">
                  <c:v>0.40600000000000003</c:v>
                </c:pt>
                <c:pt idx="5">
                  <c:v>0.34200000000000003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Zestawienie!$B$13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strRef>
              <c:f>Zestawienie!$C$4:$H$4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Zestawienie!$C$13:$H$13</c:f>
              <c:numCache>
                <c:formatCode>0.00</c:formatCode>
                <c:ptCount val="6"/>
                <c:pt idx="0">
                  <c:v>0.95</c:v>
                </c:pt>
                <c:pt idx="1">
                  <c:v>0.5</c:v>
                </c:pt>
                <c:pt idx="2">
                  <c:v>7.0000000000000007E-2</c:v>
                </c:pt>
                <c:pt idx="3">
                  <c:v>0.42</c:v>
                </c:pt>
                <c:pt idx="4">
                  <c:v>0.87</c:v>
                </c:pt>
                <c:pt idx="5">
                  <c:v>0.85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Zestawienie!$B$14</c:f>
              <c:strCache>
                <c:ptCount val="1"/>
                <c:pt idx="0">
                  <c:v>RSI (max LQ)</c:v>
                </c:pt>
              </c:strCache>
            </c:strRef>
          </c:tx>
          <c:marker>
            <c:symbol val="none"/>
          </c:marker>
          <c:cat>
            <c:strRef>
              <c:f>Zestawienie!$C$4:$H$4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Zestawienie!$C$14:$H$14</c:f>
              <c:numCache>
                <c:formatCode>0.00</c:formatCode>
                <c:ptCount val="6"/>
                <c:pt idx="0">
                  <c:v>3.4163602941176472</c:v>
                </c:pt>
                <c:pt idx="1">
                  <c:v>1.7503708412799319</c:v>
                </c:pt>
                <c:pt idx="2">
                  <c:v>1.0628676470588234</c:v>
                </c:pt>
                <c:pt idx="3">
                  <c:v>1.6088819633813789</c:v>
                </c:pt>
                <c:pt idx="4">
                  <c:v>2.5974842767295598</c:v>
                </c:pt>
                <c:pt idx="5">
                  <c:v>2.95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Zestawienie!$B$15</c:f>
              <c:strCache>
                <c:ptCount val="1"/>
                <c:pt idx="0">
                  <c:v>Herfindahl</c:v>
                </c:pt>
              </c:strCache>
            </c:strRef>
          </c:tx>
          <c:marker>
            <c:symbol val="none"/>
          </c:marker>
          <c:cat>
            <c:strRef>
              <c:f>Zestawienie!$C$4:$H$4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Zestawienie!$C$15:$H$15</c:f>
              <c:numCache>
                <c:formatCode>0.00</c:formatCode>
                <c:ptCount val="6"/>
                <c:pt idx="0">
                  <c:v>0.42199999999999999</c:v>
                </c:pt>
                <c:pt idx="1">
                  <c:v>0.34300000000000003</c:v>
                </c:pt>
                <c:pt idx="2">
                  <c:v>0.25800000000000001</c:v>
                </c:pt>
                <c:pt idx="3">
                  <c:v>0.33</c:v>
                </c:pt>
                <c:pt idx="4">
                  <c:v>0.48399999999999999</c:v>
                </c:pt>
                <c:pt idx="5">
                  <c:v>0.36499999999999999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16064"/>
        <c:axId val="254217600"/>
      </c:lineChart>
      <c:catAx>
        <c:axId val="2542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217600"/>
        <c:crosses val="autoZero"/>
        <c:auto val="1"/>
        <c:lblAlgn val="ctr"/>
        <c:lblOffset val="100"/>
        <c:noMultiLvlLbl val="0"/>
      </c:catAx>
      <c:valAx>
        <c:axId val="254217600"/>
        <c:scaling>
          <c:orientation val="minMax"/>
          <c:max val="3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421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59967665124331"/>
          <c:y val="3.8761714509279628E-2"/>
          <c:w val="0.19451372541061232"/>
          <c:h val="0.92576686798651642"/>
        </c:manualLayout>
      </c:layout>
      <c:overlay val="0"/>
      <c:txPr>
        <a:bodyPr/>
        <a:lstStyle/>
        <a:p>
          <a:pPr>
            <a:defRPr sz="800" baseline="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Zestawienie!#REF!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Zestawienie!#REF!</c:f>
            </c:multiLvlStrRef>
          </c:cat>
          <c:val>
            <c:numRef>
              <c:f>Zestawienie!#REF!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Zestawienie!#REF!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Zestawienie!#REF!</c:f>
            </c:multiLvlStrRef>
          </c:cat>
          <c:val>
            <c:numRef>
              <c:f>Zestawienie!#REF!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55104"/>
        <c:axId val="254256640"/>
      </c:lineChart>
      <c:catAx>
        <c:axId val="2542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256640"/>
        <c:crosses val="autoZero"/>
        <c:auto val="1"/>
        <c:lblAlgn val="ctr"/>
        <c:lblOffset val="100"/>
        <c:noMultiLvlLbl val="0"/>
      </c:catAx>
      <c:valAx>
        <c:axId val="2542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2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Zestawienie!$B$38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val>
            <c:numRef>
              <c:f>Zestawienie!$C$38:$F$38</c:f>
              <c:numCache>
                <c:formatCode>0.000</c:formatCode>
                <c:ptCount val="4"/>
                <c:pt idx="0">
                  <c:v>0.49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Zestawienie!$B$39</c:f>
              <c:strCache>
                <c:ptCount val="1"/>
                <c:pt idx="0">
                  <c:v>Krugman</c:v>
                </c:pt>
              </c:strCache>
            </c:strRef>
          </c:tx>
          <c:marker>
            <c:symbol val="none"/>
          </c:marker>
          <c:val>
            <c:numRef>
              <c:f>Zestawienie!$C$39:$F$39</c:f>
              <c:numCache>
                <c:formatCode>0.000</c:formatCode>
                <c:ptCount val="4"/>
                <c:pt idx="0">
                  <c:v>0.44523572140720696</c:v>
                </c:pt>
                <c:pt idx="1">
                  <c:v>0.30504472415104156</c:v>
                </c:pt>
                <c:pt idx="2">
                  <c:v>0.44035512510088781</c:v>
                </c:pt>
                <c:pt idx="3">
                  <c:v>0.57612875658738072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Zestawienie!$B$40</c:f>
              <c:strCache>
                <c:ptCount val="1"/>
                <c:pt idx="0">
                  <c:v>Bruhlart i Traeger</c:v>
                </c:pt>
              </c:strCache>
            </c:strRef>
          </c:tx>
          <c:marker>
            <c:symbol val="none"/>
          </c:marker>
          <c:val>
            <c:numRef>
              <c:f>Zestawienie!$C$40:$F$40</c:f>
              <c:numCache>
                <c:formatCode>0.000</c:formatCode>
                <c:ptCount val="4"/>
                <c:pt idx="0">
                  <c:v>5.2999999999999999E-2</c:v>
                </c:pt>
                <c:pt idx="1">
                  <c:v>4.4999999999999998E-2</c:v>
                </c:pt>
                <c:pt idx="2">
                  <c:v>8.3000000000000004E-2</c:v>
                </c:pt>
                <c:pt idx="3">
                  <c:v>0.123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Zestawienie!$B$41</c:f>
              <c:strCache>
                <c:ptCount val="1"/>
                <c:pt idx="0">
                  <c:v>locational Gini</c:v>
                </c:pt>
              </c:strCache>
            </c:strRef>
          </c:tx>
          <c:marker>
            <c:symbol val="none"/>
          </c:marker>
          <c:val>
            <c:numRef>
              <c:f>Zestawienie!$C$41:$F$41</c:f>
              <c:numCache>
                <c:formatCode>0.000</c:formatCode>
                <c:ptCount val="4"/>
                <c:pt idx="0">
                  <c:v>8.8999999999999996E-2</c:v>
                </c:pt>
                <c:pt idx="1">
                  <c:v>0.189</c:v>
                </c:pt>
                <c:pt idx="2">
                  <c:v>0.32400000000000001</c:v>
                </c:pt>
                <c:pt idx="3">
                  <c:v>0.38500000000000001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Zestawienie!$B$42</c:f>
              <c:strCache>
                <c:ptCount val="1"/>
                <c:pt idx="0">
                  <c:v>Guillain and LeGallo (Moran for LQ)</c:v>
                </c:pt>
              </c:strCache>
            </c:strRef>
          </c:tx>
          <c:marker>
            <c:symbol val="none"/>
          </c:marker>
          <c:val>
            <c:numRef>
              <c:f>Zestawienie!$C$42:$F$42</c:f>
              <c:numCache>
                <c:formatCode>0.000</c:formatCode>
                <c:ptCount val="4"/>
                <c:pt idx="0">
                  <c:v>-0.24</c:v>
                </c:pt>
                <c:pt idx="1">
                  <c:v>-0.37</c:v>
                </c:pt>
                <c:pt idx="2">
                  <c:v>-0.36</c:v>
                </c:pt>
                <c:pt idx="3">
                  <c:v>-7.0000000000000007E-2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Zestawienie!$B$43</c:f>
              <c:strCache>
                <c:ptCount val="1"/>
                <c:pt idx="0">
                  <c:v>EG</c:v>
                </c:pt>
              </c:strCache>
            </c:strRef>
          </c:tx>
          <c:marker>
            <c:symbol val="none"/>
          </c:marker>
          <c:val>
            <c:numRef>
              <c:f>Zestawienie!$C$43:$F$43</c:f>
              <c:numCache>
                <c:formatCode>0.000</c:formatCode>
                <c:ptCount val="4"/>
                <c:pt idx="0">
                  <c:v>4.3999999999999997E-2</c:v>
                </c:pt>
                <c:pt idx="1">
                  <c:v>6.0000000000000001E-3</c:v>
                </c:pt>
                <c:pt idx="2">
                  <c:v>5.8999999999999997E-2</c:v>
                </c:pt>
                <c:pt idx="3">
                  <c:v>7.9000000000000001E-2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Zestawienie!$B$44</c:f>
              <c:strCache>
                <c:ptCount val="1"/>
                <c:pt idx="0">
                  <c:v>agglomeration V</c:v>
                </c:pt>
              </c:strCache>
            </c:strRef>
          </c:tx>
          <c:marker>
            <c:symbol val="none"/>
          </c:marker>
          <c:val>
            <c:numRef>
              <c:f>Zestawienie!$C$44:$F$44</c:f>
              <c:numCache>
                <c:formatCode>0.000</c:formatCode>
                <c:ptCount val="4"/>
                <c:pt idx="0">
                  <c:v>0.93700000000000006</c:v>
                </c:pt>
                <c:pt idx="1">
                  <c:v>0.92800000000000005</c:v>
                </c:pt>
                <c:pt idx="2">
                  <c:v>1.147</c:v>
                </c:pt>
                <c:pt idx="3">
                  <c:v>1.2310000000000001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Zestawienie!$B$45</c:f>
              <c:strCache>
                <c:ptCount val="1"/>
                <c:pt idx="0">
                  <c:v>clustering index (Bergstrand)</c:v>
                </c:pt>
              </c:strCache>
            </c:strRef>
          </c:tx>
          <c:marker>
            <c:symbol val="none"/>
          </c:marker>
          <c:val>
            <c:numRef>
              <c:f>Zestawienie!$C$45:$F$45</c:f>
              <c:numCache>
                <c:formatCode>General</c:formatCode>
                <c:ptCount val="4"/>
                <c:pt idx="0">
                  <c:v>1.69</c:v>
                </c:pt>
                <c:pt idx="1">
                  <c:v>2.13</c:v>
                </c:pt>
                <c:pt idx="2">
                  <c:v>2.52</c:v>
                </c:pt>
                <c:pt idx="3">
                  <c:v>1.93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56096"/>
        <c:axId val="254357888"/>
      </c:lineChart>
      <c:catAx>
        <c:axId val="2543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357888"/>
        <c:crosses val="autoZero"/>
        <c:auto val="1"/>
        <c:lblAlgn val="ctr"/>
        <c:lblOffset val="100"/>
        <c:noMultiLvlLbl val="0"/>
      </c:catAx>
      <c:valAx>
        <c:axId val="254357888"/>
        <c:scaling>
          <c:orientation val="minMax"/>
          <c:max val="3"/>
          <c:min val="-0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543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22</xdr:row>
      <xdr:rowOff>160020</xdr:rowOff>
    </xdr:from>
    <xdr:to>
      <xdr:col>19</xdr:col>
      <xdr:colOff>144780</xdr:colOff>
      <xdr:row>31</xdr:row>
      <xdr:rowOff>60960</xdr:rowOff>
    </xdr:to>
    <xdr:graphicFrame macro="">
      <xdr:nvGraphicFramePr>
        <xdr:cNvPr id="16" name="Wykres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100</xdr:row>
      <xdr:rowOff>110490</xdr:rowOff>
    </xdr:from>
    <xdr:to>
      <xdr:col>11</xdr:col>
      <xdr:colOff>182880</xdr:colOff>
      <xdr:row>115</xdr:row>
      <xdr:rowOff>110490</xdr:rowOff>
    </xdr:to>
    <xdr:graphicFrame macro="">
      <xdr:nvGraphicFramePr>
        <xdr:cNvPr id="17" name="Wykres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297180</xdr:colOff>
      <xdr:row>0</xdr:row>
      <xdr:rowOff>99060</xdr:rowOff>
    </xdr:from>
    <xdr:to>
      <xdr:col>19</xdr:col>
      <xdr:colOff>129540</xdr:colOff>
      <xdr:row>21</xdr:row>
      <xdr:rowOff>118110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114300</xdr:colOff>
      <xdr:row>98</xdr:row>
      <xdr:rowOff>110490</xdr:rowOff>
    </xdr:from>
    <xdr:to>
      <xdr:col>17</xdr:col>
      <xdr:colOff>434340</xdr:colOff>
      <xdr:row>113</xdr:row>
      <xdr:rowOff>110490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403860</xdr:colOff>
      <xdr:row>32</xdr:row>
      <xdr:rowOff>60960</xdr:rowOff>
    </xdr:from>
    <xdr:to>
      <xdr:col>19</xdr:col>
      <xdr:colOff>152400</xdr:colOff>
      <xdr:row>49</xdr:row>
      <xdr:rowOff>22860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91439</xdr:colOff>
      <xdr:row>12</xdr:row>
      <xdr:rowOff>60960</xdr:rowOff>
    </xdr:from>
    <xdr:to>
      <xdr:col>14</xdr:col>
      <xdr:colOff>573886</xdr:colOff>
      <xdr:row>16</xdr:row>
      <xdr:rowOff>53340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7039" y="2255520"/>
          <a:ext cx="2311247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182880</xdr:colOff>
      <xdr:row>19</xdr:row>
      <xdr:rowOff>129540</xdr:rowOff>
    </xdr:from>
    <xdr:to>
      <xdr:col>1</xdr:col>
      <xdr:colOff>419100</xdr:colOff>
      <xdr:row>31</xdr:row>
      <xdr:rowOff>167640</xdr:rowOff>
    </xdr:to>
    <xdr:sp macro="" textlink="">
      <xdr:nvSpPr>
        <xdr:cNvPr id="3" name="Schemat blokowy: proces 2"/>
        <xdr:cNvSpPr/>
      </xdr:nvSpPr>
      <xdr:spPr>
        <a:xfrm>
          <a:off x="182880" y="3604260"/>
          <a:ext cx="845820" cy="223266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l-PL" sz="1100"/>
            <a:t>Herfindahl</a:t>
          </a:r>
        </a:p>
        <a:p>
          <a:pPr algn="l"/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9</xdr:row>
      <xdr:rowOff>22860</xdr:rowOff>
    </xdr:from>
    <xdr:to>
      <xdr:col>3</xdr:col>
      <xdr:colOff>365760</xdr:colOff>
      <xdr:row>9</xdr:row>
      <xdr:rowOff>160020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6687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213360</xdr:colOff>
      <xdr:row>10</xdr:row>
      <xdr:rowOff>15240</xdr:rowOff>
    </xdr:from>
    <xdr:to>
      <xdr:col>3</xdr:col>
      <xdr:colOff>297180</xdr:colOff>
      <xdr:row>10</xdr:row>
      <xdr:rowOff>144780</xdr:rowOff>
    </xdr:to>
    <xdr:pic>
      <xdr:nvPicPr>
        <xdr:cNvPr id="3" name="Obraz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" y="1844040"/>
          <a:ext cx="83820" cy="129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243840</xdr:colOff>
      <xdr:row>11</xdr:row>
      <xdr:rowOff>22860</xdr:rowOff>
    </xdr:from>
    <xdr:to>
      <xdr:col>3</xdr:col>
      <xdr:colOff>335280</xdr:colOff>
      <xdr:row>11</xdr:row>
      <xdr:rowOff>152400</xdr:rowOff>
    </xdr:to>
    <xdr:pic>
      <xdr:nvPicPr>
        <xdr:cNvPr id="4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" y="2034540"/>
          <a:ext cx="91440" cy="129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228600</xdr:colOff>
      <xdr:row>12</xdr:row>
      <xdr:rowOff>15240</xdr:rowOff>
    </xdr:from>
    <xdr:to>
      <xdr:col>3</xdr:col>
      <xdr:colOff>327660</xdr:colOff>
      <xdr:row>12</xdr:row>
      <xdr:rowOff>144780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2209800"/>
          <a:ext cx="99060" cy="129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91440</xdr:colOff>
      <xdr:row>13</xdr:row>
      <xdr:rowOff>30480</xdr:rowOff>
    </xdr:from>
    <xdr:to>
      <xdr:col>3</xdr:col>
      <xdr:colOff>533400</xdr:colOff>
      <xdr:row>13</xdr:row>
      <xdr:rowOff>167640</xdr:rowOff>
    </xdr:to>
    <xdr:pic>
      <xdr:nvPicPr>
        <xdr:cNvPr id="7" name="Obraz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" y="2407920"/>
          <a:ext cx="4419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137160</xdr:colOff>
      <xdr:row>2</xdr:row>
      <xdr:rowOff>22860</xdr:rowOff>
    </xdr:from>
    <xdr:to>
      <xdr:col>11</xdr:col>
      <xdr:colOff>350520</xdr:colOff>
      <xdr:row>2</xdr:row>
      <xdr:rowOff>160020</xdr:rowOff>
    </xdr:to>
    <xdr:pic>
      <xdr:nvPicPr>
        <xdr:cNvPr id="8" name="Obraz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3962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12</xdr:col>
      <xdr:colOff>83820</xdr:colOff>
      <xdr:row>2</xdr:row>
      <xdr:rowOff>121920</xdr:rowOff>
    </xdr:to>
    <xdr:pic>
      <xdr:nvPicPr>
        <xdr:cNvPr id="9" name="Obraz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373380"/>
          <a:ext cx="838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99060</xdr:colOff>
      <xdr:row>2</xdr:row>
      <xdr:rowOff>121920</xdr:rowOff>
    </xdr:to>
    <xdr:pic>
      <xdr:nvPicPr>
        <xdr:cNvPr id="10" name="Obraz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373380"/>
          <a:ext cx="990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</xdr:row>
      <xdr:rowOff>0</xdr:rowOff>
    </xdr:from>
    <xdr:to>
      <xdr:col>14</xdr:col>
      <xdr:colOff>99060</xdr:colOff>
      <xdr:row>2</xdr:row>
      <xdr:rowOff>121920</xdr:rowOff>
    </xdr:to>
    <xdr:pic>
      <xdr:nvPicPr>
        <xdr:cNvPr id="11" name="Obraz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373380"/>
          <a:ext cx="990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449580</xdr:colOff>
      <xdr:row>2</xdr:row>
      <xdr:rowOff>137160</xdr:rowOff>
    </xdr:to>
    <xdr:pic>
      <xdr:nvPicPr>
        <xdr:cNvPr id="12" name="Obraz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373380"/>
          <a:ext cx="4495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525780</xdr:colOff>
      <xdr:row>6</xdr:row>
      <xdr:rowOff>160020</xdr:rowOff>
    </xdr:from>
    <xdr:to>
      <xdr:col>2</xdr:col>
      <xdr:colOff>525780</xdr:colOff>
      <xdr:row>12</xdr:row>
      <xdr:rowOff>30480</xdr:rowOff>
    </xdr:to>
    <xdr:sp macro="" textlink="">
      <xdr:nvSpPr>
        <xdr:cNvPr id="6" name="Strzałka w prawo 5"/>
        <xdr:cNvSpPr/>
      </xdr:nvSpPr>
      <xdr:spPr>
        <a:xfrm>
          <a:off x="525780" y="1272540"/>
          <a:ext cx="1219200" cy="9677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zmień odwołanie</a:t>
          </a:r>
        </a:p>
      </xdr:txBody>
    </xdr:sp>
    <xdr:clientData/>
  </xdr:twoCellAnchor>
  <xdr:twoCellAnchor>
    <xdr:from>
      <xdr:col>10</xdr:col>
      <xdr:colOff>537210</xdr:colOff>
      <xdr:row>8</xdr:row>
      <xdr:rowOff>64770</xdr:rowOff>
    </xdr:from>
    <xdr:to>
      <xdr:col>12</xdr:col>
      <xdr:colOff>285750</xdr:colOff>
      <xdr:row>15</xdr:row>
      <xdr:rowOff>3810</xdr:rowOff>
    </xdr:to>
    <xdr:sp macro="" textlink="">
      <xdr:nvSpPr>
        <xdr:cNvPr id="13" name="Strzałka w prawo 12"/>
        <xdr:cNvSpPr/>
      </xdr:nvSpPr>
      <xdr:spPr>
        <a:xfrm rot="16200000">
          <a:off x="6736080" y="1668780"/>
          <a:ext cx="1219200" cy="9677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zmień odwołanie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9</xdr:row>
      <xdr:rowOff>53340</xdr:rowOff>
    </xdr:from>
    <xdr:to>
      <xdr:col>14</xdr:col>
      <xdr:colOff>198120</xdr:colOff>
      <xdr:row>15</xdr:row>
      <xdr:rowOff>53340</xdr:rowOff>
    </xdr:to>
    <xdr:sp macro="" textlink="">
      <xdr:nvSpPr>
        <xdr:cNvPr id="2" name="Strzałka w lewo 1"/>
        <xdr:cNvSpPr/>
      </xdr:nvSpPr>
      <xdr:spPr>
        <a:xfrm>
          <a:off x="6507480" y="1607820"/>
          <a:ext cx="2255520" cy="101346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te udziały</a:t>
          </a:r>
          <a:r>
            <a:rPr lang="pl-PL" sz="1100" baseline="0"/>
            <a:t> iteracyjnie do podstawienia, po sektorach</a:t>
          </a:r>
          <a:endParaRPr lang="pl-P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9</xdr:row>
      <xdr:rowOff>38100</xdr:rowOff>
    </xdr:from>
    <xdr:to>
      <xdr:col>12</xdr:col>
      <xdr:colOff>175260</xdr:colOff>
      <xdr:row>12</xdr:row>
      <xdr:rowOff>426720</xdr:rowOff>
    </xdr:to>
    <xdr:sp macro="" textlink="">
      <xdr:nvSpPr>
        <xdr:cNvPr id="2" name="Strzałka w górę 1"/>
        <xdr:cNvSpPr/>
      </xdr:nvSpPr>
      <xdr:spPr>
        <a:xfrm>
          <a:off x="5196840" y="1813560"/>
          <a:ext cx="1562100" cy="93726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zmienić odwołanie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259080</xdr:colOff>
      <xdr:row>6</xdr:row>
      <xdr:rowOff>7620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54380"/>
          <a:ext cx="39166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30</xdr:row>
      <xdr:rowOff>152400</xdr:rowOff>
    </xdr:from>
    <xdr:to>
      <xdr:col>3</xdr:col>
      <xdr:colOff>525780</xdr:colOff>
      <xdr:row>33</xdr:row>
      <xdr:rowOff>83820</xdr:rowOff>
    </xdr:to>
    <xdr:sp macro="" textlink="">
      <xdr:nvSpPr>
        <xdr:cNvPr id="2" name="Strzałka w dół 1"/>
        <xdr:cNvSpPr/>
      </xdr:nvSpPr>
      <xdr:spPr>
        <a:xfrm>
          <a:off x="2011680" y="5273040"/>
          <a:ext cx="434340" cy="4800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30</xdr:row>
      <xdr:rowOff>152400</xdr:rowOff>
    </xdr:from>
    <xdr:to>
      <xdr:col>3</xdr:col>
      <xdr:colOff>525780</xdr:colOff>
      <xdr:row>33</xdr:row>
      <xdr:rowOff>83820</xdr:rowOff>
    </xdr:to>
    <xdr:sp macro="" textlink="">
      <xdr:nvSpPr>
        <xdr:cNvPr id="2" name="Strzałka w dół 1"/>
        <xdr:cNvSpPr/>
      </xdr:nvSpPr>
      <xdr:spPr>
        <a:xfrm>
          <a:off x="2011680" y="5638800"/>
          <a:ext cx="434340" cy="4800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30</xdr:row>
      <xdr:rowOff>152400</xdr:rowOff>
    </xdr:from>
    <xdr:to>
      <xdr:col>3</xdr:col>
      <xdr:colOff>525780</xdr:colOff>
      <xdr:row>33</xdr:row>
      <xdr:rowOff>83820</xdr:rowOff>
    </xdr:to>
    <xdr:sp macro="" textlink="">
      <xdr:nvSpPr>
        <xdr:cNvPr id="2" name="Strzałka w dół 1"/>
        <xdr:cNvSpPr/>
      </xdr:nvSpPr>
      <xdr:spPr>
        <a:xfrm>
          <a:off x="2011680" y="5638800"/>
          <a:ext cx="434340" cy="4800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91439</xdr:colOff>
      <xdr:row>12</xdr:row>
      <xdr:rowOff>60960</xdr:rowOff>
    </xdr:from>
    <xdr:to>
      <xdr:col>14</xdr:col>
      <xdr:colOff>573886</xdr:colOff>
      <xdr:row>16</xdr:row>
      <xdr:rowOff>53340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7039" y="2255520"/>
          <a:ext cx="2311247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182880</xdr:colOff>
      <xdr:row>19</xdr:row>
      <xdr:rowOff>129540</xdr:rowOff>
    </xdr:from>
    <xdr:to>
      <xdr:col>1</xdr:col>
      <xdr:colOff>419100</xdr:colOff>
      <xdr:row>31</xdr:row>
      <xdr:rowOff>167640</xdr:rowOff>
    </xdr:to>
    <xdr:sp macro="" textlink="">
      <xdr:nvSpPr>
        <xdr:cNvPr id="3" name="Schemat blokowy: proces 2"/>
        <xdr:cNvSpPr/>
      </xdr:nvSpPr>
      <xdr:spPr>
        <a:xfrm>
          <a:off x="182880" y="3604260"/>
          <a:ext cx="845820" cy="223266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l-PL" sz="1100"/>
            <a:t>Herfindahl</a:t>
          </a:r>
        </a:p>
        <a:p>
          <a:pPr algn="l"/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9"/>
  <sheetViews>
    <sheetView workbookViewId="0">
      <selection activeCell="N20" sqref="N20"/>
    </sheetView>
  </sheetViews>
  <sheetFormatPr defaultRowHeight="14.4" x14ac:dyDescent="0.3"/>
  <sheetData>
    <row r="2" spans="2:18" x14ac:dyDescent="0.3">
      <c r="B2" t="s">
        <v>49</v>
      </c>
    </row>
    <row r="3" spans="2:18" x14ac:dyDescent="0.3">
      <c r="B3" s="267"/>
      <c r="C3" s="268" t="s">
        <v>10</v>
      </c>
      <c r="D3" s="268" t="s">
        <v>11</v>
      </c>
      <c r="E3" s="267" t="s">
        <v>0</v>
      </c>
      <c r="F3" s="266" t="s">
        <v>1</v>
      </c>
      <c r="G3" s="266" t="s">
        <v>2</v>
      </c>
      <c r="H3" s="266" t="s">
        <v>3</v>
      </c>
      <c r="I3" s="266" t="s">
        <v>4</v>
      </c>
      <c r="K3" s="267"/>
      <c r="L3" s="268" t="s">
        <v>10</v>
      </c>
      <c r="M3" s="268" t="s">
        <v>11</v>
      </c>
      <c r="N3" s="267" t="s">
        <v>0</v>
      </c>
      <c r="O3" s="266" t="s">
        <v>1</v>
      </c>
      <c r="P3" s="266" t="s">
        <v>2</v>
      </c>
      <c r="Q3" s="266" t="s">
        <v>3</v>
      </c>
      <c r="R3" s="266" t="s">
        <v>4</v>
      </c>
    </row>
    <row r="4" spans="2:18" x14ac:dyDescent="0.3">
      <c r="B4" s="267"/>
      <c r="C4" s="269"/>
      <c r="D4" s="269"/>
      <c r="E4" s="267"/>
      <c r="F4" s="266"/>
      <c r="G4" s="266"/>
      <c r="H4" s="266"/>
      <c r="I4" s="266"/>
      <c r="K4" s="267"/>
      <c r="L4" s="269"/>
      <c r="M4" s="269"/>
      <c r="N4" s="267"/>
      <c r="O4" s="266"/>
      <c r="P4" s="266"/>
      <c r="Q4" s="266"/>
      <c r="R4" s="266"/>
    </row>
    <row r="5" spans="2:18" x14ac:dyDescent="0.3">
      <c r="B5" s="61" t="s">
        <v>5</v>
      </c>
      <c r="C5" s="5">
        <v>1</v>
      </c>
      <c r="D5" s="5">
        <v>11</v>
      </c>
      <c r="E5" s="5">
        <v>21</v>
      </c>
      <c r="F5" s="6">
        <v>70</v>
      </c>
      <c r="G5" s="6">
        <v>10</v>
      </c>
      <c r="H5" s="6">
        <v>6</v>
      </c>
      <c r="I5" s="7">
        <v>119</v>
      </c>
      <c r="K5" s="66" t="s">
        <v>5</v>
      </c>
      <c r="L5" s="5">
        <v>5</v>
      </c>
      <c r="M5" s="5">
        <v>17</v>
      </c>
      <c r="N5" s="5">
        <v>25</v>
      </c>
      <c r="O5" s="6">
        <v>88</v>
      </c>
      <c r="P5" s="6">
        <v>12</v>
      </c>
      <c r="Q5" s="6">
        <v>8</v>
      </c>
      <c r="R5" s="7">
        <v>155</v>
      </c>
    </row>
    <row r="6" spans="2:18" x14ac:dyDescent="0.3">
      <c r="B6" s="61" t="s">
        <v>6</v>
      </c>
      <c r="C6" s="5">
        <v>1</v>
      </c>
      <c r="D6" s="5">
        <v>40</v>
      </c>
      <c r="E6" s="5">
        <v>24</v>
      </c>
      <c r="F6" s="6">
        <v>40</v>
      </c>
      <c r="G6" s="6">
        <v>5</v>
      </c>
      <c r="H6" s="6">
        <v>11</v>
      </c>
      <c r="I6" s="7">
        <v>121</v>
      </c>
      <c r="K6" s="66" t="s">
        <v>6</v>
      </c>
      <c r="L6" s="5">
        <v>3</v>
      </c>
      <c r="M6" s="5">
        <v>51</v>
      </c>
      <c r="N6" s="5">
        <v>35</v>
      </c>
      <c r="O6" s="6">
        <v>49</v>
      </c>
      <c r="P6" s="6">
        <v>24</v>
      </c>
      <c r="Q6" s="6">
        <v>12</v>
      </c>
      <c r="R6" s="7">
        <v>174</v>
      </c>
    </row>
    <row r="7" spans="2:18" x14ac:dyDescent="0.3">
      <c r="B7" s="61" t="s">
        <v>7</v>
      </c>
      <c r="C7" s="5">
        <v>5</v>
      </c>
      <c r="D7" s="5">
        <v>13</v>
      </c>
      <c r="E7" s="5">
        <v>21</v>
      </c>
      <c r="F7" s="6">
        <v>30</v>
      </c>
      <c r="G7" s="6">
        <v>35</v>
      </c>
      <c r="H7" s="6">
        <v>1</v>
      </c>
      <c r="I7" s="7">
        <v>105</v>
      </c>
      <c r="K7" s="66" t="s">
        <v>7</v>
      </c>
      <c r="L7" s="5">
        <v>23</v>
      </c>
      <c r="M7" s="5">
        <v>16</v>
      </c>
      <c r="N7" s="5">
        <v>30</v>
      </c>
      <c r="O7" s="6">
        <v>32</v>
      </c>
      <c r="P7" s="6">
        <v>53</v>
      </c>
      <c r="Q7" s="6">
        <v>3</v>
      </c>
      <c r="R7" s="7">
        <v>157</v>
      </c>
    </row>
    <row r="8" spans="2:18" x14ac:dyDescent="0.3">
      <c r="B8" s="61" t="s">
        <v>8</v>
      </c>
      <c r="C8" s="5">
        <v>9</v>
      </c>
      <c r="D8" s="5">
        <v>14</v>
      </c>
      <c r="E8" s="5">
        <v>14</v>
      </c>
      <c r="F8" s="6">
        <v>11</v>
      </c>
      <c r="G8" s="6">
        <v>3</v>
      </c>
      <c r="H8" s="6">
        <v>17</v>
      </c>
      <c r="I8" s="7">
        <v>68</v>
      </c>
      <c r="K8" s="66" t="s">
        <v>8</v>
      </c>
      <c r="L8" s="5">
        <v>22</v>
      </c>
      <c r="M8" s="5">
        <v>27</v>
      </c>
      <c r="N8" s="5">
        <v>16</v>
      </c>
      <c r="O8" s="6">
        <v>13</v>
      </c>
      <c r="P8" s="6">
        <v>6</v>
      </c>
      <c r="Q8" s="6">
        <v>22</v>
      </c>
      <c r="R8" s="7">
        <v>106</v>
      </c>
    </row>
    <row r="9" spans="2:18" x14ac:dyDescent="0.3">
      <c r="B9" s="61" t="s">
        <v>4</v>
      </c>
      <c r="C9" s="8">
        <v>16</v>
      </c>
      <c r="D9" s="8">
        <v>78</v>
      </c>
      <c r="E9" s="8">
        <v>80</v>
      </c>
      <c r="F9" s="7">
        <v>151</v>
      </c>
      <c r="G9" s="7">
        <v>53</v>
      </c>
      <c r="H9" s="7">
        <v>35</v>
      </c>
      <c r="I9" s="7">
        <v>413</v>
      </c>
      <c r="K9" s="66" t="s">
        <v>4</v>
      </c>
      <c r="L9" s="8">
        <v>53</v>
      </c>
      <c r="M9" s="8">
        <v>111</v>
      </c>
      <c r="N9" s="8">
        <v>106</v>
      </c>
      <c r="O9" s="7">
        <v>182</v>
      </c>
      <c r="P9" s="7">
        <v>95</v>
      </c>
      <c r="Q9" s="7">
        <v>45</v>
      </c>
      <c r="R9" s="7">
        <v>592</v>
      </c>
    </row>
    <row r="12" spans="2:18" x14ac:dyDescent="0.3">
      <c r="B12" t="s">
        <v>50</v>
      </c>
      <c r="C12" t="s">
        <v>51</v>
      </c>
    </row>
    <row r="13" spans="2:18" x14ac:dyDescent="0.3">
      <c r="B13" s="267"/>
      <c r="C13" s="268" t="s">
        <v>10</v>
      </c>
      <c r="D13" s="268" t="s">
        <v>11</v>
      </c>
      <c r="E13" s="267" t="s">
        <v>0</v>
      </c>
      <c r="F13" s="266" t="s">
        <v>1</v>
      </c>
      <c r="G13" s="266" t="s">
        <v>2</v>
      </c>
      <c r="H13" s="266" t="s">
        <v>3</v>
      </c>
      <c r="I13" s="266" t="s">
        <v>4</v>
      </c>
    </row>
    <row r="14" spans="2:18" x14ac:dyDescent="0.3">
      <c r="B14" s="267"/>
      <c r="C14" s="269"/>
      <c r="D14" s="269"/>
      <c r="E14" s="267"/>
      <c r="F14" s="266"/>
      <c r="G14" s="266"/>
      <c r="H14" s="266"/>
      <c r="I14" s="266"/>
    </row>
    <row r="15" spans="2:18" x14ac:dyDescent="0.3">
      <c r="B15" s="66" t="s">
        <v>5</v>
      </c>
      <c r="C15" s="5">
        <f ca="1">ROUND(NORMINV(RAND(),3,8),0)</f>
        <v>2</v>
      </c>
      <c r="D15" s="5">
        <f t="shared" ref="D15:H18" ca="1" si="0">ROUND(NORMINV(RAND(),3,8),0)</f>
        <v>-1</v>
      </c>
      <c r="E15" s="5">
        <f t="shared" ca="1" si="0"/>
        <v>-2</v>
      </c>
      <c r="F15" s="5">
        <f t="shared" ca="1" si="0"/>
        <v>-13</v>
      </c>
      <c r="G15" s="5">
        <f t="shared" ca="1" si="0"/>
        <v>13</v>
      </c>
      <c r="H15" s="5">
        <f t="shared" ca="1" si="0"/>
        <v>7</v>
      </c>
      <c r="I15" s="7"/>
    </row>
    <row r="16" spans="2:18" x14ac:dyDescent="0.3">
      <c r="B16" s="66" t="s">
        <v>6</v>
      </c>
      <c r="C16" s="5">
        <f t="shared" ref="C16:C18" ca="1" si="1">ROUND(NORMINV(RAND(),3,8),0)</f>
        <v>12</v>
      </c>
      <c r="D16" s="5">
        <f t="shared" ca="1" si="0"/>
        <v>-3</v>
      </c>
      <c r="E16" s="5">
        <f t="shared" ca="1" si="0"/>
        <v>3</v>
      </c>
      <c r="F16" s="5">
        <f t="shared" ca="1" si="0"/>
        <v>7</v>
      </c>
      <c r="G16" s="5">
        <f t="shared" ca="1" si="0"/>
        <v>-9</v>
      </c>
      <c r="H16" s="5">
        <f t="shared" ca="1" si="0"/>
        <v>4</v>
      </c>
      <c r="I16" s="7"/>
    </row>
    <row r="17" spans="2:9" x14ac:dyDescent="0.3">
      <c r="B17" s="66" t="s">
        <v>7</v>
      </c>
      <c r="C17" s="5">
        <f t="shared" ca="1" si="1"/>
        <v>-2</v>
      </c>
      <c r="D17" s="5">
        <f t="shared" ca="1" si="0"/>
        <v>21</v>
      </c>
      <c r="E17" s="5">
        <f t="shared" ca="1" si="0"/>
        <v>5</v>
      </c>
      <c r="F17" s="5">
        <f t="shared" ca="1" si="0"/>
        <v>-8</v>
      </c>
      <c r="G17" s="5">
        <f t="shared" ca="1" si="0"/>
        <v>4</v>
      </c>
      <c r="H17" s="5">
        <f t="shared" ca="1" si="0"/>
        <v>0</v>
      </c>
      <c r="I17" s="7"/>
    </row>
    <row r="18" spans="2:9" x14ac:dyDescent="0.3">
      <c r="B18" s="66" t="s">
        <v>8</v>
      </c>
      <c r="C18" s="5">
        <f t="shared" ca="1" si="1"/>
        <v>2</v>
      </c>
      <c r="D18" s="5">
        <f t="shared" ca="1" si="0"/>
        <v>10</v>
      </c>
      <c r="E18" s="5">
        <f t="shared" ca="1" si="0"/>
        <v>7</v>
      </c>
      <c r="F18" s="5">
        <f t="shared" ca="1" si="0"/>
        <v>1</v>
      </c>
      <c r="G18" s="5">
        <f t="shared" ca="1" si="0"/>
        <v>-9</v>
      </c>
      <c r="H18" s="5">
        <f t="shared" ca="1" si="0"/>
        <v>4</v>
      </c>
      <c r="I18" s="7"/>
    </row>
    <row r="19" spans="2:9" x14ac:dyDescent="0.3">
      <c r="B19" s="66" t="s">
        <v>4</v>
      </c>
      <c r="C19" s="5"/>
      <c r="D19" s="5"/>
      <c r="E19" s="5"/>
      <c r="F19" s="5"/>
      <c r="G19" s="5"/>
      <c r="H19" s="5"/>
      <c r="I19" s="7"/>
    </row>
    <row r="22" spans="2:9" x14ac:dyDescent="0.3">
      <c r="B22" s="267"/>
      <c r="C22" s="268" t="s">
        <v>10</v>
      </c>
      <c r="D22" s="268" t="s">
        <v>11</v>
      </c>
      <c r="E22" s="267" t="s">
        <v>0</v>
      </c>
      <c r="F22" s="266" t="s">
        <v>1</v>
      </c>
      <c r="G22" s="266" t="s">
        <v>2</v>
      </c>
      <c r="H22" s="266" t="s">
        <v>3</v>
      </c>
      <c r="I22" s="266" t="s">
        <v>4</v>
      </c>
    </row>
    <row r="23" spans="2:9" x14ac:dyDescent="0.3">
      <c r="B23" s="267"/>
      <c r="C23" s="269"/>
      <c r="D23" s="269"/>
      <c r="E23" s="267"/>
      <c r="F23" s="266"/>
      <c r="G23" s="266"/>
      <c r="H23" s="266"/>
      <c r="I23" s="266"/>
    </row>
    <row r="24" spans="2:9" x14ac:dyDescent="0.3">
      <c r="B24" s="66" t="s">
        <v>5</v>
      </c>
      <c r="C24" s="5">
        <f ca="1">C5+C15</f>
        <v>3</v>
      </c>
      <c r="D24" s="5">
        <f t="shared" ref="D24:H24" ca="1" si="2">D5+D15</f>
        <v>10</v>
      </c>
      <c r="E24" s="5">
        <f t="shared" ca="1" si="2"/>
        <v>19</v>
      </c>
      <c r="F24" s="5">
        <f t="shared" ca="1" si="2"/>
        <v>57</v>
      </c>
      <c r="G24" s="5">
        <f t="shared" ca="1" si="2"/>
        <v>23</v>
      </c>
      <c r="H24" s="5">
        <f t="shared" ca="1" si="2"/>
        <v>13</v>
      </c>
      <c r="I24" s="7">
        <f ca="1">SUM(C24:H24)</f>
        <v>125</v>
      </c>
    </row>
    <row r="25" spans="2:9" x14ac:dyDescent="0.3">
      <c r="B25" s="66" t="s">
        <v>6</v>
      </c>
      <c r="C25" s="5">
        <f t="shared" ref="C25:H25" ca="1" si="3">C6+C16</f>
        <v>13</v>
      </c>
      <c r="D25" s="5">
        <f t="shared" ca="1" si="3"/>
        <v>37</v>
      </c>
      <c r="E25" s="5">
        <f t="shared" ca="1" si="3"/>
        <v>27</v>
      </c>
      <c r="F25" s="5">
        <f t="shared" ca="1" si="3"/>
        <v>47</v>
      </c>
      <c r="G25" s="5">
        <f t="shared" ca="1" si="3"/>
        <v>-4</v>
      </c>
      <c r="H25" s="5">
        <f t="shared" ca="1" si="3"/>
        <v>15</v>
      </c>
      <c r="I25" s="7">
        <f t="shared" ref="I25:I27" ca="1" si="4">SUM(C25:H25)</f>
        <v>135</v>
      </c>
    </row>
    <row r="26" spans="2:9" x14ac:dyDescent="0.3">
      <c r="B26" s="66" t="s">
        <v>7</v>
      </c>
      <c r="C26" s="5">
        <f t="shared" ref="C26:H26" ca="1" si="5">C7+C17</f>
        <v>3</v>
      </c>
      <c r="D26" s="5">
        <f t="shared" ca="1" si="5"/>
        <v>34</v>
      </c>
      <c r="E26" s="5">
        <f t="shared" ca="1" si="5"/>
        <v>26</v>
      </c>
      <c r="F26" s="5">
        <f t="shared" ca="1" si="5"/>
        <v>22</v>
      </c>
      <c r="G26" s="5">
        <f t="shared" ca="1" si="5"/>
        <v>39</v>
      </c>
      <c r="H26" s="5">
        <f t="shared" ca="1" si="5"/>
        <v>1</v>
      </c>
      <c r="I26" s="7">
        <f t="shared" ca="1" si="4"/>
        <v>125</v>
      </c>
    </row>
    <row r="27" spans="2:9" x14ac:dyDescent="0.3">
      <c r="B27" s="66" t="s">
        <v>8</v>
      </c>
      <c r="C27" s="5">
        <f t="shared" ref="C27:H27" ca="1" si="6">C8+C18</f>
        <v>11</v>
      </c>
      <c r="D27" s="5">
        <f t="shared" ca="1" si="6"/>
        <v>24</v>
      </c>
      <c r="E27" s="5">
        <f t="shared" ca="1" si="6"/>
        <v>21</v>
      </c>
      <c r="F27" s="5">
        <f t="shared" ca="1" si="6"/>
        <v>12</v>
      </c>
      <c r="G27" s="5">
        <f t="shared" ca="1" si="6"/>
        <v>-6</v>
      </c>
      <c r="H27" s="5">
        <f t="shared" ca="1" si="6"/>
        <v>21</v>
      </c>
      <c r="I27" s="7">
        <f t="shared" ca="1" si="4"/>
        <v>83</v>
      </c>
    </row>
    <row r="28" spans="2:9" x14ac:dyDescent="0.3">
      <c r="B28" s="66" t="s">
        <v>4</v>
      </c>
      <c r="C28" s="8">
        <f ca="1">SUM(C24:C27)</f>
        <v>30</v>
      </c>
      <c r="D28" s="8">
        <f t="shared" ref="D28:H28" ca="1" si="7">SUM(D24:D27)</f>
        <v>105</v>
      </c>
      <c r="E28" s="8">
        <f t="shared" ca="1" si="7"/>
        <v>93</v>
      </c>
      <c r="F28" s="8">
        <f t="shared" ca="1" si="7"/>
        <v>138</v>
      </c>
      <c r="G28" s="8">
        <f t="shared" ca="1" si="7"/>
        <v>52</v>
      </c>
      <c r="H28" s="8">
        <f t="shared" ca="1" si="7"/>
        <v>50</v>
      </c>
      <c r="I28" s="7">
        <f ca="1">SUM(I24:I27)</f>
        <v>468</v>
      </c>
    </row>
    <row r="31" spans="2:9" x14ac:dyDescent="0.3">
      <c r="B31" s="18" t="s">
        <v>102</v>
      </c>
    </row>
    <row r="32" spans="2:9" x14ac:dyDescent="0.3">
      <c r="B32" s="136"/>
      <c r="C32" s="110" t="s">
        <v>10</v>
      </c>
      <c r="D32" s="110" t="s">
        <v>11</v>
      </c>
      <c r="E32" s="110" t="s">
        <v>0</v>
      </c>
      <c r="F32" s="109" t="s">
        <v>1</v>
      </c>
      <c r="G32" s="109" t="s">
        <v>2</v>
      </c>
      <c r="H32" s="109" t="s">
        <v>3</v>
      </c>
      <c r="I32" s="109" t="s">
        <v>4</v>
      </c>
    </row>
    <row r="33" spans="2:9" x14ac:dyDescent="0.3">
      <c r="B33" s="110" t="s">
        <v>10</v>
      </c>
      <c r="C33" s="137">
        <v>0</v>
      </c>
      <c r="D33" s="137">
        <v>0</v>
      </c>
      <c r="E33" s="137">
        <v>1</v>
      </c>
      <c r="F33" s="137">
        <v>1</v>
      </c>
      <c r="G33" s="137">
        <v>1</v>
      </c>
      <c r="H33" s="120">
        <v>1</v>
      </c>
      <c r="I33" s="136">
        <f>SUM(C33:H33)</f>
        <v>4</v>
      </c>
    </row>
    <row r="34" spans="2:9" x14ac:dyDescent="0.3">
      <c r="B34" s="110" t="s">
        <v>11</v>
      </c>
      <c r="C34" s="137">
        <v>0</v>
      </c>
      <c r="D34" s="137">
        <v>0</v>
      </c>
      <c r="E34" s="137">
        <v>0</v>
      </c>
      <c r="F34" s="137">
        <v>1</v>
      </c>
      <c r="G34" s="137">
        <v>1</v>
      </c>
      <c r="H34" s="120">
        <v>0</v>
      </c>
      <c r="I34" s="136">
        <f t="shared" ref="I34:I38" si="8">SUM(C34:H34)</f>
        <v>2</v>
      </c>
    </row>
    <row r="35" spans="2:9" x14ac:dyDescent="0.3">
      <c r="B35" s="110" t="s">
        <v>0</v>
      </c>
      <c r="C35" s="137">
        <v>1</v>
      </c>
      <c r="D35" s="137">
        <v>0</v>
      </c>
      <c r="E35" s="137">
        <v>0</v>
      </c>
      <c r="F35" s="137">
        <v>1</v>
      </c>
      <c r="G35" s="137">
        <v>0</v>
      </c>
      <c r="H35" s="120">
        <v>0</v>
      </c>
      <c r="I35" s="136">
        <f t="shared" si="8"/>
        <v>2</v>
      </c>
    </row>
    <row r="36" spans="2:9" x14ac:dyDescent="0.3">
      <c r="B36" s="109" t="s">
        <v>1</v>
      </c>
      <c r="C36" s="138">
        <v>1</v>
      </c>
      <c r="D36" s="138">
        <v>1</v>
      </c>
      <c r="E36" s="138">
        <v>1</v>
      </c>
      <c r="F36" s="138">
        <v>0</v>
      </c>
      <c r="G36" s="138">
        <v>1</v>
      </c>
      <c r="H36" s="120">
        <v>0</v>
      </c>
      <c r="I36" s="136">
        <f t="shared" si="8"/>
        <v>4</v>
      </c>
    </row>
    <row r="37" spans="2:9" x14ac:dyDescent="0.3">
      <c r="B37" s="109" t="s">
        <v>2</v>
      </c>
      <c r="C37" s="138">
        <v>1</v>
      </c>
      <c r="D37" s="138">
        <v>1</v>
      </c>
      <c r="E37" s="138">
        <v>0</v>
      </c>
      <c r="F37" s="138">
        <v>1</v>
      </c>
      <c r="G37" s="138">
        <v>0</v>
      </c>
      <c r="H37" s="120">
        <v>1</v>
      </c>
      <c r="I37" s="136">
        <f t="shared" si="8"/>
        <v>4</v>
      </c>
    </row>
    <row r="38" spans="2:9" x14ac:dyDescent="0.3">
      <c r="B38" s="109" t="s">
        <v>3</v>
      </c>
      <c r="C38" s="138">
        <v>1</v>
      </c>
      <c r="D38" s="138">
        <v>0</v>
      </c>
      <c r="E38" s="138">
        <v>0</v>
      </c>
      <c r="F38" s="138">
        <v>0</v>
      </c>
      <c r="G38" s="138">
        <v>1</v>
      </c>
      <c r="H38" s="120">
        <v>0</v>
      </c>
      <c r="I38" s="136">
        <f t="shared" si="8"/>
        <v>2</v>
      </c>
    </row>
    <row r="41" spans="2:9" x14ac:dyDescent="0.3">
      <c r="B41" s="136"/>
      <c r="C41" s="110" t="s">
        <v>10</v>
      </c>
      <c r="D41" s="110" t="s">
        <v>11</v>
      </c>
      <c r="E41" s="110" t="s">
        <v>0</v>
      </c>
      <c r="F41" s="109" t="s">
        <v>1</v>
      </c>
      <c r="G41" s="109" t="s">
        <v>2</v>
      </c>
      <c r="H41" s="109" t="s">
        <v>3</v>
      </c>
      <c r="I41" s="109" t="s">
        <v>4</v>
      </c>
    </row>
    <row r="42" spans="2:9" x14ac:dyDescent="0.3">
      <c r="B42" s="110" t="s">
        <v>10</v>
      </c>
      <c r="C42" s="137">
        <f>C33/$I33</f>
        <v>0</v>
      </c>
      <c r="D42" s="137">
        <f t="shared" ref="D42:H42" si="9">D33/$I33</f>
        <v>0</v>
      </c>
      <c r="E42" s="137">
        <f t="shared" si="9"/>
        <v>0.25</v>
      </c>
      <c r="F42" s="137">
        <f t="shared" si="9"/>
        <v>0.25</v>
      </c>
      <c r="G42" s="137">
        <f t="shared" si="9"/>
        <v>0.25</v>
      </c>
      <c r="H42" s="137">
        <f t="shared" si="9"/>
        <v>0.25</v>
      </c>
      <c r="I42" s="136">
        <f>SUM(C42:H42)</f>
        <v>1</v>
      </c>
    </row>
    <row r="43" spans="2:9" x14ac:dyDescent="0.3">
      <c r="B43" s="110" t="s">
        <v>11</v>
      </c>
      <c r="C43" s="137">
        <f t="shared" ref="C43:H43" si="10">C34/$I34</f>
        <v>0</v>
      </c>
      <c r="D43" s="137">
        <f t="shared" si="10"/>
        <v>0</v>
      </c>
      <c r="E43" s="137">
        <f t="shared" si="10"/>
        <v>0</v>
      </c>
      <c r="F43" s="137">
        <f t="shared" si="10"/>
        <v>0.5</v>
      </c>
      <c r="G43" s="137">
        <f t="shared" si="10"/>
        <v>0.5</v>
      </c>
      <c r="H43" s="137">
        <f t="shared" si="10"/>
        <v>0</v>
      </c>
      <c r="I43" s="136">
        <f t="shared" ref="I43:I47" si="11">SUM(C43:H43)</f>
        <v>1</v>
      </c>
    </row>
    <row r="44" spans="2:9" x14ac:dyDescent="0.3">
      <c r="B44" s="110" t="s">
        <v>0</v>
      </c>
      <c r="C44" s="137">
        <f t="shared" ref="C44:H44" si="12">C35/$I35</f>
        <v>0.5</v>
      </c>
      <c r="D44" s="137">
        <f t="shared" si="12"/>
        <v>0</v>
      </c>
      <c r="E44" s="137">
        <f t="shared" si="12"/>
        <v>0</v>
      </c>
      <c r="F44" s="137">
        <f t="shared" si="12"/>
        <v>0.5</v>
      </c>
      <c r="G44" s="137">
        <f t="shared" si="12"/>
        <v>0</v>
      </c>
      <c r="H44" s="137">
        <f t="shared" si="12"/>
        <v>0</v>
      </c>
      <c r="I44" s="136">
        <f t="shared" si="11"/>
        <v>1</v>
      </c>
    </row>
    <row r="45" spans="2:9" x14ac:dyDescent="0.3">
      <c r="B45" s="109" t="s">
        <v>1</v>
      </c>
      <c r="C45" s="137">
        <f t="shared" ref="C45:H45" si="13">C36/$I36</f>
        <v>0.25</v>
      </c>
      <c r="D45" s="137">
        <f t="shared" si="13"/>
        <v>0.25</v>
      </c>
      <c r="E45" s="137">
        <f t="shared" si="13"/>
        <v>0.25</v>
      </c>
      <c r="F45" s="137">
        <f t="shared" si="13"/>
        <v>0</v>
      </c>
      <c r="G45" s="137">
        <f t="shared" si="13"/>
        <v>0.25</v>
      </c>
      <c r="H45" s="137">
        <f t="shared" si="13"/>
        <v>0</v>
      </c>
      <c r="I45" s="136">
        <f t="shared" si="11"/>
        <v>1</v>
      </c>
    </row>
    <row r="46" spans="2:9" x14ac:dyDescent="0.3">
      <c r="B46" s="109" t="s">
        <v>2</v>
      </c>
      <c r="C46" s="137">
        <f t="shared" ref="C46:H46" si="14">C37/$I37</f>
        <v>0.25</v>
      </c>
      <c r="D46" s="137">
        <f t="shared" si="14"/>
        <v>0.25</v>
      </c>
      <c r="E46" s="137">
        <f t="shared" si="14"/>
        <v>0</v>
      </c>
      <c r="F46" s="137">
        <f t="shared" si="14"/>
        <v>0.25</v>
      </c>
      <c r="G46" s="137">
        <f t="shared" si="14"/>
        <v>0</v>
      </c>
      <c r="H46" s="137">
        <f t="shared" si="14"/>
        <v>0.25</v>
      </c>
      <c r="I46" s="136">
        <f t="shared" si="11"/>
        <v>1</v>
      </c>
    </row>
    <row r="47" spans="2:9" x14ac:dyDescent="0.3">
      <c r="B47" s="109" t="s">
        <v>3</v>
      </c>
      <c r="C47" s="137">
        <f t="shared" ref="C47:H47" si="15">C38/$I38</f>
        <v>0.5</v>
      </c>
      <c r="D47" s="137">
        <f t="shared" si="15"/>
        <v>0</v>
      </c>
      <c r="E47" s="137">
        <f t="shared" si="15"/>
        <v>0</v>
      </c>
      <c r="F47" s="137">
        <f t="shared" si="15"/>
        <v>0</v>
      </c>
      <c r="G47" s="137">
        <f t="shared" si="15"/>
        <v>0.5</v>
      </c>
      <c r="H47" s="137">
        <f t="shared" si="15"/>
        <v>0</v>
      </c>
      <c r="I47" s="136">
        <f t="shared" si="11"/>
        <v>1</v>
      </c>
    </row>
    <row r="52" spans="2:8" x14ac:dyDescent="0.3">
      <c r="B52" t="s">
        <v>109</v>
      </c>
    </row>
    <row r="53" spans="2:8" x14ac:dyDescent="0.3">
      <c r="B53" s="150"/>
      <c r="C53" s="150">
        <v>1</v>
      </c>
      <c r="D53" s="150">
        <v>2</v>
      </c>
      <c r="E53" s="150">
        <v>3</v>
      </c>
      <c r="F53" s="150">
        <v>4</v>
      </c>
      <c r="G53" s="150">
        <v>5</v>
      </c>
      <c r="H53" s="150">
        <v>6</v>
      </c>
    </row>
    <row r="54" spans="2:8" x14ac:dyDescent="0.3">
      <c r="B54" s="150">
        <v>1</v>
      </c>
      <c r="C54" s="151">
        <v>0</v>
      </c>
      <c r="D54" s="151"/>
      <c r="E54" s="151"/>
      <c r="F54" s="151"/>
      <c r="G54" s="151"/>
      <c r="H54" s="151"/>
    </row>
    <row r="55" spans="2:8" x14ac:dyDescent="0.3">
      <c r="B55" s="150">
        <v>2</v>
      </c>
      <c r="C55" s="151">
        <v>0.78142219999999996</v>
      </c>
      <c r="D55" s="151">
        <v>0</v>
      </c>
      <c r="E55" s="151"/>
      <c r="F55" s="151"/>
      <c r="G55" s="151"/>
      <c r="H55" s="151"/>
    </row>
    <row r="56" spans="2:8" x14ac:dyDescent="0.3">
      <c r="B56" s="150">
        <v>3</v>
      </c>
      <c r="C56" s="151">
        <v>0.40288930000000001</v>
      </c>
      <c r="D56" s="151">
        <v>0.85264470000000003</v>
      </c>
      <c r="E56" s="151">
        <v>0</v>
      </c>
      <c r="F56" s="151"/>
      <c r="G56" s="151"/>
      <c r="H56" s="151"/>
    </row>
    <row r="57" spans="2:8" x14ac:dyDescent="0.3">
      <c r="B57" s="150">
        <v>4</v>
      </c>
      <c r="C57" s="151">
        <v>0.42950260000000001</v>
      </c>
      <c r="D57" s="151">
        <v>0.53731600000000002</v>
      </c>
      <c r="E57" s="151">
        <v>0.31807740000000001</v>
      </c>
      <c r="F57" s="151">
        <v>0</v>
      </c>
      <c r="G57" s="151"/>
      <c r="H57" s="151"/>
    </row>
    <row r="58" spans="2:8" x14ac:dyDescent="0.3">
      <c r="B58" s="150">
        <v>5</v>
      </c>
      <c r="C58" s="151">
        <v>0.54041309999999998</v>
      </c>
      <c r="D58" s="151">
        <v>0.28875440000000002</v>
      </c>
      <c r="E58" s="151">
        <v>0.72734960000000004</v>
      </c>
      <c r="F58" s="151">
        <v>0.45915099999999998</v>
      </c>
      <c r="G58" s="151">
        <v>0</v>
      </c>
      <c r="H58" s="151"/>
    </row>
    <row r="59" spans="2:8" x14ac:dyDescent="0.3">
      <c r="B59" s="150">
        <v>6</v>
      </c>
      <c r="C59" s="151">
        <v>0.54882759999999997</v>
      </c>
      <c r="D59" s="151">
        <v>0.52706810000000004</v>
      </c>
      <c r="E59" s="151">
        <v>0.85832909999999996</v>
      </c>
      <c r="F59" s="151">
        <v>0.65666389999999997</v>
      </c>
      <c r="G59" s="151">
        <v>0.26621250000000002</v>
      </c>
      <c r="H59" s="151">
        <v>0</v>
      </c>
    </row>
  </sheetData>
  <mergeCells count="32">
    <mergeCell ref="P3:P4"/>
    <mergeCell ref="Q3:Q4"/>
    <mergeCell ref="R3:R4"/>
    <mergeCell ref="K3:K4"/>
    <mergeCell ref="L3:L4"/>
    <mergeCell ref="M3:M4"/>
    <mergeCell ref="N3:N4"/>
    <mergeCell ref="O3:O4"/>
    <mergeCell ref="G13:G14"/>
    <mergeCell ref="H13:H14"/>
    <mergeCell ref="I13:I14"/>
    <mergeCell ref="B22:B23"/>
    <mergeCell ref="C22:C23"/>
    <mergeCell ref="D22:D23"/>
    <mergeCell ref="E22:E23"/>
    <mergeCell ref="F22:F23"/>
    <mergeCell ref="G22:G23"/>
    <mergeCell ref="H22:H23"/>
    <mergeCell ref="I22:I23"/>
    <mergeCell ref="B13:B14"/>
    <mergeCell ref="C13:C14"/>
    <mergeCell ref="D13:D14"/>
    <mergeCell ref="E13:E14"/>
    <mergeCell ref="F13:F14"/>
    <mergeCell ref="H3:H4"/>
    <mergeCell ref="I3:I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91"/>
  <sheetViews>
    <sheetView topLeftCell="A31" workbookViewId="0">
      <selection activeCell="I60" sqref="I60"/>
    </sheetView>
  </sheetViews>
  <sheetFormatPr defaultRowHeight="13.2" x14ac:dyDescent="0.25"/>
  <cols>
    <col min="1" max="4" width="8.88671875" style="49"/>
    <col min="5" max="5" width="9.33203125" style="49" bestFit="1" customWidth="1"/>
    <col min="6" max="16384" width="8.88671875" style="49"/>
  </cols>
  <sheetData>
    <row r="3" spans="3:10" x14ac:dyDescent="0.25">
      <c r="C3" s="257"/>
      <c r="D3" s="258" t="s">
        <v>10</v>
      </c>
      <c r="E3" s="258" t="s">
        <v>11</v>
      </c>
      <c r="F3" s="257" t="s">
        <v>0</v>
      </c>
      <c r="G3" s="256" t="s">
        <v>1</v>
      </c>
      <c r="H3" s="256" t="s">
        <v>2</v>
      </c>
      <c r="I3" s="256" t="s">
        <v>3</v>
      </c>
      <c r="J3" s="256" t="s">
        <v>4</v>
      </c>
    </row>
    <row r="4" spans="3:10" x14ac:dyDescent="0.25">
      <c r="C4" s="257" t="s">
        <v>5</v>
      </c>
      <c r="D4" s="51">
        <v>1</v>
      </c>
      <c r="E4" s="51">
        <v>11</v>
      </c>
      <c r="F4" s="51">
        <v>21</v>
      </c>
      <c r="G4" s="52">
        <v>70</v>
      </c>
      <c r="H4" s="52">
        <v>10</v>
      </c>
      <c r="I4" s="52">
        <v>6</v>
      </c>
      <c r="J4" s="53">
        <v>119</v>
      </c>
    </row>
    <row r="5" spans="3:10" x14ac:dyDescent="0.25">
      <c r="C5" s="257" t="s">
        <v>6</v>
      </c>
      <c r="D5" s="51">
        <v>1</v>
      </c>
      <c r="E5" s="51">
        <v>40</v>
      </c>
      <c r="F5" s="51">
        <v>24</v>
      </c>
      <c r="G5" s="52">
        <v>40</v>
      </c>
      <c r="H5" s="52">
        <v>5</v>
      </c>
      <c r="I5" s="52">
        <v>11</v>
      </c>
      <c r="J5" s="53">
        <v>121</v>
      </c>
    </row>
    <row r="6" spans="3:10" x14ac:dyDescent="0.25">
      <c r="C6" s="257" t="s">
        <v>7</v>
      </c>
      <c r="D6" s="51">
        <v>5</v>
      </c>
      <c r="E6" s="51">
        <v>13</v>
      </c>
      <c r="F6" s="51">
        <v>21</v>
      </c>
      <c r="G6" s="52">
        <v>30</v>
      </c>
      <c r="H6" s="52">
        <v>35</v>
      </c>
      <c r="I6" s="52">
        <v>1</v>
      </c>
      <c r="J6" s="53">
        <v>105</v>
      </c>
    </row>
    <row r="7" spans="3:10" x14ac:dyDescent="0.25">
      <c r="C7" s="257" t="s">
        <v>8</v>
      </c>
      <c r="D7" s="51">
        <v>9</v>
      </c>
      <c r="E7" s="51">
        <v>14</v>
      </c>
      <c r="F7" s="51">
        <v>14</v>
      </c>
      <c r="G7" s="52">
        <v>11</v>
      </c>
      <c r="H7" s="52">
        <v>3</v>
      </c>
      <c r="I7" s="52">
        <v>17</v>
      </c>
      <c r="J7" s="53">
        <v>68</v>
      </c>
    </row>
    <row r="8" spans="3:10" x14ac:dyDescent="0.25">
      <c r="C8" s="257" t="s">
        <v>4</v>
      </c>
      <c r="D8" s="54">
        <v>16</v>
      </c>
      <c r="E8" s="54">
        <v>78</v>
      </c>
      <c r="F8" s="54">
        <v>80</v>
      </c>
      <c r="G8" s="53">
        <v>151</v>
      </c>
      <c r="H8" s="53">
        <v>53</v>
      </c>
      <c r="I8" s="53">
        <v>35</v>
      </c>
      <c r="J8" s="53">
        <v>413</v>
      </c>
    </row>
    <row r="10" spans="3:10" ht="13.8" x14ac:dyDescent="0.25">
      <c r="C10" s="165" t="s">
        <v>120</v>
      </c>
      <c r="D10" s="258" t="s">
        <v>10</v>
      </c>
      <c r="E10" s="258" t="s">
        <v>11</v>
      </c>
      <c r="F10" s="257" t="s">
        <v>0</v>
      </c>
      <c r="G10" s="256" t="s">
        <v>1</v>
      </c>
      <c r="H10" s="256" t="s">
        <v>2</v>
      </c>
      <c r="I10" s="256" t="s">
        <v>3</v>
      </c>
      <c r="J10" s="256" t="s">
        <v>4</v>
      </c>
    </row>
    <row r="11" spans="3:10" x14ac:dyDescent="0.25">
      <c r="C11" s="257" t="s">
        <v>5</v>
      </c>
      <c r="D11" s="98">
        <f>D4/D$8</f>
        <v>6.25E-2</v>
      </c>
      <c r="E11" s="98">
        <f t="shared" ref="E11:I11" si="0">E4/E$8</f>
        <v>0.14102564102564102</v>
      </c>
      <c r="F11" s="98">
        <f t="shared" si="0"/>
        <v>0.26250000000000001</v>
      </c>
      <c r="G11" s="98">
        <f t="shared" si="0"/>
        <v>0.46357615894039733</v>
      </c>
      <c r="H11" s="98">
        <f t="shared" si="0"/>
        <v>0.18867924528301888</v>
      </c>
      <c r="I11" s="98">
        <f t="shared" si="0"/>
        <v>0.17142857142857143</v>
      </c>
      <c r="J11" s="53"/>
    </row>
    <row r="12" spans="3:10" x14ac:dyDescent="0.25">
      <c r="C12" s="257" t="s">
        <v>6</v>
      </c>
      <c r="D12" s="98">
        <f t="shared" ref="D12:I14" si="1">D5/D$8</f>
        <v>6.25E-2</v>
      </c>
      <c r="E12" s="98">
        <f t="shared" si="1"/>
        <v>0.51282051282051277</v>
      </c>
      <c r="F12" s="98">
        <f t="shared" si="1"/>
        <v>0.3</v>
      </c>
      <c r="G12" s="98">
        <f t="shared" si="1"/>
        <v>0.26490066225165565</v>
      </c>
      <c r="H12" s="98">
        <f t="shared" si="1"/>
        <v>9.4339622641509441E-2</v>
      </c>
      <c r="I12" s="98">
        <f t="shared" si="1"/>
        <v>0.31428571428571428</v>
      </c>
      <c r="J12" s="53"/>
    </row>
    <row r="13" spans="3:10" x14ac:dyDescent="0.25">
      <c r="C13" s="257" t="s">
        <v>7</v>
      </c>
      <c r="D13" s="98">
        <f t="shared" si="1"/>
        <v>0.3125</v>
      </c>
      <c r="E13" s="98">
        <f t="shared" si="1"/>
        <v>0.16666666666666666</v>
      </c>
      <c r="F13" s="98">
        <f t="shared" si="1"/>
        <v>0.26250000000000001</v>
      </c>
      <c r="G13" s="98">
        <f t="shared" si="1"/>
        <v>0.19867549668874171</v>
      </c>
      <c r="H13" s="98">
        <f t="shared" si="1"/>
        <v>0.660377358490566</v>
      </c>
      <c r="I13" s="98">
        <f t="shared" si="1"/>
        <v>2.8571428571428571E-2</v>
      </c>
      <c r="J13" s="53"/>
    </row>
    <row r="14" spans="3:10" x14ac:dyDescent="0.25">
      <c r="C14" s="257" t="s">
        <v>8</v>
      </c>
      <c r="D14" s="98">
        <f t="shared" si="1"/>
        <v>0.5625</v>
      </c>
      <c r="E14" s="98">
        <f t="shared" si="1"/>
        <v>0.17948717948717949</v>
      </c>
      <c r="F14" s="98">
        <f t="shared" si="1"/>
        <v>0.17499999999999999</v>
      </c>
      <c r="G14" s="98">
        <f t="shared" si="1"/>
        <v>7.2847682119205295E-2</v>
      </c>
      <c r="H14" s="98">
        <f t="shared" si="1"/>
        <v>5.6603773584905662E-2</v>
      </c>
      <c r="I14" s="98">
        <f t="shared" si="1"/>
        <v>0.48571428571428571</v>
      </c>
      <c r="J14" s="53"/>
    </row>
    <row r="15" spans="3:10" x14ac:dyDescent="0.25">
      <c r="C15" s="257" t="s">
        <v>4</v>
      </c>
      <c r="D15" s="152">
        <f>D8/$J$8</f>
        <v>3.8740920096852302E-2</v>
      </c>
      <c r="E15" s="152">
        <f t="shared" ref="E15:I15" si="2">E8/$J$8</f>
        <v>0.18886198547215496</v>
      </c>
      <c r="F15" s="152">
        <f t="shared" si="2"/>
        <v>0.1937046004842615</v>
      </c>
      <c r="G15" s="152">
        <f t="shared" si="2"/>
        <v>0.36561743341404357</v>
      </c>
      <c r="H15" s="152">
        <f t="shared" si="2"/>
        <v>0.12832929782082325</v>
      </c>
      <c r="I15" s="152">
        <f t="shared" si="2"/>
        <v>8.4745762711864403E-2</v>
      </c>
      <c r="J15" s="53"/>
    </row>
    <row r="18" spans="2:17" x14ac:dyDescent="0.25">
      <c r="D18" s="99" t="s">
        <v>115</v>
      </c>
      <c r="E18" s="99">
        <v>1</v>
      </c>
      <c r="F18" s="99">
        <v>2</v>
      </c>
      <c r="G18" s="99">
        <v>3</v>
      </c>
      <c r="H18" s="99">
        <v>4</v>
      </c>
      <c r="I18" s="99">
        <v>5</v>
      </c>
      <c r="J18" s="99">
        <v>6</v>
      </c>
    </row>
    <row r="19" spans="2:17" x14ac:dyDescent="0.25">
      <c r="D19" s="99">
        <v>1</v>
      </c>
      <c r="E19" s="143">
        <v>0</v>
      </c>
      <c r="F19" s="143">
        <v>0.78142219999999996</v>
      </c>
      <c r="G19" s="143">
        <v>0.40288930000000001</v>
      </c>
      <c r="H19" s="143">
        <v>0.42950260000000001</v>
      </c>
      <c r="I19" s="143">
        <v>0.54041309999999998</v>
      </c>
      <c r="J19" s="143">
        <v>0.54882759999999997</v>
      </c>
      <c r="L19" s="265">
        <f>E19+0.001</f>
        <v>1E-3</v>
      </c>
      <c r="M19" s="265">
        <f t="shared" ref="M19:Q19" si="3">F19+0.001</f>
        <v>0.78242219999999996</v>
      </c>
      <c r="N19" s="265">
        <f t="shared" si="3"/>
        <v>0.40388930000000001</v>
      </c>
      <c r="O19" s="265">
        <f t="shared" si="3"/>
        <v>0.43050260000000001</v>
      </c>
      <c r="P19" s="265">
        <f t="shared" si="3"/>
        <v>0.54141309999999998</v>
      </c>
      <c r="Q19" s="265">
        <f t="shared" si="3"/>
        <v>0.54982759999999997</v>
      </c>
    </row>
    <row r="20" spans="2:17" x14ac:dyDescent="0.25">
      <c r="D20" s="99">
        <v>2</v>
      </c>
      <c r="E20" s="143">
        <v>0.78142219999999996</v>
      </c>
      <c r="F20" s="143">
        <v>0</v>
      </c>
      <c r="G20" s="143">
        <v>0.85264470000000003</v>
      </c>
      <c r="H20" s="143">
        <v>0.53731600000000002</v>
      </c>
      <c r="I20" s="143">
        <v>0.28875440000000002</v>
      </c>
      <c r="J20" s="143">
        <v>0.52706810000000004</v>
      </c>
      <c r="L20" s="265">
        <f t="shared" ref="L20:L24" si="4">E20+0.001</f>
        <v>0.78242219999999996</v>
      </c>
      <c r="M20" s="265">
        <f t="shared" ref="M20:M24" si="5">F20+0.001</f>
        <v>1E-3</v>
      </c>
      <c r="N20" s="265">
        <f t="shared" ref="N20:N24" si="6">G20+0.001</f>
        <v>0.85364470000000003</v>
      </c>
      <c r="O20" s="265">
        <f t="shared" ref="O20:O24" si="7">H20+0.001</f>
        <v>0.53831600000000002</v>
      </c>
      <c r="P20" s="265">
        <f t="shared" ref="P20:P24" si="8">I20+0.001</f>
        <v>0.28975440000000002</v>
      </c>
      <c r="Q20" s="265">
        <f t="shared" ref="Q20:Q24" si="9">J20+0.001</f>
        <v>0.52806810000000004</v>
      </c>
    </row>
    <row r="21" spans="2:17" x14ac:dyDescent="0.25">
      <c r="D21" s="99">
        <v>3</v>
      </c>
      <c r="E21" s="143">
        <v>0.40288930000000001</v>
      </c>
      <c r="F21" s="143">
        <v>0.85264470000000003</v>
      </c>
      <c r="G21" s="143">
        <v>0</v>
      </c>
      <c r="H21" s="143">
        <v>0.31807740000000001</v>
      </c>
      <c r="I21" s="143">
        <v>0.72734960000000004</v>
      </c>
      <c r="J21" s="143">
        <v>0.85832909999999996</v>
      </c>
      <c r="L21" s="265">
        <f t="shared" si="4"/>
        <v>0.40388930000000001</v>
      </c>
      <c r="M21" s="265">
        <f t="shared" si="5"/>
        <v>0.85364470000000003</v>
      </c>
      <c r="N21" s="265">
        <f t="shared" si="6"/>
        <v>1E-3</v>
      </c>
      <c r="O21" s="265">
        <f t="shared" si="7"/>
        <v>0.31907740000000001</v>
      </c>
      <c r="P21" s="265">
        <f t="shared" si="8"/>
        <v>0.72834960000000004</v>
      </c>
      <c r="Q21" s="265">
        <f t="shared" si="9"/>
        <v>0.85932909999999996</v>
      </c>
    </row>
    <row r="22" spans="2:17" x14ac:dyDescent="0.25">
      <c r="D22" s="99">
        <v>4</v>
      </c>
      <c r="E22" s="143">
        <v>0.42950260000000001</v>
      </c>
      <c r="F22" s="143">
        <v>0.53731600000000002</v>
      </c>
      <c r="G22" s="143">
        <v>0.31807740000000001</v>
      </c>
      <c r="H22" s="143">
        <v>0</v>
      </c>
      <c r="I22" s="143">
        <v>0.45915099999999998</v>
      </c>
      <c r="J22" s="143">
        <v>0.65666389999999997</v>
      </c>
      <c r="L22" s="265">
        <f t="shared" si="4"/>
        <v>0.43050260000000001</v>
      </c>
      <c r="M22" s="265">
        <f t="shared" si="5"/>
        <v>0.53831600000000002</v>
      </c>
      <c r="N22" s="265">
        <f t="shared" si="6"/>
        <v>0.31907740000000001</v>
      </c>
      <c r="O22" s="265">
        <f t="shared" si="7"/>
        <v>1E-3</v>
      </c>
      <c r="P22" s="265">
        <f t="shared" si="8"/>
        <v>0.46015099999999998</v>
      </c>
      <c r="Q22" s="265">
        <f t="shared" si="9"/>
        <v>0.65766389999999997</v>
      </c>
    </row>
    <row r="23" spans="2:17" x14ac:dyDescent="0.25">
      <c r="D23" s="99">
        <v>5</v>
      </c>
      <c r="E23" s="143">
        <v>0.54041309999999998</v>
      </c>
      <c r="F23" s="143">
        <v>0.28875440000000002</v>
      </c>
      <c r="G23" s="143">
        <v>0.72734960000000004</v>
      </c>
      <c r="H23" s="143">
        <v>0.45915099999999998</v>
      </c>
      <c r="I23" s="143">
        <v>0</v>
      </c>
      <c r="J23" s="143">
        <v>0.26621250000000002</v>
      </c>
      <c r="L23" s="265">
        <f t="shared" si="4"/>
        <v>0.54141309999999998</v>
      </c>
      <c r="M23" s="265">
        <f t="shared" si="5"/>
        <v>0.28975440000000002</v>
      </c>
      <c r="N23" s="265">
        <f t="shared" si="6"/>
        <v>0.72834960000000004</v>
      </c>
      <c r="O23" s="265">
        <f t="shared" si="7"/>
        <v>0.46015099999999998</v>
      </c>
      <c r="P23" s="265">
        <f t="shared" si="8"/>
        <v>1E-3</v>
      </c>
      <c r="Q23" s="265">
        <f t="shared" si="9"/>
        <v>0.26721250000000002</v>
      </c>
    </row>
    <row r="24" spans="2:17" x14ac:dyDescent="0.25">
      <c r="D24" s="99">
        <v>6</v>
      </c>
      <c r="E24" s="143">
        <v>0.54882759999999997</v>
      </c>
      <c r="F24" s="143">
        <v>0.52706810000000004</v>
      </c>
      <c r="G24" s="143">
        <v>0.85832909999999996</v>
      </c>
      <c r="H24" s="143">
        <v>0.65666389999999997</v>
      </c>
      <c r="I24" s="143">
        <v>0.26621250000000002</v>
      </c>
      <c r="J24" s="143">
        <v>0</v>
      </c>
      <c r="L24" s="265">
        <f t="shared" si="4"/>
        <v>0.54982759999999997</v>
      </c>
      <c r="M24" s="265">
        <f t="shared" si="5"/>
        <v>0.52806810000000004</v>
      </c>
      <c r="N24" s="265">
        <f t="shared" si="6"/>
        <v>0.85932909999999996</v>
      </c>
      <c r="O24" s="265">
        <f t="shared" si="7"/>
        <v>0.65766389999999997</v>
      </c>
      <c r="P24" s="265">
        <f t="shared" si="8"/>
        <v>0.26721250000000002</v>
      </c>
      <c r="Q24" s="265">
        <f t="shared" si="9"/>
        <v>1E-3</v>
      </c>
    </row>
    <row r="27" spans="2:17" x14ac:dyDescent="0.25">
      <c r="B27" s="158" t="s">
        <v>116</v>
      </c>
      <c r="C27" s="159"/>
      <c r="D27" s="158" t="s">
        <v>110</v>
      </c>
      <c r="E27" s="160">
        <v>6.25E-2</v>
      </c>
      <c r="F27" s="160">
        <v>0.14102564102564102</v>
      </c>
      <c r="G27" s="160">
        <v>0.26250000000000001</v>
      </c>
      <c r="H27" s="160">
        <v>0.46357615894039733</v>
      </c>
      <c r="I27" s="160">
        <v>0.18867924528301888</v>
      </c>
      <c r="J27" s="160">
        <v>0.17142857142857143</v>
      </c>
    </row>
    <row r="28" spans="2:17" x14ac:dyDescent="0.25">
      <c r="B28" s="158"/>
      <c r="C28" s="159"/>
      <c r="D28" s="158" t="s">
        <v>72</v>
      </c>
      <c r="E28" s="160">
        <v>3.8740920096852302E-2</v>
      </c>
      <c r="F28" s="160">
        <v>0.18886198547215496</v>
      </c>
      <c r="G28" s="160">
        <v>0.1937046004842615</v>
      </c>
      <c r="H28" s="160">
        <v>0.36561743341404357</v>
      </c>
      <c r="I28" s="160">
        <v>0.12832929782082325</v>
      </c>
      <c r="J28" s="160">
        <v>8.4745762711864403E-2</v>
      </c>
    </row>
    <row r="29" spans="2:17" ht="13.8" x14ac:dyDescent="0.25">
      <c r="B29" s="158" t="s">
        <v>110</v>
      </c>
      <c r="C29" s="159" t="s">
        <v>72</v>
      </c>
      <c r="D29" s="161"/>
      <c r="E29" s="161" t="s">
        <v>10</v>
      </c>
      <c r="F29" s="161" t="s">
        <v>11</v>
      </c>
      <c r="G29" s="161" t="s">
        <v>0</v>
      </c>
      <c r="H29" s="162" t="s">
        <v>1</v>
      </c>
      <c r="I29" s="162" t="s">
        <v>2</v>
      </c>
      <c r="J29" s="162" t="s">
        <v>3</v>
      </c>
    </row>
    <row r="30" spans="2:17" ht="13.8" x14ac:dyDescent="0.25">
      <c r="B30" s="160">
        <v>6.25E-2</v>
      </c>
      <c r="C30" s="160">
        <v>3.8740920096852302E-2</v>
      </c>
      <c r="D30" s="161" t="s">
        <v>10</v>
      </c>
      <c r="E30" s="163">
        <v>0</v>
      </c>
      <c r="F30" s="163">
        <f t="shared" ref="F30:J31" si="10">(F$27*$B30/F19)/(F$28*$C30/F19)</f>
        <v>1.2046575803336621</v>
      </c>
      <c r="G30" s="163">
        <f t="shared" si="10"/>
        <v>2.1862481689453124</v>
      </c>
      <c r="H30" s="163">
        <f t="shared" si="10"/>
        <v>2.0455226059164073</v>
      </c>
      <c r="I30" s="163">
        <f t="shared" si="10"/>
        <v>2.3719656683873267</v>
      </c>
      <c r="J30" s="163">
        <f t="shared" si="10"/>
        <v>3.2634374999999998</v>
      </c>
      <c r="L30" s="49" t="s">
        <v>94</v>
      </c>
      <c r="M30" s="157">
        <f>SUM(E30:J35)</f>
        <v>58.988106895134393</v>
      </c>
    </row>
    <row r="31" spans="2:17" ht="13.8" x14ac:dyDescent="0.25">
      <c r="B31" s="160">
        <v>0.14102564102564102</v>
      </c>
      <c r="C31" s="160">
        <v>0.18886198547215496</v>
      </c>
      <c r="D31" s="161" t="s">
        <v>11</v>
      </c>
      <c r="E31" s="163">
        <f>(E$27*$B31/E20)/(E$28*$C31/E20)</f>
        <v>1.2046575803336621</v>
      </c>
      <c r="F31" s="163">
        <v>0</v>
      </c>
      <c r="G31" s="163">
        <f t="shared" si="10"/>
        <v>1.0119123674802761</v>
      </c>
      <c r="H31" s="163">
        <f t="shared" si="10"/>
        <v>0.94677706414539831</v>
      </c>
      <c r="I31" s="163">
        <f t="shared" si="10"/>
        <v>1.0978723409235227</v>
      </c>
      <c r="J31" s="163">
        <f t="shared" si="10"/>
        <v>1.5104930966469428</v>
      </c>
      <c r="L31" s="49" t="s">
        <v>114</v>
      </c>
      <c r="M31" s="157">
        <f>AVERAGE(E30:J35)</f>
        <v>1.6385585248648442</v>
      </c>
    </row>
    <row r="32" spans="2:17" ht="13.8" x14ac:dyDescent="0.25">
      <c r="B32" s="160">
        <v>0.26250000000000001</v>
      </c>
      <c r="C32" s="160">
        <v>0.1937046004842615</v>
      </c>
      <c r="D32" s="161" t="s">
        <v>0</v>
      </c>
      <c r="E32" s="163">
        <f t="shared" ref="E32:J35" si="11">(E$27*$B32/E21)/(E$28*$C32/E21)</f>
        <v>2.1862481689453124</v>
      </c>
      <c r="F32" s="163">
        <f t="shared" si="11"/>
        <v>1.0119123674802761</v>
      </c>
      <c r="G32" s="163">
        <v>0</v>
      </c>
      <c r="H32" s="163">
        <f t="shared" si="11"/>
        <v>1.7182389889697818</v>
      </c>
      <c r="I32" s="163">
        <f t="shared" si="11"/>
        <v>1.9924511614453544</v>
      </c>
      <c r="J32" s="163">
        <f t="shared" si="11"/>
        <v>2.7412875000000003</v>
      </c>
    </row>
    <row r="33" spans="2:13" ht="13.8" x14ac:dyDescent="0.25">
      <c r="B33" s="160">
        <v>0.46357615894039733</v>
      </c>
      <c r="C33" s="160">
        <v>0.36561743341404357</v>
      </c>
      <c r="D33" s="161" t="s">
        <v>1</v>
      </c>
      <c r="E33" s="163">
        <f t="shared" si="11"/>
        <v>2.0455226059164073</v>
      </c>
      <c r="F33" s="163">
        <f t="shared" si="11"/>
        <v>0.94677706414539831</v>
      </c>
      <c r="G33" s="163">
        <f t="shared" si="11"/>
        <v>1.7182389889697818</v>
      </c>
      <c r="H33" s="163">
        <v>0</v>
      </c>
      <c r="I33" s="163">
        <f t="shared" si="11"/>
        <v>1.8642000253278757</v>
      </c>
      <c r="J33" s="163">
        <f t="shared" si="11"/>
        <v>2.5648348756633483</v>
      </c>
    </row>
    <row r="34" spans="2:13" ht="13.8" x14ac:dyDescent="0.25">
      <c r="B34" s="160">
        <v>0.18867924528301888</v>
      </c>
      <c r="C34" s="160">
        <v>0.12832929782082325</v>
      </c>
      <c r="D34" s="161" t="s">
        <v>2</v>
      </c>
      <c r="E34" s="163">
        <f t="shared" si="11"/>
        <v>2.3719656683873267</v>
      </c>
      <c r="F34" s="163">
        <f t="shared" si="11"/>
        <v>1.0978723409235227</v>
      </c>
      <c r="G34" s="163">
        <f t="shared" si="11"/>
        <v>1.9924511614453544</v>
      </c>
      <c r="H34" s="163">
        <f t="shared" si="11"/>
        <v>1.8642000253278757</v>
      </c>
      <c r="I34" s="163">
        <v>0</v>
      </c>
      <c r="J34" s="163">
        <f t="shared" si="11"/>
        <v>2.9741545033819863</v>
      </c>
    </row>
    <row r="35" spans="2:13" ht="13.8" x14ac:dyDescent="0.3">
      <c r="B35" s="160">
        <v>0.17142857142857143</v>
      </c>
      <c r="C35" s="160">
        <v>8.4745762711864403E-2</v>
      </c>
      <c r="D35" s="164" t="s">
        <v>3</v>
      </c>
      <c r="E35" s="163">
        <f>(E$27*$B35/E24)/(E$28*$C35/E24)</f>
        <v>3.2634374999999998</v>
      </c>
      <c r="F35" s="163">
        <f t="shared" si="11"/>
        <v>1.5104930966469428</v>
      </c>
      <c r="G35" s="163">
        <f t="shared" si="11"/>
        <v>2.7412875000000003</v>
      </c>
      <c r="H35" s="163">
        <f t="shared" si="11"/>
        <v>2.5648348756633483</v>
      </c>
      <c r="I35" s="163">
        <f t="shared" si="11"/>
        <v>2.9741545033819863</v>
      </c>
      <c r="J35" s="163">
        <v>0</v>
      </c>
    </row>
    <row r="38" spans="2:13" x14ac:dyDescent="0.25">
      <c r="B38" s="154" t="s">
        <v>117</v>
      </c>
      <c r="C38" s="147"/>
      <c r="D38" s="154" t="s">
        <v>110</v>
      </c>
      <c r="E38" s="155">
        <v>6.25E-2</v>
      </c>
      <c r="F38" s="155">
        <v>0.14102564102564102</v>
      </c>
      <c r="G38" s="155">
        <v>0.26250000000000001</v>
      </c>
      <c r="H38" s="155">
        <v>0.46357615894039733</v>
      </c>
      <c r="I38" s="155">
        <v>0.18867924528301888</v>
      </c>
      <c r="J38" s="155">
        <v>0.17142857142857143</v>
      </c>
    </row>
    <row r="39" spans="2:13" x14ac:dyDescent="0.25">
      <c r="B39" s="154"/>
      <c r="C39" s="147"/>
      <c r="D39" s="154" t="s">
        <v>72</v>
      </c>
      <c r="E39" s="155">
        <v>3.8740920096852302E-2</v>
      </c>
      <c r="F39" s="155">
        <v>0.18886198547215496</v>
      </c>
      <c r="G39" s="155">
        <v>0.1937046004842615</v>
      </c>
      <c r="H39" s="155">
        <v>0.36561743341404357</v>
      </c>
      <c r="I39" s="155">
        <v>0.12832929782082325</v>
      </c>
      <c r="J39" s="155">
        <v>8.4745762711864403E-2</v>
      </c>
    </row>
    <row r="40" spans="2:13" x14ac:dyDescent="0.25">
      <c r="B40" s="154" t="s">
        <v>110</v>
      </c>
      <c r="C40" s="147" t="s">
        <v>72</v>
      </c>
      <c r="D40" s="132"/>
      <c r="E40" s="132" t="s">
        <v>10</v>
      </c>
      <c r="F40" s="132" t="s">
        <v>11</v>
      </c>
      <c r="G40" s="132" t="s">
        <v>0</v>
      </c>
      <c r="H40" s="153" t="s">
        <v>1</v>
      </c>
      <c r="I40" s="153" t="s">
        <v>2</v>
      </c>
      <c r="J40" s="153" t="s">
        <v>3</v>
      </c>
    </row>
    <row r="41" spans="2:13" x14ac:dyDescent="0.25">
      <c r="B41" s="155">
        <v>6.25E-2</v>
      </c>
      <c r="C41" s="155">
        <v>3.8740920096852302E-2</v>
      </c>
      <c r="D41" s="132" t="s">
        <v>10</v>
      </c>
      <c r="E41" s="146">
        <f>(E$38*$B41/L19)</f>
        <v>3.90625</v>
      </c>
      <c r="F41" s="146">
        <f t="shared" ref="F41:J41" si="12">(F$38*$B41/M19)</f>
        <v>1.126514887244069E-2</v>
      </c>
      <c r="G41" s="146">
        <f t="shared" si="12"/>
        <v>4.0620660166040545E-2</v>
      </c>
      <c r="H41" s="146">
        <f t="shared" si="12"/>
        <v>6.7301591056069893E-2</v>
      </c>
      <c r="I41" s="146">
        <f t="shared" si="12"/>
        <v>2.1780878279799066E-2</v>
      </c>
      <c r="J41" s="146">
        <f t="shared" si="12"/>
        <v>1.9486627652532749E-2</v>
      </c>
      <c r="L41" s="49" t="s">
        <v>94</v>
      </c>
      <c r="M41" s="157">
        <f>SUM(E41:J46)</f>
        <v>375.38438072091077</v>
      </c>
    </row>
    <row r="42" spans="2:13" x14ac:dyDescent="0.25">
      <c r="B42" s="155">
        <v>0.14102564102564102</v>
      </c>
      <c r="C42" s="155">
        <v>0.18886198547215496</v>
      </c>
      <c r="D42" s="132" t="s">
        <v>11</v>
      </c>
      <c r="E42" s="146">
        <f t="shared" ref="E42:E46" si="13">(E$38*$B42/L20)</f>
        <v>1.126514887244069E-2</v>
      </c>
      <c r="F42" s="146">
        <f t="shared" ref="F42:F46" si="14">(F$38*$B42/M20)</f>
        <v>19.888231426692965</v>
      </c>
      <c r="G42" s="146">
        <f t="shared" ref="G42:G46" si="15">(G$38*$B42/N20)</f>
        <v>4.3366087517711725E-2</v>
      </c>
      <c r="H42" s="146">
        <f t="shared" ref="H42:H46" si="16">(H$38*$B42/O20)</f>
        <v>0.12144562855046846</v>
      </c>
      <c r="I42" s="146">
        <f t="shared" ref="I42:I46" si="17">(I$38*$B42/P20)</f>
        <v>9.1831604677174494E-2</v>
      </c>
      <c r="J42" s="146">
        <f t="shared" ref="J42:J46" si="18">(J$38*$B42/Q20)</f>
        <v>4.5781640996349099E-2</v>
      </c>
      <c r="L42" s="49" t="s">
        <v>114</v>
      </c>
      <c r="M42" s="157">
        <f>AVERAGE(E41:J46)</f>
        <v>10.427343908914189</v>
      </c>
    </row>
    <row r="43" spans="2:13" x14ac:dyDescent="0.25">
      <c r="B43" s="155">
        <v>0.26250000000000001</v>
      </c>
      <c r="C43" s="155">
        <v>0.1937046004842615</v>
      </c>
      <c r="D43" s="132" t="s">
        <v>0</v>
      </c>
      <c r="E43" s="146">
        <f t="shared" si="13"/>
        <v>4.0620660166040545E-2</v>
      </c>
      <c r="F43" s="146">
        <f t="shared" si="14"/>
        <v>4.3366087517711725E-2</v>
      </c>
      <c r="G43" s="146">
        <f t="shared" si="15"/>
        <v>68.90625</v>
      </c>
      <c r="H43" s="146">
        <f t="shared" si="16"/>
        <v>0.38137687508377055</v>
      </c>
      <c r="I43" s="146">
        <f t="shared" si="17"/>
        <v>6.8000726418731408E-2</v>
      </c>
      <c r="J43" s="146">
        <f t="shared" si="18"/>
        <v>5.2366433302444906E-2</v>
      </c>
    </row>
    <row r="44" spans="2:13" x14ac:dyDescent="0.25">
      <c r="B44" s="155">
        <v>0.46357615894039733</v>
      </c>
      <c r="C44" s="155">
        <v>0.36561743341404357</v>
      </c>
      <c r="D44" s="132" t="s">
        <v>1</v>
      </c>
      <c r="E44" s="146">
        <f t="shared" si="13"/>
        <v>6.7301591056069893E-2</v>
      </c>
      <c r="F44" s="146">
        <f t="shared" si="14"/>
        <v>0.12144562855046846</v>
      </c>
      <c r="G44" s="146">
        <f t="shared" si="15"/>
        <v>0.38137687508377055</v>
      </c>
      <c r="H44" s="146">
        <f t="shared" si="16"/>
        <v>214.90285513793253</v>
      </c>
      <c r="I44" s="146">
        <f t="shared" si="17"/>
        <v>0.19008368948470172</v>
      </c>
      <c r="J44" s="146">
        <f t="shared" si="18"/>
        <v>0.12083710034182611</v>
      </c>
    </row>
    <row r="45" spans="2:13" x14ac:dyDescent="0.25">
      <c r="B45" s="155">
        <v>0.18867924528301888</v>
      </c>
      <c r="C45" s="155">
        <v>0.12832929782082325</v>
      </c>
      <c r="D45" s="132" t="s">
        <v>2</v>
      </c>
      <c r="E45" s="146">
        <f t="shared" si="13"/>
        <v>2.1780878279799066E-2</v>
      </c>
      <c r="F45" s="146">
        <f t="shared" si="14"/>
        <v>9.1831604677174494E-2</v>
      </c>
      <c r="G45" s="146">
        <f t="shared" si="15"/>
        <v>6.8000726418731408E-2</v>
      </c>
      <c r="H45" s="146">
        <f t="shared" si="16"/>
        <v>0.19008368948470172</v>
      </c>
      <c r="I45" s="146">
        <f t="shared" si="17"/>
        <v>35.599857600569599</v>
      </c>
      <c r="J45" s="146">
        <f t="shared" si="18"/>
        <v>0.12104603443734462</v>
      </c>
    </row>
    <row r="46" spans="2:13" x14ac:dyDescent="0.25">
      <c r="B46" s="155">
        <v>0.17142857142857143</v>
      </c>
      <c r="C46" s="155">
        <v>8.4745762711864403E-2</v>
      </c>
      <c r="D46" s="156" t="s">
        <v>3</v>
      </c>
      <c r="E46" s="146">
        <f t="shared" si="13"/>
        <v>1.9486627652532749E-2</v>
      </c>
      <c r="F46" s="146">
        <f t="shared" si="14"/>
        <v>4.5781640996349099E-2</v>
      </c>
      <c r="G46" s="146">
        <f t="shared" si="15"/>
        <v>5.2366433302444906E-2</v>
      </c>
      <c r="H46" s="146">
        <f t="shared" si="16"/>
        <v>0.12083710034182611</v>
      </c>
      <c r="I46" s="146">
        <f t="shared" si="17"/>
        <v>0.12104603443734462</v>
      </c>
      <c r="J46" s="146">
        <f t="shared" si="18"/>
        <v>29.387755102040817</v>
      </c>
    </row>
    <row r="49" spans="2:13" x14ac:dyDescent="0.25">
      <c r="B49" s="154" t="s">
        <v>118</v>
      </c>
      <c r="C49" s="147"/>
      <c r="D49" s="154" t="s">
        <v>110</v>
      </c>
      <c r="E49" s="155">
        <v>6.25E-2</v>
      </c>
      <c r="F49" s="155">
        <v>0.14102564102564102</v>
      </c>
      <c r="G49" s="155">
        <v>0.26250000000000001</v>
      </c>
      <c r="H49" s="155">
        <v>0.46357615894039733</v>
      </c>
      <c r="I49" s="155">
        <v>0.18867924528301888</v>
      </c>
      <c r="J49" s="155">
        <v>0.17142857142857143</v>
      </c>
    </row>
    <row r="50" spans="2:13" x14ac:dyDescent="0.25">
      <c r="B50" s="154"/>
      <c r="C50" s="147"/>
      <c r="D50" s="154" t="s">
        <v>72</v>
      </c>
      <c r="E50" s="155">
        <v>3.8740920096852302E-2</v>
      </c>
      <c r="F50" s="155">
        <v>0.18886198547215496</v>
      </c>
      <c r="G50" s="155">
        <v>0.1937046004842615</v>
      </c>
      <c r="H50" s="155">
        <v>0.36561743341404357</v>
      </c>
      <c r="I50" s="155">
        <v>0.12832929782082325</v>
      </c>
      <c r="J50" s="155">
        <v>8.4745762711864403E-2</v>
      </c>
    </row>
    <row r="51" spans="2:13" x14ac:dyDescent="0.25">
      <c r="B51" s="154" t="s">
        <v>110</v>
      </c>
      <c r="C51" s="147" t="s">
        <v>72</v>
      </c>
      <c r="D51" s="132"/>
      <c r="E51" s="132" t="s">
        <v>10</v>
      </c>
      <c r="F51" s="132" t="s">
        <v>11</v>
      </c>
      <c r="G51" s="132" t="s">
        <v>0</v>
      </c>
      <c r="H51" s="153" t="s">
        <v>1</v>
      </c>
      <c r="I51" s="153" t="s">
        <v>2</v>
      </c>
      <c r="J51" s="153" t="s">
        <v>3</v>
      </c>
    </row>
    <row r="52" spans="2:13" x14ac:dyDescent="0.25">
      <c r="B52" s="155">
        <v>6.25E-2</v>
      </c>
      <c r="C52" s="155">
        <v>3.8740920096852302E-2</v>
      </c>
      <c r="D52" s="132" t="s">
        <v>10</v>
      </c>
      <c r="E52" s="146">
        <f>(E$50*$C52/L19)</f>
        <v>1.5008588899506945</v>
      </c>
      <c r="F52" s="146">
        <f t="shared" ref="F52:J52" si="19">(F$50*$C52/M19)</f>
        <v>9.3513285902542594E-3</v>
      </c>
      <c r="G52" s="146">
        <f t="shared" si="19"/>
        <v>1.8580077386931203E-2</v>
      </c>
      <c r="H52" s="146">
        <f t="shared" si="19"/>
        <v>3.2901905293741963E-2</v>
      </c>
      <c r="I52" s="146">
        <f t="shared" si="19"/>
        <v>9.1826279655251707E-3</v>
      </c>
      <c r="J52" s="146">
        <f t="shared" si="19"/>
        <v>5.9711968292736565E-3</v>
      </c>
      <c r="L52" s="49" t="s">
        <v>94</v>
      </c>
      <c r="M52" s="157">
        <f>SUM(E52:J57)</f>
        <v>233.66961562476283</v>
      </c>
    </row>
    <row r="53" spans="2:13" x14ac:dyDescent="0.25">
      <c r="B53" s="155">
        <v>0.14102564102564102</v>
      </c>
      <c r="C53" s="155">
        <v>0.18886198547215496</v>
      </c>
      <c r="D53" s="132" t="s">
        <v>11</v>
      </c>
      <c r="E53" s="146">
        <f t="shared" ref="E53:E57" si="20">(E$50*$C53/L20)</f>
        <v>9.3513285902542594E-3</v>
      </c>
      <c r="F53" s="146">
        <f t="shared" ref="F53:F57" si="21">(F$50*$C53/M20)</f>
        <v>35.668849556484474</v>
      </c>
      <c r="G53" s="146">
        <f t="shared" ref="G53:G57" si="22">(G$50*$C53/N20)</f>
        <v>4.2855576146080654E-2</v>
      </c>
      <c r="H53" s="146">
        <f t="shared" ref="H53:H57" si="23">(H$50*$C53/O20)</f>
        <v>0.12827267701091863</v>
      </c>
      <c r="I53" s="146">
        <f t="shared" ref="I53:I57" si="24">(I$50*$C53/P20)</f>
        <v>8.3645066237779883E-2</v>
      </c>
      <c r="J53" s="146">
        <f t="shared" ref="J53:J57" si="25">(J$50*$C53/Q20)</f>
        <v>3.0309069997060657E-2</v>
      </c>
      <c r="L53" s="49" t="s">
        <v>114</v>
      </c>
      <c r="M53" s="157">
        <f>AVERAGE(E52:J57)</f>
        <v>6.4908226562434121</v>
      </c>
    </row>
    <row r="54" spans="2:13" x14ac:dyDescent="0.25">
      <c r="B54" s="155">
        <v>0.26250000000000001</v>
      </c>
      <c r="C54" s="155">
        <v>0.1937046004842615</v>
      </c>
      <c r="D54" s="132" t="s">
        <v>0</v>
      </c>
      <c r="E54" s="146">
        <f t="shared" si="20"/>
        <v>1.8580077386931203E-2</v>
      </c>
      <c r="F54" s="146">
        <f t="shared" si="21"/>
        <v>4.2855576146080654E-2</v>
      </c>
      <c r="G54" s="146">
        <f t="shared" si="22"/>
        <v>37.52147224876736</v>
      </c>
      <c r="H54" s="146">
        <f t="shared" si="23"/>
        <v>0.22195799160187588</v>
      </c>
      <c r="I54" s="146">
        <f t="shared" si="24"/>
        <v>3.4129181048233398E-2</v>
      </c>
      <c r="J54" s="146">
        <f t="shared" si="25"/>
        <v>1.9102860718711513E-2</v>
      </c>
    </row>
    <row r="55" spans="2:13" x14ac:dyDescent="0.25">
      <c r="B55" s="155">
        <v>0.46357615894039733</v>
      </c>
      <c r="C55" s="155">
        <v>0.36561743341404357</v>
      </c>
      <c r="D55" s="132" t="s">
        <v>1</v>
      </c>
      <c r="E55" s="146">
        <f t="shared" si="20"/>
        <v>3.2901905293741963E-2</v>
      </c>
      <c r="F55" s="146">
        <f t="shared" si="21"/>
        <v>0.12827267701091863</v>
      </c>
      <c r="G55" s="146">
        <f t="shared" si="22"/>
        <v>0.22195799160187588</v>
      </c>
      <c r="H55" s="146">
        <f t="shared" si="23"/>
        <v>133.67610761627256</v>
      </c>
      <c r="I55" s="146">
        <f t="shared" si="24"/>
        <v>0.10196528639745608</v>
      </c>
      <c r="J55" s="146">
        <f t="shared" si="25"/>
        <v>4.711301358555247E-2</v>
      </c>
    </row>
    <row r="56" spans="2:13" x14ac:dyDescent="0.25">
      <c r="B56" s="155">
        <v>0.18867924528301888</v>
      </c>
      <c r="C56" s="155">
        <v>0.12832929782082325</v>
      </c>
      <c r="D56" s="132" t="s">
        <v>2</v>
      </c>
      <c r="E56" s="146">
        <f t="shared" si="20"/>
        <v>9.1826279655251707E-3</v>
      </c>
      <c r="F56" s="146">
        <f t="shared" si="21"/>
        <v>8.3645066237779883E-2</v>
      </c>
      <c r="G56" s="146">
        <f t="shared" si="22"/>
        <v>3.4129181048233398E-2</v>
      </c>
      <c r="H56" s="146">
        <f t="shared" si="23"/>
        <v>0.10196528639745608</v>
      </c>
      <c r="I56" s="146">
        <f t="shared" si="24"/>
        <v>16.468408679185551</v>
      </c>
      <c r="J56" s="146">
        <f t="shared" si="25"/>
        <v>4.0699309433891245E-2</v>
      </c>
      <c r="L56" s="49">
        <f>M42/M53</f>
        <v>1.606474935636133</v>
      </c>
    </row>
    <row r="57" spans="2:13" x14ac:dyDescent="0.25">
      <c r="B57" s="155">
        <v>0.17142857142857143</v>
      </c>
      <c r="C57" s="155">
        <v>8.4745762711864403E-2</v>
      </c>
      <c r="D57" s="156" t="s">
        <v>3</v>
      </c>
      <c r="E57" s="146">
        <f t="shared" si="20"/>
        <v>5.9711968292736565E-3</v>
      </c>
      <c r="F57" s="146">
        <f t="shared" si="21"/>
        <v>3.0309069997060657E-2</v>
      </c>
      <c r="G57" s="146">
        <f t="shared" si="22"/>
        <v>1.9102860718711513E-2</v>
      </c>
      <c r="H57" s="146">
        <f t="shared" si="23"/>
        <v>4.711301358555247E-2</v>
      </c>
      <c r="I57" s="146">
        <f t="shared" si="24"/>
        <v>4.0699309433891245E-2</v>
      </c>
      <c r="J57" s="146">
        <f t="shared" si="25"/>
        <v>7.1818442976156271</v>
      </c>
    </row>
    <row r="60" spans="2:13" x14ac:dyDescent="0.25">
      <c r="D60" s="49" t="s">
        <v>111</v>
      </c>
      <c r="E60" s="157">
        <f>SUM(E41:J46)</f>
        <v>375.38438072091077</v>
      </c>
    </row>
    <row r="61" spans="2:13" x14ac:dyDescent="0.25">
      <c r="D61" s="49" t="s">
        <v>112</v>
      </c>
      <c r="E61" s="157">
        <f>SUM(E52:J57)</f>
        <v>233.66961562476283</v>
      </c>
    </row>
    <row r="63" spans="2:13" x14ac:dyDescent="0.25">
      <c r="D63" s="49" t="s">
        <v>113</v>
      </c>
      <c r="E63" s="225">
        <f>E60/E61</f>
        <v>1.606474935636133</v>
      </c>
    </row>
    <row r="65" spans="2:10" x14ac:dyDescent="0.25">
      <c r="B65" s="49" t="s">
        <v>119</v>
      </c>
    </row>
    <row r="66" spans="2:10" x14ac:dyDescent="0.25">
      <c r="B66" s="154" t="s">
        <v>117</v>
      </c>
      <c r="C66" s="147"/>
      <c r="D66" s="154" t="s">
        <v>110</v>
      </c>
      <c r="E66" s="155">
        <v>6.25E-2</v>
      </c>
      <c r="F66" s="155">
        <v>0.14102564102564102</v>
      </c>
      <c r="G66" s="155">
        <v>0.26250000000000001</v>
      </c>
      <c r="H66" s="155">
        <v>0.46357615894039733</v>
      </c>
      <c r="I66" s="155">
        <v>0.18867924528301888</v>
      </c>
      <c r="J66" s="155">
        <v>0.17142857142857143</v>
      </c>
    </row>
    <row r="67" spans="2:10" x14ac:dyDescent="0.25">
      <c r="B67" s="154"/>
      <c r="C67" s="147"/>
      <c r="D67" s="154" t="s">
        <v>72</v>
      </c>
      <c r="E67" s="155">
        <v>3.8740920096852302E-2</v>
      </c>
      <c r="F67" s="155">
        <v>0.18886198547215496</v>
      </c>
      <c r="G67" s="155">
        <v>0.1937046004842615</v>
      </c>
      <c r="H67" s="155">
        <v>0.36561743341404357</v>
      </c>
      <c r="I67" s="155">
        <v>0.12832929782082325</v>
      </c>
      <c r="J67" s="155">
        <v>8.4745762711864403E-2</v>
      </c>
    </row>
    <row r="68" spans="2:10" x14ac:dyDescent="0.25">
      <c r="B68" s="154" t="s">
        <v>110</v>
      </c>
      <c r="C68" s="147" t="s">
        <v>72</v>
      </c>
      <c r="D68" s="132"/>
      <c r="E68" s="132" t="s">
        <v>10</v>
      </c>
      <c r="F68" s="132" t="s">
        <v>11</v>
      </c>
      <c r="G68" s="132" t="s">
        <v>0</v>
      </c>
      <c r="H68" s="153" t="s">
        <v>1</v>
      </c>
      <c r="I68" s="153" t="s">
        <v>2</v>
      </c>
      <c r="J68" s="153" t="s">
        <v>3</v>
      </c>
    </row>
    <row r="69" spans="2:10" x14ac:dyDescent="0.25">
      <c r="B69" s="155">
        <v>6.25E-2</v>
      </c>
      <c r="C69" s="155">
        <v>3.8740920096852302E-2</v>
      </c>
      <c r="D69" s="132" t="s">
        <v>10</v>
      </c>
      <c r="E69" s="146">
        <f>E$66*$B69</f>
        <v>3.90625E-3</v>
      </c>
      <c r="F69" s="146">
        <f t="shared" ref="F69:J74" si="26">F$66*$B69</f>
        <v>8.814102564102564E-3</v>
      </c>
      <c r="G69" s="146">
        <f t="shared" si="26"/>
        <v>1.6406250000000001E-2</v>
      </c>
      <c r="H69" s="146">
        <f t="shared" si="26"/>
        <v>2.8973509933774833E-2</v>
      </c>
      <c r="I69" s="146">
        <f t="shared" si="26"/>
        <v>1.179245283018868E-2</v>
      </c>
      <c r="J69" s="146">
        <f t="shared" si="26"/>
        <v>1.0714285714285714E-2</v>
      </c>
    </row>
    <row r="70" spans="2:10" x14ac:dyDescent="0.25">
      <c r="B70" s="155">
        <v>0.14102564102564102</v>
      </c>
      <c r="C70" s="155">
        <v>0.18886198547215496</v>
      </c>
      <c r="D70" s="132" t="s">
        <v>11</v>
      </c>
      <c r="E70" s="146">
        <f t="shared" ref="E70:E74" si="27">E$66*$B70</f>
        <v>8.814102564102564E-3</v>
      </c>
      <c r="F70" s="146">
        <f t="shared" si="26"/>
        <v>1.9888231426692965E-2</v>
      </c>
      <c r="G70" s="146">
        <f t="shared" si="26"/>
        <v>3.701923076923077E-2</v>
      </c>
      <c r="H70" s="146">
        <f t="shared" si="26"/>
        <v>6.5376124978773986E-2</v>
      </c>
      <c r="I70" s="146">
        <f t="shared" si="26"/>
        <v>2.6608611514271893E-2</v>
      </c>
      <c r="J70" s="146">
        <f t="shared" si="26"/>
        <v>2.4175824175824177E-2</v>
      </c>
    </row>
    <row r="71" spans="2:10" x14ac:dyDescent="0.25">
      <c r="B71" s="155">
        <v>0.26250000000000001</v>
      </c>
      <c r="C71" s="155">
        <v>0.1937046004842615</v>
      </c>
      <c r="D71" s="132" t="s">
        <v>0</v>
      </c>
      <c r="E71" s="146">
        <f t="shared" si="27"/>
        <v>1.6406250000000001E-2</v>
      </c>
      <c r="F71" s="146">
        <f t="shared" si="26"/>
        <v>3.701923076923077E-2</v>
      </c>
      <c r="G71" s="146">
        <f t="shared" si="26"/>
        <v>6.8906250000000002E-2</v>
      </c>
      <c r="H71" s="146">
        <f t="shared" si="26"/>
        <v>0.1216887417218543</v>
      </c>
      <c r="I71" s="146">
        <f t="shared" si="26"/>
        <v>4.9528301886792456E-2</v>
      </c>
      <c r="J71" s="146">
        <f t="shared" si="26"/>
        <v>4.5000000000000005E-2</v>
      </c>
    </row>
    <row r="72" spans="2:10" x14ac:dyDescent="0.25">
      <c r="B72" s="155">
        <v>0.46357615894039733</v>
      </c>
      <c r="C72" s="155">
        <v>0.36561743341404357</v>
      </c>
      <c r="D72" s="132" t="s">
        <v>1</v>
      </c>
      <c r="E72" s="146">
        <f t="shared" si="27"/>
        <v>2.8973509933774833E-2</v>
      </c>
      <c r="F72" s="146">
        <f t="shared" si="26"/>
        <v>6.5376124978773986E-2</v>
      </c>
      <c r="G72" s="146">
        <f t="shared" si="26"/>
        <v>0.1216887417218543</v>
      </c>
      <c r="H72" s="146">
        <f t="shared" si="26"/>
        <v>0.21490285513793253</v>
      </c>
      <c r="I72" s="146">
        <f t="shared" si="26"/>
        <v>8.7467199800074974E-2</v>
      </c>
      <c r="J72" s="146">
        <f t="shared" si="26"/>
        <v>7.9470198675496692E-2</v>
      </c>
    </row>
    <row r="73" spans="2:10" x14ac:dyDescent="0.25">
      <c r="B73" s="155">
        <v>0.18867924528301888</v>
      </c>
      <c r="C73" s="155">
        <v>0.12832929782082325</v>
      </c>
      <c r="D73" s="132" t="s">
        <v>2</v>
      </c>
      <c r="E73" s="146">
        <f t="shared" si="27"/>
        <v>1.179245283018868E-2</v>
      </c>
      <c r="F73" s="146">
        <f t="shared" si="26"/>
        <v>2.6608611514271893E-2</v>
      </c>
      <c r="G73" s="146">
        <f t="shared" si="26"/>
        <v>4.9528301886792456E-2</v>
      </c>
      <c r="H73" s="146">
        <f t="shared" si="26"/>
        <v>8.7467199800074974E-2</v>
      </c>
      <c r="I73" s="146">
        <f t="shared" si="26"/>
        <v>3.55998576005696E-2</v>
      </c>
      <c r="J73" s="146">
        <f t="shared" si="26"/>
        <v>3.2345013477088951E-2</v>
      </c>
    </row>
    <row r="74" spans="2:10" x14ac:dyDescent="0.25">
      <c r="B74" s="155">
        <v>0.17142857142857143</v>
      </c>
      <c r="C74" s="155">
        <v>8.4745762711864403E-2</v>
      </c>
      <c r="D74" s="156" t="s">
        <v>3</v>
      </c>
      <c r="E74" s="146">
        <f t="shared" si="27"/>
        <v>1.0714285714285714E-2</v>
      </c>
      <c r="F74" s="146">
        <f t="shared" si="26"/>
        <v>2.4175824175824177E-2</v>
      </c>
      <c r="G74" s="146">
        <f t="shared" si="26"/>
        <v>4.5000000000000005E-2</v>
      </c>
      <c r="H74" s="146">
        <f t="shared" si="26"/>
        <v>7.9470198675496692E-2</v>
      </c>
      <c r="I74" s="146">
        <f t="shared" si="26"/>
        <v>3.2345013477088951E-2</v>
      </c>
      <c r="J74" s="146">
        <f t="shared" si="26"/>
        <v>2.9387755102040818E-2</v>
      </c>
    </row>
    <row r="77" spans="2:10" x14ac:dyDescent="0.25">
      <c r="B77" s="154" t="s">
        <v>118</v>
      </c>
      <c r="C77" s="147"/>
      <c r="D77" s="154" t="s">
        <v>110</v>
      </c>
      <c r="E77" s="155">
        <v>6.25E-2</v>
      </c>
      <c r="F77" s="155">
        <v>0.14102564102564102</v>
      </c>
      <c r="G77" s="155">
        <v>0.26250000000000001</v>
      </c>
      <c r="H77" s="155">
        <v>0.46357615894039733</v>
      </c>
      <c r="I77" s="155">
        <v>0.18867924528301888</v>
      </c>
      <c r="J77" s="155">
        <v>0.17142857142857143</v>
      </c>
    </row>
    <row r="78" spans="2:10" x14ac:dyDescent="0.25">
      <c r="B78" s="154"/>
      <c r="C78" s="147"/>
      <c r="D78" s="154" t="s">
        <v>72</v>
      </c>
      <c r="E78" s="155">
        <v>3.8740920096852302E-2</v>
      </c>
      <c r="F78" s="155">
        <v>0.18886198547215496</v>
      </c>
      <c r="G78" s="155">
        <v>0.1937046004842615</v>
      </c>
      <c r="H78" s="155">
        <v>0.36561743341404357</v>
      </c>
      <c r="I78" s="155">
        <v>0.12832929782082325</v>
      </c>
      <c r="J78" s="155">
        <v>8.4745762711864403E-2</v>
      </c>
    </row>
    <row r="79" spans="2:10" x14ac:dyDescent="0.25">
      <c r="B79" s="154" t="s">
        <v>110</v>
      </c>
      <c r="C79" s="147" t="s">
        <v>72</v>
      </c>
      <c r="D79" s="132"/>
      <c r="E79" s="132" t="s">
        <v>10</v>
      </c>
      <c r="F79" s="132" t="s">
        <v>11</v>
      </c>
      <c r="G79" s="132" t="s">
        <v>0</v>
      </c>
      <c r="H79" s="153" t="s">
        <v>1</v>
      </c>
      <c r="I79" s="153" t="s">
        <v>2</v>
      </c>
      <c r="J79" s="153" t="s">
        <v>3</v>
      </c>
    </row>
    <row r="80" spans="2:10" x14ac:dyDescent="0.25">
      <c r="B80" s="155">
        <v>6.25E-2</v>
      </c>
      <c r="C80" s="155">
        <v>3.8740920096852302E-2</v>
      </c>
      <c r="D80" s="132" t="s">
        <v>10</v>
      </c>
      <c r="E80" s="146">
        <f>E$78*$C80</f>
        <v>1.5008588899506946E-3</v>
      </c>
      <c r="F80" s="146">
        <f t="shared" ref="F80:J85" si="28">F$78*$C80</f>
        <v>7.3166870885096359E-3</v>
      </c>
      <c r="G80" s="146">
        <f t="shared" si="28"/>
        <v>7.5042944497534722E-3</v>
      </c>
      <c r="H80" s="146">
        <f t="shared" si="28"/>
        <v>1.4164355773909679E-2</v>
      </c>
      <c r="I80" s="146">
        <f t="shared" si="28"/>
        <v>4.9715950729616754E-3</v>
      </c>
      <c r="J80" s="146">
        <f t="shared" si="28"/>
        <v>3.2831288217671441E-3</v>
      </c>
    </row>
    <row r="81" spans="2:10" x14ac:dyDescent="0.25">
      <c r="B81" s="155">
        <v>0.14102564102564102</v>
      </c>
      <c r="C81" s="155">
        <v>0.18886198547215496</v>
      </c>
      <c r="D81" s="132" t="s">
        <v>11</v>
      </c>
      <c r="E81" s="146">
        <f t="shared" ref="E81:E85" si="29">E$78*$C81</f>
        <v>7.3166870885096359E-3</v>
      </c>
      <c r="F81" s="146">
        <f t="shared" si="28"/>
        <v>3.5668849556484472E-2</v>
      </c>
      <c r="G81" s="146">
        <f t="shared" si="28"/>
        <v>3.6583435442548176E-2</v>
      </c>
      <c r="H81" s="146">
        <f t="shared" si="28"/>
        <v>6.9051234397809677E-2</v>
      </c>
      <c r="I81" s="146">
        <f t="shared" si="28"/>
        <v>2.4236525980688168E-2</v>
      </c>
      <c r="J81" s="146">
        <f t="shared" si="28"/>
        <v>1.6005253006114828E-2</v>
      </c>
    </row>
    <row r="82" spans="2:10" x14ac:dyDescent="0.25">
      <c r="B82" s="155">
        <v>0.26250000000000001</v>
      </c>
      <c r="C82" s="155">
        <v>0.1937046004842615</v>
      </c>
      <c r="D82" s="132" t="s">
        <v>0</v>
      </c>
      <c r="E82" s="146">
        <f t="shared" si="29"/>
        <v>7.5042944497534722E-3</v>
      </c>
      <c r="F82" s="146">
        <f t="shared" si="28"/>
        <v>3.6583435442548176E-2</v>
      </c>
      <c r="G82" s="146">
        <f t="shared" si="28"/>
        <v>3.7521472248767361E-2</v>
      </c>
      <c r="H82" s="146">
        <f t="shared" si="28"/>
        <v>7.0821778869548394E-2</v>
      </c>
      <c r="I82" s="146">
        <f t="shared" si="28"/>
        <v>2.4857975364808379E-2</v>
      </c>
      <c r="J82" s="146">
        <f t="shared" si="28"/>
        <v>1.6415644108835718E-2</v>
      </c>
    </row>
    <row r="83" spans="2:10" x14ac:dyDescent="0.25">
      <c r="B83" s="155">
        <v>0.46357615894039733</v>
      </c>
      <c r="C83" s="155">
        <v>0.36561743341404357</v>
      </c>
      <c r="D83" s="132" t="s">
        <v>1</v>
      </c>
      <c r="E83" s="146">
        <f t="shared" si="29"/>
        <v>1.4164355773909679E-2</v>
      </c>
      <c r="F83" s="146">
        <f t="shared" si="28"/>
        <v>6.9051234397809677E-2</v>
      </c>
      <c r="G83" s="146">
        <f t="shared" si="28"/>
        <v>7.0821778869548394E-2</v>
      </c>
      <c r="H83" s="146">
        <f t="shared" si="28"/>
        <v>0.13367610761627258</v>
      </c>
      <c r="I83" s="146">
        <f t="shared" si="28"/>
        <v>4.6919428501075812E-2</v>
      </c>
      <c r="J83" s="146">
        <f t="shared" si="28"/>
        <v>3.098452825542742E-2</v>
      </c>
    </row>
    <row r="84" spans="2:10" x14ac:dyDescent="0.25">
      <c r="B84" s="155">
        <v>0.18867924528301888</v>
      </c>
      <c r="C84" s="155">
        <v>0.12832929782082325</v>
      </c>
      <c r="D84" s="132" t="s">
        <v>2</v>
      </c>
      <c r="E84" s="146">
        <f t="shared" si="29"/>
        <v>4.9715950729616754E-3</v>
      </c>
      <c r="F84" s="146">
        <f t="shared" si="28"/>
        <v>2.4236525980688168E-2</v>
      </c>
      <c r="G84" s="146">
        <f t="shared" si="28"/>
        <v>2.4857975364808379E-2</v>
      </c>
      <c r="H84" s="146">
        <f t="shared" si="28"/>
        <v>4.6919428501075812E-2</v>
      </c>
      <c r="I84" s="146">
        <f t="shared" si="28"/>
        <v>1.6468408679185552E-2</v>
      </c>
      <c r="J84" s="146">
        <f t="shared" si="28"/>
        <v>1.0875364222103666E-2</v>
      </c>
    </row>
    <row r="85" spans="2:10" x14ac:dyDescent="0.25">
      <c r="B85" s="155">
        <v>0.17142857142857143</v>
      </c>
      <c r="C85" s="155">
        <v>8.4745762711864403E-2</v>
      </c>
      <c r="D85" s="156" t="s">
        <v>3</v>
      </c>
      <c r="E85" s="146">
        <f t="shared" si="29"/>
        <v>3.2831288217671441E-3</v>
      </c>
      <c r="F85" s="146">
        <f t="shared" si="28"/>
        <v>1.6005253006114828E-2</v>
      </c>
      <c r="G85" s="146">
        <f t="shared" si="28"/>
        <v>1.6415644108835718E-2</v>
      </c>
      <c r="H85" s="146">
        <f t="shared" si="28"/>
        <v>3.098452825542742E-2</v>
      </c>
      <c r="I85" s="146">
        <f t="shared" si="28"/>
        <v>1.0875364222103666E-2</v>
      </c>
      <c r="J85" s="146">
        <f t="shared" si="28"/>
        <v>7.1818442976156272E-3</v>
      </c>
    </row>
    <row r="88" spans="2:10" x14ac:dyDescent="0.25">
      <c r="D88" s="49" t="s">
        <v>111</v>
      </c>
      <c r="E88" s="157">
        <f>SUM(E69:J74)</f>
        <v>1.6633508953507552</v>
      </c>
    </row>
    <row r="89" spans="2:10" x14ac:dyDescent="0.25">
      <c r="D89" s="49" t="s">
        <v>112</v>
      </c>
      <c r="E89" s="157">
        <f>SUM(E80:J85)</f>
        <v>0.99999999999999989</v>
      </c>
    </row>
    <row r="91" spans="2:10" x14ac:dyDescent="0.25">
      <c r="D91" s="49" t="s">
        <v>113</v>
      </c>
      <c r="E91" s="225">
        <f>E88/E89</f>
        <v>1.6633508953507554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1"/>
  <sheetViews>
    <sheetView workbookViewId="0">
      <selection activeCell="K9" sqref="K9"/>
    </sheetView>
  </sheetViews>
  <sheetFormatPr defaultRowHeight="14.4" x14ac:dyDescent="0.3"/>
  <cols>
    <col min="11" max="11" width="8.44140625" customWidth="1"/>
  </cols>
  <sheetData>
    <row r="2" spans="3:17" ht="15" thickBot="1" x14ac:dyDescent="0.35"/>
    <row r="3" spans="3:17" x14ac:dyDescent="0.3">
      <c r="C3" s="289" t="s">
        <v>14</v>
      </c>
      <c r="D3" s="291" t="s">
        <v>10</v>
      </c>
      <c r="E3" s="291" t="s">
        <v>11</v>
      </c>
      <c r="F3" s="291" t="s">
        <v>0</v>
      </c>
      <c r="G3" s="287" t="s">
        <v>1</v>
      </c>
      <c r="H3" s="287" t="s">
        <v>2</v>
      </c>
      <c r="I3" s="287" t="s">
        <v>3</v>
      </c>
      <c r="J3" s="287" t="s">
        <v>4</v>
      </c>
      <c r="K3" s="291" t="s">
        <v>10</v>
      </c>
      <c r="L3" s="291" t="s">
        <v>11</v>
      </c>
      <c r="M3" s="291" t="s">
        <v>0</v>
      </c>
      <c r="N3" s="287" t="s">
        <v>1</v>
      </c>
      <c r="O3" s="287" t="s">
        <v>2</v>
      </c>
      <c r="P3" s="287" t="s">
        <v>3</v>
      </c>
      <c r="Q3" s="12"/>
    </row>
    <row r="4" spans="3:17" ht="15" thickBot="1" x14ac:dyDescent="0.35">
      <c r="C4" s="290"/>
      <c r="D4" s="292"/>
      <c r="E4" s="293"/>
      <c r="F4" s="292"/>
      <c r="G4" s="288"/>
      <c r="H4" s="288"/>
      <c r="I4" s="288"/>
      <c r="J4" s="288"/>
      <c r="K4" s="293"/>
      <c r="L4" s="293"/>
      <c r="M4" s="292"/>
      <c r="N4" s="288"/>
      <c r="O4" s="288"/>
      <c r="P4" s="288"/>
      <c r="Q4" s="12"/>
    </row>
    <row r="5" spans="3:17" ht="15" thickBot="1" x14ac:dyDescent="0.35">
      <c r="C5" s="13" t="s">
        <v>5</v>
      </c>
      <c r="D5" s="14">
        <v>1</v>
      </c>
      <c r="E5" s="14">
        <v>11</v>
      </c>
      <c r="F5" s="14">
        <v>21</v>
      </c>
      <c r="G5" s="15">
        <v>70</v>
      </c>
      <c r="H5" s="15">
        <v>10</v>
      </c>
      <c r="I5" s="15">
        <v>6</v>
      </c>
      <c r="J5" s="16">
        <v>119</v>
      </c>
      <c r="K5" s="19">
        <f>(((D5/D$9)-K$11)^2)/K$11</f>
        <v>0.140625</v>
      </c>
      <c r="L5" s="19">
        <f t="shared" ref="L5:P8" si="0">(((E5/E$9)-L$11)^2)/L$11</f>
        <v>4.7501643655489811E-2</v>
      </c>
      <c r="M5" s="19">
        <f t="shared" si="0"/>
        <v>6.250000000000011E-4</v>
      </c>
      <c r="N5" s="19">
        <f t="shared" si="0"/>
        <v>0.18245910267093546</v>
      </c>
      <c r="O5" s="19">
        <f t="shared" si="0"/>
        <v>1.5040939836240648E-2</v>
      </c>
      <c r="P5" s="19">
        <f t="shared" si="0"/>
        <v>2.4693877551020406E-2</v>
      </c>
      <c r="Q5" s="12"/>
    </row>
    <row r="6" spans="3:17" ht="15" thickBot="1" x14ac:dyDescent="0.35">
      <c r="C6" s="13" t="s">
        <v>6</v>
      </c>
      <c r="D6" s="14">
        <v>1</v>
      </c>
      <c r="E6" s="14">
        <v>40</v>
      </c>
      <c r="F6" s="14">
        <v>24</v>
      </c>
      <c r="G6" s="15">
        <v>40</v>
      </c>
      <c r="H6" s="15">
        <v>5</v>
      </c>
      <c r="I6" s="15">
        <v>11</v>
      </c>
      <c r="J6" s="16">
        <v>121</v>
      </c>
      <c r="K6" s="19">
        <f>(((D6/D$9)-K$11)^2)/K$11</f>
        <v>0.140625</v>
      </c>
      <c r="L6" s="19">
        <f t="shared" si="0"/>
        <v>0.27629848783694927</v>
      </c>
      <c r="M6" s="19">
        <f t="shared" si="0"/>
        <v>9.999999999999995E-3</v>
      </c>
      <c r="N6" s="19">
        <f t="shared" si="0"/>
        <v>8.8811894215166248E-4</v>
      </c>
      <c r="O6" s="19">
        <f t="shared" si="0"/>
        <v>9.6920612317550725E-2</v>
      </c>
      <c r="P6" s="19">
        <f t="shared" si="0"/>
        <v>1.6530612244897956E-2</v>
      </c>
      <c r="Q6" s="12"/>
    </row>
    <row r="7" spans="3:17" ht="15" thickBot="1" x14ac:dyDescent="0.35">
      <c r="C7" s="13" t="s">
        <v>7</v>
      </c>
      <c r="D7" s="14">
        <v>5</v>
      </c>
      <c r="E7" s="14">
        <v>13</v>
      </c>
      <c r="F7" s="14">
        <v>21</v>
      </c>
      <c r="G7" s="15">
        <v>30</v>
      </c>
      <c r="H7" s="15">
        <v>35</v>
      </c>
      <c r="I7" s="15">
        <v>1</v>
      </c>
      <c r="J7" s="16">
        <v>105</v>
      </c>
      <c r="K7" s="19">
        <f>(((D7/D$9)-K$11)^2)/K$11</f>
        <v>1.5625E-2</v>
      </c>
      <c r="L7" s="19">
        <f t="shared" si="0"/>
        <v>2.7777777777777783E-2</v>
      </c>
      <c r="M7" s="19">
        <f t="shared" si="0"/>
        <v>6.250000000000011E-4</v>
      </c>
      <c r="N7" s="19">
        <f t="shared" si="0"/>
        <v>1.0536818560589453E-2</v>
      </c>
      <c r="O7" s="19">
        <f t="shared" si="0"/>
        <v>0.67363830544677805</v>
      </c>
      <c r="P7" s="19">
        <f t="shared" si="0"/>
        <v>0.19612244897959183</v>
      </c>
      <c r="Q7" s="12"/>
    </row>
    <row r="8" spans="3:17" ht="15" thickBot="1" x14ac:dyDescent="0.35">
      <c r="C8" s="13" t="s">
        <v>8</v>
      </c>
      <c r="D8" s="14">
        <v>9</v>
      </c>
      <c r="E8" s="14">
        <v>14</v>
      </c>
      <c r="F8" s="14">
        <v>14</v>
      </c>
      <c r="G8" s="15">
        <v>11</v>
      </c>
      <c r="H8" s="15">
        <v>3</v>
      </c>
      <c r="I8" s="15">
        <v>17</v>
      </c>
      <c r="J8" s="16">
        <v>68</v>
      </c>
      <c r="K8" s="19">
        <f>(((D8/D$9)-K$11)^2)/K$11</f>
        <v>0.390625</v>
      </c>
      <c r="L8" s="19">
        <f t="shared" si="0"/>
        <v>1.9888231426692965E-2</v>
      </c>
      <c r="M8" s="19">
        <f t="shared" si="0"/>
        <v>2.2500000000000006E-2</v>
      </c>
      <c r="N8" s="19">
        <f t="shared" si="0"/>
        <v>0.12553177492215256</v>
      </c>
      <c r="O8" s="19">
        <f t="shared" si="0"/>
        <v>0.14960840156639377</v>
      </c>
      <c r="P8" s="19">
        <f t="shared" si="0"/>
        <v>0.22224489795918367</v>
      </c>
      <c r="Q8" s="12"/>
    </row>
    <row r="9" spans="3:17" ht="15" thickBot="1" x14ac:dyDescent="0.35">
      <c r="C9" s="13" t="s">
        <v>4</v>
      </c>
      <c r="D9" s="17">
        <v>16</v>
      </c>
      <c r="E9" s="17">
        <v>78</v>
      </c>
      <c r="F9" s="17">
        <v>80</v>
      </c>
      <c r="G9" s="16">
        <v>151</v>
      </c>
      <c r="H9" s="16">
        <v>53</v>
      </c>
      <c r="I9" s="16">
        <v>35</v>
      </c>
      <c r="J9" s="16">
        <v>413</v>
      </c>
      <c r="K9" s="19">
        <f>SUM(K5:K8)</f>
        <v>0.6875</v>
      </c>
      <c r="L9" s="19">
        <f t="shared" ref="L9:P9" si="1">SUM(L5:L8)</f>
        <v>0.37146614069690986</v>
      </c>
      <c r="M9" s="19">
        <f t="shared" si="1"/>
        <v>3.3750000000000002E-2</v>
      </c>
      <c r="N9" s="19">
        <f t="shared" si="1"/>
        <v>0.31941581509582911</v>
      </c>
      <c r="O9" s="19">
        <f t="shared" si="1"/>
        <v>0.93520825916696315</v>
      </c>
      <c r="P9" s="19">
        <f t="shared" si="1"/>
        <v>0.45959183673469384</v>
      </c>
      <c r="Q9" s="12"/>
    </row>
    <row r="11" spans="3:17" x14ac:dyDescent="0.3">
      <c r="C11" s="18" t="s">
        <v>15</v>
      </c>
      <c r="K11">
        <f>1/4</f>
        <v>0.25</v>
      </c>
      <c r="L11">
        <f t="shared" ref="L11:P11" si="2">1/4</f>
        <v>0.25</v>
      </c>
      <c r="M11">
        <f t="shared" si="2"/>
        <v>0.25</v>
      </c>
      <c r="N11">
        <f t="shared" si="2"/>
        <v>0.25</v>
      </c>
      <c r="O11">
        <f t="shared" si="2"/>
        <v>0.25</v>
      </c>
      <c r="P11">
        <f t="shared" si="2"/>
        <v>0.25</v>
      </c>
    </row>
  </sheetData>
  <mergeCells count="14">
    <mergeCell ref="O3:O4"/>
    <mergeCell ref="P3:P4"/>
    <mergeCell ref="I3:I4"/>
    <mergeCell ref="J3:J4"/>
    <mergeCell ref="K3:K4"/>
    <mergeCell ref="L3:L4"/>
    <mergeCell ref="M3:M4"/>
    <mergeCell ref="N3:N4"/>
    <mergeCell ref="H3:H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8"/>
  <sheetViews>
    <sheetView zoomScale="110" zoomScaleNormal="110" workbookViewId="0">
      <selection activeCell="G21" sqref="G21"/>
    </sheetView>
  </sheetViews>
  <sheetFormatPr defaultRowHeight="10.199999999999999" x14ac:dyDescent="0.2"/>
  <cols>
    <col min="1" max="4" width="8.88671875" style="23"/>
    <col min="5" max="5" width="7.77734375" style="23" customWidth="1"/>
    <col min="6" max="6" width="5.21875" style="23" customWidth="1"/>
    <col min="7" max="8" width="8.88671875" style="23"/>
    <col min="9" max="9" width="7.33203125" style="23" customWidth="1"/>
    <col min="10" max="10" width="9.6640625" style="23" customWidth="1"/>
    <col min="11" max="11" width="7.109375" style="23" customWidth="1"/>
    <col min="12" max="12" width="5.5546875" style="23" customWidth="1"/>
    <col min="13" max="13" width="10.5546875" style="23" customWidth="1"/>
    <col min="14" max="14" width="8.6640625" style="23" customWidth="1"/>
    <col min="15" max="15" width="8.88671875" style="23"/>
    <col min="16" max="16" width="0.6640625" style="23" customWidth="1"/>
    <col min="17" max="17" width="8.88671875" style="23"/>
    <col min="18" max="18" width="10.5546875" style="23" customWidth="1"/>
    <col min="19" max="16384" width="8.88671875" style="23"/>
  </cols>
  <sheetData>
    <row r="3" spans="2:18" s="21" customFormat="1" x14ac:dyDescent="0.2">
      <c r="C3" s="20"/>
      <c r="K3" s="22"/>
    </row>
    <row r="4" spans="2:18" ht="31.8" customHeight="1" x14ac:dyDescent="0.2">
      <c r="C4" s="220"/>
      <c r="D4" s="220" t="s">
        <v>10</v>
      </c>
      <c r="E4" s="220" t="s">
        <v>11</v>
      </c>
      <c r="F4" s="220" t="s">
        <v>0</v>
      </c>
      <c r="G4" s="219" t="s">
        <v>1</v>
      </c>
      <c r="H4" s="219" t="s">
        <v>2</v>
      </c>
      <c r="I4" s="219" t="s">
        <v>3</v>
      </c>
      <c r="J4" s="219" t="s">
        <v>4</v>
      </c>
      <c r="K4" s="31" t="s">
        <v>16</v>
      </c>
      <c r="L4" s="26" t="s">
        <v>17</v>
      </c>
      <c r="M4" s="26"/>
      <c r="N4" s="26" t="s">
        <v>23</v>
      </c>
      <c r="O4" s="26" t="s">
        <v>21</v>
      </c>
      <c r="Q4" s="28" t="s">
        <v>22</v>
      </c>
      <c r="R4" s="28" t="s">
        <v>24</v>
      </c>
    </row>
    <row r="5" spans="2:18" ht="13.8" customHeight="1" x14ac:dyDescent="0.2">
      <c r="C5" s="220" t="s">
        <v>5</v>
      </c>
      <c r="D5" s="24">
        <v>1</v>
      </c>
      <c r="E5" s="24">
        <v>11</v>
      </c>
      <c r="F5" s="24">
        <v>21</v>
      </c>
      <c r="G5" s="25">
        <v>70</v>
      </c>
      <c r="H5" s="25">
        <v>10</v>
      </c>
      <c r="I5" s="25">
        <v>6</v>
      </c>
      <c r="J5" s="7">
        <v>119</v>
      </c>
      <c r="K5" s="226">
        <f>(D5/$D$9)*100</f>
        <v>6.25</v>
      </c>
      <c r="L5" s="32">
        <f>(J5/$J$9)*100</f>
        <v>28.8135593220339</v>
      </c>
      <c r="M5" s="32"/>
      <c r="N5" s="33">
        <f>100/4</f>
        <v>25</v>
      </c>
      <c r="O5" s="33">
        <f>N5</f>
        <v>25</v>
      </c>
      <c r="Q5" s="29">
        <v>100</v>
      </c>
      <c r="R5" s="29">
        <f>Q5</f>
        <v>100</v>
      </c>
    </row>
    <row r="6" spans="2:18" ht="13.8" customHeight="1" x14ac:dyDescent="0.2">
      <c r="C6" s="220" t="s">
        <v>6</v>
      </c>
      <c r="D6" s="24">
        <v>1</v>
      </c>
      <c r="E6" s="24">
        <v>40</v>
      </c>
      <c r="F6" s="24">
        <v>24</v>
      </c>
      <c r="G6" s="25">
        <v>40</v>
      </c>
      <c r="H6" s="25">
        <v>5</v>
      </c>
      <c r="I6" s="25">
        <v>11</v>
      </c>
      <c r="J6" s="7">
        <v>121</v>
      </c>
      <c r="K6" s="226">
        <f t="shared" ref="K6:K8" si="0">(D6/$D$9)*100</f>
        <v>6.25</v>
      </c>
      <c r="L6" s="32">
        <f t="shared" ref="L6:L8" si="1">(J6/$J$9)*100</f>
        <v>29.297820823244553</v>
      </c>
      <c r="M6" s="32"/>
      <c r="N6" s="33">
        <f t="shared" ref="N6:N8" si="2">100/4</f>
        <v>25</v>
      </c>
      <c r="O6" s="33">
        <f>O5+N6</f>
        <v>50</v>
      </c>
      <c r="Q6" s="29">
        <v>0</v>
      </c>
      <c r="R6" s="29">
        <f>R5+Q6</f>
        <v>100</v>
      </c>
    </row>
    <row r="7" spans="2:18" ht="13.8" customHeight="1" x14ac:dyDescent="0.2">
      <c r="C7" s="220" t="s">
        <v>7</v>
      </c>
      <c r="D7" s="24">
        <v>5</v>
      </c>
      <c r="E7" s="24">
        <v>13</v>
      </c>
      <c r="F7" s="24">
        <v>21</v>
      </c>
      <c r="G7" s="25">
        <v>30</v>
      </c>
      <c r="H7" s="25">
        <v>35</v>
      </c>
      <c r="I7" s="25">
        <v>1</v>
      </c>
      <c r="J7" s="7">
        <v>105</v>
      </c>
      <c r="K7" s="226">
        <f t="shared" si="0"/>
        <v>31.25</v>
      </c>
      <c r="L7" s="32">
        <f t="shared" si="1"/>
        <v>25.423728813559322</v>
      </c>
      <c r="M7" s="32"/>
      <c r="N7" s="33">
        <f t="shared" si="2"/>
        <v>25</v>
      </c>
      <c r="O7" s="33">
        <f t="shared" ref="O7:O8" si="3">O6+N7</f>
        <v>75</v>
      </c>
      <c r="Q7" s="29">
        <v>0</v>
      </c>
      <c r="R7" s="29">
        <f t="shared" ref="R7:R8" si="4">R6+Q7</f>
        <v>100</v>
      </c>
    </row>
    <row r="8" spans="2:18" ht="13.8" customHeight="1" x14ac:dyDescent="0.2">
      <c r="C8" s="220" t="s">
        <v>8</v>
      </c>
      <c r="D8" s="24">
        <v>9</v>
      </c>
      <c r="E8" s="24">
        <v>14</v>
      </c>
      <c r="F8" s="24">
        <v>14</v>
      </c>
      <c r="G8" s="25">
        <v>11</v>
      </c>
      <c r="H8" s="25">
        <v>3</v>
      </c>
      <c r="I8" s="25">
        <v>17</v>
      </c>
      <c r="J8" s="7">
        <v>68</v>
      </c>
      <c r="K8" s="226">
        <f t="shared" si="0"/>
        <v>56.25</v>
      </c>
      <c r="L8" s="32">
        <f t="shared" si="1"/>
        <v>16.464891041162229</v>
      </c>
      <c r="M8" s="32"/>
      <c r="N8" s="33">
        <f t="shared" si="2"/>
        <v>25</v>
      </c>
      <c r="O8" s="33">
        <f t="shared" si="3"/>
        <v>100</v>
      </c>
      <c r="Q8" s="29">
        <v>0</v>
      </c>
      <c r="R8" s="29">
        <f t="shared" si="4"/>
        <v>100</v>
      </c>
    </row>
    <row r="9" spans="2:18" ht="13.8" customHeight="1" x14ac:dyDescent="0.2">
      <c r="C9" s="220" t="s">
        <v>4</v>
      </c>
      <c r="D9" s="8">
        <v>16</v>
      </c>
      <c r="E9" s="8">
        <v>78</v>
      </c>
      <c r="F9" s="8">
        <v>80</v>
      </c>
      <c r="G9" s="7">
        <v>151</v>
      </c>
      <c r="H9" s="7">
        <v>53</v>
      </c>
      <c r="I9" s="7">
        <v>35</v>
      </c>
      <c r="J9" s="7">
        <v>413</v>
      </c>
      <c r="K9" s="30">
        <f>SUM(K5:K8)</f>
        <v>100</v>
      </c>
      <c r="L9" s="32">
        <f>SUM(L5:L8)</f>
        <v>100.00000000000001</v>
      </c>
      <c r="M9" s="32"/>
      <c r="N9" s="33">
        <f>SUM(N5:N8)</f>
        <v>100</v>
      </c>
      <c r="O9" s="34">
        <f>SUM(O5:O8)</f>
        <v>250</v>
      </c>
      <c r="Q9" s="29">
        <f>SUM(Q5:Q8)</f>
        <v>100</v>
      </c>
      <c r="R9" s="35">
        <f>SUM(R5:R8)</f>
        <v>400</v>
      </c>
    </row>
    <row r="13" spans="2:18" ht="41.4" customHeight="1" x14ac:dyDescent="0.2">
      <c r="C13" s="220"/>
      <c r="D13" s="26" t="s">
        <v>18</v>
      </c>
      <c r="E13" s="26" t="s">
        <v>20</v>
      </c>
      <c r="G13" s="220"/>
      <c r="H13" s="28" t="s">
        <v>19</v>
      </c>
      <c r="I13" s="26" t="s">
        <v>20</v>
      </c>
    </row>
    <row r="14" spans="2:18" x14ac:dyDescent="0.2">
      <c r="B14" s="23">
        <v>1</v>
      </c>
      <c r="C14" s="220" t="s">
        <v>8</v>
      </c>
      <c r="D14" s="33">
        <f>LARGE($K$5:$K$8,B14)</f>
        <v>56.25</v>
      </c>
      <c r="E14" s="33">
        <f>D14</f>
        <v>56.25</v>
      </c>
      <c r="G14" s="220" t="s">
        <v>6</v>
      </c>
      <c r="H14" s="32">
        <f>LARGE($L$5:$L$8,B14)</f>
        <v>29.297820823244553</v>
      </c>
      <c r="I14" s="32">
        <f>H14</f>
        <v>29.297820823244553</v>
      </c>
    </row>
    <row r="15" spans="2:18" x14ac:dyDescent="0.2">
      <c r="B15" s="23">
        <v>2</v>
      </c>
      <c r="C15" s="220" t="s">
        <v>7</v>
      </c>
      <c r="D15" s="33">
        <f t="shared" ref="D15:D17" si="5">LARGE($K$5:$K$8,B15)</f>
        <v>31.25</v>
      </c>
      <c r="E15" s="33">
        <f>E14+D15</f>
        <v>87.5</v>
      </c>
      <c r="G15" s="220" t="s">
        <v>5</v>
      </c>
      <c r="H15" s="32">
        <f t="shared" ref="H15:H17" si="6">LARGE($L$5:$L$8,B15)</f>
        <v>28.8135593220339</v>
      </c>
      <c r="I15" s="32">
        <f>I14+H15</f>
        <v>58.111380145278453</v>
      </c>
    </row>
    <row r="16" spans="2:18" x14ac:dyDescent="0.2">
      <c r="B16" s="23">
        <v>3</v>
      </c>
      <c r="C16" s="220" t="s">
        <v>5</v>
      </c>
      <c r="D16" s="33">
        <f t="shared" si="5"/>
        <v>6.25</v>
      </c>
      <c r="E16" s="33">
        <f t="shared" ref="E16:E17" si="7">E15+D16</f>
        <v>93.75</v>
      </c>
      <c r="G16" s="220" t="s">
        <v>7</v>
      </c>
      <c r="H16" s="32">
        <f t="shared" si="6"/>
        <v>25.423728813559322</v>
      </c>
      <c r="I16" s="32">
        <f t="shared" ref="I16:I17" si="8">I15+H16</f>
        <v>83.535108958837782</v>
      </c>
    </row>
    <row r="17" spans="2:14" x14ac:dyDescent="0.2">
      <c r="B17" s="23">
        <v>4</v>
      </c>
      <c r="C17" s="220" t="s">
        <v>6</v>
      </c>
      <c r="D17" s="33">
        <f t="shared" si="5"/>
        <v>6.25</v>
      </c>
      <c r="E17" s="33">
        <f t="shared" si="7"/>
        <v>100</v>
      </c>
      <c r="G17" s="220" t="s">
        <v>8</v>
      </c>
      <c r="H17" s="32">
        <f t="shared" si="6"/>
        <v>16.464891041162229</v>
      </c>
      <c r="I17" s="32">
        <f t="shared" si="8"/>
        <v>100.00000000000001</v>
      </c>
    </row>
    <row r="18" spans="2:14" x14ac:dyDescent="0.2">
      <c r="C18" s="220" t="s">
        <v>4</v>
      </c>
      <c r="D18" s="33">
        <v>100</v>
      </c>
      <c r="E18" s="34">
        <f>SUM(E14:E17)</f>
        <v>337.5</v>
      </c>
      <c r="G18" s="220" t="s">
        <v>4</v>
      </c>
      <c r="H18" s="32">
        <v>100.00000000000001</v>
      </c>
      <c r="I18" s="36">
        <f>SUM(I14:I17)</f>
        <v>270.94430992736079</v>
      </c>
    </row>
    <row r="22" spans="2:14" x14ac:dyDescent="0.2">
      <c r="C22" s="23" t="s">
        <v>113</v>
      </c>
      <c r="D22" s="227">
        <f>(E18-I18)/(R9-I18)</f>
        <v>0.51571294559099434</v>
      </c>
    </row>
    <row r="25" spans="2:14" ht="45.6" customHeight="1" x14ac:dyDescent="0.2">
      <c r="C25" s="220"/>
      <c r="D25" s="220" t="s">
        <v>10</v>
      </c>
      <c r="E25" s="23" t="s">
        <v>29</v>
      </c>
      <c r="F25" s="219" t="s">
        <v>4</v>
      </c>
      <c r="G25" s="28" t="s">
        <v>25</v>
      </c>
      <c r="H25" s="26" t="s">
        <v>26</v>
      </c>
      <c r="I25" s="26"/>
      <c r="J25" s="26" t="s">
        <v>27</v>
      </c>
      <c r="K25" s="26" t="s">
        <v>21</v>
      </c>
      <c r="L25" s="27"/>
      <c r="M25" s="28" t="s">
        <v>28</v>
      </c>
      <c r="N25" s="28" t="s">
        <v>24</v>
      </c>
    </row>
    <row r="26" spans="2:14" x14ac:dyDescent="0.2">
      <c r="C26" s="220" t="s">
        <v>5</v>
      </c>
      <c r="D26" s="24">
        <v>1</v>
      </c>
      <c r="E26" s="23" t="s">
        <v>29</v>
      </c>
      <c r="F26" s="7">
        <v>119</v>
      </c>
      <c r="G26" s="30">
        <v>6.25</v>
      </c>
      <c r="H26" s="32">
        <v>28.8135593220339</v>
      </c>
      <c r="I26" s="32"/>
      <c r="J26" s="33">
        <v>25</v>
      </c>
      <c r="K26" s="33">
        <v>25</v>
      </c>
      <c r="L26" s="27"/>
      <c r="M26" s="29">
        <v>100</v>
      </c>
      <c r="N26" s="29">
        <v>100</v>
      </c>
    </row>
    <row r="27" spans="2:14" x14ac:dyDescent="0.2">
      <c r="C27" s="220" t="s">
        <v>6</v>
      </c>
      <c r="D27" s="24">
        <v>1</v>
      </c>
      <c r="E27" s="23" t="s">
        <v>29</v>
      </c>
      <c r="F27" s="7">
        <v>121</v>
      </c>
      <c r="G27" s="30">
        <v>6.25</v>
      </c>
      <c r="H27" s="32">
        <v>29.297820823244553</v>
      </c>
      <c r="I27" s="32"/>
      <c r="J27" s="33">
        <v>25</v>
      </c>
      <c r="K27" s="33">
        <v>50</v>
      </c>
      <c r="L27" s="27"/>
      <c r="M27" s="29">
        <v>0</v>
      </c>
      <c r="N27" s="29">
        <v>100</v>
      </c>
    </row>
    <row r="28" spans="2:14" x14ac:dyDescent="0.2">
      <c r="C28" s="220" t="s">
        <v>7</v>
      </c>
      <c r="D28" s="24">
        <v>5</v>
      </c>
      <c r="E28" s="23" t="s">
        <v>29</v>
      </c>
      <c r="F28" s="7">
        <v>105</v>
      </c>
      <c r="G28" s="30">
        <v>31.25</v>
      </c>
      <c r="H28" s="32">
        <v>25.423728813559322</v>
      </c>
      <c r="I28" s="32"/>
      <c r="J28" s="33">
        <v>25</v>
      </c>
      <c r="K28" s="33">
        <v>75</v>
      </c>
      <c r="L28" s="27"/>
      <c r="M28" s="29">
        <v>0</v>
      </c>
      <c r="N28" s="29">
        <v>100</v>
      </c>
    </row>
    <row r="29" spans="2:14" x14ac:dyDescent="0.2">
      <c r="C29" s="220" t="s">
        <v>8</v>
      </c>
      <c r="D29" s="24">
        <v>9</v>
      </c>
      <c r="E29" s="23" t="s">
        <v>29</v>
      </c>
      <c r="F29" s="7">
        <v>68</v>
      </c>
      <c r="G29" s="30">
        <v>56.25</v>
      </c>
      <c r="H29" s="32">
        <v>16.464891041162229</v>
      </c>
      <c r="I29" s="32"/>
      <c r="J29" s="33">
        <v>25</v>
      </c>
      <c r="K29" s="33">
        <v>100</v>
      </c>
      <c r="L29" s="27"/>
      <c r="M29" s="29">
        <v>0</v>
      </c>
      <c r="N29" s="29">
        <v>100</v>
      </c>
    </row>
    <row r="30" spans="2:14" x14ac:dyDescent="0.2">
      <c r="C30" s="220" t="s">
        <v>4</v>
      </c>
      <c r="D30" s="8">
        <v>16</v>
      </c>
      <c r="E30" s="23" t="s">
        <v>29</v>
      </c>
      <c r="F30" s="7">
        <v>413</v>
      </c>
      <c r="G30" s="30">
        <v>100</v>
      </c>
      <c r="H30" s="32">
        <v>100.00000000000001</v>
      </c>
      <c r="I30" s="32"/>
      <c r="J30" s="33">
        <v>100</v>
      </c>
      <c r="K30" s="34">
        <v>250</v>
      </c>
      <c r="L30" s="27"/>
      <c r="M30" s="29">
        <v>100</v>
      </c>
      <c r="N30" s="35">
        <v>400</v>
      </c>
    </row>
    <row r="33" spans="5:9" x14ac:dyDescent="0.2">
      <c r="E33" s="220" t="s">
        <v>11</v>
      </c>
      <c r="F33" s="220" t="s">
        <v>0</v>
      </c>
      <c r="G33" s="219" t="s">
        <v>1</v>
      </c>
      <c r="H33" s="219" t="s">
        <v>2</v>
      </c>
      <c r="I33" s="219" t="s">
        <v>3</v>
      </c>
    </row>
    <row r="34" spans="5:9" x14ac:dyDescent="0.2">
      <c r="E34" s="24">
        <v>11</v>
      </c>
      <c r="F34" s="24">
        <v>21</v>
      </c>
      <c r="G34" s="25">
        <v>70</v>
      </c>
      <c r="H34" s="25">
        <v>10</v>
      </c>
      <c r="I34" s="25">
        <v>6</v>
      </c>
    </row>
    <row r="35" spans="5:9" x14ac:dyDescent="0.2">
      <c r="E35" s="24">
        <v>40</v>
      </c>
      <c r="F35" s="24">
        <v>24</v>
      </c>
      <c r="G35" s="25">
        <v>40</v>
      </c>
      <c r="H35" s="25">
        <v>5</v>
      </c>
      <c r="I35" s="25">
        <v>11</v>
      </c>
    </row>
    <row r="36" spans="5:9" x14ac:dyDescent="0.2">
      <c r="E36" s="24">
        <v>13</v>
      </c>
      <c r="F36" s="24">
        <v>21</v>
      </c>
      <c r="G36" s="25">
        <v>30</v>
      </c>
      <c r="H36" s="25">
        <v>35</v>
      </c>
      <c r="I36" s="25">
        <v>1</v>
      </c>
    </row>
    <row r="37" spans="5:9" x14ac:dyDescent="0.2">
      <c r="E37" s="24">
        <v>14</v>
      </c>
      <c r="F37" s="24">
        <v>14</v>
      </c>
      <c r="G37" s="25">
        <v>11</v>
      </c>
      <c r="H37" s="25">
        <v>3</v>
      </c>
      <c r="I37" s="25">
        <v>17</v>
      </c>
    </row>
    <row r="38" spans="5:9" x14ac:dyDescent="0.2">
      <c r="E38" s="8">
        <v>78</v>
      </c>
      <c r="F38" s="8">
        <v>80</v>
      </c>
      <c r="G38" s="7">
        <v>151</v>
      </c>
      <c r="H38" s="7">
        <v>53</v>
      </c>
      <c r="I38" s="7">
        <v>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1"/>
  <sheetViews>
    <sheetView workbookViewId="0">
      <selection activeCell="N36" sqref="N36"/>
    </sheetView>
  </sheetViews>
  <sheetFormatPr defaultRowHeight="12" x14ac:dyDescent="0.25"/>
  <cols>
    <col min="1" max="2" width="8.88671875" style="37"/>
    <col min="3" max="3" width="19.109375" style="37" customWidth="1"/>
    <col min="4" max="9" width="7.6640625" style="37" customWidth="1"/>
    <col min="10" max="10" width="8.33203125" style="37" customWidth="1"/>
    <col min="11" max="16384" width="8.88671875" style="37"/>
  </cols>
  <sheetData>
    <row r="3" spans="3:10" x14ac:dyDescent="0.25">
      <c r="C3" s="295"/>
      <c r="D3" s="296" t="s">
        <v>10</v>
      </c>
      <c r="E3" s="296" t="s">
        <v>11</v>
      </c>
      <c r="F3" s="295" t="s">
        <v>0</v>
      </c>
      <c r="G3" s="294" t="s">
        <v>1</v>
      </c>
      <c r="H3" s="294" t="s">
        <v>2</v>
      </c>
      <c r="I3" s="294" t="s">
        <v>3</v>
      </c>
      <c r="J3" s="294" t="s">
        <v>4</v>
      </c>
    </row>
    <row r="4" spans="3:10" x14ac:dyDescent="0.25">
      <c r="C4" s="295"/>
      <c r="D4" s="297"/>
      <c r="E4" s="297"/>
      <c r="F4" s="295"/>
      <c r="G4" s="294"/>
      <c r="H4" s="294"/>
      <c r="I4" s="294"/>
      <c r="J4" s="294"/>
    </row>
    <row r="5" spans="3:10" x14ac:dyDescent="0.25">
      <c r="C5" s="38" t="s">
        <v>5</v>
      </c>
      <c r="D5" s="5">
        <v>1</v>
      </c>
      <c r="E5" s="5">
        <v>11</v>
      </c>
      <c r="F5" s="5">
        <v>21</v>
      </c>
      <c r="G5" s="6">
        <v>70</v>
      </c>
      <c r="H5" s="6">
        <v>10</v>
      </c>
      <c r="I5" s="6">
        <v>6</v>
      </c>
      <c r="J5" s="39">
        <v>119</v>
      </c>
    </row>
    <row r="6" spans="3:10" x14ac:dyDescent="0.25">
      <c r="C6" s="38" t="s">
        <v>6</v>
      </c>
      <c r="D6" s="5">
        <v>1</v>
      </c>
      <c r="E6" s="5">
        <v>40</v>
      </c>
      <c r="F6" s="5">
        <v>24</v>
      </c>
      <c r="G6" s="6">
        <v>40</v>
      </c>
      <c r="H6" s="6">
        <v>5</v>
      </c>
      <c r="I6" s="6">
        <v>11</v>
      </c>
      <c r="J6" s="39">
        <v>121</v>
      </c>
    </row>
    <row r="7" spans="3:10" x14ac:dyDescent="0.25">
      <c r="C7" s="38" t="s">
        <v>7</v>
      </c>
      <c r="D7" s="5">
        <v>5</v>
      </c>
      <c r="E7" s="5">
        <v>13</v>
      </c>
      <c r="F7" s="5">
        <v>21</v>
      </c>
      <c r="G7" s="6">
        <v>30</v>
      </c>
      <c r="H7" s="6">
        <v>35</v>
      </c>
      <c r="I7" s="6">
        <v>1</v>
      </c>
      <c r="J7" s="39">
        <v>105</v>
      </c>
    </row>
    <row r="8" spans="3:10" x14ac:dyDescent="0.25">
      <c r="C8" s="38" t="s">
        <v>8</v>
      </c>
      <c r="D8" s="5">
        <v>9</v>
      </c>
      <c r="E8" s="5">
        <v>14</v>
      </c>
      <c r="F8" s="5">
        <v>14</v>
      </c>
      <c r="G8" s="6">
        <v>11</v>
      </c>
      <c r="H8" s="6">
        <v>3</v>
      </c>
      <c r="I8" s="6">
        <v>17</v>
      </c>
      <c r="J8" s="39">
        <v>68</v>
      </c>
    </row>
    <row r="9" spans="3:10" x14ac:dyDescent="0.25">
      <c r="C9" s="38" t="s">
        <v>4</v>
      </c>
      <c r="D9" s="40">
        <v>16</v>
      </c>
      <c r="E9" s="40">
        <v>78</v>
      </c>
      <c r="F9" s="40">
        <v>80</v>
      </c>
      <c r="G9" s="39">
        <v>151</v>
      </c>
      <c r="H9" s="39">
        <v>53</v>
      </c>
      <c r="I9" s="39">
        <v>35</v>
      </c>
      <c r="J9" s="39">
        <v>413</v>
      </c>
    </row>
    <row r="11" spans="3:10" x14ac:dyDescent="0.25">
      <c r="C11" s="41" t="s">
        <v>30</v>
      </c>
      <c r="D11" s="42" t="s">
        <v>10</v>
      </c>
      <c r="E11" s="42" t="s">
        <v>11</v>
      </c>
      <c r="F11" s="42" t="s">
        <v>0</v>
      </c>
      <c r="G11" s="42" t="s">
        <v>1</v>
      </c>
      <c r="H11" s="42" t="s">
        <v>2</v>
      </c>
      <c r="I11" s="42" t="s">
        <v>3</v>
      </c>
      <c r="J11" s="42" t="s">
        <v>4</v>
      </c>
    </row>
    <row r="12" spans="3:10" x14ac:dyDescent="0.25">
      <c r="C12" s="38" t="s">
        <v>5</v>
      </c>
      <c r="D12" s="43">
        <f>D5/D$9</f>
        <v>6.25E-2</v>
      </c>
      <c r="E12" s="43">
        <f t="shared" ref="E12:I12" si="0">E5/E$9</f>
        <v>0.14102564102564102</v>
      </c>
      <c r="F12" s="43">
        <f t="shared" si="0"/>
        <v>0.26250000000000001</v>
      </c>
      <c r="G12" s="43">
        <f t="shared" si="0"/>
        <v>0.46357615894039733</v>
      </c>
      <c r="H12" s="43">
        <f t="shared" si="0"/>
        <v>0.18867924528301888</v>
      </c>
      <c r="I12" s="43">
        <f t="shared" si="0"/>
        <v>0.17142857142857143</v>
      </c>
      <c r="J12" s="43">
        <f>J5/J$9</f>
        <v>0.28813559322033899</v>
      </c>
    </row>
    <row r="13" spans="3:10" x14ac:dyDescent="0.25">
      <c r="C13" s="38" t="s">
        <v>6</v>
      </c>
      <c r="D13" s="43">
        <f t="shared" ref="D13:J13" si="1">D6/D$9</f>
        <v>6.25E-2</v>
      </c>
      <c r="E13" s="43">
        <f t="shared" si="1"/>
        <v>0.51282051282051277</v>
      </c>
      <c r="F13" s="43">
        <f t="shared" si="1"/>
        <v>0.3</v>
      </c>
      <c r="G13" s="43">
        <f t="shared" si="1"/>
        <v>0.26490066225165565</v>
      </c>
      <c r="H13" s="43">
        <f t="shared" si="1"/>
        <v>9.4339622641509441E-2</v>
      </c>
      <c r="I13" s="43">
        <f t="shared" si="1"/>
        <v>0.31428571428571428</v>
      </c>
      <c r="J13" s="43">
        <f t="shared" si="1"/>
        <v>0.29297820823244553</v>
      </c>
    </row>
    <row r="14" spans="3:10" x14ac:dyDescent="0.25">
      <c r="C14" s="38" t="s">
        <v>7</v>
      </c>
      <c r="D14" s="43">
        <f t="shared" ref="D14:J14" si="2">D7/D$9</f>
        <v>0.3125</v>
      </c>
      <c r="E14" s="43">
        <f t="shared" si="2"/>
        <v>0.16666666666666666</v>
      </c>
      <c r="F14" s="43">
        <f t="shared" si="2"/>
        <v>0.26250000000000001</v>
      </c>
      <c r="G14" s="43">
        <f t="shared" si="2"/>
        <v>0.19867549668874171</v>
      </c>
      <c r="H14" s="43">
        <f t="shared" si="2"/>
        <v>0.660377358490566</v>
      </c>
      <c r="I14" s="43">
        <f t="shared" si="2"/>
        <v>2.8571428571428571E-2</v>
      </c>
      <c r="J14" s="43">
        <f t="shared" si="2"/>
        <v>0.25423728813559321</v>
      </c>
    </row>
    <row r="15" spans="3:10" x14ac:dyDescent="0.25">
      <c r="C15" s="38" t="s">
        <v>8</v>
      </c>
      <c r="D15" s="43">
        <f t="shared" ref="D15:J15" si="3">D8/D$9</f>
        <v>0.5625</v>
      </c>
      <c r="E15" s="43">
        <f t="shared" si="3"/>
        <v>0.17948717948717949</v>
      </c>
      <c r="F15" s="43">
        <f t="shared" si="3"/>
        <v>0.17499999999999999</v>
      </c>
      <c r="G15" s="43">
        <f t="shared" si="3"/>
        <v>7.2847682119205295E-2</v>
      </c>
      <c r="H15" s="43">
        <f t="shared" si="3"/>
        <v>5.6603773584905662E-2</v>
      </c>
      <c r="I15" s="43">
        <f t="shared" si="3"/>
        <v>0.48571428571428571</v>
      </c>
      <c r="J15" s="43">
        <f t="shared" si="3"/>
        <v>0.16464891041162227</v>
      </c>
    </row>
    <row r="16" spans="3:10" x14ac:dyDescent="0.25">
      <c r="C16" s="44"/>
    </row>
    <row r="17" spans="3:10" x14ac:dyDescent="0.25">
      <c r="C17" s="45" t="s">
        <v>31</v>
      </c>
      <c r="D17" s="45" t="s">
        <v>10</v>
      </c>
      <c r="E17" s="45" t="s">
        <v>11</v>
      </c>
      <c r="F17" s="45" t="s">
        <v>0</v>
      </c>
      <c r="G17" s="45" t="s">
        <v>1</v>
      </c>
      <c r="H17" s="45" t="s">
        <v>2</v>
      </c>
      <c r="I17" s="45" t="s">
        <v>3</v>
      </c>
      <c r="J17" s="46"/>
    </row>
    <row r="18" spans="3:10" x14ac:dyDescent="0.25">
      <c r="C18" s="38" t="s">
        <v>5</v>
      </c>
      <c r="D18" s="47">
        <f>ABS(D12-$J12)</f>
        <v>0.22563559322033899</v>
      </c>
      <c r="E18" s="47">
        <f>ABS(E12-$J12)</f>
        <v>0.14710995219469797</v>
      </c>
      <c r="F18" s="47">
        <f t="shared" ref="F18:I18" si="4">ABS(F12-$J12)</f>
        <v>2.5635593220338981E-2</v>
      </c>
      <c r="G18" s="47">
        <f t="shared" si="4"/>
        <v>0.17544056572005834</v>
      </c>
      <c r="H18" s="47">
        <f t="shared" si="4"/>
        <v>9.9456347937320111E-2</v>
      </c>
      <c r="I18" s="47">
        <f t="shared" si="4"/>
        <v>0.11670702179176756</v>
      </c>
    </row>
    <row r="19" spans="3:10" x14ac:dyDescent="0.25">
      <c r="C19" s="38" t="s">
        <v>6</v>
      </c>
      <c r="D19" s="47">
        <f t="shared" ref="D19:I19" si="5">ABS(D13-$J13)</f>
        <v>0.23047820823244553</v>
      </c>
      <c r="E19" s="47">
        <f t="shared" si="5"/>
        <v>0.21984230458806725</v>
      </c>
      <c r="F19" s="47">
        <f t="shared" si="5"/>
        <v>7.0217917675544639E-3</v>
      </c>
      <c r="G19" s="47">
        <f t="shared" si="5"/>
        <v>2.8077545980789875E-2</v>
      </c>
      <c r="H19" s="47">
        <f t="shared" si="5"/>
        <v>0.19863858559093608</v>
      </c>
      <c r="I19" s="47">
        <f t="shared" si="5"/>
        <v>2.1307506053268754E-2</v>
      </c>
    </row>
    <row r="20" spans="3:10" x14ac:dyDescent="0.25">
      <c r="C20" s="38" t="s">
        <v>7</v>
      </c>
      <c r="D20" s="47">
        <f t="shared" ref="D20:I20" si="6">ABS(D14-$J14)</f>
        <v>5.8262711864406791E-2</v>
      </c>
      <c r="E20" s="47">
        <f t="shared" si="6"/>
        <v>8.7570621468926552E-2</v>
      </c>
      <c r="F20" s="47">
        <f t="shared" si="6"/>
        <v>8.2627118644068021E-3</v>
      </c>
      <c r="G20" s="47">
        <f t="shared" si="6"/>
        <v>5.55617914468515E-2</v>
      </c>
      <c r="H20" s="47">
        <f t="shared" si="6"/>
        <v>0.40614007035497279</v>
      </c>
      <c r="I20" s="47">
        <f t="shared" si="6"/>
        <v>0.22566585956416463</v>
      </c>
    </row>
    <row r="21" spans="3:10" x14ac:dyDescent="0.25">
      <c r="C21" s="38" t="s">
        <v>8</v>
      </c>
      <c r="D21" s="47">
        <f t="shared" ref="D21:I21" si="7">ABS(D15-$J15)</f>
        <v>0.39785108958837773</v>
      </c>
      <c r="E21" s="47">
        <f t="shared" si="7"/>
        <v>1.4838269075557214E-2</v>
      </c>
      <c r="F21" s="47">
        <f t="shared" si="7"/>
        <v>1.0351089588377715E-2</v>
      </c>
      <c r="G21" s="47">
        <f t="shared" si="7"/>
        <v>9.1801228292416978E-2</v>
      </c>
      <c r="H21" s="47">
        <f t="shared" si="7"/>
        <v>0.10804513682671661</v>
      </c>
      <c r="I21" s="47">
        <f t="shared" si="7"/>
        <v>0.32106537530266344</v>
      </c>
    </row>
    <row r="22" spans="3:10" x14ac:dyDescent="0.25">
      <c r="C22" s="45" t="s">
        <v>32</v>
      </c>
      <c r="D22" s="48">
        <f>SUM(D18:D21)</f>
        <v>0.91222760290556915</v>
      </c>
      <c r="E22" s="48">
        <f t="shared" ref="E22:I22" si="8">SUM(E18:E21)</f>
        <v>0.46936114732724898</v>
      </c>
      <c r="F22" s="48">
        <f t="shared" si="8"/>
        <v>5.1271186440677963E-2</v>
      </c>
      <c r="G22" s="48">
        <f t="shared" si="8"/>
        <v>0.35088113144011668</v>
      </c>
      <c r="H22" s="48">
        <f t="shared" si="8"/>
        <v>0.81228014070994559</v>
      </c>
      <c r="I22" s="48">
        <f t="shared" si="8"/>
        <v>0.68474576271186438</v>
      </c>
    </row>
    <row r="23" spans="3:10" x14ac:dyDescent="0.25">
      <c r="C23" s="37" t="s">
        <v>164</v>
      </c>
      <c r="D23" s="221">
        <f>D22/$J$23</f>
        <v>0.60815173527037947</v>
      </c>
      <c r="E23" s="221">
        <f t="shared" ref="E23:I23" si="9">E22/$J$23</f>
        <v>0.3129074315514993</v>
      </c>
      <c r="F23" s="221">
        <f t="shared" si="9"/>
        <v>3.4180790960451977E-2</v>
      </c>
      <c r="G23" s="221">
        <f t="shared" si="9"/>
        <v>0.23392075429341111</v>
      </c>
      <c r="H23" s="221">
        <f t="shared" si="9"/>
        <v>0.54152009380663035</v>
      </c>
      <c r="I23" s="221">
        <f t="shared" si="9"/>
        <v>0.45649717514124294</v>
      </c>
      <c r="J23" s="37">
        <v>1.5</v>
      </c>
    </row>
    <row r="25" spans="3:10" s="216" customFormat="1" x14ac:dyDescent="0.25"/>
    <row r="28" spans="3:10" x14ac:dyDescent="0.25">
      <c r="C28" s="41" t="s">
        <v>30</v>
      </c>
      <c r="D28" s="42" t="s">
        <v>10</v>
      </c>
      <c r="E28" s="42" t="s">
        <v>11</v>
      </c>
      <c r="F28" s="42" t="s">
        <v>0</v>
      </c>
      <c r="G28" s="42" t="s">
        <v>1</v>
      </c>
      <c r="H28" s="42" t="s">
        <v>2</v>
      </c>
      <c r="I28" s="42" t="s">
        <v>3</v>
      </c>
      <c r="J28" s="42"/>
    </row>
    <row r="29" spans="3:10" x14ac:dyDescent="0.25">
      <c r="C29" s="197" t="s">
        <v>5</v>
      </c>
      <c r="D29" s="43">
        <f>D5/$J5</f>
        <v>8.4033613445378148E-3</v>
      </c>
      <c r="E29" s="43">
        <f>E5/$J5</f>
        <v>9.2436974789915971E-2</v>
      </c>
      <c r="F29" s="43">
        <f t="shared" ref="F29:I29" si="10">F5/$J5</f>
        <v>0.17647058823529413</v>
      </c>
      <c r="G29" s="43">
        <f t="shared" si="10"/>
        <v>0.58823529411764708</v>
      </c>
      <c r="H29" s="43">
        <f t="shared" si="10"/>
        <v>8.4033613445378158E-2</v>
      </c>
      <c r="I29" s="43">
        <f t="shared" si="10"/>
        <v>5.0420168067226892E-2</v>
      </c>
      <c r="J29" s="43"/>
    </row>
    <row r="30" spans="3:10" x14ac:dyDescent="0.25">
      <c r="C30" s="197" t="s">
        <v>6</v>
      </c>
      <c r="D30" s="43">
        <f t="shared" ref="D30:I30" si="11">D6/$J6</f>
        <v>8.2644628099173556E-3</v>
      </c>
      <c r="E30" s="43">
        <f t="shared" si="11"/>
        <v>0.33057851239669422</v>
      </c>
      <c r="F30" s="43">
        <f t="shared" si="11"/>
        <v>0.19834710743801653</v>
      </c>
      <c r="G30" s="43">
        <f t="shared" si="11"/>
        <v>0.33057851239669422</v>
      </c>
      <c r="H30" s="43">
        <f t="shared" si="11"/>
        <v>4.1322314049586778E-2</v>
      </c>
      <c r="I30" s="43">
        <f t="shared" si="11"/>
        <v>9.0909090909090912E-2</v>
      </c>
      <c r="J30" s="43"/>
    </row>
    <row r="31" spans="3:10" x14ac:dyDescent="0.25">
      <c r="C31" s="197" t="s">
        <v>7</v>
      </c>
      <c r="D31" s="43">
        <f t="shared" ref="D31:I31" si="12">D7/$J7</f>
        <v>4.7619047619047616E-2</v>
      </c>
      <c r="E31" s="43">
        <f t="shared" si="12"/>
        <v>0.12380952380952381</v>
      </c>
      <c r="F31" s="43">
        <f t="shared" si="12"/>
        <v>0.2</v>
      </c>
      <c r="G31" s="43">
        <f t="shared" si="12"/>
        <v>0.2857142857142857</v>
      </c>
      <c r="H31" s="43">
        <f t="shared" si="12"/>
        <v>0.33333333333333331</v>
      </c>
      <c r="I31" s="43">
        <f t="shared" si="12"/>
        <v>9.5238095238095247E-3</v>
      </c>
      <c r="J31" s="43"/>
    </row>
    <row r="32" spans="3:10" x14ac:dyDescent="0.25">
      <c r="C32" s="197" t="s">
        <v>8</v>
      </c>
      <c r="D32" s="43">
        <f t="shared" ref="D32:I33" si="13">D8/$J8</f>
        <v>0.13235294117647059</v>
      </c>
      <c r="E32" s="43">
        <f t="shared" si="13"/>
        <v>0.20588235294117646</v>
      </c>
      <c r="F32" s="43">
        <f t="shared" si="13"/>
        <v>0.20588235294117646</v>
      </c>
      <c r="G32" s="43">
        <f t="shared" si="13"/>
        <v>0.16176470588235295</v>
      </c>
      <c r="H32" s="43">
        <f t="shared" si="13"/>
        <v>4.4117647058823532E-2</v>
      </c>
      <c r="I32" s="43">
        <f t="shared" si="13"/>
        <v>0.25</v>
      </c>
      <c r="J32" s="43"/>
    </row>
    <row r="33" spans="3:11" x14ac:dyDescent="0.25">
      <c r="C33" s="45" t="s">
        <v>4</v>
      </c>
      <c r="D33" s="217">
        <f t="shared" si="13"/>
        <v>3.8740920096852302E-2</v>
      </c>
      <c r="E33" s="217">
        <f t="shared" si="13"/>
        <v>0.18886198547215496</v>
      </c>
      <c r="F33" s="217">
        <f t="shared" si="13"/>
        <v>0.1937046004842615</v>
      </c>
      <c r="G33" s="217">
        <f t="shared" si="13"/>
        <v>0.36561743341404357</v>
      </c>
      <c r="H33" s="217">
        <f t="shared" si="13"/>
        <v>0.12832929782082325</v>
      </c>
      <c r="I33" s="217">
        <f t="shared" si="13"/>
        <v>8.4745762711864403E-2</v>
      </c>
      <c r="J33" s="217"/>
    </row>
    <row r="35" spans="3:11" x14ac:dyDescent="0.25">
      <c r="C35" s="45" t="s">
        <v>31</v>
      </c>
      <c r="D35" s="45" t="s">
        <v>10</v>
      </c>
      <c r="E35" s="45" t="s">
        <v>11</v>
      </c>
      <c r="F35" s="45" t="s">
        <v>0</v>
      </c>
      <c r="G35" s="45" t="s">
        <v>1</v>
      </c>
      <c r="H35" s="45" t="s">
        <v>2</v>
      </c>
      <c r="I35" s="45" t="s">
        <v>3</v>
      </c>
      <c r="J35" s="45" t="s">
        <v>32</v>
      </c>
      <c r="K35" s="37" t="s">
        <v>164</v>
      </c>
    </row>
    <row r="36" spans="3:11" x14ac:dyDescent="0.25">
      <c r="C36" s="197" t="s">
        <v>5</v>
      </c>
      <c r="D36" s="47">
        <f>ABS(D29-D$33)</f>
        <v>3.0337558752314489E-2</v>
      </c>
      <c r="E36" s="47">
        <f t="shared" ref="E36:I36" si="14">ABS(E29-E$33)</f>
        <v>9.6425010682238993E-2</v>
      </c>
      <c r="F36" s="47">
        <f t="shared" si="14"/>
        <v>1.7234012248967367E-2</v>
      </c>
      <c r="G36" s="47">
        <f t="shared" si="14"/>
        <v>0.22261786070360351</v>
      </c>
      <c r="H36" s="47">
        <f t="shared" si="14"/>
        <v>4.4295684375445094E-2</v>
      </c>
      <c r="I36" s="47">
        <f t="shared" si="14"/>
        <v>3.4325594644637511E-2</v>
      </c>
      <c r="J36" s="48">
        <f>SUM(D36:I36)</f>
        <v>0.44523572140720696</v>
      </c>
      <c r="K36" s="222">
        <f>J36/$K$40</f>
        <v>0.26660821641150118</v>
      </c>
    </row>
    <row r="37" spans="3:11" x14ac:dyDescent="0.25">
      <c r="C37" s="197" t="s">
        <v>6</v>
      </c>
      <c r="D37" s="47">
        <f>ABS(D30-D$33)</f>
        <v>3.0476457286934946E-2</v>
      </c>
      <c r="E37" s="47">
        <f t="shared" ref="E37:G37" si="15">ABS(E30-E$33)</f>
        <v>0.14171652692453926</v>
      </c>
      <c r="F37" s="47">
        <f t="shared" si="15"/>
        <v>4.6425069537550379E-3</v>
      </c>
      <c r="G37" s="47">
        <f t="shared" si="15"/>
        <v>3.5038921017349345E-2</v>
      </c>
      <c r="H37" s="47">
        <f>ABS(H30-H$33)</f>
        <v>8.7006983771236474E-2</v>
      </c>
      <c r="I37" s="47">
        <f>ABS(I30-I$33)</f>
        <v>6.1633281972265086E-3</v>
      </c>
      <c r="J37" s="48">
        <f t="shared" ref="J37:J39" si="16">SUM(D37:I37)</f>
        <v>0.30504472415104156</v>
      </c>
      <c r="K37" s="222">
        <f t="shared" ref="K37:K39" si="17">J37/$K$40</f>
        <v>0.18266151146768955</v>
      </c>
    </row>
    <row r="38" spans="3:11" x14ac:dyDescent="0.25">
      <c r="C38" s="197" t="s">
        <v>7</v>
      </c>
      <c r="D38" s="47">
        <f t="shared" ref="D38:I38" si="18">ABS(D31-D$33)</f>
        <v>8.8781275221953143E-3</v>
      </c>
      <c r="E38" s="47">
        <f t="shared" si="18"/>
        <v>6.505246166263115E-2</v>
      </c>
      <c r="F38" s="47">
        <f t="shared" si="18"/>
        <v>6.2953995157385145E-3</v>
      </c>
      <c r="G38" s="47">
        <f t="shared" si="18"/>
        <v>7.990314769975787E-2</v>
      </c>
      <c r="H38" s="47">
        <f t="shared" si="18"/>
        <v>0.20500403551251006</v>
      </c>
      <c r="I38" s="47">
        <f t="shared" si="18"/>
        <v>7.5221953188054885E-2</v>
      </c>
      <c r="J38" s="48">
        <f t="shared" si="16"/>
        <v>0.44035512510088781</v>
      </c>
      <c r="K38" s="222">
        <f t="shared" si="17"/>
        <v>0.26368570365322624</v>
      </c>
    </row>
    <row r="39" spans="3:11" x14ac:dyDescent="0.25">
      <c r="C39" s="197" t="s">
        <v>8</v>
      </c>
      <c r="D39" s="47">
        <f t="shared" ref="D39:I39" si="19">ABS(D32-D$33)</f>
        <v>9.3612021079618288E-2</v>
      </c>
      <c r="E39" s="47">
        <f t="shared" si="19"/>
        <v>1.7020367469021497E-2</v>
      </c>
      <c r="F39" s="47">
        <f t="shared" si="19"/>
        <v>1.2177752456914964E-2</v>
      </c>
      <c r="G39" s="47">
        <f t="shared" si="19"/>
        <v>0.20385272753169062</v>
      </c>
      <c r="H39" s="47">
        <f t="shared" si="19"/>
        <v>8.4211650761999712E-2</v>
      </c>
      <c r="I39" s="47">
        <f t="shared" si="19"/>
        <v>0.1652542372881356</v>
      </c>
      <c r="J39" s="48">
        <f t="shared" si="16"/>
        <v>0.57612875658738072</v>
      </c>
      <c r="K39" s="222">
        <f t="shared" si="17"/>
        <v>0.34498727939364116</v>
      </c>
    </row>
    <row r="40" spans="3:11" x14ac:dyDescent="0.25">
      <c r="C40" s="46"/>
      <c r="D40" s="218"/>
      <c r="E40" s="218"/>
      <c r="F40" s="218"/>
      <c r="G40" s="218"/>
      <c r="H40" s="218"/>
      <c r="I40" s="218"/>
      <c r="J40" s="46"/>
      <c r="K40" s="37">
        <v>1.67</v>
      </c>
    </row>
    <row r="41" spans="3:11" x14ac:dyDescent="0.25">
      <c r="C41" s="46"/>
      <c r="D41" s="46"/>
      <c r="E41" s="46"/>
      <c r="F41" s="46"/>
      <c r="G41" s="46"/>
      <c r="H41" s="46"/>
      <c r="I41" s="46"/>
      <c r="J41" s="46"/>
    </row>
  </sheetData>
  <mergeCells count="8">
    <mergeCell ref="I3:I4"/>
    <mergeCell ref="J3:J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80"/>
  <sheetViews>
    <sheetView topLeftCell="A61" workbookViewId="0">
      <selection activeCell="Q83" sqref="Q83"/>
    </sheetView>
  </sheetViews>
  <sheetFormatPr defaultRowHeight="13.2" x14ac:dyDescent="0.25"/>
  <cols>
    <col min="1" max="1" width="8.88671875" style="49"/>
    <col min="2" max="2" width="8.21875" style="49" customWidth="1"/>
    <col min="3" max="3" width="6.5546875" style="49" customWidth="1"/>
    <col min="4" max="5" width="7.33203125" style="49" customWidth="1"/>
    <col min="6" max="9" width="7.6640625" style="49" customWidth="1"/>
    <col min="10" max="10" width="7.88671875" style="55" customWidth="1"/>
    <col min="11" max="11" width="2.77734375" style="55" customWidth="1"/>
    <col min="12" max="12" width="9.44140625" style="57" customWidth="1"/>
    <col min="13" max="13" width="7.77734375" style="57" customWidth="1"/>
    <col min="14" max="14" width="7.6640625" style="57" customWidth="1"/>
    <col min="15" max="25" width="5.77734375" style="57" customWidth="1"/>
    <col min="26" max="26" width="8.88671875" style="55"/>
    <col min="27" max="16384" width="8.88671875" style="49"/>
  </cols>
  <sheetData>
    <row r="3" spans="2:28" x14ac:dyDescent="0.25">
      <c r="B3" s="298"/>
      <c r="C3" s="303" t="s">
        <v>10</v>
      </c>
      <c r="D3" s="303" t="s">
        <v>11</v>
      </c>
      <c r="E3" s="298" t="s">
        <v>0</v>
      </c>
      <c r="F3" s="302" t="s">
        <v>1</v>
      </c>
      <c r="G3" s="302" t="s">
        <v>2</v>
      </c>
      <c r="H3" s="302" t="s">
        <v>3</v>
      </c>
      <c r="I3" s="302" t="s">
        <v>4</v>
      </c>
      <c r="K3" s="298"/>
      <c r="L3" s="301" t="s">
        <v>10</v>
      </c>
      <c r="M3" s="301"/>
      <c r="N3" s="301" t="s">
        <v>11</v>
      </c>
      <c r="O3" s="301"/>
      <c r="P3" s="301" t="s">
        <v>0</v>
      </c>
      <c r="Q3" s="301"/>
      <c r="R3" s="301" t="s">
        <v>1</v>
      </c>
      <c r="S3" s="301"/>
      <c r="T3" s="301" t="s">
        <v>2</v>
      </c>
      <c r="U3" s="301"/>
      <c r="V3" s="301" t="s">
        <v>3</v>
      </c>
      <c r="W3" s="301"/>
      <c r="X3" s="299" t="s">
        <v>34</v>
      </c>
      <c r="Y3" s="300"/>
      <c r="AA3" s="299" t="s">
        <v>34</v>
      </c>
      <c r="AB3" s="300"/>
    </row>
    <row r="4" spans="2:28" x14ac:dyDescent="0.25">
      <c r="B4" s="298"/>
      <c r="C4" s="304"/>
      <c r="D4" s="304"/>
      <c r="E4" s="298"/>
      <c r="F4" s="302"/>
      <c r="G4" s="302"/>
      <c r="H4" s="302"/>
      <c r="I4" s="302"/>
      <c r="K4" s="298"/>
      <c r="L4" s="56" t="s">
        <v>35</v>
      </c>
      <c r="M4" s="56" t="s">
        <v>33</v>
      </c>
      <c r="N4" s="56" t="s">
        <v>35</v>
      </c>
      <c r="O4" s="56" t="s">
        <v>33</v>
      </c>
      <c r="P4" s="56" t="s">
        <v>35</v>
      </c>
      <c r="Q4" s="56" t="s">
        <v>33</v>
      </c>
      <c r="R4" s="56" t="s">
        <v>35</v>
      </c>
      <c r="S4" s="56" t="s">
        <v>33</v>
      </c>
      <c r="T4" s="56" t="s">
        <v>35</v>
      </c>
      <c r="U4" s="56" t="s">
        <v>33</v>
      </c>
      <c r="V4" s="56" t="s">
        <v>35</v>
      </c>
      <c r="W4" s="56" t="s">
        <v>33</v>
      </c>
      <c r="X4" s="56" t="s">
        <v>35</v>
      </c>
      <c r="Y4" s="56" t="s">
        <v>33</v>
      </c>
      <c r="AA4" s="56" t="s">
        <v>35</v>
      </c>
      <c r="AB4" s="56" t="s">
        <v>33</v>
      </c>
    </row>
    <row r="5" spans="2:28" x14ac:dyDescent="0.25">
      <c r="B5" s="50" t="s">
        <v>5</v>
      </c>
      <c r="C5" s="51">
        <v>1</v>
      </c>
      <c r="D5" s="51">
        <v>11</v>
      </c>
      <c r="E5" s="51">
        <v>21</v>
      </c>
      <c r="F5" s="52">
        <v>70</v>
      </c>
      <c r="G5" s="52">
        <v>10</v>
      </c>
      <c r="H5" s="52">
        <v>6</v>
      </c>
      <c r="I5" s="53">
        <v>119</v>
      </c>
      <c r="K5" s="50" t="s">
        <v>5</v>
      </c>
      <c r="L5" s="58">
        <f>C5/C$9</f>
        <v>6.25E-2</v>
      </c>
      <c r="M5" s="58">
        <f>L5*LN(L5)</f>
        <v>-0.17328679513998632</v>
      </c>
      <c r="N5" s="58">
        <f>D5/D$9</f>
        <v>0.14102564102564102</v>
      </c>
      <c r="O5" s="58">
        <f>N5*LN(N5)</f>
        <v>-0.27624293708722353</v>
      </c>
      <c r="P5" s="58">
        <f>E5/E$9</f>
        <v>0.26250000000000001</v>
      </c>
      <c r="Q5" s="58">
        <f>P5*LN(P5)</f>
        <v>-0.35109485169949539</v>
      </c>
      <c r="R5" s="58">
        <f>F5/F$9</f>
        <v>0.46357615894039733</v>
      </c>
      <c r="S5" s="58">
        <f>R5*LN(R5)</f>
        <v>-0.35639020949397071</v>
      </c>
      <c r="T5" s="58">
        <f>G5/G$9</f>
        <v>0.18867924528301888</v>
      </c>
      <c r="U5" s="58">
        <f>T5*LN(T5)</f>
        <v>-0.31466166425624081</v>
      </c>
      <c r="V5" s="58">
        <f>H5/H$9</f>
        <v>0.17142857142857143</v>
      </c>
      <c r="W5" s="58">
        <f>V5*LN(V5)</f>
        <v>-0.30232947295909007</v>
      </c>
      <c r="X5" s="58">
        <f>1/4</f>
        <v>0.25</v>
      </c>
      <c r="Y5" s="58">
        <f>X5*LN(X5)</f>
        <v>-0.34657359027997264</v>
      </c>
      <c r="AA5" s="58">
        <v>0.97</v>
      </c>
      <c r="AB5" s="58">
        <f>AA5*LN(AA5)</f>
        <v>-2.9545431260167315E-2</v>
      </c>
    </row>
    <row r="6" spans="2:28" x14ac:dyDescent="0.25">
      <c r="B6" s="50" t="s">
        <v>6</v>
      </c>
      <c r="C6" s="51">
        <v>1</v>
      </c>
      <c r="D6" s="51">
        <v>40</v>
      </c>
      <c r="E6" s="51">
        <v>24</v>
      </c>
      <c r="F6" s="52">
        <v>40</v>
      </c>
      <c r="G6" s="52">
        <v>5</v>
      </c>
      <c r="H6" s="52">
        <v>11</v>
      </c>
      <c r="I6" s="53">
        <v>121</v>
      </c>
      <c r="K6" s="50" t="s">
        <v>6</v>
      </c>
      <c r="L6" s="58">
        <f t="shared" ref="L6:L9" si="0">C6/C$9</f>
        <v>6.25E-2</v>
      </c>
      <c r="M6" s="58">
        <f t="shared" ref="M6:O8" si="1">L6*LN(L6)</f>
        <v>-0.17328679513998632</v>
      </c>
      <c r="N6" s="58">
        <f t="shared" ref="N6:N9" si="2">D6/D$9</f>
        <v>0.51282051282051277</v>
      </c>
      <c r="O6" s="58">
        <f t="shared" si="1"/>
        <v>-0.34247660132084895</v>
      </c>
      <c r="P6" s="58">
        <f t="shared" ref="P6:P9" si="3">E6/E$9</f>
        <v>0.3</v>
      </c>
      <c r="Q6" s="58">
        <f t="shared" ref="Q6" si="4">P6*LN(P6)</f>
        <v>-0.36119184129778081</v>
      </c>
      <c r="R6" s="58">
        <f t="shared" ref="R6:R9" si="5">F6/F$9</f>
        <v>0.26490066225165565</v>
      </c>
      <c r="S6" s="58">
        <f t="shared" ref="S6" si="6">R6*LN(R6)</f>
        <v>-0.35189414111284456</v>
      </c>
      <c r="T6" s="58">
        <f t="shared" ref="T6:T9" si="7">G6/G$9</f>
        <v>9.4339622641509441E-2</v>
      </c>
      <c r="U6" s="58">
        <f t="shared" ref="U6" si="8">T6*LN(T6)</f>
        <v>-0.22272207557717186</v>
      </c>
      <c r="V6" s="58">
        <f t="shared" ref="V6:V9" si="9">H6/H$9</f>
        <v>0.31428571428571428</v>
      </c>
      <c r="W6" s="58">
        <f t="shared" ref="W6" si="10">V6*LN(V6)</f>
        <v>-0.3637708764457564</v>
      </c>
      <c r="X6" s="58">
        <f t="shared" ref="X6:X8" si="11">1/4</f>
        <v>0.25</v>
      </c>
      <c r="Y6" s="58">
        <f t="shared" ref="Y6:Y8" si="12">X6*LN(X6)</f>
        <v>-0.34657359027997264</v>
      </c>
      <c r="AA6" s="58">
        <v>0.01</v>
      </c>
      <c r="AB6" s="58">
        <f>AA6*LN(AA6)</f>
        <v>-4.605170185988091E-2</v>
      </c>
    </row>
    <row r="7" spans="2:28" x14ac:dyDescent="0.25">
      <c r="B7" s="50" t="s">
        <v>7</v>
      </c>
      <c r="C7" s="51">
        <v>5</v>
      </c>
      <c r="D7" s="51">
        <v>13</v>
      </c>
      <c r="E7" s="51">
        <v>21</v>
      </c>
      <c r="F7" s="52">
        <v>30</v>
      </c>
      <c r="G7" s="52">
        <v>35</v>
      </c>
      <c r="H7" s="52">
        <v>1</v>
      </c>
      <c r="I7" s="53">
        <v>105</v>
      </c>
      <c r="K7" s="50" t="s">
        <v>7</v>
      </c>
      <c r="L7" s="58">
        <f t="shared" si="0"/>
        <v>0.3125</v>
      </c>
      <c r="M7" s="58">
        <f t="shared" si="1"/>
        <v>-0.36348462806427528</v>
      </c>
      <c r="N7" s="58">
        <f t="shared" si="2"/>
        <v>0.16666666666666666</v>
      </c>
      <c r="O7" s="58">
        <f t="shared" si="1"/>
        <v>-0.29862657820467581</v>
      </c>
      <c r="P7" s="58">
        <f t="shared" si="3"/>
        <v>0.26250000000000001</v>
      </c>
      <c r="Q7" s="58">
        <f t="shared" ref="Q7" si="13">P7*LN(P7)</f>
        <v>-0.35109485169949539</v>
      </c>
      <c r="R7" s="58">
        <f t="shared" si="5"/>
        <v>0.19867549668874171</v>
      </c>
      <c r="S7" s="58">
        <f t="shared" ref="S7" si="14">R7*LN(R7)</f>
        <v>-0.32107598446743751</v>
      </c>
      <c r="T7" s="58">
        <f t="shared" si="7"/>
        <v>0.660377358490566</v>
      </c>
      <c r="U7" s="58">
        <f t="shared" ref="U7" si="15">T7*LN(T7)</f>
        <v>-0.27401952494707144</v>
      </c>
      <c r="V7" s="58">
        <f t="shared" si="9"/>
        <v>2.8571428571428571E-2</v>
      </c>
      <c r="W7" s="58">
        <f t="shared" ref="W7" si="16">V7*LN(V7)</f>
        <v>-0.10158137318541181</v>
      </c>
      <c r="X7" s="58">
        <f t="shared" si="11"/>
        <v>0.25</v>
      </c>
      <c r="Y7" s="58">
        <f t="shared" si="12"/>
        <v>-0.34657359027997264</v>
      </c>
      <c r="AA7" s="58">
        <v>0.01</v>
      </c>
      <c r="AB7" s="58">
        <f t="shared" ref="AB7:AB8" si="17">AA7*LN(AA7)</f>
        <v>-4.605170185988091E-2</v>
      </c>
    </row>
    <row r="8" spans="2:28" x14ac:dyDescent="0.25">
      <c r="B8" s="50" t="s">
        <v>8</v>
      </c>
      <c r="C8" s="51">
        <v>9</v>
      </c>
      <c r="D8" s="51">
        <v>14</v>
      </c>
      <c r="E8" s="51">
        <v>14</v>
      </c>
      <c r="F8" s="52">
        <v>11</v>
      </c>
      <c r="G8" s="52">
        <v>3</v>
      </c>
      <c r="H8" s="52">
        <v>17</v>
      </c>
      <c r="I8" s="53">
        <v>68</v>
      </c>
      <c r="K8" s="50" t="s">
        <v>8</v>
      </c>
      <c r="L8" s="58">
        <f t="shared" si="0"/>
        <v>0.5625</v>
      </c>
      <c r="M8" s="58">
        <f t="shared" si="1"/>
        <v>-0.3236423315082535</v>
      </c>
      <c r="N8" s="58">
        <f t="shared" si="2"/>
        <v>0.17948717948717949</v>
      </c>
      <c r="O8" s="58">
        <f t="shared" si="1"/>
        <v>-0.3082964225518034</v>
      </c>
      <c r="P8" s="58">
        <f t="shared" si="3"/>
        <v>0.17499999999999999</v>
      </c>
      <c r="Q8" s="58">
        <f t="shared" ref="Q8" si="18">P8*LN(P8)</f>
        <v>-0.30501962838525903</v>
      </c>
      <c r="R8" s="58">
        <f t="shared" si="5"/>
        <v>7.2847682119205295E-2</v>
      </c>
      <c r="S8" s="58">
        <f t="shared" ref="S8" si="19">R8*LN(R8)</f>
        <v>-0.19081609406743105</v>
      </c>
      <c r="T8" s="58">
        <f t="shared" si="7"/>
        <v>5.6603773584905662E-2</v>
      </c>
      <c r="U8" s="58">
        <f t="shared" ref="U8" si="20">T8*LN(T8)</f>
        <v>-0.16254790329532143</v>
      </c>
      <c r="V8" s="58">
        <f t="shared" si="9"/>
        <v>0.48571428571428571</v>
      </c>
      <c r="W8" s="58">
        <f t="shared" ref="W8" si="21">V8*LN(V8)</f>
        <v>-0.35075114846755312</v>
      </c>
      <c r="X8" s="58">
        <f t="shared" si="11"/>
        <v>0.25</v>
      </c>
      <c r="Y8" s="58">
        <f t="shared" si="12"/>
        <v>-0.34657359027997264</v>
      </c>
      <c r="AA8" s="58">
        <v>0.01</v>
      </c>
      <c r="AB8" s="58">
        <f t="shared" si="17"/>
        <v>-4.605170185988091E-2</v>
      </c>
    </row>
    <row r="9" spans="2:28" x14ac:dyDescent="0.25">
      <c r="B9" s="50" t="s">
        <v>4</v>
      </c>
      <c r="C9" s="54">
        <v>16</v>
      </c>
      <c r="D9" s="54">
        <v>78</v>
      </c>
      <c r="E9" s="54">
        <v>80</v>
      </c>
      <c r="F9" s="53">
        <v>151</v>
      </c>
      <c r="G9" s="53">
        <v>53</v>
      </c>
      <c r="H9" s="53">
        <v>35</v>
      </c>
      <c r="I9" s="53">
        <v>413</v>
      </c>
      <c r="K9" s="50" t="s">
        <v>4</v>
      </c>
      <c r="L9" s="59">
        <f t="shared" si="0"/>
        <v>1</v>
      </c>
      <c r="M9" s="59">
        <f>-SUM(M5:M8)</f>
        <v>1.0337005498525014</v>
      </c>
      <c r="N9" s="59">
        <f t="shared" si="2"/>
        <v>1</v>
      </c>
      <c r="O9" s="59">
        <f>-SUM(O5:O8)</f>
        <v>1.2256425391645518</v>
      </c>
      <c r="P9" s="59">
        <f t="shared" si="3"/>
        <v>1</v>
      </c>
      <c r="Q9" s="59">
        <f>-SUM(Q5:Q8)</f>
        <v>1.3684011730820307</v>
      </c>
      <c r="R9" s="59">
        <f t="shared" si="5"/>
        <v>1</v>
      </c>
      <c r="S9" s="59">
        <f>-SUM(S5:S8)</f>
        <v>1.2201764291416839</v>
      </c>
      <c r="T9" s="59">
        <f t="shared" si="7"/>
        <v>1</v>
      </c>
      <c r="U9" s="59">
        <f>-SUM(U5:U8)</f>
        <v>0.97395116807580551</v>
      </c>
      <c r="V9" s="59">
        <f t="shared" si="9"/>
        <v>1</v>
      </c>
      <c r="W9" s="59">
        <f>-SUM(W5:W8)</f>
        <v>1.1184328710578115</v>
      </c>
      <c r="X9" s="59">
        <f>SUM(X5:X8)</f>
        <v>1</v>
      </c>
      <c r="Y9" s="59">
        <f>-SUM(Y5:Y8)</f>
        <v>1.3862943611198906</v>
      </c>
      <c r="AA9" s="59">
        <f>SUM(AA5:AA8)</f>
        <v>1</v>
      </c>
      <c r="AB9" s="59">
        <f>-SUM(AB5:AB8)</f>
        <v>0.16770053683981007</v>
      </c>
    </row>
    <row r="10" spans="2:28" x14ac:dyDescent="0.25">
      <c r="K10" s="56" t="s">
        <v>36</v>
      </c>
      <c r="L10" s="62"/>
      <c r="M10" s="58">
        <f>M9/$Y$9</f>
        <v>0.74565732851819921</v>
      </c>
      <c r="N10" s="58"/>
      <c r="O10" s="58">
        <f t="shared" ref="O10:Y10" si="22">O9/$Y$9</f>
        <v>0.88411420657762807</v>
      </c>
      <c r="P10" s="58"/>
      <c r="Q10" s="58">
        <f t="shared" si="22"/>
        <v>0.98709279317604293</v>
      </c>
      <c r="R10" s="58"/>
      <c r="S10" s="58">
        <f t="shared" si="22"/>
        <v>0.88017124166615557</v>
      </c>
      <c r="T10" s="58"/>
      <c r="U10" s="58">
        <f t="shared" si="22"/>
        <v>0.70255726012548902</v>
      </c>
      <c r="V10" s="58"/>
      <c r="W10" s="58">
        <f t="shared" si="22"/>
        <v>0.80677877832115508</v>
      </c>
      <c r="X10" s="58"/>
      <c r="Y10" s="58">
        <f t="shared" si="22"/>
        <v>1</v>
      </c>
    </row>
    <row r="11" spans="2:28" x14ac:dyDescent="0.25">
      <c r="K11" s="56" t="s">
        <v>37</v>
      </c>
      <c r="L11" s="62"/>
      <c r="M11" s="58">
        <f>$Y$9-M9</f>
        <v>0.3525938112673892</v>
      </c>
      <c r="N11" s="58"/>
      <c r="O11" s="58">
        <f t="shared" ref="O11:Y11" si="23">$Y$9-O9</f>
        <v>0.16065182195533878</v>
      </c>
      <c r="P11" s="58"/>
      <c r="Q11" s="58">
        <f t="shared" si="23"/>
        <v>1.7893188037859886E-2</v>
      </c>
      <c r="R11" s="58"/>
      <c r="S11" s="58">
        <f t="shared" si="23"/>
        <v>0.16611793197820668</v>
      </c>
      <c r="T11" s="58"/>
      <c r="U11" s="58">
        <f t="shared" si="23"/>
        <v>0.41234319304408507</v>
      </c>
      <c r="V11" s="58"/>
      <c r="W11" s="58">
        <f t="shared" si="23"/>
        <v>0.26786149006207904</v>
      </c>
      <c r="X11" s="58"/>
      <c r="Y11" s="58">
        <f t="shared" si="23"/>
        <v>0</v>
      </c>
    </row>
    <row r="13" spans="2:28" x14ac:dyDescent="0.25">
      <c r="K13" s="55" t="s">
        <v>38</v>
      </c>
    </row>
    <row r="14" spans="2:28" x14ac:dyDescent="0.25">
      <c r="B14" s="298"/>
      <c r="C14" s="303" t="s">
        <v>10</v>
      </c>
      <c r="D14" s="303" t="s">
        <v>11</v>
      </c>
      <c r="E14" s="298" t="s">
        <v>0</v>
      </c>
      <c r="F14" s="302" t="s">
        <v>1</v>
      </c>
      <c r="G14" s="302" t="s">
        <v>2</v>
      </c>
      <c r="H14" s="302" t="s">
        <v>3</v>
      </c>
      <c r="I14" s="302" t="s">
        <v>4</v>
      </c>
      <c r="K14" s="50" t="s">
        <v>5</v>
      </c>
      <c r="M14" s="57">
        <f>LN(L5)</f>
        <v>-2.7725887222397811</v>
      </c>
      <c r="O14" s="57">
        <f>LN(N5)</f>
        <v>-1.9588135538912212</v>
      </c>
      <c r="Q14" s="57">
        <f>LN(P5)</f>
        <v>-1.3375041969504586</v>
      </c>
      <c r="S14" s="57">
        <f>LN(R5)</f>
        <v>-0.76878459476556538</v>
      </c>
      <c r="U14" s="57">
        <f>LN(T5)</f>
        <v>-1.6677068205580761</v>
      </c>
      <c r="W14" s="57">
        <f>LN(V5)</f>
        <v>-1.7635885922613588</v>
      </c>
      <c r="Y14" s="57">
        <f>LN(X5)</f>
        <v>-1.3862943611198906</v>
      </c>
    </row>
    <row r="15" spans="2:28" x14ac:dyDescent="0.25">
      <c r="B15" s="298"/>
      <c r="C15" s="304"/>
      <c r="D15" s="304"/>
      <c r="E15" s="298"/>
      <c r="F15" s="302"/>
      <c r="G15" s="302"/>
      <c r="H15" s="302"/>
      <c r="I15" s="302"/>
      <c r="K15" s="50" t="s">
        <v>6</v>
      </c>
      <c r="M15" s="57">
        <f>LN(L6)</f>
        <v>-2.7725887222397811</v>
      </c>
      <c r="O15" s="57">
        <f>LN(N6)</f>
        <v>-0.66782937257565556</v>
      </c>
      <c r="Q15" s="57">
        <f>LN(P6)</f>
        <v>-1.2039728043259361</v>
      </c>
      <c r="S15" s="57">
        <f>LN(R6)</f>
        <v>-1.328400382700988</v>
      </c>
      <c r="U15" s="57">
        <f>LN(T6)</f>
        <v>-2.3608540011180215</v>
      </c>
      <c r="W15" s="57">
        <f>LN(V6)</f>
        <v>-1.1574527886910431</v>
      </c>
      <c r="Y15" s="57">
        <f>LN(X6)</f>
        <v>-1.3862943611198906</v>
      </c>
    </row>
    <row r="16" spans="2:28" x14ac:dyDescent="0.25">
      <c r="B16" s="50" t="s">
        <v>5</v>
      </c>
      <c r="C16" s="63">
        <f>C5/$I$9</f>
        <v>2.4213075060532689E-3</v>
      </c>
      <c r="D16" s="63">
        <f t="shared" ref="D16:H16" si="24">D5/$I$9</f>
        <v>2.6634382566585957E-2</v>
      </c>
      <c r="E16" s="63">
        <f t="shared" si="24"/>
        <v>5.0847457627118647E-2</v>
      </c>
      <c r="F16" s="63">
        <f t="shared" si="24"/>
        <v>0.16949152542372881</v>
      </c>
      <c r="G16" s="63">
        <f t="shared" si="24"/>
        <v>2.4213075060532687E-2</v>
      </c>
      <c r="H16" s="63">
        <f t="shared" si="24"/>
        <v>1.4527845036319613E-2</v>
      </c>
      <c r="I16" s="53"/>
      <c r="K16" s="50" t="s">
        <v>7</v>
      </c>
      <c r="M16" s="57">
        <f>LN(L7)</f>
        <v>-1.1631508098056809</v>
      </c>
      <c r="O16" s="57">
        <f>LN(N7)</f>
        <v>-1.791759469228055</v>
      </c>
      <c r="Q16" s="57">
        <f>LN(P7)</f>
        <v>-1.3375041969504586</v>
      </c>
      <c r="S16" s="57">
        <f>LN(R7)</f>
        <v>-1.616082455152769</v>
      </c>
      <c r="U16" s="57">
        <f>LN(T7)</f>
        <v>-0.41494385206270823</v>
      </c>
      <c r="W16" s="57">
        <f>LN(V7)</f>
        <v>-3.5553480614894135</v>
      </c>
      <c r="Y16" s="57">
        <f>LN(X7)</f>
        <v>-1.3862943611198906</v>
      </c>
    </row>
    <row r="17" spans="2:25" x14ac:dyDescent="0.25">
      <c r="B17" s="50" t="s">
        <v>6</v>
      </c>
      <c r="C17" s="63">
        <f t="shared" ref="C17:H17" si="25">C6/$I$9</f>
        <v>2.4213075060532689E-3</v>
      </c>
      <c r="D17" s="63">
        <f t="shared" si="25"/>
        <v>9.6852300242130748E-2</v>
      </c>
      <c r="E17" s="63">
        <f t="shared" si="25"/>
        <v>5.8111380145278453E-2</v>
      </c>
      <c r="F17" s="63">
        <f t="shared" si="25"/>
        <v>9.6852300242130748E-2</v>
      </c>
      <c r="G17" s="63">
        <f t="shared" si="25"/>
        <v>1.2106537530266344E-2</v>
      </c>
      <c r="H17" s="63">
        <f t="shared" si="25"/>
        <v>2.6634382566585957E-2</v>
      </c>
      <c r="I17" s="53"/>
      <c r="K17" s="50" t="s">
        <v>8</v>
      </c>
      <c r="M17" s="57">
        <f>LN(L8)</f>
        <v>-0.5753641449035618</v>
      </c>
      <c r="O17" s="57">
        <f>LN(N8)</f>
        <v>-1.7176514970743331</v>
      </c>
      <c r="Q17" s="57">
        <f>LN(P8)</f>
        <v>-1.742969305058623</v>
      </c>
      <c r="S17" s="57">
        <f>LN(R8)</f>
        <v>-2.6193845640165536</v>
      </c>
      <c r="U17" s="57">
        <f>LN(T8)</f>
        <v>-2.871679624884012</v>
      </c>
      <c r="W17" s="57">
        <f>LN(V8)</f>
        <v>-0.72213471743319757</v>
      </c>
      <c r="Y17" s="57">
        <f>LN(X8)</f>
        <v>-1.3862943611198906</v>
      </c>
    </row>
    <row r="18" spans="2:25" x14ac:dyDescent="0.25">
      <c r="B18" s="50" t="s">
        <v>7</v>
      </c>
      <c r="C18" s="63">
        <f t="shared" ref="C18:H18" si="26">C7/$I$9</f>
        <v>1.2106537530266344E-2</v>
      </c>
      <c r="D18" s="63">
        <f t="shared" si="26"/>
        <v>3.1476997578692496E-2</v>
      </c>
      <c r="E18" s="63">
        <f t="shared" si="26"/>
        <v>5.0847457627118647E-2</v>
      </c>
      <c r="F18" s="63">
        <f t="shared" si="26"/>
        <v>7.2639225181598058E-2</v>
      </c>
      <c r="G18" s="63">
        <f t="shared" si="26"/>
        <v>8.4745762711864403E-2</v>
      </c>
      <c r="H18" s="63">
        <f t="shared" si="26"/>
        <v>2.4213075060532689E-3</v>
      </c>
      <c r="I18" s="53"/>
    </row>
    <row r="19" spans="2:25" x14ac:dyDescent="0.25">
      <c r="B19" s="50" t="s">
        <v>8</v>
      </c>
      <c r="C19" s="63">
        <f t="shared" ref="C19:H19" si="27">C8/$I$9</f>
        <v>2.1791767554479417E-2</v>
      </c>
      <c r="D19" s="63">
        <f t="shared" si="27"/>
        <v>3.3898305084745763E-2</v>
      </c>
      <c r="E19" s="63">
        <f t="shared" si="27"/>
        <v>3.3898305084745763E-2</v>
      </c>
      <c r="F19" s="63">
        <f t="shared" si="27"/>
        <v>2.6634382566585957E-2</v>
      </c>
      <c r="G19" s="63">
        <f t="shared" si="27"/>
        <v>7.2639225181598066E-3</v>
      </c>
      <c r="H19" s="63">
        <f t="shared" si="27"/>
        <v>4.1162227602905568E-2</v>
      </c>
      <c r="I19" s="53"/>
    </row>
    <row r="20" spans="2:25" x14ac:dyDescent="0.25">
      <c r="B20" s="50" t="s">
        <v>4</v>
      </c>
      <c r="C20" s="54"/>
      <c r="D20" s="54"/>
      <c r="E20" s="54"/>
      <c r="F20" s="53"/>
      <c r="G20" s="53"/>
      <c r="H20" s="53"/>
      <c r="I20" s="64">
        <f>SUM(C16:H19)</f>
        <v>1.0000000000000002</v>
      </c>
    </row>
    <row r="22" spans="2:25" x14ac:dyDescent="0.25">
      <c r="B22" s="298" t="s">
        <v>40</v>
      </c>
      <c r="C22" s="303" t="s">
        <v>10</v>
      </c>
      <c r="D22" s="303" t="s">
        <v>11</v>
      </c>
      <c r="E22" s="298" t="s">
        <v>0</v>
      </c>
      <c r="F22" s="302" t="s">
        <v>1</v>
      </c>
      <c r="G22" s="302" t="s">
        <v>2</v>
      </c>
      <c r="H22" s="302" t="s">
        <v>3</v>
      </c>
      <c r="I22" s="302" t="s">
        <v>4</v>
      </c>
      <c r="L22" s="305" t="s">
        <v>10</v>
      </c>
      <c r="M22" s="305" t="s">
        <v>11</v>
      </c>
      <c r="N22" s="302" t="s">
        <v>0</v>
      </c>
      <c r="O22" s="302" t="s">
        <v>1</v>
      </c>
      <c r="P22" s="302" t="s">
        <v>2</v>
      </c>
      <c r="Q22" s="302" t="s">
        <v>3</v>
      </c>
    </row>
    <row r="23" spans="2:25" x14ac:dyDescent="0.25">
      <c r="B23" s="298"/>
      <c r="C23" s="304"/>
      <c r="D23" s="304"/>
      <c r="E23" s="298"/>
      <c r="F23" s="302"/>
      <c r="G23" s="302"/>
      <c r="H23" s="302"/>
      <c r="I23" s="302"/>
      <c r="L23" s="306"/>
      <c r="M23" s="306"/>
      <c r="N23" s="302"/>
      <c r="O23" s="302"/>
      <c r="P23" s="302"/>
      <c r="Q23" s="302"/>
    </row>
    <row r="24" spans="2:25" x14ac:dyDescent="0.25">
      <c r="B24" s="50" t="s">
        <v>5</v>
      </c>
      <c r="C24" s="51">
        <f>C16*LN(C16)</f>
        <v>-1.4584618869155042E-2</v>
      </c>
      <c r="D24" s="51">
        <f t="shared" ref="D24:H24" si="28">D16*LN(D16)</f>
        <v>-9.6564347510385673E-2</v>
      </c>
      <c r="E24" s="51">
        <f t="shared" si="28"/>
        <v>-0.1514707706053022</v>
      </c>
      <c r="F24" s="51">
        <f t="shared" si="28"/>
        <v>-0.3008393815104532</v>
      </c>
      <c r="G24" s="51">
        <f t="shared" si="28"/>
        <v>-9.0093523001621961E-2</v>
      </c>
      <c r="H24" s="51">
        <f t="shared" si="28"/>
        <v>-6.1477309303626798E-2</v>
      </c>
      <c r="I24" s="53"/>
      <c r="K24" s="55" t="s">
        <v>35</v>
      </c>
      <c r="L24" s="57">
        <f>C9/$I$9</f>
        <v>3.8740920096852302E-2</v>
      </c>
      <c r="M24" s="57">
        <f t="shared" ref="M24:Q24" si="29">D9/$I$9</f>
        <v>0.18886198547215496</v>
      </c>
      <c r="N24" s="57">
        <f t="shared" si="29"/>
        <v>0.1937046004842615</v>
      </c>
      <c r="O24" s="57">
        <f t="shared" si="29"/>
        <v>0.36561743341404357</v>
      </c>
      <c r="P24" s="57">
        <f t="shared" si="29"/>
        <v>0.12832929782082325</v>
      </c>
      <c r="Q24" s="57">
        <f t="shared" si="29"/>
        <v>8.4745762711864403E-2</v>
      </c>
    </row>
    <row r="25" spans="2:25" x14ac:dyDescent="0.25">
      <c r="B25" s="50" t="s">
        <v>6</v>
      </c>
      <c r="C25" s="51">
        <f t="shared" ref="C25:H25" si="30">C17*LN(C17)</f>
        <v>-1.4584618869155042E-2</v>
      </c>
      <c r="D25" s="51">
        <f t="shared" si="30"/>
        <v>-0.22610829431933138</v>
      </c>
      <c r="E25" s="51">
        <f t="shared" si="30"/>
        <v>-0.16534975860221329</v>
      </c>
      <c r="F25" s="51">
        <f t="shared" si="30"/>
        <v>-0.22610829431933138</v>
      </c>
      <c r="G25" s="51">
        <f t="shared" si="30"/>
        <v>-5.3438373856258263E-2</v>
      </c>
      <c r="H25" s="51">
        <f t="shared" si="30"/>
        <v>-9.6564347510385673E-2</v>
      </c>
      <c r="I25" s="53"/>
      <c r="K25" s="55" t="s">
        <v>41</v>
      </c>
      <c r="L25" s="60">
        <f>M11</f>
        <v>0.3525938112673892</v>
      </c>
      <c r="M25" s="60">
        <f>O11</f>
        <v>0.16065182195533878</v>
      </c>
      <c r="N25" s="60">
        <f>Q11</f>
        <v>1.7893188037859886E-2</v>
      </c>
      <c r="O25" s="60">
        <f>S11</f>
        <v>0.16611793197820668</v>
      </c>
      <c r="P25" s="60">
        <f>U11</f>
        <v>0.41234319304408507</v>
      </c>
      <c r="Q25" s="60">
        <f>W11</f>
        <v>0.26786149006207904</v>
      </c>
      <c r="S25" s="57">
        <f>SUMPRODUCT(L24:Q24,L25:Q25)</f>
        <v>0.18381827420833396</v>
      </c>
      <c r="T25" s="57" t="s">
        <v>44</v>
      </c>
    </row>
    <row r="26" spans="2:25" x14ac:dyDescent="0.25">
      <c r="B26" s="50" t="s">
        <v>7</v>
      </c>
      <c r="C26" s="51">
        <f t="shared" ref="C26:H26" si="31">C18*LN(C18)</f>
        <v>-5.3438373856258263E-2</v>
      </c>
      <c r="D26" s="51">
        <f t="shared" si="31"/>
        <v>-0.1088631405847299</v>
      </c>
      <c r="E26" s="51">
        <f t="shared" si="31"/>
        <v>-0.1514707706053022</v>
      </c>
      <c r="F26" s="51">
        <f t="shared" si="31"/>
        <v>-0.19047822358103222</v>
      </c>
      <c r="G26" s="51">
        <f t="shared" si="31"/>
        <v>-0.20916097724335755</v>
      </c>
      <c r="H26" s="51">
        <f t="shared" si="31"/>
        <v>-1.4584618869155042E-2</v>
      </c>
      <c r="I26" s="53"/>
      <c r="K26" s="55" t="s">
        <v>42</v>
      </c>
      <c r="L26" s="57">
        <f>L24*LN(L24)</f>
        <v>-0.12594126375675552</v>
      </c>
      <c r="M26" s="57">
        <f t="shared" ref="M26:Q26" si="32">M24*LN(M24)</f>
        <v>-0.31478359266143441</v>
      </c>
      <c r="N26" s="57">
        <f t="shared" si="32"/>
        <v>-0.31795079095150625</v>
      </c>
      <c r="O26" s="57">
        <f t="shared" si="32"/>
        <v>-0.36787247258610745</v>
      </c>
      <c r="P26" s="57">
        <f t="shared" si="32"/>
        <v>-0.26348002665538084</v>
      </c>
      <c r="Q26" s="57">
        <f t="shared" si="32"/>
        <v>-0.20916097724335755</v>
      </c>
      <c r="S26" s="57">
        <f>-SUM(L26:Q26)</f>
        <v>1.5991891238545421</v>
      </c>
      <c r="T26" s="57" t="s">
        <v>43</v>
      </c>
    </row>
    <row r="27" spans="2:25" x14ac:dyDescent="0.25">
      <c r="B27" s="50" t="s">
        <v>8</v>
      </c>
      <c r="C27" s="51">
        <f t="shared" ref="C27:H27" si="33">C19*LN(C19)</f>
        <v>-8.3380162568095204E-2</v>
      </c>
      <c r="D27" s="51">
        <f t="shared" si="33"/>
        <v>-0.11472509367273812</v>
      </c>
      <c r="E27" s="51">
        <f t="shared" si="33"/>
        <v>-0.11472509367273812</v>
      </c>
      <c r="F27" s="51">
        <f t="shared" si="33"/>
        <v>-9.6564347510385673E-2</v>
      </c>
      <c r="G27" s="51">
        <f t="shared" si="33"/>
        <v>-3.5773622065081771E-2</v>
      </c>
      <c r="H27" s="51">
        <f t="shared" si="33"/>
        <v>-0.13131714826000454</v>
      </c>
      <c r="I27" s="53"/>
    </row>
    <row r="28" spans="2:25" x14ac:dyDescent="0.25">
      <c r="B28" s="50" t="s">
        <v>4</v>
      </c>
      <c r="C28" s="54"/>
      <c r="D28" s="54"/>
      <c r="E28" s="54"/>
      <c r="F28" s="53"/>
      <c r="G28" s="53"/>
      <c r="H28" s="53"/>
      <c r="I28" s="53">
        <f>-SUM(C24:H27)</f>
        <v>2.8016652107660982</v>
      </c>
      <c r="K28" s="55" t="s">
        <v>45</v>
      </c>
      <c r="L28" s="57">
        <f>1/6</f>
        <v>0.16666666666666666</v>
      </c>
      <c r="M28" s="57">
        <f t="shared" ref="M28:Q28" si="34">1/6</f>
        <v>0.16666666666666666</v>
      </c>
      <c r="N28" s="57">
        <f t="shared" si="34"/>
        <v>0.16666666666666666</v>
      </c>
      <c r="O28" s="57">
        <f t="shared" si="34"/>
        <v>0.16666666666666666</v>
      </c>
      <c r="P28" s="57">
        <f t="shared" si="34"/>
        <v>0.16666666666666666</v>
      </c>
      <c r="Q28" s="57">
        <f t="shared" si="34"/>
        <v>0.16666666666666666</v>
      </c>
    </row>
    <row r="29" spans="2:25" x14ac:dyDescent="0.25">
      <c r="K29" s="55" t="s">
        <v>46</v>
      </c>
      <c r="L29" s="57">
        <f>L28*LN(L28)</f>
        <v>-0.29862657820467581</v>
      </c>
      <c r="M29" s="57">
        <f t="shared" ref="M29:Q29" si="35">M28*LN(M28)</f>
        <v>-0.29862657820467581</v>
      </c>
      <c r="N29" s="57">
        <f t="shared" si="35"/>
        <v>-0.29862657820467581</v>
      </c>
      <c r="O29" s="57">
        <f t="shared" si="35"/>
        <v>-0.29862657820467581</v>
      </c>
      <c r="P29" s="57">
        <f t="shared" si="35"/>
        <v>-0.29862657820467581</v>
      </c>
      <c r="Q29" s="57">
        <f t="shared" si="35"/>
        <v>-0.29862657820467581</v>
      </c>
      <c r="S29" s="57">
        <f>-SUM(L29:Q29)</f>
        <v>1.7917594692280547</v>
      </c>
      <c r="T29" s="57" t="s">
        <v>47</v>
      </c>
    </row>
    <row r="31" spans="2:25" x14ac:dyDescent="0.25">
      <c r="B31" s="49" t="s">
        <v>39</v>
      </c>
      <c r="S31" s="57">
        <f>S29-S26</f>
        <v>0.19257034537351259</v>
      </c>
      <c r="T31" s="57" t="s">
        <v>48</v>
      </c>
    </row>
    <row r="32" spans="2:25" x14ac:dyDescent="0.25">
      <c r="B32" s="298"/>
      <c r="C32" s="303" t="s">
        <v>10</v>
      </c>
      <c r="D32" s="303" t="s">
        <v>11</v>
      </c>
      <c r="E32" s="298" t="s">
        <v>0</v>
      </c>
      <c r="F32" s="302" t="s">
        <v>1</v>
      </c>
      <c r="G32" s="302" t="s">
        <v>2</v>
      </c>
      <c r="H32" s="302" t="s">
        <v>3</v>
      </c>
      <c r="I32" s="302" t="s">
        <v>4</v>
      </c>
    </row>
    <row r="33" spans="2:19" x14ac:dyDescent="0.25">
      <c r="B33" s="298"/>
      <c r="C33" s="304"/>
      <c r="D33" s="304"/>
      <c r="E33" s="298"/>
      <c r="F33" s="302"/>
      <c r="G33" s="302"/>
      <c r="H33" s="302"/>
      <c r="I33" s="302"/>
      <c r="S33" s="57">
        <f>S31+S25</f>
        <v>0.37638861958184655</v>
      </c>
    </row>
    <row r="34" spans="2:19" x14ac:dyDescent="0.25">
      <c r="B34" s="50" t="s">
        <v>5</v>
      </c>
      <c r="C34" s="51">
        <f>1/24</f>
        <v>4.1666666666666664E-2</v>
      </c>
      <c r="D34" s="51">
        <f t="shared" ref="D34:H37" si="36">1/24</f>
        <v>4.1666666666666664E-2</v>
      </c>
      <c r="E34" s="51">
        <f t="shared" si="36"/>
        <v>4.1666666666666664E-2</v>
      </c>
      <c r="F34" s="51">
        <f t="shared" si="36"/>
        <v>4.1666666666666664E-2</v>
      </c>
      <c r="G34" s="51">
        <f t="shared" si="36"/>
        <v>4.1666666666666664E-2</v>
      </c>
      <c r="H34" s="51">
        <f t="shared" si="36"/>
        <v>4.1666666666666664E-2</v>
      </c>
      <c r="I34" s="53"/>
    </row>
    <row r="35" spans="2:19" x14ac:dyDescent="0.25">
      <c r="B35" s="50" t="s">
        <v>6</v>
      </c>
      <c r="C35" s="51">
        <f t="shared" ref="C35:C37" si="37">1/24</f>
        <v>4.1666666666666664E-2</v>
      </c>
      <c r="D35" s="51">
        <f t="shared" si="36"/>
        <v>4.1666666666666664E-2</v>
      </c>
      <c r="E35" s="51">
        <f t="shared" si="36"/>
        <v>4.1666666666666664E-2</v>
      </c>
      <c r="F35" s="51">
        <f t="shared" si="36"/>
        <v>4.1666666666666664E-2</v>
      </c>
      <c r="G35" s="51">
        <f t="shared" si="36"/>
        <v>4.1666666666666664E-2</v>
      </c>
      <c r="H35" s="51">
        <f t="shared" si="36"/>
        <v>4.1666666666666664E-2</v>
      </c>
      <c r="I35" s="53"/>
    </row>
    <row r="36" spans="2:19" x14ac:dyDescent="0.25">
      <c r="B36" s="50" t="s">
        <v>7</v>
      </c>
      <c r="C36" s="51">
        <f t="shared" si="37"/>
        <v>4.1666666666666664E-2</v>
      </c>
      <c r="D36" s="51">
        <f t="shared" si="36"/>
        <v>4.1666666666666664E-2</v>
      </c>
      <c r="E36" s="51">
        <f t="shared" si="36"/>
        <v>4.1666666666666664E-2</v>
      </c>
      <c r="F36" s="51">
        <f t="shared" si="36"/>
        <v>4.1666666666666664E-2</v>
      </c>
      <c r="G36" s="51">
        <f t="shared" si="36"/>
        <v>4.1666666666666664E-2</v>
      </c>
      <c r="H36" s="51">
        <f t="shared" si="36"/>
        <v>4.1666666666666664E-2</v>
      </c>
      <c r="I36" s="53"/>
    </row>
    <row r="37" spans="2:19" x14ac:dyDescent="0.25">
      <c r="B37" s="50" t="s">
        <v>8</v>
      </c>
      <c r="C37" s="51">
        <f t="shared" si="37"/>
        <v>4.1666666666666664E-2</v>
      </c>
      <c r="D37" s="51">
        <f t="shared" si="36"/>
        <v>4.1666666666666664E-2</v>
      </c>
      <c r="E37" s="51">
        <f t="shared" si="36"/>
        <v>4.1666666666666664E-2</v>
      </c>
      <c r="F37" s="51">
        <f t="shared" si="36"/>
        <v>4.1666666666666664E-2</v>
      </c>
      <c r="G37" s="51">
        <f t="shared" si="36"/>
        <v>4.1666666666666664E-2</v>
      </c>
      <c r="H37" s="51">
        <f t="shared" si="36"/>
        <v>4.1666666666666664E-2</v>
      </c>
      <c r="I37" s="53"/>
    </row>
    <row r="38" spans="2:19" x14ac:dyDescent="0.25">
      <c r="B38" s="50" t="s">
        <v>4</v>
      </c>
      <c r="C38" s="54"/>
      <c r="D38" s="54"/>
      <c r="E38" s="54"/>
      <c r="F38" s="53"/>
      <c r="G38" s="53"/>
      <c r="H38" s="53"/>
      <c r="I38" s="53"/>
    </row>
    <row r="40" spans="2:19" x14ac:dyDescent="0.25">
      <c r="B40" s="298"/>
      <c r="C40" s="303" t="s">
        <v>10</v>
      </c>
      <c r="D40" s="303" t="s">
        <v>11</v>
      </c>
      <c r="E40" s="298" t="s">
        <v>0</v>
      </c>
      <c r="F40" s="302" t="s">
        <v>1</v>
      </c>
      <c r="G40" s="302" t="s">
        <v>2</v>
      </c>
      <c r="H40" s="302" t="s">
        <v>3</v>
      </c>
      <c r="I40" s="302" t="s">
        <v>4</v>
      </c>
    </row>
    <row r="41" spans="2:19" x14ac:dyDescent="0.25">
      <c r="B41" s="298"/>
      <c r="C41" s="304"/>
      <c r="D41" s="304"/>
      <c r="E41" s="298"/>
      <c r="F41" s="302"/>
      <c r="G41" s="302"/>
      <c r="H41" s="302"/>
      <c r="I41" s="302"/>
    </row>
    <row r="42" spans="2:19" x14ac:dyDescent="0.25">
      <c r="B42" s="50" t="s">
        <v>5</v>
      </c>
      <c r="C42" s="51">
        <f>C34*LN(C34)</f>
        <v>-0.13241890959783106</v>
      </c>
      <c r="D42" s="51">
        <f t="shared" ref="D42:H42" si="38">D34*LN(D34)</f>
        <v>-0.13241890959783106</v>
      </c>
      <c r="E42" s="51">
        <f t="shared" si="38"/>
        <v>-0.13241890959783106</v>
      </c>
      <c r="F42" s="51">
        <f t="shared" si="38"/>
        <v>-0.13241890959783106</v>
      </c>
      <c r="G42" s="51">
        <f t="shared" si="38"/>
        <v>-0.13241890959783106</v>
      </c>
      <c r="H42" s="51">
        <f t="shared" si="38"/>
        <v>-0.13241890959783106</v>
      </c>
      <c r="I42" s="53"/>
    </row>
    <row r="43" spans="2:19" x14ac:dyDescent="0.25">
      <c r="B43" s="50" t="s">
        <v>6</v>
      </c>
      <c r="C43" s="51">
        <f t="shared" ref="C43:H43" si="39">C35*LN(C35)</f>
        <v>-0.13241890959783106</v>
      </c>
      <c r="D43" s="51">
        <f t="shared" si="39"/>
        <v>-0.13241890959783106</v>
      </c>
      <c r="E43" s="51">
        <f t="shared" si="39"/>
        <v>-0.13241890959783106</v>
      </c>
      <c r="F43" s="51">
        <f t="shared" si="39"/>
        <v>-0.13241890959783106</v>
      </c>
      <c r="G43" s="51">
        <f t="shared" si="39"/>
        <v>-0.13241890959783106</v>
      </c>
      <c r="H43" s="51">
        <f t="shared" si="39"/>
        <v>-0.13241890959783106</v>
      </c>
      <c r="I43" s="53"/>
    </row>
    <row r="44" spans="2:19" x14ac:dyDescent="0.25">
      <c r="B44" s="50" t="s">
        <v>7</v>
      </c>
      <c r="C44" s="51">
        <f t="shared" ref="C44:H44" si="40">C36*LN(C36)</f>
        <v>-0.13241890959783106</v>
      </c>
      <c r="D44" s="51">
        <f t="shared" si="40"/>
        <v>-0.13241890959783106</v>
      </c>
      <c r="E44" s="51">
        <f t="shared" si="40"/>
        <v>-0.13241890959783106</v>
      </c>
      <c r="F44" s="51">
        <f t="shared" si="40"/>
        <v>-0.13241890959783106</v>
      </c>
      <c r="G44" s="51">
        <f t="shared" si="40"/>
        <v>-0.13241890959783106</v>
      </c>
      <c r="H44" s="51">
        <f t="shared" si="40"/>
        <v>-0.13241890959783106</v>
      </c>
      <c r="I44" s="53"/>
    </row>
    <row r="45" spans="2:19" x14ac:dyDescent="0.25">
      <c r="B45" s="50" t="s">
        <v>8</v>
      </c>
      <c r="C45" s="51">
        <f t="shared" ref="C45:H45" si="41">C37*LN(C37)</f>
        <v>-0.13241890959783106</v>
      </c>
      <c r="D45" s="51">
        <f t="shared" si="41"/>
        <v>-0.13241890959783106</v>
      </c>
      <c r="E45" s="51">
        <f t="shared" si="41"/>
        <v>-0.13241890959783106</v>
      </c>
      <c r="F45" s="51">
        <f t="shared" si="41"/>
        <v>-0.13241890959783106</v>
      </c>
      <c r="G45" s="51">
        <f t="shared" si="41"/>
        <v>-0.13241890959783106</v>
      </c>
      <c r="H45" s="51">
        <f t="shared" si="41"/>
        <v>-0.13241890959783106</v>
      </c>
      <c r="I45" s="53"/>
    </row>
    <row r="46" spans="2:19" x14ac:dyDescent="0.25">
      <c r="B46" s="50" t="s">
        <v>4</v>
      </c>
      <c r="C46" s="54"/>
      <c r="D46" s="54"/>
      <c r="E46" s="54"/>
      <c r="F46" s="53"/>
      <c r="G46" s="53"/>
      <c r="H46" s="53"/>
      <c r="I46" s="53">
        <f>-SUM(C42:H45)</f>
        <v>3.1780538303479462</v>
      </c>
    </row>
    <row r="49" spans="2:25" x14ac:dyDescent="0.25">
      <c r="B49" s="49" t="s">
        <v>40</v>
      </c>
      <c r="C49" s="49">
        <f>I28</f>
        <v>2.8016652107660982</v>
      </c>
    </row>
    <row r="50" spans="2:25" x14ac:dyDescent="0.25">
      <c r="B50" s="49" t="s">
        <v>36</v>
      </c>
      <c r="C50" s="49">
        <f>I28/I46</f>
        <v>0.88156631710022371</v>
      </c>
    </row>
    <row r="51" spans="2:25" x14ac:dyDescent="0.25">
      <c r="B51" s="49" t="s">
        <v>37</v>
      </c>
      <c r="C51" s="49">
        <f>I46-I28</f>
        <v>0.37638861958184799</v>
      </c>
    </row>
    <row r="53" spans="2:25" s="259" customFormat="1" x14ac:dyDescent="0.25">
      <c r="L53" s="260"/>
      <c r="M53" s="260"/>
      <c r="N53" s="260"/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260"/>
    </row>
    <row r="56" spans="2:25" ht="13.2" customHeight="1" x14ac:dyDescent="0.25"/>
    <row r="57" spans="2:25" ht="26.4" x14ac:dyDescent="0.25">
      <c r="B57" s="257"/>
      <c r="C57" s="258" t="s">
        <v>10</v>
      </c>
      <c r="D57" s="258" t="s">
        <v>11</v>
      </c>
      <c r="E57" s="257" t="s">
        <v>0</v>
      </c>
      <c r="F57" s="256" t="s">
        <v>1</v>
      </c>
      <c r="G57" s="256" t="s">
        <v>2</v>
      </c>
      <c r="H57" s="256" t="s">
        <v>3</v>
      </c>
      <c r="I57" s="256" t="s">
        <v>4</v>
      </c>
    </row>
    <row r="58" spans="2:25" x14ac:dyDescent="0.25">
      <c r="B58" s="257" t="s">
        <v>5</v>
      </c>
      <c r="C58" s="51">
        <v>1</v>
      </c>
      <c r="D58" s="51">
        <v>11</v>
      </c>
      <c r="E58" s="51">
        <v>21</v>
      </c>
      <c r="F58" s="52">
        <v>70</v>
      </c>
      <c r="G58" s="52">
        <v>10</v>
      </c>
      <c r="H58" s="52">
        <v>6</v>
      </c>
      <c r="I58" s="53">
        <v>119</v>
      </c>
    </row>
    <row r="59" spans="2:25" x14ac:dyDescent="0.25">
      <c r="B59" s="257" t="s">
        <v>6</v>
      </c>
      <c r="C59" s="51">
        <v>1</v>
      </c>
      <c r="D59" s="51">
        <v>40</v>
      </c>
      <c r="E59" s="51">
        <v>24</v>
      </c>
      <c r="F59" s="52">
        <v>40</v>
      </c>
      <c r="G59" s="52">
        <v>5</v>
      </c>
      <c r="H59" s="52">
        <v>11</v>
      </c>
      <c r="I59" s="53">
        <v>121</v>
      </c>
    </row>
    <row r="60" spans="2:25" x14ac:dyDescent="0.25">
      <c r="B60" s="257" t="s">
        <v>7</v>
      </c>
      <c r="C60" s="51">
        <v>5</v>
      </c>
      <c r="D60" s="51">
        <v>13</v>
      </c>
      <c r="E60" s="51">
        <v>21</v>
      </c>
      <c r="F60" s="52">
        <v>30</v>
      </c>
      <c r="G60" s="52">
        <v>35</v>
      </c>
      <c r="H60" s="52">
        <v>1</v>
      </c>
      <c r="I60" s="53">
        <v>105</v>
      </c>
    </row>
    <row r="61" spans="2:25" x14ac:dyDescent="0.25">
      <c r="B61" s="257" t="s">
        <v>8</v>
      </c>
      <c r="C61" s="51">
        <v>9</v>
      </c>
      <c r="D61" s="51">
        <v>14</v>
      </c>
      <c r="E61" s="51">
        <v>14</v>
      </c>
      <c r="F61" s="52">
        <v>11</v>
      </c>
      <c r="G61" s="52">
        <v>3</v>
      </c>
      <c r="H61" s="52">
        <v>17</v>
      </c>
      <c r="I61" s="53">
        <v>68</v>
      </c>
    </row>
    <row r="62" spans="2:25" x14ac:dyDescent="0.25">
      <c r="B62" s="257" t="s">
        <v>4</v>
      </c>
      <c r="C62" s="54">
        <v>16</v>
      </c>
      <c r="D62" s="54">
        <v>78</v>
      </c>
      <c r="E62" s="54">
        <v>80</v>
      </c>
      <c r="F62" s="53">
        <v>151</v>
      </c>
      <c r="G62" s="53">
        <v>53</v>
      </c>
      <c r="H62" s="53">
        <v>35</v>
      </c>
      <c r="I62" s="53">
        <v>413</v>
      </c>
    </row>
    <row r="66" spans="2:14" ht="39.6" x14ac:dyDescent="0.25">
      <c r="B66" s="257"/>
      <c r="C66" s="99"/>
      <c r="D66" s="257" t="s">
        <v>10</v>
      </c>
      <c r="E66" s="257" t="s">
        <v>11</v>
      </c>
      <c r="F66" s="257" t="s">
        <v>0</v>
      </c>
      <c r="G66" s="256" t="s">
        <v>1</v>
      </c>
      <c r="H66" s="256" t="s">
        <v>2</v>
      </c>
      <c r="I66" s="256" t="s">
        <v>3</v>
      </c>
      <c r="J66" s="256" t="s">
        <v>4</v>
      </c>
      <c r="L66" s="261" t="s">
        <v>184</v>
      </c>
      <c r="M66" s="261" t="s">
        <v>185</v>
      </c>
      <c r="N66" s="261" t="s">
        <v>186</v>
      </c>
    </row>
    <row r="67" spans="2:14" x14ac:dyDescent="0.25">
      <c r="B67" s="305" t="s">
        <v>5</v>
      </c>
      <c r="C67" s="139" t="s">
        <v>35</v>
      </c>
      <c r="D67" s="146">
        <f>C58/$I58</f>
        <v>8.4033613445378148E-3</v>
      </c>
      <c r="E67" s="146">
        <f t="shared" ref="E67:I67" si="42">D58/$I58</f>
        <v>9.2436974789915971E-2</v>
      </c>
      <c r="F67" s="146">
        <f t="shared" si="42"/>
        <v>0.17647058823529413</v>
      </c>
      <c r="G67" s="146">
        <f t="shared" si="42"/>
        <v>0.58823529411764708</v>
      </c>
      <c r="H67" s="146">
        <f t="shared" si="42"/>
        <v>8.4033613445378158E-2</v>
      </c>
      <c r="I67" s="146">
        <f t="shared" si="42"/>
        <v>5.0420168067226892E-2</v>
      </c>
      <c r="J67" s="262">
        <f>SUM(D67:I67)</f>
        <v>1</v>
      </c>
      <c r="K67" s="263"/>
      <c r="L67" s="58"/>
      <c r="M67" s="58"/>
      <c r="N67" s="58"/>
    </row>
    <row r="68" spans="2:14" x14ac:dyDescent="0.25">
      <c r="B68" s="306"/>
      <c r="C68" s="139" t="s">
        <v>33</v>
      </c>
      <c r="D68" s="146">
        <f>D67*LN(D67)</f>
        <v>-4.0160701622785962E-2</v>
      </c>
      <c r="E68" s="146">
        <f t="shared" ref="E68:I68" si="43">E67*LN(E67)</f>
        <v>-0.22011353297012395</v>
      </c>
      <c r="F68" s="146">
        <f t="shared" si="43"/>
        <v>-0.30610606859790113</v>
      </c>
      <c r="G68" s="146">
        <f t="shared" si="43"/>
        <v>-0.31213426533068844</v>
      </c>
      <c r="H68" s="146">
        <f t="shared" si="43"/>
        <v>-0.20811247059810789</v>
      </c>
      <c r="I68" s="146">
        <f t="shared" si="43"/>
        <v>-0.15062339616219197</v>
      </c>
      <c r="J68" s="262">
        <f>SUM(D68:I68)</f>
        <v>-1.2372504352817992</v>
      </c>
      <c r="K68" s="263"/>
      <c r="L68" s="58">
        <f>J68*-1</f>
        <v>1.2372504352817992</v>
      </c>
      <c r="M68" s="58">
        <f>L68/$L$76</f>
        <v>0.69052261563592843</v>
      </c>
      <c r="N68" s="58">
        <f>$L$76-L68</f>
        <v>0.5545090339462555</v>
      </c>
    </row>
    <row r="69" spans="2:14" x14ac:dyDescent="0.25">
      <c r="B69" s="305" t="s">
        <v>6</v>
      </c>
      <c r="C69" s="139" t="s">
        <v>35</v>
      </c>
      <c r="D69" s="146">
        <f>C59/$I59</f>
        <v>8.2644628099173556E-3</v>
      </c>
      <c r="E69" s="146">
        <f t="shared" ref="E69:I69" si="44">D59/$I59</f>
        <v>0.33057851239669422</v>
      </c>
      <c r="F69" s="146">
        <f t="shared" si="44"/>
        <v>0.19834710743801653</v>
      </c>
      <c r="G69" s="146">
        <f t="shared" si="44"/>
        <v>0.33057851239669422</v>
      </c>
      <c r="H69" s="146">
        <f t="shared" si="44"/>
        <v>4.1322314049586778E-2</v>
      </c>
      <c r="I69" s="146">
        <f t="shared" si="44"/>
        <v>9.0909090909090912E-2</v>
      </c>
      <c r="J69" s="262">
        <f t="shared" ref="J69:J75" si="45">SUM(D69:I69)</f>
        <v>1</v>
      </c>
      <c r="K69" s="263"/>
      <c r="L69" s="58"/>
      <c r="M69" s="58"/>
      <c r="N69" s="58"/>
    </row>
    <row r="70" spans="2:14" x14ac:dyDescent="0.25">
      <c r="B70" s="306"/>
      <c r="C70" s="139" t="s">
        <v>33</v>
      </c>
      <c r="D70" s="146">
        <f>D69*LN(D69)</f>
        <v>-3.9634632608237533E-2</v>
      </c>
      <c r="E70" s="146">
        <f t="shared" ref="E70" si="46">E69*LN(E69)</f>
        <v>-0.36592102197778675</v>
      </c>
      <c r="F70" s="146">
        <f t="shared" ref="F70" si="47">F69*LN(F69)</f>
        <v>-0.32087339806587678</v>
      </c>
      <c r="G70" s="146">
        <f t="shared" ref="G70" si="48">G69*LN(G69)</f>
        <v>-0.36592102197778675</v>
      </c>
      <c r="H70" s="146">
        <f t="shared" ref="H70" si="49">H69*LN(H69)</f>
        <v>-0.13166746418027442</v>
      </c>
      <c r="I70" s="146">
        <f t="shared" ref="I70" si="50">I69*LN(I69)</f>
        <v>-0.21799047934530644</v>
      </c>
      <c r="J70" s="262">
        <f>SUM(D70:I70)</f>
        <v>-1.4420080181552688</v>
      </c>
      <c r="K70" s="263"/>
      <c r="L70" s="58">
        <f t="shared" ref="L70:L76" si="51">J70*-1</f>
        <v>1.4420080181552688</v>
      </c>
      <c r="M70" s="58">
        <f t="shared" ref="M70:M76" si="52">L70/$L$76</f>
        <v>0.80479999850455952</v>
      </c>
      <c r="N70" s="58">
        <f t="shared" ref="N70:N76" si="53">$L$76-L70</f>
        <v>0.34975145107278593</v>
      </c>
    </row>
    <row r="71" spans="2:14" x14ac:dyDescent="0.25">
      <c r="B71" s="305" t="s">
        <v>7</v>
      </c>
      <c r="C71" s="139" t="s">
        <v>35</v>
      </c>
      <c r="D71" s="146">
        <f>C60/$I60</f>
        <v>4.7619047619047616E-2</v>
      </c>
      <c r="E71" s="146">
        <f t="shared" ref="E71:I71" si="54">D60/$I60</f>
        <v>0.12380952380952381</v>
      </c>
      <c r="F71" s="146">
        <f t="shared" si="54"/>
        <v>0.2</v>
      </c>
      <c r="G71" s="146">
        <f t="shared" si="54"/>
        <v>0.2857142857142857</v>
      </c>
      <c r="H71" s="146">
        <f t="shared" si="54"/>
        <v>0.33333333333333331</v>
      </c>
      <c r="I71" s="146">
        <f t="shared" si="54"/>
        <v>9.5238095238095247E-3</v>
      </c>
      <c r="J71" s="262">
        <f t="shared" si="45"/>
        <v>1</v>
      </c>
      <c r="K71" s="263"/>
      <c r="L71" s="58"/>
      <c r="M71" s="58"/>
      <c r="N71" s="58"/>
    </row>
    <row r="72" spans="2:14" x14ac:dyDescent="0.25">
      <c r="B72" s="306"/>
      <c r="C72" s="139" t="s">
        <v>33</v>
      </c>
      <c r="D72" s="146">
        <f>D71*LN(D71)</f>
        <v>-0.14497725893921062</v>
      </c>
      <c r="E72" s="146">
        <f t="shared" ref="E72" si="55">E71*LN(E71)</f>
        <v>-0.25863945623855078</v>
      </c>
      <c r="F72" s="146">
        <f t="shared" ref="F72" si="56">F71*LN(F71)</f>
        <v>-0.32188758248682009</v>
      </c>
      <c r="G72" s="146">
        <f t="shared" ref="G72" si="57">G71*LN(G71)</f>
        <v>-0.35793227671296229</v>
      </c>
      <c r="H72" s="146">
        <f t="shared" ref="H72" si="58">H71*LN(H71)</f>
        <v>-0.36620409622270322</v>
      </c>
      <c r="I72" s="146">
        <f t="shared" ref="I72" si="59">I71*LN(I71)</f>
        <v>-4.4323431906262131E-2</v>
      </c>
      <c r="J72" s="262">
        <f>SUM(D72:I72)</f>
        <v>-1.4939641025065091</v>
      </c>
      <c r="K72" s="263"/>
      <c r="L72" s="58">
        <f t="shared" si="51"/>
        <v>1.4939641025065091</v>
      </c>
      <c r="M72" s="58">
        <f t="shared" si="52"/>
        <v>0.83379724129497967</v>
      </c>
      <c r="N72" s="58">
        <f t="shared" si="53"/>
        <v>0.29779536672154561</v>
      </c>
    </row>
    <row r="73" spans="2:14" x14ac:dyDescent="0.25">
      <c r="B73" s="305" t="s">
        <v>8</v>
      </c>
      <c r="C73" s="139" t="s">
        <v>35</v>
      </c>
      <c r="D73" s="146">
        <f>C61/$I61</f>
        <v>0.13235294117647059</v>
      </c>
      <c r="E73" s="146">
        <f t="shared" ref="E73:I73" si="60">D61/$I61</f>
        <v>0.20588235294117646</v>
      </c>
      <c r="F73" s="146">
        <f t="shared" si="60"/>
        <v>0.20588235294117646</v>
      </c>
      <c r="G73" s="146">
        <f t="shared" si="60"/>
        <v>0.16176470588235295</v>
      </c>
      <c r="H73" s="146">
        <f t="shared" si="60"/>
        <v>4.4117647058823532E-2</v>
      </c>
      <c r="I73" s="146">
        <f t="shared" si="60"/>
        <v>0.25</v>
      </c>
      <c r="J73" s="262">
        <f t="shared" si="45"/>
        <v>1</v>
      </c>
      <c r="K73" s="263"/>
      <c r="L73" s="58"/>
      <c r="M73" s="58"/>
      <c r="N73" s="58"/>
    </row>
    <row r="74" spans="2:14" x14ac:dyDescent="0.25">
      <c r="B74" s="306"/>
      <c r="C74" s="139" t="s">
        <v>33</v>
      </c>
      <c r="D74" s="146">
        <f>D73*LN(D73)</f>
        <v>-0.26765511986116158</v>
      </c>
      <c r="E74" s="146">
        <f t="shared" ref="E74" si="61">E73*LN(E73)</f>
        <v>-0.32538684202723339</v>
      </c>
      <c r="F74" s="146">
        <f t="shared" ref="F74" si="62">F73*LN(F73)</f>
        <v>-0.32538684202723339</v>
      </c>
      <c r="G74" s="146">
        <f t="shared" ref="G74" si="63">G73*LN(G73)</f>
        <v>-0.29467259935522205</v>
      </c>
      <c r="H74" s="146">
        <f t="shared" ref="H74" si="64">H73*LN(H73)</f>
        <v>-0.13768656249299988</v>
      </c>
      <c r="I74" s="146">
        <f t="shared" ref="I74" si="65">I73*LN(I73)</f>
        <v>-0.34657359027997264</v>
      </c>
      <c r="J74" s="262">
        <f>SUM(D74:I74)</f>
        <v>-1.6973615560438231</v>
      </c>
      <c r="K74" s="263"/>
      <c r="L74" s="58">
        <f t="shared" si="51"/>
        <v>1.6973615560438231</v>
      </c>
      <c r="M74" s="58">
        <f t="shared" si="52"/>
        <v>0.94731552152761822</v>
      </c>
      <c r="N74" s="58">
        <f t="shared" si="53"/>
        <v>9.439791318423163E-2</v>
      </c>
    </row>
    <row r="75" spans="2:14" x14ac:dyDescent="0.25">
      <c r="B75" s="307" t="s">
        <v>183</v>
      </c>
      <c r="C75" s="139" t="s">
        <v>35</v>
      </c>
      <c r="D75" s="264">
        <f>1/6</f>
        <v>0.16666666666666666</v>
      </c>
      <c r="E75" s="264">
        <f t="shared" ref="E75:I75" si="66">1/6</f>
        <v>0.16666666666666666</v>
      </c>
      <c r="F75" s="264">
        <f t="shared" si="66"/>
        <v>0.16666666666666666</v>
      </c>
      <c r="G75" s="264">
        <f t="shared" si="66"/>
        <v>0.16666666666666666</v>
      </c>
      <c r="H75" s="264">
        <f t="shared" si="66"/>
        <v>0.16666666666666666</v>
      </c>
      <c r="I75" s="264">
        <f t="shared" si="66"/>
        <v>0.16666666666666666</v>
      </c>
      <c r="J75" s="262">
        <f t="shared" si="45"/>
        <v>0.99999999999999989</v>
      </c>
      <c r="K75" s="263"/>
      <c r="L75" s="58"/>
      <c r="M75" s="58"/>
      <c r="N75" s="58"/>
    </row>
    <row r="76" spans="2:14" x14ac:dyDescent="0.25">
      <c r="B76" s="308"/>
      <c r="C76" s="139" t="s">
        <v>33</v>
      </c>
      <c r="D76" s="146">
        <f>D75*LN(D75)</f>
        <v>-0.29862657820467581</v>
      </c>
      <c r="E76" s="146">
        <f t="shared" ref="E76" si="67">E75*LN(E75)</f>
        <v>-0.29862657820467581</v>
      </c>
      <c r="F76" s="146">
        <f t="shared" ref="F76" si="68">F75*LN(F75)</f>
        <v>-0.29862657820467581</v>
      </c>
      <c r="G76" s="146">
        <f t="shared" ref="G76" si="69">G75*LN(G75)</f>
        <v>-0.29862657820467581</v>
      </c>
      <c r="H76" s="146">
        <f t="shared" ref="H76" si="70">H75*LN(H75)</f>
        <v>-0.29862657820467581</v>
      </c>
      <c r="I76" s="146">
        <f t="shared" ref="I76" si="71">I75*LN(I75)</f>
        <v>-0.29862657820467581</v>
      </c>
      <c r="J76" s="262">
        <f>SUM(D76:I76)</f>
        <v>-1.7917594692280547</v>
      </c>
      <c r="K76" s="263"/>
      <c r="L76" s="58">
        <f t="shared" si="51"/>
        <v>1.7917594692280547</v>
      </c>
      <c r="M76" s="58">
        <f t="shared" si="52"/>
        <v>1</v>
      </c>
      <c r="N76" s="58">
        <f t="shared" si="53"/>
        <v>0</v>
      </c>
    </row>
    <row r="78" spans="2:14" x14ac:dyDescent="0.25">
      <c r="D78" s="49">
        <f>LN(D67)</f>
        <v>-4.7791234931115296</v>
      </c>
      <c r="K78" s="55" t="s">
        <v>187</v>
      </c>
      <c r="L78" s="60">
        <f>AVERAGE(L68:L75)</f>
        <v>1.4676460279968502</v>
      </c>
      <c r="M78" s="60">
        <f t="shared" ref="M78:N78" si="72">AVERAGE(M68:M75)</f>
        <v>0.81910884424077146</v>
      </c>
      <c r="N78" s="60">
        <f t="shared" si="72"/>
        <v>0.32411344123120467</v>
      </c>
    </row>
    <row r="79" spans="2:14" x14ac:dyDescent="0.25">
      <c r="K79" s="55" t="s">
        <v>188</v>
      </c>
      <c r="L79" s="60">
        <f>_xlfn.STDEV.S(L68:L74)</f>
        <v>0.18903377261127377</v>
      </c>
      <c r="M79" s="60">
        <f t="shared" ref="M79:N79" si="73">_xlfn.STDEV.S(M68:M74)</f>
        <v>0.10550175727142481</v>
      </c>
      <c r="N79" s="60">
        <f t="shared" si="73"/>
        <v>0.18903377261127371</v>
      </c>
    </row>
    <row r="80" spans="2:14" x14ac:dyDescent="0.25">
      <c r="K80" s="55" t="s">
        <v>189</v>
      </c>
      <c r="L80" s="60">
        <f>L79/L78</f>
        <v>0.12880065697399856</v>
      </c>
      <c r="M80" s="60">
        <f t="shared" ref="M80:N80" si="74">M79/M78</f>
        <v>0.12880065697399953</v>
      </c>
      <c r="N80" s="60">
        <f t="shared" si="74"/>
        <v>0.58323336389010616</v>
      </c>
    </row>
  </sheetData>
  <mergeCells count="60">
    <mergeCell ref="B71:B72"/>
    <mergeCell ref="B73:B74"/>
    <mergeCell ref="B75:B76"/>
    <mergeCell ref="B67:B68"/>
    <mergeCell ref="B69:B70"/>
    <mergeCell ref="Q22:Q23"/>
    <mergeCell ref="L22:L23"/>
    <mergeCell ref="M22:M23"/>
    <mergeCell ref="N22:N23"/>
    <mergeCell ref="O22:O23"/>
    <mergeCell ref="P22:P23"/>
    <mergeCell ref="G32:G33"/>
    <mergeCell ref="H32:H33"/>
    <mergeCell ref="I32:I33"/>
    <mergeCell ref="B40:B41"/>
    <mergeCell ref="C40:C41"/>
    <mergeCell ref="D40:D41"/>
    <mergeCell ref="E40:E41"/>
    <mergeCell ref="F40:F41"/>
    <mergeCell ref="G40:G41"/>
    <mergeCell ref="H40:H41"/>
    <mergeCell ref="I40:I41"/>
    <mergeCell ref="B32:B33"/>
    <mergeCell ref="C32:C33"/>
    <mergeCell ref="D32:D33"/>
    <mergeCell ref="E32:E33"/>
    <mergeCell ref="F32:F33"/>
    <mergeCell ref="G14:G15"/>
    <mergeCell ref="H14:H15"/>
    <mergeCell ref="I14:I15"/>
    <mergeCell ref="B22:B23"/>
    <mergeCell ref="C22:C23"/>
    <mergeCell ref="D22:D23"/>
    <mergeCell ref="E22:E23"/>
    <mergeCell ref="F22:F23"/>
    <mergeCell ref="G22:G23"/>
    <mergeCell ref="H22:H23"/>
    <mergeCell ref="I22:I23"/>
    <mergeCell ref="B14:B15"/>
    <mergeCell ref="C14:C15"/>
    <mergeCell ref="D14:D15"/>
    <mergeCell ref="E14:E15"/>
    <mergeCell ref="F14:F15"/>
    <mergeCell ref="H3:H4"/>
    <mergeCell ref="I3:I4"/>
    <mergeCell ref="B3:B4"/>
    <mergeCell ref="C3:C4"/>
    <mergeCell ref="D3:D4"/>
    <mergeCell ref="E3:E4"/>
    <mergeCell ref="F3:F4"/>
    <mergeCell ref="G3:G4"/>
    <mergeCell ref="K3:K4"/>
    <mergeCell ref="X3:Y3"/>
    <mergeCell ref="AA3:AB3"/>
    <mergeCell ref="L3:M3"/>
    <mergeCell ref="N3:O3"/>
    <mergeCell ref="P3:Q3"/>
    <mergeCell ref="R3:S3"/>
    <mergeCell ref="T3:U3"/>
    <mergeCell ref="V3:W3"/>
  </mergeCells>
  <pageMargins left="0.7" right="0.7" top="0.75" bottom="0.75" header="0.3" footer="0.3"/>
  <ignoredErrors>
    <ignoredError sqref="N5:Y9 D69:J76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6"/>
  <sheetViews>
    <sheetView topLeftCell="B21" workbookViewId="0">
      <selection activeCell="S33" sqref="S33"/>
    </sheetView>
  </sheetViews>
  <sheetFormatPr defaultRowHeight="14.4" x14ac:dyDescent="0.3"/>
  <cols>
    <col min="1" max="1" width="3.5546875" customWidth="1"/>
    <col min="3" max="10" width="7.33203125" customWidth="1"/>
    <col min="13" max="18" width="9.44140625" bestFit="1" customWidth="1"/>
  </cols>
  <sheetData>
    <row r="3" spans="2:20" x14ac:dyDescent="0.3">
      <c r="B3" s="267"/>
      <c r="C3" s="268" t="s">
        <v>10</v>
      </c>
      <c r="D3" s="268" t="s">
        <v>11</v>
      </c>
      <c r="E3" s="267" t="s">
        <v>0</v>
      </c>
      <c r="F3" s="266" t="s">
        <v>1</v>
      </c>
      <c r="G3" s="266" t="s">
        <v>2</v>
      </c>
      <c r="H3" s="266" t="s">
        <v>3</v>
      </c>
      <c r="I3" s="266" t="s">
        <v>4</v>
      </c>
      <c r="J3" t="s">
        <v>151</v>
      </c>
      <c r="L3" s="267"/>
      <c r="M3" s="268" t="s">
        <v>10</v>
      </c>
      <c r="N3" s="268" t="s">
        <v>11</v>
      </c>
      <c r="O3" s="267" t="s">
        <v>0</v>
      </c>
      <c r="P3" s="266" t="s">
        <v>1</v>
      </c>
      <c r="Q3" s="266" t="s">
        <v>2</v>
      </c>
      <c r="R3" s="266" t="s">
        <v>3</v>
      </c>
      <c r="S3" s="266" t="s">
        <v>4</v>
      </c>
      <c r="T3" t="s">
        <v>151</v>
      </c>
    </row>
    <row r="4" spans="2:20" x14ac:dyDescent="0.3">
      <c r="B4" s="267"/>
      <c r="C4" s="269"/>
      <c r="D4" s="269"/>
      <c r="E4" s="267"/>
      <c r="F4" s="266"/>
      <c r="G4" s="266"/>
      <c r="H4" s="266"/>
      <c r="I4" s="266"/>
      <c r="J4" t="s">
        <v>152</v>
      </c>
      <c r="L4" s="267"/>
      <c r="M4" s="269"/>
      <c r="N4" s="269"/>
      <c r="O4" s="267"/>
      <c r="P4" s="266"/>
      <c r="Q4" s="266"/>
      <c r="R4" s="266"/>
      <c r="S4" s="266"/>
      <c r="T4" t="s">
        <v>152</v>
      </c>
    </row>
    <row r="5" spans="2:20" x14ac:dyDescent="0.3">
      <c r="B5" s="195" t="s">
        <v>5</v>
      </c>
      <c r="C5" s="5">
        <v>1</v>
      </c>
      <c r="D5" s="5">
        <v>11</v>
      </c>
      <c r="E5" s="5">
        <v>21</v>
      </c>
      <c r="F5" s="6">
        <v>70</v>
      </c>
      <c r="G5" s="6">
        <v>10</v>
      </c>
      <c r="H5" s="6">
        <v>6</v>
      </c>
      <c r="I5" s="7">
        <v>119</v>
      </c>
      <c r="J5">
        <v>43.50847457627119</v>
      </c>
      <c r="L5" s="195" t="s">
        <v>5</v>
      </c>
      <c r="M5" s="84">
        <f t="shared" ref="M5:R5" si="0">(C5/C$9)*LN((C5/C$9)/($I5/$I$9))</f>
        <v>-9.5516538899392364E-2</v>
      </c>
      <c r="N5" s="84">
        <f t="shared" si="0"/>
        <v>-0.10076133326229354</v>
      </c>
      <c r="O5" s="84">
        <f t="shared" si="0"/>
        <v>-2.4459775489000756E-2</v>
      </c>
      <c r="P5" s="84">
        <f t="shared" si="0"/>
        <v>0.22044877719122949</v>
      </c>
      <c r="Q5" s="84">
        <f t="shared" si="0"/>
        <v>-7.9883532209164679E-2</v>
      </c>
      <c r="R5" s="84">
        <f t="shared" si="0"/>
        <v>-8.9016770127746628E-2</v>
      </c>
      <c r="S5" s="7"/>
      <c r="T5" s="84">
        <f>(J5/J$9)*LN((J5/J$9)/($I5/$I$9))</f>
        <v>0</v>
      </c>
    </row>
    <row r="6" spans="2:20" x14ac:dyDescent="0.3">
      <c r="B6" s="195" t="s">
        <v>6</v>
      </c>
      <c r="C6" s="5">
        <v>1</v>
      </c>
      <c r="D6" s="5">
        <v>40</v>
      </c>
      <c r="E6" s="5">
        <v>24</v>
      </c>
      <c r="F6" s="6">
        <v>40</v>
      </c>
      <c r="G6" s="6">
        <v>5</v>
      </c>
      <c r="H6" s="6">
        <v>11</v>
      </c>
      <c r="I6" s="7">
        <v>121</v>
      </c>
      <c r="J6">
        <v>44.239709443099272</v>
      </c>
      <c r="L6" s="195" t="s">
        <v>6</v>
      </c>
      <c r="M6" s="84">
        <f t="shared" ref="M6:M7" si="1">(C6/C$9)*LN((C6/C$9)/($I6/$I$9))</f>
        <v>-9.6558229679718097E-2</v>
      </c>
      <c r="N6" s="84">
        <f t="shared" ref="N6:R8" si="2">(D6/D$9)*LN((D6/D$9)/($I6/$I$9))</f>
        <v>0.28709111527622361</v>
      </c>
      <c r="O6" s="84">
        <f t="shared" si="2"/>
        <v>7.1052729115066854E-3</v>
      </c>
      <c r="P6" s="84">
        <f t="shared" si="2"/>
        <v>-2.6686976248131475E-2</v>
      </c>
      <c r="Q6" s="84">
        <f t="shared" si="2"/>
        <v>-0.10690537299563488</v>
      </c>
      <c r="R6" s="84">
        <f t="shared" si="2"/>
        <v>2.2064195583020977E-2</v>
      </c>
      <c r="S6" s="7"/>
      <c r="T6" s="84">
        <f>(J6/J$9)*LN((J6/J$9)/($I6/$I$9))</f>
        <v>0</v>
      </c>
    </row>
    <row r="7" spans="2:20" x14ac:dyDescent="0.3">
      <c r="B7" s="195" t="s">
        <v>7</v>
      </c>
      <c r="C7" s="5">
        <v>5</v>
      </c>
      <c r="D7" s="5">
        <v>13</v>
      </c>
      <c r="E7" s="5">
        <v>21</v>
      </c>
      <c r="F7" s="6">
        <v>30</v>
      </c>
      <c r="G7" s="6">
        <v>35</v>
      </c>
      <c r="H7" s="6">
        <v>1</v>
      </c>
      <c r="I7" s="7">
        <v>105</v>
      </c>
      <c r="J7">
        <v>38.389830508474574</v>
      </c>
      <c r="L7" s="195" t="s">
        <v>7</v>
      </c>
      <c r="M7" s="84">
        <f t="shared" si="1"/>
        <v>6.4480135311821438E-2</v>
      </c>
      <c r="N7" s="84">
        <f t="shared" si="2"/>
        <v>-7.0378704404090928E-2</v>
      </c>
      <c r="O7" s="84">
        <f t="shared" si="2"/>
        <v>8.3955495364258764E-3</v>
      </c>
      <c r="P7" s="84">
        <f t="shared" si="2"/>
        <v>-4.8992426294554879E-2</v>
      </c>
      <c r="Q7" s="84">
        <f t="shared" si="2"/>
        <v>0.63035884294203859</v>
      </c>
      <c r="R7" s="84">
        <f t="shared" si="2"/>
        <v>-6.2453166248168691E-2</v>
      </c>
      <c r="S7" s="7"/>
      <c r="T7" s="84">
        <f>(J7/J$9)*LN((J7/J$9)/($I7/$I$9))</f>
        <v>0</v>
      </c>
    </row>
    <row r="8" spans="2:20" x14ac:dyDescent="0.3">
      <c r="B8" s="195" t="s">
        <v>8</v>
      </c>
      <c r="C8" s="5">
        <v>9</v>
      </c>
      <c r="D8" s="5">
        <v>14</v>
      </c>
      <c r="E8" s="5">
        <v>14</v>
      </c>
      <c r="F8" s="6">
        <v>11</v>
      </c>
      <c r="G8" s="6">
        <v>3</v>
      </c>
      <c r="H8" s="6">
        <v>17</v>
      </c>
      <c r="I8" s="7">
        <v>68</v>
      </c>
      <c r="J8">
        <v>24.861985472154963</v>
      </c>
      <c r="L8" s="195" t="s">
        <v>8</v>
      </c>
      <c r="M8" s="84">
        <f>(C8/C$9)*LN((C8/C$9)/($I8/$I$9))</f>
        <v>0.69107385537076738</v>
      </c>
      <c r="N8" s="84">
        <f t="shared" si="2"/>
        <v>1.5487659871132086E-2</v>
      </c>
      <c r="O8" s="84">
        <f t="shared" si="2"/>
        <v>1.0669851977103016E-2</v>
      </c>
      <c r="P8" s="84">
        <f t="shared" si="2"/>
        <v>-5.9403254559919891E-2</v>
      </c>
      <c r="Q8" s="84">
        <f t="shared" si="2"/>
        <v>-6.0438098326363356E-2</v>
      </c>
      <c r="R8" s="84">
        <f t="shared" si="2"/>
        <v>0.52544822559941096</v>
      </c>
      <c r="S8" s="7"/>
      <c r="T8" s="84">
        <f>(J8/J$9)*LN((J8/J$9)/($I8/$I$9))</f>
        <v>0</v>
      </c>
    </row>
    <row r="9" spans="2:20" x14ac:dyDescent="0.3">
      <c r="B9" s="195" t="s">
        <v>4</v>
      </c>
      <c r="C9" s="8">
        <v>16</v>
      </c>
      <c r="D9" s="8">
        <v>78</v>
      </c>
      <c r="E9" s="8">
        <v>80</v>
      </c>
      <c r="F9" s="7">
        <v>151</v>
      </c>
      <c r="G9" s="7">
        <v>53</v>
      </c>
      <c r="H9" s="7">
        <v>35</v>
      </c>
      <c r="I9" s="7">
        <v>413</v>
      </c>
      <c r="J9">
        <v>151</v>
      </c>
      <c r="L9" s="195" t="s">
        <v>4</v>
      </c>
      <c r="M9" s="198">
        <f>SUM(M5:M8)</f>
        <v>0.56347922210347834</v>
      </c>
      <c r="N9" s="198">
        <f t="shared" ref="N9:R9" si="3">SUM(N5:N8)</f>
        <v>0.13143873748097123</v>
      </c>
      <c r="O9" s="198">
        <f t="shared" si="3"/>
        <v>1.7108989360348215E-3</v>
      </c>
      <c r="P9" s="198">
        <f t="shared" si="3"/>
        <v>8.5366120088623251E-2</v>
      </c>
      <c r="Q9" s="198">
        <f t="shared" si="3"/>
        <v>0.38313183941087564</v>
      </c>
      <c r="R9" s="198">
        <f t="shared" si="3"/>
        <v>0.3960424848065166</v>
      </c>
      <c r="S9" s="7"/>
      <c r="T9" s="198">
        <f t="shared" ref="T9" si="4">SUM(T5:T8)</f>
        <v>0</v>
      </c>
    </row>
    <row r="11" spans="2:20" x14ac:dyDescent="0.3">
      <c r="B11" s="267"/>
      <c r="C11" s="268" t="s">
        <v>10</v>
      </c>
      <c r="D11" s="268" t="s">
        <v>11</v>
      </c>
      <c r="E11" s="267" t="s">
        <v>0</v>
      </c>
      <c r="F11" s="266" t="s">
        <v>1</v>
      </c>
      <c r="G11" s="266" t="s">
        <v>2</v>
      </c>
      <c r="H11" s="266" t="s">
        <v>3</v>
      </c>
      <c r="I11" s="266" t="s">
        <v>4</v>
      </c>
      <c r="J11" s="200"/>
    </row>
    <row r="12" spans="2:20" x14ac:dyDescent="0.3">
      <c r="B12" s="267"/>
      <c r="C12" s="269"/>
      <c r="D12" s="269"/>
      <c r="E12" s="267"/>
      <c r="F12" s="266"/>
      <c r="G12" s="266"/>
      <c r="H12" s="266"/>
      <c r="I12" s="266"/>
      <c r="J12" s="200"/>
      <c r="L12" s="202"/>
      <c r="M12" s="203"/>
      <c r="N12" s="203"/>
    </row>
    <row r="13" spans="2:20" x14ac:dyDescent="0.3">
      <c r="B13" s="195" t="s">
        <v>5</v>
      </c>
      <c r="C13" s="5">
        <f>C5/C$9</f>
        <v>6.25E-2</v>
      </c>
      <c r="D13" s="5">
        <f t="shared" ref="D13:I13" si="5">D5/D$9</f>
        <v>0.14102564102564102</v>
      </c>
      <c r="E13" s="5">
        <f t="shared" si="5"/>
        <v>0.26250000000000001</v>
      </c>
      <c r="F13" s="5">
        <f t="shared" si="5"/>
        <v>0.46357615894039733</v>
      </c>
      <c r="G13" s="5">
        <f t="shared" si="5"/>
        <v>0.18867924528301888</v>
      </c>
      <c r="H13" s="5">
        <f t="shared" si="5"/>
        <v>0.17142857142857143</v>
      </c>
      <c r="I13" s="5">
        <f t="shared" si="5"/>
        <v>0.28813559322033899</v>
      </c>
      <c r="J13" s="201"/>
      <c r="L13" s="202"/>
      <c r="M13" s="203"/>
      <c r="N13" s="203"/>
    </row>
    <row r="14" spans="2:20" x14ac:dyDescent="0.3">
      <c r="B14" s="195" t="s">
        <v>6</v>
      </c>
      <c r="C14" s="5">
        <f t="shared" ref="C14:I16" si="6">C6/C$9</f>
        <v>6.25E-2</v>
      </c>
      <c r="D14" s="5">
        <f t="shared" si="6"/>
        <v>0.51282051282051277</v>
      </c>
      <c r="E14" s="5">
        <f t="shared" si="6"/>
        <v>0.3</v>
      </c>
      <c r="F14" s="5">
        <f t="shared" si="6"/>
        <v>0.26490066225165565</v>
      </c>
      <c r="G14" s="5">
        <f t="shared" si="6"/>
        <v>9.4339622641509441E-2</v>
      </c>
      <c r="H14" s="5">
        <f t="shared" si="6"/>
        <v>0.31428571428571428</v>
      </c>
      <c r="I14" s="5">
        <f t="shared" si="6"/>
        <v>0.29297820823244553</v>
      </c>
      <c r="J14" s="201"/>
      <c r="L14" s="202"/>
      <c r="M14" s="203"/>
      <c r="N14" s="203"/>
    </row>
    <row r="15" spans="2:20" x14ac:dyDescent="0.3">
      <c r="B15" s="195" t="s">
        <v>7</v>
      </c>
      <c r="C15" s="5">
        <f t="shared" si="6"/>
        <v>0.3125</v>
      </c>
      <c r="D15" s="5">
        <f t="shared" si="6"/>
        <v>0.16666666666666666</v>
      </c>
      <c r="E15" s="5">
        <f t="shared" si="6"/>
        <v>0.26250000000000001</v>
      </c>
      <c r="F15" s="5">
        <f t="shared" si="6"/>
        <v>0.19867549668874171</v>
      </c>
      <c r="G15" s="5">
        <f t="shared" si="6"/>
        <v>0.660377358490566</v>
      </c>
      <c r="H15" s="5">
        <f t="shared" si="6"/>
        <v>2.8571428571428571E-2</v>
      </c>
      <c r="I15" s="5">
        <f t="shared" si="6"/>
        <v>0.25423728813559321</v>
      </c>
      <c r="J15" s="201"/>
      <c r="L15" s="202"/>
      <c r="M15" s="203"/>
      <c r="N15" s="203"/>
    </row>
    <row r="16" spans="2:20" x14ac:dyDescent="0.3">
      <c r="B16" s="195" t="s">
        <v>8</v>
      </c>
      <c r="C16" s="5">
        <f t="shared" si="6"/>
        <v>0.5625</v>
      </c>
      <c r="D16" s="5">
        <f t="shared" si="6"/>
        <v>0.17948717948717949</v>
      </c>
      <c r="E16" s="5">
        <f t="shared" si="6"/>
        <v>0.17499999999999999</v>
      </c>
      <c r="F16" s="5">
        <f t="shared" si="6"/>
        <v>7.2847682119205295E-2</v>
      </c>
      <c r="G16" s="5">
        <f t="shared" si="6"/>
        <v>5.6603773584905662E-2</v>
      </c>
      <c r="H16" s="5">
        <f t="shared" si="6"/>
        <v>0.48571428571428571</v>
      </c>
      <c r="I16" s="5">
        <f t="shared" si="6"/>
        <v>0.16464891041162227</v>
      </c>
      <c r="J16" s="201"/>
      <c r="L16" s="202"/>
      <c r="M16" s="203"/>
      <c r="N16" s="203"/>
    </row>
    <row r="17" spans="2:19" x14ac:dyDescent="0.3">
      <c r="B17" s="195" t="s">
        <v>4</v>
      </c>
      <c r="C17" s="8">
        <f>SUM(C13:C16)</f>
        <v>1</v>
      </c>
      <c r="D17" s="8">
        <f t="shared" ref="D17:I17" si="7">SUM(D13:D16)</f>
        <v>0.99999999999999989</v>
      </c>
      <c r="E17" s="8">
        <f t="shared" si="7"/>
        <v>1</v>
      </c>
      <c r="F17" s="8">
        <f t="shared" si="7"/>
        <v>1</v>
      </c>
      <c r="G17" s="8">
        <f t="shared" si="7"/>
        <v>1</v>
      </c>
      <c r="H17" s="8">
        <f t="shared" si="7"/>
        <v>1</v>
      </c>
      <c r="I17" s="8">
        <f t="shared" si="7"/>
        <v>1</v>
      </c>
      <c r="J17" s="192"/>
      <c r="L17" s="203"/>
      <c r="M17" s="203"/>
      <c r="N17" s="203"/>
    </row>
    <row r="20" spans="2:19" s="204" customFormat="1" x14ac:dyDescent="0.3"/>
    <row r="22" spans="2:19" x14ac:dyDescent="0.3">
      <c r="B22" s="267"/>
      <c r="C22" s="268" t="s">
        <v>10</v>
      </c>
      <c r="D22" s="268" t="s">
        <v>11</v>
      </c>
      <c r="E22" s="267" t="s">
        <v>0</v>
      </c>
      <c r="F22" s="266" t="s">
        <v>1</v>
      </c>
      <c r="G22" s="266" t="s">
        <v>2</v>
      </c>
      <c r="H22" s="266" t="s">
        <v>3</v>
      </c>
      <c r="I22" s="266" t="s">
        <v>4</v>
      </c>
    </row>
    <row r="23" spans="2:19" x14ac:dyDescent="0.3">
      <c r="B23" s="267"/>
      <c r="C23" s="269"/>
      <c r="D23" s="269"/>
      <c r="E23" s="267"/>
      <c r="F23" s="266"/>
      <c r="G23" s="266"/>
      <c r="H23" s="266"/>
      <c r="I23" s="266"/>
    </row>
    <row r="24" spans="2:19" x14ac:dyDescent="0.3">
      <c r="B24" s="196" t="s">
        <v>5</v>
      </c>
      <c r="C24" s="5">
        <v>1</v>
      </c>
      <c r="D24" s="5">
        <v>11</v>
      </c>
      <c r="E24" s="5">
        <v>21</v>
      </c>
      <c r="F24" s="6">
        <v>70</v>
      </c>
      <c r="G24" s="6">
        <v>10</v>
      </c>
      <c r="H24" s="6">
        <v>6</v>
      </c>
      <c r="I24" s="7">
        <v>119</v>
      </c>
    </row>
    <row r="25" spans="2:19" x14ac:dyDescent="0.3">
      <c r="B25" s="196" t="s">
        <v>6</v>
      </c>
      <c r="C25" s="5">
        <v>1</v>
      </c>
      <c r="D25" s="5">
        <v>40</v>
      </c>
      <c r="E25" s="5">
        <v>24</v>
      </c>
      <c r="F25" s="6">
        <v>40</v>
      </c>
      <c r="G25" s="6">
        <v>5</v>
      </c>
      <c r="H25" s="6">
        <v>11</v>
      </c>
      <c r="I25" s="7">
        <v>121</v>
      </c>
    </row>
    <row r="26" spans="2:19" x14ac:dyDescent="0.3">
      <c r="B26" s="196" t="s">
        <v>7</v>
      </c>
      <c r="C26" s="5">
        <v>5</v>
      </c>
      <c r="D26" s="5">
        <v>13</v>
      </c>
      <c r="E26" s="5">
        <v>21</v>
      </c>
      <c r="F26" s="6">
        <v>30</v>
      </c>
      <c r="G26" s="6">
        <v>35</v>
      </c>
      <c r="H26" s="6">
        <v>1</v>
      </c>
      <c r="I26" s="7">
        <v>105</v>
      </c>
    </row>
    <row r="27" spans="2:19" x14ac:dyDescent="0.3">
      <c r="B27" s="196" t="s">
        <v>8</v>
      </c>
      <c r="C27" s="5">
        <v>9</v>
      </c>
      <c r="D27" s="5">
        <v>14</v>
      </c>
      <c r="E27" s="5">
        <v>14</v>
      </c>
      <c r="F27" s="6">
        <v>11</v>
      </c>
      <c r="G27" s="6">
        <v>3</v>
      </c>
      <c r="H27" s="6">
        <v>17</v>
      </c>
      <c r="I27" s="7">
        <v>68</v>
      </c>
    </row>
    <row r="28" spans="2:19" x14ac:dyDescent="0.3">
      <c r="B28" s="196" t="s">
        <v>4</v>
      </c>
      <c r="C28" s="8">
        <v>16</v>
      </c>
      <c r="D28" s="8">
        <v>78</v>
      </c>
      <c r="E28" s="8">
        <v>80</v>
      </c>
      <c r="F28" s="7">
        <v>151</v>
      </c>
      <c r="G28" s="7">
        <v>53</v>
      </c>
      <c r="H28" s="7">
        <v>35</v>
      </c>
      <c r="I28" s="7">
        <v>413</v>
      </c>
    </row>
    <row r="32" spans="2:19" x14ac:dyDescent="0.3">
      <c r="L32" s="205"/>
      <c r="M32" s="205" t="s">
        <v>10</v>
      </c>
      <c r="N32" s="205" t="s">
        <v>11</v>
      </c>
      <c r="O32" s="205" t="s">
        <v>0</v>
      </c>
      <c r="P32" s="206" t="s">
        <v>1</v>
      </c>
      <c r="Q32" s="206" t="s">
        <v>2</v>
      </c>
      <c r="R32" s="206" t="s">
        <v>3</v>
      </c>
      <c r="S32" s="206" t="s">
        <v>4</v>
      </c>
    </row>
    <row r="33" spans="12:19" x14ac:dyDescent="0.3">
      <c r="L33" s="205" t="s">
        <v>5</v>
      </c>
      <c r="M33" s="207">
        <f t="shared" ref="M33:R36" si="8">(C24/$I24)*LN((C24/$I24)/(1/6))</f>
        <v>-2.5103899360365327E-2</v>
      </c>
      <c r="N33" s="207">
        <f t="shared" si="8"/>
        <v>-5.4488708083496991E-2</v>
      </c>
      <c r="O33" s="207">
        <f t="shared" si="8"/>
        <v>1.0086778912932148E-2</v>
      </c>
      <c r="P33" s="207">
        <f t="shared" si="8"/>
        <v>0.7418418930387557</v>
      </c>
      <c r="Q33" s="207">
        <f t="shared" si="8"/>
        <v>-5.7544447973901562E-2</v>
      </c>
      <c r="R33" s="207">
        <f t="shared" si="8"/>
        <v>-6.02825825876682E-2</v>
      </c>
      <c r="S33" s="208">
        <f>SUM(M33:R33)</f>
        <v>0.55450903394625584</v>
      </c>
    </row>
    <row r="34" spans="12:19" x14ac:dyDescent="0.3">
      <c r="L34" s="205" t="s">
        <v>6</v>
      </c>
      <c r="M34" s="207">
        <f t="shared" si="8"/>
        <v>-2.4826703110485009E-2</v>
      </c>
      <c r="N34" s="207">
        <f t="shared" si="8"/>
        <v>0.22639615793231413</v>
      </c>
      <c r="O34" s="207">
        <f t="shared" si="8"/>
        <v>3.4516909880183716E-2</v>
      </c>
      <c r="P34" s="207">
        <f t="shared" si="8"/>
        <v>0.22639615793231413</v>
      </c>
      <c r="Q34" s="207">
        <f t="shared" si="8"/>
        <v>-5.7627816691511805E-2</v>
      </c>
      <c r="R34" s="207">
        <f t="shared" si="8"/>
        <v>-5.5103254870028671E-2</v>
      </c>
      <c r="S34" s="208">
        <f t="shared" ref="S34:S36" si="9">SUM(M34:R34)</f>
        <v>0.34975145107278655</v>
      </c>
    </row>
    <row r="35" spans="12:19" x14ac:dyDescent="0.3">
      <c r="L35" s="205" t="s">
        <v>7</v>
      </c>
      <c r="M35" s="207">
        <f t="shared" si="8"/>
        <v>-5.965537945216038E-2</v>
      </c>
      <c r="N35" s="207">
        <f t="shared" si="8"/>
        <v>-3.6802569572220105E-2</v>
      </c>
      <c r="O35" s="207">
        <f t="shared" si="8"/>
        <v>3.6464311358790961E-2</v>
      </c>
      <c r="P35" s="207">
        <f t="shared" si="8"/>
        <v>0.1539990002093391</v>
      </c>
      <c r="Q35" s="207">
        <f t="shared" si="8"/>
        <v>0.23104906018664842</v>
      </c>
      <c r="R35" s="207">
        <f t="shared" si="8"/>
        <v>-2.7259056008852079E-2</v>
      </c>
      <c r="S35" s="208">
        <f t="shared" si="9"/>
        <v>0.29779536672154588</v>
      </c>
    </row>
    <row r="36" spans="12:19" x14ac:dyDescent="0.3">
      <c r="L36" s="205" t="s">
        <v>8</v>
      </c>
      <c r="M36" s="207">
        <f t="shared" si="8"/>
        <v>-3.0510484228036622E-2</v>
      </c>
      <c r="N36" s="207">
        <f t="shared" si="8"/>
        <v>4.3504813402072018E-2</v>
      </c>
      <c r="O36" s="207">
        <f t="shared" si="8"/>
        <v>4.3504813402072018E-2</v>
      </c>
      <c r="P36" s="207">
        <f t="shared" si="8"/>
        <v>-4.8291558036248749E-3</v>
      </c>
      <c r="Q36" s="207">
        <f t="shared" si="8"/>
        <v>-5.8638350615291553E-2</v>
      </c>
      <c r="R36" s="207">
        <f t="shared" si="8"/>
        <v>0.1013662770270411</v>
      </c>
      <c r="S36" s="208">
        <f t="shared" si="9"/>
        <v>9.4397913184232074E-2</v>
      </c>
    </row>
  </sheetData>
  <mergeCells count="32">
    <mergeCell ref="H22:H23"/>
    <mergeCell ref="I22:I23"/>
    <mergeCell ref="G3:G4"/>
    <mergeCell ref="B22:B23"/>
    <mergeCell ref="C22:C23"/>
    <mergeCell ref="D22:D23"/>
    <mergeCell ref="E22:E23"/>
    <mergeCell ref="F22:F23"/>
    <mergeCell ref="G22:G23"/>
    <mergeCell ref="B3:B4"/>
    <mergeCell ref="C3:C4"/>
    <mergeCell ref="D3:D4"/>
    <mergeCell ref="E3:E4"/>
    <mergeCell ref="F3:F4"/>
    <mergeCell ref="H3:H4"/>
    <mergeCell ref="I3:I4"/>
    <mergeCell ref="O3:O4"/>
    <mergeCell ref="P3:P4"/>
    <mergeCell ref="Q3:Q4"/>
    <mergeCell ref="R3:R4"/>
    <mergeCell ref="S3:S4"/>
    <mergeCell ref="L3:L4"/>
    <mergeCell ref="M3:M4"/>
    <mergeCell ref="N3:N4"/>
    <mergeCell ref="H11:H12"/>
    <mergeCell ref="I11:I12"/>
    <mergeCell ref="G11:G12"/>
    <mergeCell ref="B11:B12"/>
    <mergeCell ref="C11:C12"/>
    <mergeCell ref="D11:D12"/>
    <mergeCell ref="E11:E12"/>
    <mergeCell ref="F11:F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9"/>
  <sheetViews>
    <sheetView workbookViewId="0">
      <selection activeCell="C13" sqref="C13:J19"/>
    </sheetView>
  </sheetViews>
  <sheetFormatPr defaultRowHeight="14.4" x14ac:dyDescent="0.3"/>
  <sheetData>
    <row r="4" spans="3:13" x14ac:dyDescent="0.3">
      <c r="C4" s="267"/>
      <c r="D4" s="268" t="s">
        <v>10</v>
      </c>
      <c r="E4" s="268" t="s">
        <v>11</v>
      </c>
      <c r="F4" s="267" t="s">
        <v>0</v>
      </c>
      <c r="G4" s="266" t="s">
        <v>1</v>
      </c>
      <c r="H4" s="266" t="s">
        <v>2</v>
      </c>
      <c r="I4" s="266" t="s">
        <v>3</v>
      </c>
      <c r="J4" s="266" t="s">
        <v>4</v>
      </c>
    </row>
    <row r="5" spans="3:13" x14ac:dyDescent="0.3">
      <c r="C5" s="267"/>
      <c r="D5" s="269"/>
      <c r="E5" s="269"/>
      <c r="F5" s="267"/>
      <c r="G5" s="266"/>
      <c r="H5" s="266"/>
      <c r="I5" s="266"/>
      <c r="J5" s="266"/>
    </row>
    <row r="6" spans="3:13" x14ac:dyDescent="0.3">
      <c r="C6" s="61" t="s">
        <v>5</v>
      </c>
      <c r="D6" s="5">
        <v>1</v>
      </c>
      <c r="E6" s="5">
        <v>11</v>
      </c>
      <c r="F6" s="5">
        <v>21</v>
      </c>
      <c r="G6" s="6">
        <v>70</v>
      </c>
      <c r="H6" s="6">
        <v>10</v>
      </c>
      <c r="I6" s="6">
        <v>6</v>
      </c>
      <c r="J6" s="7">
        <v>119</v>
      </c>
      <c r="L6" s="6">
        <f>J6</f>
        <v>119</v>
      </c>
      <c r="M6" s="6">
        <v>0</v>
      </c>
    </row>
    <row r="7" spans="3:13" x14ac:dyDescent="0.3">
      <c r="C7" s="61" t="s">
        <v>6</v>
      </c>
      <c r="D7" s="5">
        <v>1</v>
      </c>
      <c r="E7" s="5">
        <v>40</v>
      </c>
      <c r="F7" s="5">
        <v>24</v>
      </c>
      <c r="G7" s="6">
        <v>40</v>
      </c>
      <c r="H7" s="6">
        <v>5</v>
      </c>
      <c r="I7" s="6">
        <v>11</v>
      </c>
      <c r="J7" s="7">
        <v>121</v>
      </c>
      <c r="L7" s="6">
        <f>J7</f>
        <v>121</v>
      </c>
      <c r="M7" s="6">
        <v>0</v>
      </c>
    </row>
    <row r="8" spans="3:13" x14ac:dyDescent="0.3">
      <c r="C8" s="61" t="s">
        <v>7</v>
      </c>
      <c r="D8" s="5">
        <v>5</v>
      </c>
      <c r="E8" s="5">
        <v>13</v>
      </c>
      <c r="F8" s="5">
        <v>21</v>
      </c>
      <c r="G8" s="6">
        <v>30</v>
      </c>
      <c r="H8" s="6">
        <v>35</v>
      </c>
      <c r="I8" s="6">
        <v>1</v>
      </c>
      <c r="J8" s="7">
        <v>105</v>
      </c>
      <c r="L8" s="6">
        <f>J8</f>
        <v>105</v>
      </c>
      <c r="M8" s="6">
        <v>0</v>
      </c>
    </row>
    <row r="9" spans="3:13" x14ac:dyDescent="0.3">
      <c r="C9" s="61" t="s">
        <v>8</v>
      </c>
      <c r="D9" s="5">
        <v>9</v>
      </c>
      <c r="E9" s="5">
        <v>14</v>
      </c>
      <c r="F9" s="5">
        <v>14</v>
      </c>
      <c r="G9" s="6">
        <v>11</v>
      </c>
      <c r="H9" s="6">
        <v>3</v>
      </c>
      <c r="I9" s="6">
        <v>17</v>
      </c>
      <c r="J9" s="7">
        <v>68</v>
      </c>
      <c r="L9" s="6">
        <f>J9</f>
        <v>68</v>
      </c>
      <c r="M9" s="6">
        <v>413</v>
      </c>
    </row>
    <row r="10" spans="3:13" x14ac:dyDescent="0.3">
      <c r="C10" s="61" t="s">
        <v>4</v>
      </c>
      <c r="D10" s="8">
        <v>16</v>
      </c>
      <c r="E10" s="8">
        <v>78</v>
      </c>
      <c r="F10" s="8">
        <v>80</v>
      </c>
      <c r="G10" s="7">
        <v>151</v>
      </c>
      <c r="H10" s="7">
        <v>53</v>
      </c>
      <c r="I10" s="7">
        <v>35</v>
      </c>
      <c r="J10" s="7">
        <v>413</v>
      </c>
      <c r="L10" s="6">
        <f>J10</f>
        <v>413</v>
      </c>
      <c r="M10" s="6">
        <f t="shared" ref="M10" si="0">L10</f>
        <v>413</v>
      </c>
    </row>
    <row r="13" spans="3:13" x14ac:dyDescent="0.3">
      <c r="C13" s="267"/>
      <c r="D13" s="268" t="s">
        <v>10</v>
      </c>
      <c r="E13" s="268" t="s">
        <v>11</v>
      </c>
      <c r="F13" s="267" t="s">
        <v>0</v>
      </c>
      <c r="G13" s="266" t="s">
        <v>1</v>
      </c>
      <c r="H13" s="266" t="s">
        <v>2</v>
      </c>
      <c r="I13" s="266" t="s">
        <v>3</v>
      </c>
      <c r="J13" s="266" t="s">
        <v>4</v>
      </c>
    </row>
    <row r="14" spans="3:13" x14ac:dyDescent="0.3">
      <c r="C14" s="267"/>
      <c r="D14" s="269"/>
      <c r="E14" s="269"/>
      <c r="F14" s="267"/>
      <c r="G14" s="266"/>
      <c r="H14" s="266"/>
      <c r="I14" s="266"/>
      <c r="J14" s="266"/>
    </row>
    <row r="15" spans="3:13" x14ac:dyDescent="0.3">
      <c r="C15" s="61" t="s">
        <v>5</v>
      </c>
      <c r="D15" s="70">
        <f>D6/D$10</f>
        <v>6.25E-2</v>
      </c>
      <c r="E15" s="70">
        <f t="shared" ref="E15:J15" si="1">E6/E$10</f>
        <v>0.14102564102564102</v>
      </c>
      <c r="F15" s="70">
        <f t="shared" si="1"/>
        <v>0.26250000000000001</v>
      </c>
      <c r="G15" s="70">
        <f t="shared" si="1"/>
        <v>0.46357615894039733</v>
      </c>
      <c r="H15" s="70">
        <f t="shared" si="1"/>
        <v>0.18867924528301888</v>
      </c>
      <c r="I15" s="70">
        <f t="shared" si="1"/>
        <v>0.17142857142857143</v>
      </c>
      <c r="J15" s="70">
        <f t="shared" si="1"/>
        <v>0.28813559322033899</v>
      </c>
      <c r="L15" s="70">
        <f t="shared" ref="L15:M15" si="2">L6/L$10</f>
        <v>0.28813559322033899</v>
      </c>
      <c r="M15" s="70">
        <f t="shared" si="2"/>
        <v>0</v>
      </c>
    </row>
    <row r="16" spans="3:13" x14ac:dyDescent="0.3">
      <c r="C16" s="61" t="s">
        <v>6</v>
      </c>
      <c r="D16" s="70">
        <f t="shared" ref="D16:J16" si="3">D7/D$10</f>
        <v>6.25E-2</v>
      </c>
      <c r="E16" s="70">
        <f t="shared" si="3"/>
        <v>0.51282051282051277</v>
      </c>
      <c r="F16" s="70">
        <f t="shared" si="3"/>
        <v>0.3</v>
      </c>
      <c r="G16" s="70">
        <f t="shared" si="3"/>
        <v>0.26490066225165565</v>
      </c>
      <c r="H16" s="70">
        <f t="shared" si="3"/>
        <v>9.4339622641509441E-2</v>
      </c>
      <c r="I16" s="70">
        <f t="shared" si="3"/>
        <v>0.31428571428571428</v>
      </c>
      <c r="J16" s="70">
        <f t="shared" si="3"/>
        <v>0.29297820823244553</v>
      </c>
      <c r="L16" s="70">
        <f t="shared" ref="L16:M16" si="4">L7/L$10</f>
        <v>0.29297820823244553</v>
      </c>
      <c r="M16" s="70">
        <f t="shared" si="4"/>
        <v>0</v>
      </c>
    </row>
    <row r="17" spans="3:13" x14ac:dyDescent="0.3">
      <c r="C17" s="61" t="s">
        <v>7</v>
      </c>
      <c r="D17" s="70">
        <f t="shared" ref="D17:J17" si="5">D8/D$10</f>
        <v>0.3125</v>
      </c>
      <c r="E17" s="70">
        <f t="shared" si="5"/>
        <v>0.16666666666666666</v>
      </c>
      <c r="F17" s="70">
        <f t="shared" si="5"/>
        <v>0.26250000000000001</v>
      </c>
      <c r="G17" s="70">
        <f t="shared" si="5"/>
        <v>0.19867549668874171</v>
      </c>
      <c r="H17" s="70">
        <f t="shared" si="5"/>
        <v>0.660377358490566</v>
      </c>
      <c r="I17" s="70">
        <f t="shared" si="5"/>
        <v>2.8571428571428571E-2</v>
      </c>
      <c r="J17" s="70">
        <f t="shared" si="5"/>
        <v>0.25423728813559321</v>
      </c>
      <c r="L17" s="70">
        <f t="shared" ref="L17:M17" si="6">L8/L$10</f>
        <v>0.25423728813559321</v>
      </c>
      <c r="M17" s="70">
        <f t="shared" si="6"/>
        <v>0</v>
      </c>
    </row>
    <row r="18" spans="3:13" x14ac:dyDescent="0.3">
      <c r="C18" s="61" t="s">
        <v>8</v>
      </c>
      <c r="D18" s="70">
        <f t="shared" ref="D18:J18" si="7">D9/D$10</f>
        <v>0.5625</v>
      </c>
      <c r="E18" s="70">
        <f t="shared" si="7"/>
        <v>0.17948717948717949</v>
      </c>
      <c r="F18" s="70">
        <f t="shared" si="7"/>
        <v>0.17499999999999999</v>
      </c>
      <c r="G18" s="70">
        <f t="shared" si="7"/>
        <v>7.2847682119205295E-2</v>
      </c>
      <c r="H18" s="70">
        <f t="shared" si="7"/>
        <v>5.6603773584905662E-2</v>
      </c>
      <c r="I18" s="70">
        <f t="shared" si="7"/>
        <v>0.48571428571428571</v>
      </c>
      <c r="J18" s="70">
        <f t="shared" si="7"/>
        <v>0.16464891041162227</v>
      </c>
      <c r="L18" s="70">
        <f t="shared" ref="L18:M18" si="8">L9/L$10</f>
        <v>0.16464891041162227</v>
      </c>
      <c r="M18" s="70">
        <f t="shared" si="8"/>
        <v>1</v>
      </c>
    </row>
    <row r="19" spans="3:13" s="69" customFormat="1" x14ac:dyDescent="0.3">
      <c r="C19" s="61" t="s">
        <v>4</v>
      </c>
      <c r="D19" s="71">
        <f t="shared" ref="D19:J19" si="9">D10/D$10</f>
        <v>1</v>
      </c>
      <c r="E19" s="71">
        <f t="shared" si="9"/>
        <v>1</v>
      </c>
      <c r="F19" s="71">
        <f t="shared" si="9"/>
        <v>1</v>
      </c>
      <c r="G19" s="71">
        <f t="shared" si="9"/>
        <v>1</v>
      </c>
      <c r="H19" s="71">
        <f t="shared" si="9"/>
        <v>1</v>
      </c>
      <c r="I19" s="71">
        <f t="shared" si="9"/>
        <v>1</v>
      </c>
      <c r="J19" s="71">
        <f t="shared" si="9"/>
        <v>1</v>
      </c>
      <c r="L19" s="71">
        <f t="shared" ref="L19:M19" si="10">L10/L$10</f>
        <v>1</v>
      </c>
      <c r="M19" s="71">
        <f t="shared" si="10"/>
        <v>1</v>
      </c>
    </row>
    <row r="22" spans="3:13" x14ac:dyDescent="0.3">
      <c r="C22" s="267"/>
      <c r="D22" s="268" t="s">
        <v>10</v>
      </c>
      <c r="E22" s="268" t="s">
        <v>11</v>
      </c>
      <c r="F22" s="267" t="s">
        <v>0</v>
      </c>
      <c r="G22" s="266" t="s">
        <v>1</v>
      </c>
      <c r="H22" s="266" t="s">
        <v>2</v>
      </c>
      <c r="I22" s="266" t="s">
        <v>3</v>
      </c>
      <c r="J22" s="266" t="s">
        <v>4</v>
      </c>
    </row>
    <row r="23" spans="3:13" x14ac:dyDescent="0.3">
      <c r="C23" s="267"/>
      <c r="D23" s="269"/>
      <c r="E23" s="269"/>
      <c r="F23" s="267"/>
      <c r="G23" s="266"/>
      <c r="H23" s="266"/>
      <c r="I23" s="266"/>
      <c r="J23" s="266"/>
    </row>
    <row r="24" spans="3:13" x14ac:dyDescent="0.3">
      <c r="C24" s="61" t="s">
        <v>5</v>
      </c>
      <c r="D24" s="70">
        <f>ABS(D15-$J15)</f>
        <v>0.22563559322033899</v>
      </c>
      <c r="E24" s="70">
        <f t="shared" ref="E24:I24" si="11">ABS(E15-$J15)</f>
        <v>0.14710995219469797</v>
      </c>
      <c r="F24" s="70">
        <f t="shared" si="11"/>
        <v>2.5635593220338981E-2</v>
      </c>
      <c r="G24" s="70">
        <f t="shared" si="11"/>
        <v>0.17544056572005834</v>
      </c>
      <c r="H24" s="70">
        <f t="shared" si="11"/>
        <v>9.9456347937320111E-2</v>
      </c>
      <c r="I24" s="70">
        <f t="shared" si="11"/>
        <v>0.11670702179176756</v>
      </c>
      <c r="J24" s="72" t="s">
        <v>9</v>
      </c>
      <c r="L24" s="70">
        <f>ABS(L15-$J15)</f>
        <v>0</v>
      </c>
      <c r="M24" s="70">
        <f>ABS(M15-$J15)</f>
        <v>0.28813559322033899</v>
      </c>
    </row>
    <row r="25" spans="3:13" x14ac:dyDescent="0.3">
      <c r="C25" s="61" t="s">
        <v>6</v>
      </c>
      <c r="D25" s="70">
        <f t="shared" ref="D25:I25" si="12">ABS(D16-$J16)</f>
        <v>0.23047820823244553</v>
      </c>
      <c r="E25" s="70">
        <f t="shared" si="12"/>
        <v>0.21984230458806725</v>
      </c>
      <c r="F25" s="70">
        <f t="shared" si="12"/>
        <v>7.0217917675544639E-3</v>
      </c>
      <c r="G25" s="70">
        <f t="shared" si="12"/>
        <v>2.8077545980789875E-2</v>
      </c>
      <c r="H25" s="70">
        <f t="shared" si="12"/>
        <v>0.19863858559093608</v>
      </c>
      <c r="I25" s="70">
        <f t="shared" si="12"/>
        <v>2.1307506053268754E-2</v>
      </c>
      <c r="J25" s="72" t="s">
        <v>9</v>
      </c>
      <c r="L25" s="70">
        <f t="shared" ref="L25:M25" si="13">ABS(L16-$J16)</f>
        <v>0</v>
      </c>
      <c r="M25" s="70">
        <f t="shared" si="13"/>
        <v>0.29297820823244553</v>
      </c>
    </row>
    <row r="26" spans="3:13" x14ac:dyDescent="0.3">
      <c r="C26" s="61" t="s">
        <v>7</v>
      </c>
      <c r="D26" s="70">
        <f t="shared" ref="D26:I26" si="14">ABS(D17-$J17)</f>
        <v>5.8262711864406791E-2</v>
      </c>
      <c r="E26" s="70">
        <f t="shared" si="14"/>
        <v>8.7570621468926552E-2</v>
      </c>
      <c r="F26" s="70">
        <f t="shared" si="14"/>
        <v>8.2627118644068021E-3</v>
      </c>
      <c r="G26" s="70">
        <f t="shared" si="14"/>
        <v>5.55617914468515E-2</v>
      </c>
      <c r="H26" s="70">
        <f t="shared" si="14"/>
        <v>0.40614007035497279</v>
      </c>
      <c r="I26" s="70">
        <f t="shared" si="14"/>
        <v>0.22566585956416463</v>
      </c>
      <c r="J26" s="72" t="s">
        <v>9</v>
      </c>
      <c r="L26" s="70">
        <f t="shared" ref="L26:M26" si="15">ABS(L17-$J17)</f>
        <v>0</v>
      </c>
      <c r="M26" s="70">
        <f t="shared" si="15"/>
        <v>0.25423728813559321</v>
      </c>
    </row>
    <row r="27" spans="3:13" x14ac:dyDescent="0.3">
      <c r="C27" s="61" t="s">
        <v>8</v>
      </c>
      <c r="D27" s="70">
        <f t="shared" ref="D27:I27" si="16">ABS(D18-$J18)</f>
        <v>0.39785108958837773</v>
      </c>
      <c r="E27" s="70">
        <f t="shared" si="16"/>
        <v>1.4838269075557214E-2</v>
      </c>
      <c r="F27" s="70">
        <f t="shared" si="16"/>
        <v>1.0351089588377715E-2</v>
      </c>
      <c r="G27" s="70">
        <f t="shared" si="16"/>
        <v>9.1801228292416978E-2</v>
      </c>
      <c r="H27" s="70">
        <f t="shared" si="16"/>
        <v>0.10804513682671661</v>
      </c>
      <c r="I27" s="70">
        <f t="shared" si="16"/>
        <v>0.32106537530266344</v>
      </c>
      <c r="J27" s="72" t="s">
        <v>9</v>
      </c>
      <c r="L27" s="70">
        <f t="shared" ref="L27:M27" si="17">ABS(L18-$J18)</f>
        <v>0</v>
      </c>
      <c r="M27" s="70">
        <f t="shared" si="17"/>
        <v>0.83535108958837778</v>
      </c>
    </row>
    <row r="28" spans="3:13" x14ac:dyDescent="0.3">
      <c r="C28" s="61" t="s">
        <v>4</v>
      </c>
      <c r="D28" s="71">
        <f>SUM(D24:D27)</f>
        <v>0.91222760290556915</v>
      </c>
      <c r="E28" s="71">
        <f t="shared" ref="E28:M28" si="18">SUM(E24:E27)</f>
        <v>0.46936114732724898</v>
      </c>
      <c r="F28" s="71">
        <f t="shared" si="18"/>
        <v>5.1271186440677963E-2</v>
      </c>
      <c r="G28" s="71">
        <f t="shared" si="18"/>
        <v>0.35088113144011668</v>
      </c>
      <c r="H28" s="71">
        <f t="shared" si="18"/>
        <v>0.81228014070994559</v>
      </c>
      <c r="I28" s="71">
        <f t="shared" si="18"/>
        <v>0.68474576271186438</v>
      </c>
      <c r="J28" s="71"/>
      <c r="L28" s="71">
        <f t="shared" si="18"/>
        <v>0</v>
      </c>
      <c r="M28" s="71">
        <f t="shared" si="18"/>
        <v>1.6707021791767556</v>
      </c>
    </row>
    <row r="29" spans="3:13" x14ac:dyDescent="0.3">
      <c r="C29" s="61" t="s">
        <v>4</v>
      </c>
      <c r="D29" s="71">
        <f>D28/2</f>
        <v>0.45611380145278457</v>
      </c>
      <c r="E29" s="71">
        <f t="shared" ref="E29:M29" si="19">E28/2</f>
        <v>0.23468057366362449</v>
      </c>
      <c r="F29" s="71">
        <f t="shared" si="19"/>
        <v>2.5635593220338981E-2</v>
      </c>
      <c r="G29" s="71">
        <f t="shared" si="19"/>
        <v>0.17544056572005834</v>
      </c>
      <c r="H29" s="71">
        <f t="shared" si="19"/>
        <v>0.40614007035497279</v>
      </c>
      <c r="I29" s="71">
        <f t="shared" si="19"/>
        <v>0.34237288135593219</v>
      </c>
      <c r="J29" s="71"/>
      <c r="L29" s="71">
        <f t="shared" si="19"/>
        <v>0</v>
      </c>
      <c r="M29" s="71">
        <f t="shared" si="19"/>
        <v>0.83535108958837778</v>
      </c>
    </row>
  </sheetData>
  <mergeCells count="24">
    <mergeCell ref="I4:I5"/>
    <mergeCell ref="J4:J5"/>
    <mergeCell ref="C13:C14"/>
    <mergeCell ref="D13:D14"/>
    <mergeCell ref="E13:E14"/>
    <mergeCell ref="F13:F14"/>
    <mergeCell ref="G13:G14"/>
    <mergeCell ref="H13:H14"/>
    <mergeCell ref="I13:I14"/>
    <mergeCell ref="J13:J14"/>
    <mergeCell ref="C4:C5"/>
    <mergeCell ref="D4:D5"/>
    <mergeCell ref="E4:E5"/>
    <mergeCell ref="F4:F5"/>
    <mergeCell ref="G4:G5"/>
    <mergeCell ref="H4:H5"/>
    <mergeCell ref="I22:I23"/>
    <mergeCell ref="J22:J23"/>
    <mergeCell ref="C22:C23"/>
    <mergeCell ref="D22:D23"/>
    <mergeCell ref="E22:E23"/>
    <mergeCell ref="F22:F23"/>
    <mergeCell ref="G22:G23"/>
    <mergeCell ref="H22:H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topLeftCell="A10" workbookViewId="0">
      <selection activeCell="L22" sqref="L22"/>
    </sheetView>
  </sheetViews>
  <sheetFormatPr defaultRowHeight="14.4" x14ac:dyDescent="0.3"/>
  <sheetData>
    <row r="2" spans="2:14" ht="15" thickBot="1" x14ac:dyDescent="0.35"/>
    <row r="3" spans="2:14" ht="15" thickBot="1" x14ac:dyDescent="0.35">
      <c r="B3" s="75"/>
      <c r="C3" s="76" t="s">
        <v>52</v>
      </c>
      <c r="D3" s="77" t="s">
        <v>10</v>
      </c>
      <c r="E3" s="77" t="s">
        <v>11</v>
      </c>
      <c r="F3" s="77" t="s">
        <v>0</v>
      </c>
      <c r="G3" s="76" t="s">
        <v>1</v>
      </c>
      <c r="H3" s="76" t="s">
        <v>2</v>
      </c>
      <c r="I3" s="76" t="s">
        <v>3</v>
      </c>
      <c r="J3" s="76" t="s">
        <v>4</v>
      </c>
    </row>
    <row r="4" spans="2:14" ht="15" thickBot="1" x14ac:dyDescent="0.35">
      <c r="B4" s="291" t="s">
        <v>5</v>
      </c>
      <c r="C4" s="78" t="s">
        <v>53</v>
      </c>
      <c r="D4" s="79">
        <v>1</v>
      </c>
      <c r="E4" s="79">
        <v>11</v>
      </c>
      <c r="F4" s="79">
        <v>21</v>
      </c>
      <c r="G4" s="80">
        <v>70</v>
      </c>
      <c r="H4" s="80">
        <v>10</v>
      </c>
      <c r="I4" s="80">
        <v>6</v>
      </c>
      <c r="J4" s="16">
        <v>119</v>
      </c>
    </row>
    <row r="5" spans="2:14" ht="15" thickBot="1" x14ac:dyDescent="0.35">
      <c r="B5" s="292"/>
      <c r="C5" s="78" t="s">
        <v>54</v>
      </c>
      <c r="D5" s="79">
        <v>5</v>
      </c>
      <c r="E5" s="79">
        <v>17</v>
      </c>
      <c r="F5" s="79">
        <v>25</v>
      </c>
      <c r="G5" s="80">
        <v>88</v>
      </c>
      <c r="H5" s="80">
        <v>12</v>
      </c>
      <c r="I5" s="80">
        <v>8</v>
      </c>
      <c r="J5" s="16">
        <v>155</v>
      </c>
    </row>
    <row r="6" spans="2:14" ht="15" thickBot="1" x14ac:dyDescent="0.35">
      <c r="B6" s="291" t="s">
        <v>6</v>
      </c>
      <c r="C6" s="78" t="s">
        <v>53</v>
      </c>
      <c r="D6" s="79">
        <v>1</v>
      </c>
      <c r="E6" s="79">
        <v>40</v>
      </c>
      <c r="F6" s="79">
        <v>24</v>
      </c>
      <c r="G6" s="80">
        <v>40</v>
      </c>
      <c r="H6" s="80">
        <v>5</v>
      </c>
      <c r="I6" s="80">
        <v>11</v>
      </c>
      <c r="J6" s="16">
        <v>121</v>
      </c>
    </row>
    <row r="7" spans="2:14" ht="15" thickBot="1" x14ac:dyDescent="0.35">
      <c r="B7" s="292"/>
      <c r="C7" s="78" t="s">
        <v>54</v>
      </c>
      <c r="D7" s="79">
        <v>3</v>
      </c>
      <c r="E7" s="79">
        <v>51</v>
      </c>
      <c r="F7" s="79">
        <v>35</v>
      </c>
      <c r="G7" s="80">
        <v>49</v>
      </c>
      <c r="H7" s="80">
        <v>24</v>
      </c>
      <c r="I7" s="80">
        <v>12</v>
      </c>
      <c r="J7" s="16">
        <v>174</v>
      </c>
    </row>
    <row r="8" spans="2:14" ht="15" thickBot="1" x14ac:dyDescent="0.35">
      <c r="B8" s="291" t="s">
        <v>7</v>
      </c>
      <c r="C8" s="78" t="s">
        <v>53</v>
      </c>
      <c r="D8" s="79">
        <v>5</v>
      </c>
      <c r="E8" s="79">
        <v>13</v>
      </c>
      <c r="F8" s="79">
        <v>21</v>
      </c>
      <c r="G8" s="80">
        <v>30</v>
      </c>
      <c r="H8" s="80">
        <v>35</v>
      </c>
      <c r="I8" s="80">
        <v>1</v>
      </c>
      <c r="J8" s="16">
        <v>105</v>
      </c>
      <c r="N8" t="s">
        <v>55</v>
      </c>
    </row>
    <row r="9" spans="2:14" ht="15" thickBot="1" x14ac:dyDescent="0.35">
      <c r="B9" s="292"/>
      <c r="C9" s="78" t="s">
        <v>54</v>
      </c>
      <c r="D9" s="79">
        <v>23</v>
      </c>
      <c r="E9" s="79">
        <v>16</v>
      </c>
      <c r="F9" s="79">
        <v>30</v>
      </c>
      <c r="G9" s="80">
        <v>32</v>
      </c>
      <c r="H9" s="80">
        <v>53</v>
      </c>
      <c r="I9" s="80">
        <v>3</v>
      </c>
      <c r="J9" s="16">
        <v>157</v>
      </c>
    </row>
    <row r="10" spans="2:14" ht="15" thickBot="1" x14ac:dyDescent="0.35">
      <c r="B10" s="291" t="s">
        <v>8</v>
      </c>
      <c r="C10" s="78" t="s">
        <v>53</v>
      </c>
      <c r="D10" s="79">
        <v>9</v>
      </c>
      <c r="E10" s="79">
        <v>14</v>
      </c>
      <c r="F10" s="79">
        <v>14</v>
      </c>
      <c r="G10" s="80">
        <v>11</v>
      </c>
      <c r="H10" s="80">
        <v>3</v>
      </c>
      <c r="I10" s="80">
        <v>17</v>
      </c>
      <c r="J10" s="16">
        <v>68</v>
      </c>
      <c r="L10" s="5"/>
      <c r="M10" s="5"/>
    </row>
    <row r="11" spans="2:14" ht="15" thickBot="1" x14ac:dyDescent="0.35">
      <c r="B11" s="292"/>
      <c r="C11" s="78" t="s">
        <v>54</v>
      </c>
      <c r="D11" s="79">
        <v>22</v>
      </c>
      <c r="E11" s="79">
        <v>27</v>
      </c>
      <c r="F11" s="79">
        <v>16</v>
      </c>
      <c r="G11" s="80">
        <v>13</v>
      </c>
      <c r="H11" s="80">
        <v>6</v>
      </c>
      <c r="I11" s="80">
        <v>22</v>
      </c>
      <c r="J11" s="16">
        <v>106</v>
      </c>
      <c r="L11" s="5"/>
      <c r="M11" s="5"/>
    </row>
    <row r="12" spans="2:14" ht="15" thickBot="1" x14ac:dyDescent="0.35">
      <c r="B12" s="291" t="s">
        <v>4</v>
      </c>
      <c r="C12" s="78" t="s">
        <v>53</v>
      </c>
      <c r="D12" s="17">
        <v>16</v>
      </c>
      <c r="E12" s="17">
        <v>78</v>
      </c>
      <c r="F12" s="17">
        <v>80</v>
      </c>
      <c r="G12" s="16">
        <v>151</v>
      </c>
      <c r="H12" s="16">
        <v>53</v>
      </c>
      <c r="I12" s="16">
        <v>35</v>
      </c>
      <c r="J12" s="16">
        <v>413</v>
      </c>
      <c r="L12" s="5"/>
      <c r="M12" s="5"/>
    </row>
    <row r="13" spans="2:14" ht="15" thickBot="1" x14ac:dyDescent="0.35">
      <c r="B13" s="292"/>
      <c r="C13" s="78" t="s">
        <v>54</v>
      </c>
      <c r="D13" s="17">
        <v>53</v>
      </c>
      <c r="E13" s="17">
        <v>111</v>
      </c>
      <c r="F13" s="17">
        <v>106</v>
      </c>
      <c r="G13" s="16">
        <v>182</v>
      </c>
      <c r="H13" s="16">
        <v>95</v>
      </c>
      <c r="I13" s="16">
        <v>45</v>
      </c>
      <c r="J13" s="16">
        <v>592</v>
      </c>
      <c r="L13" s="5"/>
      <c r="M13" s="5"/>
    </row>
    <row r="14" spans="2:14" x14ac:dyDescent="0.3">
      <c r="L14" s="8"/>
      <c r="M14" s="8"/>
    </row>
    <row r="16" spans="2:14" x14ac:dyDescent="0.3">
      <c r="C16" s="267"/>
      <c r="D16" s="67" t="s">
        <v>10</v>
      </c>
      <c r="E16" s="67" t="s">
        <v>10</v>
      </c>
      <c r="F16" s="65" t="s">
        <v>61</v>
      </c>
      <c r="G16" s="66" t="s">
        <v>58</v>
      </c>
      <c r="H16" s="65"/>
      <c r="I16" s="65"/>
      <c r="J16" s="65"/>
    </row>
    <row r="17" spans="2:18" x14ac:dyDescent="0.3">
      <c r="C17" s="267"/>
      <c r="D17" s="68" t="s">
        <v>56</v>
      </c>
      <c r="E17" s="68" t="s">
        <v>57</v>
      </c>
      <c r="F17" s="65"/>
      <c r="H17" s="65" t="s">
        <v>59</v>
      </c>
      <c r="I17" s="65" t="s">
        <v>60</v>
      </c>
      <c r="J17" s="65" t="s">
        <v>62</v>
      </c>
    </row>
    <row r="18" spans="2:18" x14ac:dyDescent="0.3">
      <c r="C18" s="66" t="s">
        <v>5</v>
      </c>
      <c r="D18" s="6">
        <v>6</v>
      </c>
      <c r="E18" s="6">
        <v>8</v>
      </c>
      <c r="F18" s="83">
        <f>E18/$E$22</f>
        <v>0.17777777777777778</v>
      </c>
      <c r="G18" s="84">
        <f>LOG(E18)-LOG(D18)</f>
        <v>0.12493873660829991</v>
      </c>
      <c r="H18" s="85">
        <f>G18-$G$22</f>
        <v>1.5794267183231847E-2</v>
      </c>
      <c r="I18" s="85">
        <f>H18^2</f>
        <v>2.4945887585531447E-4</v>
      </c>
      <c r="J18" s="83">
        <f>F18*I18</f>
        <v>4.4348244596500351E-5</v>
      </c>
    </row>
    <row r="19" spans="2:18" x14ac:dyDescent="0.3">
      <c r="C19" s="66" t="s">
        <v>6</v>
      </c>
      <c r="D19" s="6">
        <v>11</v>
      </c>
      <c r="E19" s="6">
        <v>12</v>
      </c>
      <c r="F19" s="83">
        <f t="shared" ref="F19:F21" si="0">E19/$E$22</f>
        <v>0.26666666666666666</v>
      </c>
      <c r="G19" s="84">
        <f>LOG(E19)-LOG(D19)</f>
        <v>3.7788560889399747E-2</v>
      </c>
      <c r="H19" s="85">
        <f>G19-$G$22</f>
        <v>-7.1355908535668311E-2</v>
      </c>
      <c r="I19" s="85">
        <f t="shared" ref="I19:I21" si="1">H19^2</f>
        <v>5.0916656829506617E-3</v>
      </c>
      <c r="J19" s="83">
        <f t="shared" ref="J19:J21" si="2">F19*I19</f>
        <v>1.3577775154535099E-3</v>
      </c>
    </row>
    <row r="20" spans="2:18" x14ac:dyDescent="0.3">
      <c r="C20" s="66" t="s">
        <v>7</v>
      </c>
      <c r="D20" s="6">
        <v>1</v>
      </c>
      <c r="E20" s="6">
        <v>3</v>
      </c>
      <c r="F20" s="83">
        <f t="shared" si="0"/>
        <v>6.6666666666666666E-2</v>
      </c>
      <c r="G20" s="84">
        <f>LOG(E20)-LOG(D20)</f>
        <v>0.47712125471966244</v>
      </c>
      <c r="H20" s="85">
        <f>G20-$G$22</f>
        <v>0.36797678529459438</v>
      </c>
      <c r="I20" s="85">
        <f t="shared" si="1"/>
        <v>0.13540691451574402</v>
      </c>
      <c r="J20" s="83">
        <f t="shared" si="2"/>
        <v>9.0271276343829344E-3</v>
      </c>
    </row>
    <row r="21" spans="2:18" x14ac:dyDescent="0.3">
      <c r="C21" s="66" t="s">
        <v>8</v>
      </c>
      <c r="D21" s="6">
        <v>17</v>
      </c>
      <c r="E21" s="6">
        <v>22</v>
      </c>
      <c r="F21" s="83">
        <f t="shared" si="0"/>
        <v>0.48888888888888887</v>
      </c>
      <c r="G21" s="84">
        <f>LOG(E21)-LOG(D21)</f>
        <v>0.11197375944393229</v>
      </c>
      <c r="H21" s="85">
        <f>G21-$G$22</f>
        <v>2.8292900188642278E-3</v>
      </c>
      <c r="I21" s="85">
        <f t="shared" si="1"/>
        <v>8.0048820108447434E-6</v>
      </c>
      <c r="J21" s="83">
        <f t="shared" si="2"/>
        <v>3.913497871968541E-6</v>
      </c>
    </row>
    <row r="22" spans="2:18" x14ac:dyDescent="0.3">
      <c r="C22" s="66" t="s">
        <v>4</v>
      </c>
      <c r="D22" s="7">
        <v>35</v>
      </c>
      <c r="E22" s="7">
        <v>45</v>
      </c>
      <c r="F22" s="83">
        <f>SUM(F18:F21)</f>
        <v>1</v>
      </c>
      <c r="G22" s="86">
        <f>LOG(E22)-LOG(D22)</f>
        <v>0.10914446942506806</v>
      </c>
      <c r="H22" s="83"/>
      <c r="I22" s="83"/>
      <c r="J22" s="83">
        <f>SUM(J18:J21)</f>
        <v>1.0433166892304913E-2</v>
      </c>
    </row>
    <row r="23" spans="2:18" x14ac:dyDescent="0.3">
      <c r="F23" s="87"/>
      <c r="G23" s="87"/>
      <c r="H23" s="87"/>
      <c r="I23" s="87"/>
      <c r="J23" s="88">
        <f>J22^0.5</f>
        <v>0.10214287489739514</v>
      </c>
    </row>
    <row r="27" spans="2:18" x14ac:dyDescent="0.3">
      <c r="B27" t="s">
        <v>63</v>
      </c>
    </row>
    <row r="28" spans="2:18" x14ac:dyDescent="0.3">
      <c r="B28" s="267"/>
      <c r="C28" s="268" t="s">
        <v>10</v>
      </c>
      <c r="D28" s="268" t="s">
        <v>11</v>
      </c>
      <c r="E28" s="267" t="s">
        <v>0</v>
      </c>
      <c r="F28" s="266" t="s">
        <v>1</v>
      </c>
      <c r="G28" s="266" t="s">
        <v>2</v>
      </c>
      <c r="H28" s="266" t="s">
        <v>3</v>
      </c>
      <c r="I28" s="266" t="s">
        <v>4</v>
      </c>
      <c r="K28" s="267"/>
      <c r="L28" s="268" t="s">
        <v>10</v>
      </c>
      <c r="M28" s="268" t="s">
        <v>11</v>
      </c>
      <c r="N28" s="267" t="s">
        <v>0</v>
      </c>
      <c r="O28" s="266" t="s">
        <v>1</v>
      </c>
      <c r="P28" s="266" t="s">
        <v>2</v>
      </c>
      <c r="Q28" s="266" t="s">
        <v>3</v>
      </c>
      <c r="R28" s="266" t="s">
        <v>4</v>
      </c>
    </row>
    <row r="29" spans="2:18" x14ac:dyDescent="0.3">
      <c r="B29" s="267"/>
      <c r="C29" s="269"/>
      <c r="D29" s="269"/>
      <c r="E29" s="267"/>
      <c r="F29" s="266"/>
      <c r="G29" s="266"/>
      <c r="H29" s="266"/>
      <c r="I29" s="266"/>
      <c r="K29" s="267"/>
      <c r="L29" s="269"/>
      <c r="M29" s="269"/>
      <c r="N29" s="267"/>
      <c r="O29" s="266"/>
      <c r="P29" s="266"/>
      <c r="Q29" s="266"/>
      <c r="R29" s="266"/>
    </row>
    <row r="30" spans="2:18" x14ac:dyDescent="0.3">
      <c r="B30" s="66" t="s">
        <v>5</v>
      </c>
      <c r="C30" s="5">
        <v>1</v>
      </c>
      <c r="D30" s="5">
        <v>11</v>
      </c>
      <c r="E30" s="5">
        <v>21</v>
      </c>
      <c r="F30" s="6">
        <v>70</v>
      </c>
      <c r="G30" s="6">
        <v>10</v>
      </c>
      <c r="H30" s="6">
        <v>6</v>
      </c>
      <c r="I30" s="7">
        <v>119</v>
      </c>
      <c r="K30" s="66" t="s">
        <v>5</v>
      </c>
      <c r="L30" s="5">
        <v>5</v>
      </c>
      <c r="M30" s="5">
        <v>17</v>
      </c>
      <c r="N30" s="5">
        <v>25</v>
      </c>
      <c r="O30" s="6">
        <v>88</v>
      </c>
      <c r="P30" s="6">
        <v>12</v>
      </c>
      <c r="Q30" s="6">
        <v>8</v>
      </c>
      <c r="R30" s="7">
        <v>155</v>
      </c>
    </row>
    <row r="31" spans="2:18" x14ac:dyDescent="0.3">
      <c r="B31" s="66" t="s">
        <v>6</v>
      </c>
      <c r="C31" s="5">
        <v>1</v>
      </c>
      <c r="D31" s="5">
        <v>40</v>
      </c>
      <c r="E31" s="5">
        <v>24</v>
      </c>
      <c r="F31" s="6">
        <v>40</v>
      </c>
      <c r="G31" s="6">
        <v>5</v>
      </c>
      <c r="H31" s="6">
        <v>11</v>
      </c>
      <c r="I31" s="7">
        <v>121</v>
      </c>
      <c r="K31" s="66" t="s">
        <v>6</v>
      </c>
      <c r="L31" s="5">
        <v>3</v>
      </c>
      <c r="M31" s="5">
        <v>51</v>
      </c>
      <c r="N31" s="5">
        <v>35</v>
      </c>
      <c r="O31" s="6">
        <v>49</v>
      </c>
      <c r="P31" s="6">
        <v>24</v>
      </c>
      <c r="Q31" s="6">
        <v>12</v>
      </c>
      <c r="R31" s="7">
        <v>174</v>
      </c>
    </row>
    <row r="32" spans="2:18" x14ac:dyDescent="0.3">
      <c r="B32" s="66" t="s">
        <v>7</v>
      </c>
      <c r="C32" s="5">
        <v>5</v>
      </c>
      <c r="D32" s="5">
        <v>13</v>
      </c>
      <c r="E32" s="5">
        <v>21</v>
      </c>
      <c r="F32" s="6">
        <v>30</v>
      </c>
      <c r="G32" s="6">
        <v>35</v>
      </c>
      <c r="H32" s="6">
        <v>1</v>
      </c>
      <c r="I32" s="7">
        <v>105</v>
      </c>
      <c r="K32" s="66" t="s">
        <v>7</v>
      </c>
      <c r="L32" s="5">
        <v>23</v>
      </c>
      <c r="M32" s="5">
        <v>16</v>
      </c>
      <c r="N32" s="5">
        <v>30</v>
      </c>
      <c r="O32" s="6">
        <v>32</v>
      </c>
      <c r="P32" s="6">
        <v>53</v>
      </c>
      <c r="Q32" s="6">
        <v>3</v>
      </c>
      <c r="R32" s="7">
        <v>157</v>
      </c>
    </row>
    <row r="33" spans="2:18" x14ac:dyDescent="0.3">
      <c r="B33" s="66" t="s">
        <v>8</v>
      </c>
      <c r="C33" s="5">
        <v>9</v>
      </c>
      <c r="D33" s="5">
        <v>14</v>
      </c>
      <c r="E33" s="5">
        <v>14</v>
      </c>
      <c r="F33" s="6">
        <v>11</v>
      </c>
      <c r="G33" s="6">
        <v>3</v>
      </c>
      <c r="H33" s="6">
        <v>17</v>
      </c>
      <c r="I33" s="7">
        <v>68</v>
      </c>
      <c r="K33" s="66" t="s">
        <v>8</v>
      </c>
      <c r="L33" s="5">
        <v>22</v>
      </c>
      <c r="M33" s="5">
        <v>27</v>
      </c>
      <c r="N33" s="5">
        <v>16</v>
      </c>
      <c r="O33" s="6">
        <v>13</v>
      </c>
      <c r="P33" s="6">
        <v>6</v>
      </c>
      <c r="Q33" s="6">
        <v>22</v>
      </c>
      <c r="R33" s="7">
        <v>106</v>
      </c>
    </row>
    <row r="34" spans="2:18" x14ac:dyDescent="0.3">
      <c r="B34" s="66" t="s">
        <v>4</v>
      </c>
      <c r="C34" s="8">
        <v>16</v>
      </c>
      <c r="D34" s="8">
        <v>78</v>
      </c>
      <c r="E34" s="8">
        <v>80</v>
      </c>
      <c r="F34" s="7">
        <v>151</v>
      </c>
      <c r="G34" s="7">
        <v>53</v>
      </c>
      <c r="H34" s="7">
        <v>35</v>
      </c>
      <c r="I34" s="7">
        <v>413</v>
      </c>
      <c r="K34" s="66" t="s">
        <v>4</v>
      </c>
      <c r="L34" s="8">
        <v>53</v>
      </c>
      <c r="M34" s="8">
        <v>111</v>
      </c>
      <c r="N34" s="8">
        <v>106</v>
      </c>
      <c r="O34" s="7">
        <v>182</v>
      </c>
      <c r="P34" s="7">
        <v>95</v>
      </c>
      <c r="Q34" s="7">
        <v>45</v>
      </c>
      <c r="R34" s="7">
        <v>592</v>
      </c>
    </row>
    <row r="36" spans="2:18" x14ac:dyDescent="0.3">
      <c r="C36" s="69" t="s">
        <v>64</v>
      </c>
    </row>
    <row r="37" spans="2:18" x14ac:dyDescent="0.3">
      <c r="C37" s="82">
        <f t="shared" ref="C37:H41" si="3">L30/C30</f>
        <v>5</v>
      </c>
      <c r="D37" s="82">
        <f t="shared" si="3"/>
        <v>1.5454545454545454</v>
      </c>
      <c r="E37" s="82">
        <f t="shared" si="3"/>
        <v>1.1904761904761905</v>
      </c>
      <c r="F37" s="82">
        <f t="shared" si="3"/>
        <v>1.2571428571428571</v>
      </c>
      <c r="G37" s="82">
        <f t="shared" si="3"/>
        <v>1.2</v>
      </c>
      <c r="H37" s="82">
        <f t="shared" si="3"/>
        <v>1.3333333333333333</v>
      </c>
    </row>
    <row r="38" spans="2:18" x14ac:dyDescent="0.3">
      <c r="C38" s="82">
        <f t="shared" si="3"/>
        <v>3</v>
      </c>
      <c r="D38" s="82">
        <f t="shared" si="3"/>
        <v>1.2749999999999999</v>
      </c>
      <c r="E38" s="82">
        <f t="shared" si="3"/>
        <v>1.4583333333333333</v>
      </c>
      <c r="F38" s="82">
        <f t="shared" si="3"/>
        <v>1.2250000000000001</v>
      </c>
      <c r="G38" s="82">
        <f t="shared" si="3"/>
        <v>4.8</v>
      </c>
      <c r="H38" s="82">
        <f t="shared" si="3"/>
        <v>1.0909090909090908</v>
      </c>
    </row>
    <row r="39" spans="2:18" x14ac:dyDescent="0.3">
      <c r="C39" s="82">
        <f t="shared" si="3"/>
        <v>4.5999999999999996</v>
      </c>
      <c r="D39" s="82">
        <f t="shared" si="3"/>
        <v>1.2307692307692308</v>
      </c>
      <c r="E39" s="82">
        <f t="shared" si="3"/>
        <v>1.4285714285714286</v>
      </c>
      <c r="F39" s="82">
        <f t="shared" si="3"/>
        <v>1.0666666666666667</v>
      </c>
      <c r="G39" s="82">
        <f t="shared" si="3"/>
        <v>1.5142857142857142</v>
      </c>
      <c r="H39" s="82">
        <f t="shared" si="3"/>
        <v>3</v>
      </c>
    </row>
    <row r="40" spans="2:18" x14ac:dyDescent="0.3">
      <c r="C40" s="82">
        <f t="shared" si="3"/>
        <v>2.4444444444444446</v>
      </c>
      <c r="D40" s="82">
        <f t="shared" si="3"/>
        <v>1.9285714285714286</v>
      </c>
      <c r="E40" s="82">
        <f t="shared" si="3"/>
        <v>1.1428571428571428</v>
      </c>
      <c r="F40" s="82">
        <f t="shared" si="3"/>
        <v>1.1818181818181819</v>
      </c>
      <c r="G40" s="82">
        <f t="shared" si="3"/>
        <v>2</v>
      </c>
      <c r="H40" s="82">
        <f t="shared" si="3"/>
        <v>1.2941176470588236</v>
      </c>
    </row>
    <row r="41" spans="2:18" x14ac:dyDescent="0.3">
      <c r="C41" s="82">
        <f t="shared" si="3"/>
        <v>3.3125</v>
      </c>
      <c r="D41" s="82">
        <f t="shared" si="3"/>
        <v>1.4230769230769231</v>
      </c>
      <c r="E41" s="82">
        <f t="shared" si="3"/>
        <v>1.325</v>
      </c>
      <c r="F41" s="82">
        <f t="shared" si="3"/>
        <v>1.2052980132450331</v>
      </c>
      <c r="G41" s="82">
        <f t="shared" si="3"/>
        <v>1.7924528301886793</v>
      </c>
      <c r="H41" s="82">
        <f t="shared" si="3"/>
        <v>1.2857142857142858</v>
      </c>
    </row>
  </sheetData>
  <mergeCells count="22">
    <mergeCell ref="Q28:Q29"/>
    <mergeCell ref="R28:R29"/>
    <mergeCell ref="K28:K29"/>
    <mergeCell ref="L28:L29"/>
    <mergeCell ref="M28:M29"/>
    <mergeCell ref="N28:N29"/>
    <mergeCell ref="O28:O29"/>
    <mergeCell ref="P28:P29"/>
    <mergeCell ref="G28:G29"/>
    <mergeCell ref="H28:H29"/>
    <mergeCell ref="I28:I29"/>
    <mergeCell ref="B4:B5"/>
    <mergeCell ref="B6:B7"/>
    <mergeCell ref="B8:B9"/>
    <mergeCell ref="B10:B11"/>
    <mergeCell ref="B12:B13"/>
    <mergeCell ref="C16:C17"/>
    <mergeCell ref="B28:B29"/>
    <mergeCell ref="C28:C29"/>
    <mergeCell ref="D28:D29"/>
    <mergeCell ref="E28:E29"/>
    <mergeCell ref="F28:F2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F21" sqref="F21"/>
    </sheetView>
  </sheetViews>
  <sheetFormatPr defaultRowHeight="14.4" x14ac:dyDescent="0.3"/>
  <cols>
    <col min="2" max="2" width="11.33203125" customWidth="1"/>
    <col min="3" max="8" width="10.109375" bestFit="1" customWidth="1"/>
  </cols>
  <sheetData>
    <row r="2" spans="2:9" x14ac:dyDescent="0.3">
      <c r="B2" s="272"/>
      <c r="C2" s="272" t="s">
        <v>10</v>
      </c>
      <c r="D2" s="272" t="s">
        <v>11</v>
      </c>
      <c r="E2" s="272" t="s">
        <v>0</v>
      </c>
      <c r="F2" s="273" t="s">
        <v>1</v>
      </c>
      <c r="G2" s="273" t="s">
        <v>2</v>
      </c>
      <c r="H2" s="273" t="s">
        <v>3</v>
      </c>
      <c r="I2" s="273" t="s">
        <v>4</v>
      </c>
    </row>
    <row r="3" spans="2:9" x14ac:dyDescent="0.3">
      <c r="B3" s="272"/>
      <c r="C3" s="272"/>
      <c r="D3" s="272"/>
      <c r="E3" s="272"/>
      <c r="F3" s="273"/>
      <c r="G3" s="273"/>
      <c r="H3" s="273"/>
      <c r="I3" s="273"/>
    </row>
    <row r="4" spans="2:9" x14ac:dyDescent="0.3">
      <c r="B4" s="90" t="s">
        <v>5</v>
      </c>
      <c r="C4" s="5">
        <v>1</v>
      </c>
      <c r="D4" s="5">
        <v>11</v>
      </c>
      <c r="E4" s="5">
        <v>21</v>
      </c>
      <c r="F4" s="6">
        <v>70</v>
      </c>
      <c r="G4" s="6">
        <v>10</v>
      </c>
      <c r="H4" s="6">
        <v>6</v>
      </c>
      <c r="I4" s="91">
        <v>119</v>
      </c>
    </row>
    <row r="5" spans="2:9" x14ac:dyDescent="0.3">
      <c r="B5" s="90" t="s">
        <v>6</v>
      </c>
      <c r="C5" s="5">
        <v>1</v>
      </c>
      <c r="D5" s="5">
        <v>40</v>
      </c>
      <c r="E5" s="5">
        <v>24</v>
      </c>
      <c r="F5" s="6">
        <v>40</v>
      </c>
      <c r="G5" s="6">
        <v>5</v>
      </c>
      <c r="H5" s="6">
        <v>11</v>
      </c>
      <c r="I5" s="91">
        <v>121</v>
      </c>
    </row>
    <row r="6" spans="2:9" x14ac:dyDescent="0.3">
      <c r="B6" s="90" t="s">
        <v>7</v>
      </c>
      <c r="C6" s="5">
        <v>5</v>
      </c>
      <c r="D6" s="5">
        <v>13</v>
      </c>
      <c r="E6" s="5">
        <v>21</v>
      </c>
      <c r="F6" s="6">
        <v>30</v>
      </c>
      <c r="G6" s="6">
        <v>35</v>
      </c>
      <c r="H6" s="6">
        <v>1</v>
      </c>
      <c r="I6" s="91">
        <v>105</v>
      </c>
    </row>
    <row r="7" spans="2:9" x14ac:dyDescent="0.3">
      <c r="B7" s="90" t="s">
        <v>8</v>
      </c>
      <c r="C7" s="5">
        <v>9</v>
      </c>
      <c r="D7" s="5">
        <v>14</v>
      </c>
      <c r="E7" s="5">
        <v>14</v>
      </c>
      <c r="F7" s="6">
        <v>11</v>
      </c>
      <c r="G7" s="6">
        <v>3</v>
      </c>
      <c r="H7" s="6">
        <v>17</v>
      </c>
      <c r="I7" s="91">
        <v>68</v>
      </c>
    </row>
    <row r="8" spans="2:9" x14ac:dyDescent="0.3">
      <c r="B8" s="90" t="s">
        <v>4</v>
      </c>
      <c r="C8" s="81">
        <v>16</v>
      </c>
      <c r="D8" s="81">
        <v>78</v>
      </c>
      <c r="E8" s="81">
        <v>80</v>
      </c>
      <c r="F8" s="91">
        <v>151</v>
      </c>
      <c r="G8" s="91">
        <v>53</v>
      </c>
      <c r="H8" s="91">
        <v>35</v>
      </c>
      <c r="I8" s="91">
        <v>413</v>
      </c>
    </row>
    <row r="9" spans="2:9" ht="5.4" customHeight="1" x14ac:dyDescent="0.3">
      <c r="B9" s="90"/>
      <c r="C9" s="81"/>
      <c r="D9" s="81"/>
      <c r="E9" s="81"/>
      <c r="F9" s="91"/>
      <c r="G9" s="91"/>
      <c r="H9" s="91"/>
      <c r="I9" s="91"/>
    </row>
    <row r="10" spans="2:9" ht="34.200000000000003" x14ac:dyDescent="0.3">
      <c r="B10" s="93" t="s">
        <v>65</v>
      </c>
      <c r="C10" s="94">
        <f>C8/$I$8</f>
        <v>3.8740920096852302E-2</v>
      </c>
      <c r="D10" s="94">
        <f t="shared" ref="D10:H10" si="0">D8/$I$8</f>
        <v>0.18886198547215496</v>
      </c>
      <c r="E10" s="94">
        <f t="shared" si="0"/>
        <v>0.1937046004842615</v>
      </c>
      <c r="F10" s="94">
        <f t="shared" si="0"/>
        <v>0.36561743341404357</v>
      </c>
      <c r="G10" s="94">
        <f t="shared" si="0"/>
        <v>0.12832929782082325</v>
      </c>
      <c r="H10" s="94">
        <f t="shared" si="0"/>
        <v>8.4745762711864403E-2</v>
      </c>
      <c r="I10" s="91">
        <f>SUM(C10:H10)</f>
        <v>1</v>
      </c>
    </row>
    <row r="11" spans="2:9" x14ac:dyDescent="0.3">
      <c r="B11" s="148" t="s">
        <v>66</v>
      </c>
      <c r="C11" s="149">
        <v>0.1820126</v>
      </c>
      <c r="D11" s="149">
        <v>0.1836593</v>
      </c>
      <c r="E11" s="149">
        <v>0.13180439999999999</v>
      </c>
      <c r="F11" s="149">
        <v>0.15567900000000001</v>
      </c>
      <c r="G11" s="149">
        <v>0.1232423</v>
      </c>
      <c r="H11" s="149">
        <v>0.1766954</v>
      </c>
      <c r="I11" s="149">
        <f>SUM(C11:H11)</f>
        <v>0.95309299999999997</v>
      </c>
    </row>
    <row r="12" spans="2:9" ht="22.8" x14ac:dyDescent="0.3">
      <c r="B12" s="93" t="s">
        <v>67</v>
      </c>
      <c r="C12" s="92">
        <f>ABS(C10-C11)</f>
        <v>0.14327167990314771</v>
      </c>
      <c r="D12" s="92">
        <f t="shared" ref="D12:H12" si="1">ABS(D10-D11)</f>
        <v>5.2026854721549665E-3</v>
      </c>
      <c r="E12" s="92">
        <f t="shared" si="1"/>
        <v>6.1900200484261508E-2</v>
      </c>
      <c r="F12" s="92">
        <f t="shared" si="1"/>
        <v>0.20993843341404356</v>
      </c>
      <c r="G12" s="92">
        <f t="shared" si="1"/>
        <v>5.0869978208232525E-3</v>
      </c>
      <c r="H12" s="92">
        <f t="shared" si="1"/>
        <v>9.1949637288135599E-2</v>
      </c>
      <c r="I12" s="92">
        <f>SUM(C12:H12)</f>
        <v>0.51734963438256654</v>
      </c>
    </row>
    <row r="20" spans="2:2" x14ac:dyDescent="0.3">
      <c r="B20" s="89"/>
    </row>
  </sheetData>
  <mergeCells count="8">
    <mergeCell ref="H2:H3"/>
    <mergeCell ref="I2:I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workbookViewId="0">
      <selection activeCell="J26" sqref="J26"/>
    </sheetView>
  </sheetViews>
  <sheetFormatPr defaultRowHeight="14.4" x14ac:dyDescent="0.3"/>
  <cols>
    <col min="3" max="9" width="4.88671875" customWidth="1"/>
  </cols>
  <sheetData>
    <row r="3" spans="2:15" x14ac:dyDescent="0.3">
      <c r="B3" s="267"/>
      <c r="C3" s="309" t="s">
        <v>10</v>
      </c>
      <c r="D3" s="309" t="s">
        <v>11</v>
      </c>
      <c r="E3" s="266" t="s">
        <v>0</v>
      </c>
      <c r="F3" s="266" t="s">
        <v>1</v>
      </c>
      <c r="G3" s="266" t="s">
        <v>2</v>
      </c>
      <c r="H3" s="266" t="s">
        <v>3</v>
      </c>
      <c r="I3" s="266" t="s">
        <v>4</v>
      </c>
      <c r="J3" s="266" t="s">
        <v>10</v>
      </c>
      <c r="K3" s="266" t="s">
        <v>11</v>
      </c>
      <c r="L3" s="266" t="s">
        <v>0</v>
      </c>
      <c r="M3" s="266" t="s">
        <v>1</v>
      </c>
      <c r="N3" s="266" t="s">
        <v>2</v>
      </c>
      <c r="O3" s="266" t="s">
        <v>3</v>
      </c>
    </row>
    <row r="4" spans="2:15" x14ac:dyDescent="0.3">
      <c r="B4" s="267"/>
      <c r="C4" s="310"/>
      <c r="D4" s="310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</row>
    <row r="5" spans="2:15" x14ac:dyDescent="0.3">
      <c r="B5" s="73" t="s">
        <v>5</v>
      </c>
      <c r="C5" s="5">
        <v>1</v>
      </c>
      <c r="D5" s="5">
        <v>11</v>
      </c>
      <c r="E5" s="5">
        <v>21</v>
      </c>
      <c r="F5" s="6">
        <v>70</v>
      </c>
      <c r="G5" s="6">
        <v>10</v>
      </c>
      <c r="H5" s="6">
        <v>6</v>
      </c>
      <c r="I5" s="7">
        <v>119</v>
      </c>
      <c r="J5" s="95">
        <f>(C5/C$9)/($I5/$I$9)</f>
        <v>0.21691176470588236</v>
      </c>
      <c r="K5" s="95">
        <f t="shared" ref="K5:O5" si="0">(D5/D$9)/($I5/$I$9)</f>
        <v>0.48944193061840119</v>
      </c>
      <c r="L5" s="95">
        <f t="shared" si="0"/>
        <v>0.91102941176470587</v>
      </c>
      <c r="M5" s="95">
        <f t="shared" si="0"/>
        <v>1.6088819633813789</v>
      </c>
      <c r="N5" s="95">
        <f t="shared" si="0"/>
        <v>0.65482796892341844</v>
      </c>
      <c r="O5" s="95">
        <f t="shared" si="0"/>
        <v>0.59495798319327731</v>
      </c>
    </row>
    <row r="6" spans="2:15" x14ac:dyDescent="0.3">
      <c r="B6" s="73" t="s">
        <v>6</v>
      </c>
      <c r="C6" s="5">
        <v>1</v>
      </c>
      <c r="D6" s="5">
        <v>40</v>
      </c>
      <c r="E6" s="5">
        <v>24</v>
      </c>
      <c r="F6" s="6">
        <v>40</v>
      </c>
      <c r="G6" s="6">
        <v>5</v>
      </c>
      <c r="H6" s="6">
        <v>11</v>
      </c>
      <c r="I6" s="7">
        <v>121</v>
      </c>
      <c r="J6" s="95">
        <f t="shared" ref="J6:J8" si="1">(C6/C$9)/($I6/$I$9)</f>
        <v>0.21332644628099173</v>
      </c>
      <c r="K6" s="95">
        <f t="shared" ref="K6:K8" si="2">(D6/D$9)/($I6/$I$9)</f>
        <v>1.7503708412799319</v>
      </c>
      <c r="L6" s="95">
        <f t="shared" ref="L6:L8" si="3">(E6/E$9)/($I6/$I$9)</f>
        <v>1.0239669421487603</v>
      </c>
      <c r="M6" s="95">
        <f t="shared" ref="M6:M8" si="4">(F6/F$9)/($I6/$I$9)</f>
        <v>0.90416507033003124</v>
      </c>
      <c r="N6" s="95">
        <f t="shared" ref="N6:N8" si="5">(G6/G$9)/($I6/$I$9)</f>
        <v>0.32200218306564793</v>
      </c>
      <c r="O6" s="95">
        <f t="shared" ref="O6:O8" si="6">(H6/H$9)/($I6/$I$9)</f>
        <v>1.0727272727272728</v>
      </c>
    </row>
    <row r="7" spans="2:15" x14ac:dyDescent="0.3">
      <c r="B7" s="73" t="s">
        <v>7</v>
      </c>
      <c r="C7" s="5">
        <v>5</v>
      </c>
      <c r="D7" s="5">
        <v>13</v>
      </c>
      <c r="E7" s="5">
        <v>21</v>
      </c>
      <c r="F7" s="6">
        <v>30</v>
      </c>
      <c r="G7" s="6">
        <v>35</v>
      </c>
      <c r="H7" s="6">
        <v>1</v>
      </c>
      <c r="I7" s="7">
        <v>105</v>
      </c>
      <c r="J7" s="95">
        <f t="shared" si="1"/>
        <v>1.2291666666666667</v>
      </c>
      <c r="K7" s="95">
        <f t="shared" si="2"/>
        <v>0.65555555555555556</v>
      </c>
      <c r="L7" s="95">
        <f t="shared" si="3"/>
        <v>1.0325000000000002</v>
      </c>
      <c r="M7" s="95">
        <f t="shared" si="4"/>
        <v>0.7814569536423841</v>
      </c>
      <c r="N7" s="95">
        <f t="shared" si="5"/>
        <v>2.5974842767295598</v>
      </c>
      <c r="O7" s="95">
        <f t="shared" si="6"/>
        <v>0.11238095238095239</v>
      </c>
    </row>
    <row r="8" spans="2:15" x14ac:dyDescent="0.3">
      <c r="B8" s="73" t="s">
        <v>8</v>
      </c>
      <c r="C8" s="5">
        <v>9</v>
      </c>
      <c r="D8" s="5">
        <v>14</v>
      </c>
      <c r="E8" s="5">
        <v>14</v>
      </c>
      <c r="F8" s="6">
        <v>11</v>
      </c>
      <c r="G8" s="6">
        <v>3</v>
      </c>
      <c r="H8" s="6">
        <v>17</v>
      </c>
      <c r="I8" s="7">
        <v>68</v>
      </c>
      <c r="J8" s="95">
        <f t="shared" si="1"/>
        <v>3.4163602941176472</v>
      </c>
      <c r="K8" s="95">
        <f t="shared" si="2"/>
        <v>1.0901206636500755</v>
      </c>
      <c r="L8" s="95">
        <f t="shared" si="3"/>
        <v>1.0628676470588234</v>
      </c>
      <c r="M8" s="95">
        <f t="shared" si="4"/>
        <v>0.44244253992987925</v>
      </c>
      <c r="N8" s="95">
        <f t="shared" si="5"/>
        <v>0.3437846836847947</v>
      </c>
      <c r="O8" s="95">
        <f t="shared" si="6"/>
        <v>2.95</v>
      </c>
    </row>
    <row r="9" spans="2:15" x14ac:dyDescent="0.3">
      <c r="B9" s="73" t="s">
        <v>4</v>
      </c>
      <c r="C9" s="8">
        <v>16</v>
      </c>
      <c r="D9" s="8">
        <v>78</v>
      </c>
      <c r="E9" s="8">
        <v>80</v>
      </c>
      <c r="F9" s="7">
        <v>151</v>
      </c>
      <c r="G9" s="7">
        <v>53</v>
      </c>
      <c r="H9" s="7">
        <v>35</v>
      </c>
      <c r="I9" s="7">
        <v>413</v>
      </c>
      <c r="J9" s="96"/>
      <c r="K9" s="96"/>
      <c r="L9" s="96"/>
      <c r="M9" s="96"/>
      <c r="N9" s="96"/>
      <c r="O9" s="96"/>
    </row>
    <row r="10" spans="2:15" x14ac:dyDescent="0.3">
      <c r="B10" s="96" t="s">
        <v>68</v>
      </c>
      <c r="C10" s="96">
        <f>C9/$I$9</f>
        <v>3.8740920096852302E-2</v>
      </c>
      <c r="D10" s="96">
        <f t="shared" ref="D10:H10" si="7">D9/$I$9</f>
        <v>0.18886198547215496</v>
      </c>
      <c r="E10" s="96">
        <f t="shared" si="7"/>
        <v>0.1937046004842615</v>
      </c>
      <c r="F10" s="96">
        <f t="shared" si="7"/>
        <v>0.36561743341404357</v>
      </c>
      <c r="G10" s="96">
        <f t="shared" si="7"/>
        <v>0.12832929782082325</v>
      </c>
      <c r="H10" s="96">
        <f t="shared" si="7"/>
        <v>8.4745762711864403E-2</v>
      </c>
      <c r="I10" s="96"/>
      <c r="J10" s="96"/>
      <c r="K10" s="96"/>
      <c r="L10" s="96"/>
      <c r="M10" s="96"/>
      <c r="N10" s="96"/>
      <c r="O10" s="96"/>
    </row>
    <row r="14" spans="2:15" x14ac:dyDescent="0.3">
      <c r="B14" s="267"/>
      <c r="C14" s="309" t="s">
        <v>10</v>
      </c>
      <c r="D14" s="309" t="s">
        <v>11</v>
      </c>
      <c r="E14" s="266" t="s">
        <v>0</v>
      </c>
      <c r="F14" s="266" t="s">
        <v>1</v>
      </c>
      <c r="G14" s="266" t="s">
        <v>2</v>
      </c>
      <c r="H14" s="266" t="s">
        <v>3</v>
      </c>
      <c r="I14" s="266" t="s">
        <v>4</v>
      </c>
    </row>
    <row r="15" spans="2:15" x14ac:dyDescent="0.3">
      <c r="B15" s="267"/>
      <c r="C15" s="310"/>
      <c r="D15" s="310"/>
      <c r="E15" s="266"/>
      <c r="F15" s="266"/>
      <c r="G15" s="266"/>
      <c r="H15" s="266"/>
      <c r="I15" s="266"/>
    </row>
    <row r="16" spans="2:15" x14ac:dyDescent="0.3">
      <c r="B16" s="73" t="s">
        <v>5</v>
      </c>
      <c r="C16" s="5">
        <f>C$10*J5*LOG(J5)</f>
        <v>-5.5774528772441568E-3</v>
      </c>
      <c r="D16" s="5">
        <f t="shared" ref="D16:H16" si="8">D$10*K5*LOG(K5)</f>
        <v>-2.86830848735482E-2</v>
      </c>
      <c r="E16" s="5">
        <f t="shared" si="8"/>
        <v>-7.1413415283801285E-3</v>
      </c>
      <c r="F16" s="5">
        <f t="shared" si="8"/>
        <v>0.12148481352056328</v>
      </c>
      <c r="G16" s="5">
        <f t="shared" si="8"/>
        <v>-1.545149406192595E-2</v>
      </c>
      <c r="H16" s="5">
        <f t="shared" si="8"/>
        <v>-1.1370438842156053E-2</v>
      </c>
      <c r="I16" s="5">
        <f>SUM(C16:H16)</f>
        <v>5.3261001337308794E-2</v>
      </c>
    </row>
    <row r="17" spans="2:9" x14ac:dyDescent="0.3">
      <c r="B17" s="73" t="s">
        <v>6</v>
      </c>
      <c r="C17" s="5">
        <f t="shared" ref="C17:C19" si="9">C$10*J6*LOG(J6)</f>
        <v>-5.5450851348427593E-3</v>
      </c>
      <c r="D17" s="5">
        <f t="shared" ref="D17:D19" si="10">D$10*K6*LOG(K6)</f>
        <v>8.037357685204391E-2</v>
      </c>
      <c r="E17" s="5">
        <f t="shared" ref="E17:E19" si="11">E$10*L6*LOG(L6)</f>
        <v>2.0401856647166978E-3</v>
      </c>
      <c r="F17" s="5">
        <f t="shared" ref="F17:F19" si="12">F$10*M6*LOG(M6)</f>
        <v>-1.4463561859588789E-2</v>
      </c>
      <c r="G17" s="5">
        <f t="shared" ref="G17:G19" si="13">G$10*N6*LOG(N6)</f>
        <v>-2.0336412558876832E-2</v>
      </c>
      <c r="H17" s="5">
        <f t="shared" ref="H17:H19" si="14">H$10*O6*LOG(O6)</f>
        <v>2.7717565589000324E-3</v>
      </c>
      <c r="I17" s="5">
        <f t="shared" ref="I17:I18" si="15">SUM(C17:H17)</f>
        <v>4.4840459522352265E-2</v>
      </c>
    </row>
    <row r="18" spans="2:9" x14ac:dyDescent="0.3">
      <c r="B18" s="73" t="s">
        <v>7</v>
      </c>
      <c r="C18" s="5">
        <f t="shared" si="9"/>
        <v>4.2671797269789053E-3</v>
      </c>
      <c r="D18" s="5">
        <f t="shared" si="10"/>
        <v>-2.2705490203460469E-2</v>
      </c>
      <c r="E18" s="5">
        <f t="shared" si="11"/>
        <v>2.7780120656877433E-3</v>
      </c>
      <c r="F18" s="5">
        <f t="shared" si="12"/>
        <v>-3.0598554282012587E-2</v>
      </c>
      <c r="G18" s="5">
        <f t="shared" si="13"/>
        <v>0.13818430911198321</v>
      </c>
      <c r="H18" s="5">
        <f t="shared" si="14"/>
        <v>-9.0410218263220262E-3</v>
      </c>
      <c r="I18" s="5">
        <f t="shared" si="15"/>
        <v>8.2884434592854772E-2</v>
      </c>
    </row>
    <row r="19" spans="2:9" x14ac:dyDescent="0.3">
      <c r="B19" s="73" t="s">
        <v>8</v>
      </c>
      <c r="C19" s="5">
        <f t="shared" si="9"/>
        <v>7.0618720464736523E-2</v>
      </c>
      <c r="D19" s="5">
        <f t="shared" si="10"/>
        <v>7.7153530460428426E-3</v>
      </c>
      <c r="E19" s="5">
        <f t="shared" si="11"/>
        <v>5.4515974545651068E-3</v>
      </c>
      <c r="F19" s="5">
        <f t="shared" si="12"/>
        <v>-5.7287858162243778E-2</v>
      </c>
      <c r="G19" s="5">
        <f t="shared" si="13"/>
        <v>-2.0457947467542436E-2</v>
      </c>
      <c r="H19" s="5">
        <f t="shared" si="14"/>
        <v>0.11745550399454076</v>
      </c>
      <c r="I19" s="5">
        <f>SUM(C19:H19)</f>
        <v>0.12349536933009903</v>
      </c>
    </row>
    <row r="20" spans="2:9" x14ac:dyDescent="0.3">
      <c r="B20" s="73" t="s">
        <v>4</v>
      </c>
      <c r="C20" s="8"/>
      <c r="D20" s="8"/>
      <c r="E20" s="8"/>
      <c r="F20" s="7"/>
      <c r="G20" s="7"/>
      <c r="H20" s="7"/>
      <c r="I20" s="7"/>
    </row>
  </sheetData>
  <mergeCells count="22">
    <mergeCell ref="G3:G4"/>
    <mergeCell ref="B3:B4"/>
    <mergeCell ref="C3:C4"/>
    <mergeCell ref="D3:D4"/>
    <mergeCell ref="E3:E4"/>
    <mergeCell ref="F3:F4"/>
    <mergeCell ref="N3:N4"/>
    <mergeCell ref="O3:O4"/>
    <mergeCell ref="B14:B15"/>
    <mergeCell ref="C14:C15"/>
    <mergeCell ref="D14:D15"/>
    <mergeCell ref="E14:E15"/>
    <mergeCell ref="F14:F15"/>
    <mergeCell ref="G14:G15"/>
    <mergeCell ref="H14:H15"/>
    <mergeCell ref="I14:I15"/>
    <mergeCell ref="H3:H4"/>
    <mergeCell ref="I3:I4"/>
    <mergeCell ref="J3:J4"/>
    <mergeCell ref="K3:K4"/>
    <mergeCell ref="L3:L4"/>
    <mergeCell ref="M3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1" workbookViewId="0">
      <selection activeCell="F39" sqref="F39"/>
    </sheetView>
  </sheetViews>
  <sheetFormatPr defaultRowHeight="14.4" x14ac:dyDescent="0.3"/>
  <cols>
    <col min="1" max="1" width="16.21875" customWidth="1"/>
  </cols>
  <sheetData>
    <row r="1" spans="1:12" x14ac:dyDescent="0.3">
      <c r="A1" s="230"/>
      <c r="B1" s="230" t="s">
        <v>88</v>
      </c>
      <c r="C1" s="230" t="s">
        <v>176</v>
      </c>
      <c r="D1" s="230" t="s">
        <v>87</v>
      </c>
      <c r="E1" s="230" t="s">
        <v>82</v>
      </c>
      <c r="F1" s="230" t="s">
        <v>90</v>
      </c>
      <c r="G1" s="230" t="s">
        <v>175</v>
      </c>
      <c r="H1" s="230" t="s">
        <v>83</v>
      </c>
      <c r="I1" s="230" t="s">
        <v>85</v>
      </c>
      <c r="J1" s="230" t="s">
        <v>79</v>
      </c>
      <c r="K1" s="230" t="s">
        <v>167</v>
      </c>
      <c r="L1" s="230" t="s">
        <v>178</v>
      </c>
    </row>
    <row r="2" spans="1:12" x14ac:dyDescent="0.3">
      <c r="A2" s="228" t="s">
        <v>88</v>
      </c>
      <c r="B2" s="235">
        <v>1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x14ac:dyDescent="0.3">
      <c r="A3" s="228" t="s">
        <v>176</v>
      </c>
      <c r="B3" s="235">
        <v>0.99895106718175075</v>
      </c>
      <c r="C3" s="235">
        <v>1</v>
      </c>
      <c r="D3" s="235"/>
      <c r="E3" s="235"/>
      <c r="F3" s="235"/>
      <c r="G3" s="235"/>
      <c r="H3" s="235"/>
      <c r="I3" s="235"/>
      <c r="J3" s="235"/>
      <c r="K3" s="235"/>
      <c r="L3" s="235"/>
    </row>
    <row r="4" spans="1:12" x14ac:dyDescent="0.3">
      <c r="A4" s="228" t="s">
        <v>87</v>
      </c>
      <c r="B4" s="235">
        <v>0.71842223812191297</v>
      </c>
      <c r="C4" s="235">
        <v>0.71315718390335803</v>
      </c>
      <c r="D4" s="235">
        <v>1</v>
      </c>
      <c r="E4" s="235"/>
      <c r="F4" s="235"/>
      <c r="G4" s="235"/>
      <c r="H4" s="235"/>
      <c r="I4" s="235"/>
      <c r="J4" s="235"/>
      <c r="K4" s="235"/>
      <c r="L4" s="235"/>
    </row>
    <row r="5" spans="1:12" x14ac:dyDescent="0.3">
      <c r="A5" s="228" t="s">
        <v>82</v>
      </c>
      <c r="B5" s="235">
        <v>0.80167591041121167</v>
      </c>
      <c r="C5" s="235">
        <v>0.80095766614238662</v>
      </c>
      <c r="D5" s="235">
        <v>0.91998951385366301</v>
      </c>
      <c r="E5" s="235">
        <v>1</v>
      </c>
      <c r="F5" s="235"/>
      <c r="G5" s="235"/>
      <c r="H5" s="235"/>
      <c r="I5" s="235"/>
      <c r="J5" s="235"/>
      <c r="K5" s="235"/>
      <c r="L5" s="235"/>
    </row>
    <row r="6" spans="1:12" x14ac:dyDescent="0.3">
      <c r="A6" s="228" t="s">
        <v>90</v>
      </c>
      <c r="B6" s="235">
        <v>0.88249440159471215</v>
      </c>
      <c r="C6" s="235">
        <v>0.88547611176234042</v>
      </c>
      <c r="D6" s="235">
        <v>0.86765753082570585</v>
      </c>
      <c r="E6" s="235">
        <v>0.97896891653296048</v>
      </c>
      <c r="F6" s="235">
        <v>1</v>
      </c>
      <c r="G6" s="235"/>
      <c r="H6" s="235"/>
      <c r="I6" s="235"/>
      <c r="J6" s="235"/>
      <c r="K6" s="235"/>
      <c r="L6" s="235"/>
    </row>
    <row r="7" spans="1:12" x14ac:dyDescent="0.3">
      <c r="A7" s="228" t="s">
        <v>175</v>
      </c>
      <c r="B7" s="235">
        <v>0.8445962631045445</v>
      </c>
      <c r="C7" s="235">
        <v>0.85242146132668772</v>
      </c>
      <c r="D7" s="235">
        <v>0.76632934912183703</v>
      </c>
      <c r="E7" s="235">
        <v>0.94635099675689471</v>
      </c>
      <c r="F7" s="235">
        <v>0.98031313463903247</v>
      </c>
      <c r="G7" s="235">
        <v>1</v>
      </c>
      <c r="H7" s="235"/>
      <c r="I7" s="235"/>
      <c r="J7" s="235"/>
      <c r="K7" s="235"/>
      <c r="L7" s="235"/>
    </row>
    <row r="8" spans="1:12" x14ac:dyDescent="0.3">
      <c r="A8" s="228" t="s">
        <v>83</v>
      </c>
      <c r="B8" s="235">
        <v>0.94894929085154478</v>
      </c>
      <c r="C8" s="235">
        <v>0.95415619468785495</v>
      </c>
      <c r="D8" s="235">
        <v>0.77727601893000586</v>
      </c>
      <c r="E8" s="235">
        <v>0.91022174884819274</v>
      </c>
      <c r="F8" s="235">
        <v>0.95946539113847162</v>
      </c>
      <c r="G8" s="235">
        <v>0.95391032166905776</v>
      </c>
      <c r="H8" s="235">
        <v>1</v>
      </c>
      <c r="I8" s="235"/>
      <c r="J8" s="235"/>
      <c r="K8" s="235"/>
      <c r="L8" s="235"/>
    </row>
    <row r="9" spans="1:12" x14ac:dyDescent="0.3">
      <c r="A9" s="228" t="s">
        <v>85</v>
      </c>
      <c r="B9" s="235">
        <v>0.94896903311175751</v>
      </c>
      <c r="C9" s="235">
        <v>0.95411934163073708</v>
      </c>
      <c r="D9" s="235">
        <v>0.77801385098361475</v>
      </c>
      <c r="E9" s="235">
        <v>0.91038063116395507</v>
      </c>
      <c r="F9" s="235">
        <v>0.95928478966836261</v>
      </c>
      <c r="G9" s="235">
        <v>0.95344232301358245</v>
      </c>
      <c r="H9" s="235">
        <v>0.99999660046412919</v>
      </c>
      <c r="I9" s="235">
        <v>1</v>
      </c>
      <c r="J9" s="235"/>
      <c r="K9" s="235"/>
      <c r="L9" s="235"/>
    </row>
    <row r="10" spans="1:12" x14ac:dyDescent="0.3">
      <c r="A10" s="228" t="s">
        <v>79</v>
      </c>
      <c r="B10" s="235">
        <v>0.94014804834996057</v>
      </c>
      <c r="C10" s="235">
        <v>0.95085986807782263</v>
      </c>
      <c r="D10" s="235">
        <v>0.74069739686809044</v>
      </c>
      <c r="E10" s="235">
        <v>0.87945340596299248</v>
      </c>
      <c r="F10" s="235">
        <v>0.94855341636334489</v>
      </c>
      <c r="G10" s="235">
        <v>0.95239507233122556</v>
      </c>
      <c r="H10" s="235">
        <v>0.98904406229967312</v>
      </c>
      <c r="I10" s="235">
        <v>0.98875260435628687</v>
      </c>
      <c r="J10" s="235">
        <v>1</v>
      </c>
      <c r="K10" s="235"/>
      <c r="L10" s="235"/>
    </row>
    <row r="11" spans="1:12" x14ac:dyDescent="0.3">
      <c r="A11" s="228" t="s">
        <v>167</v>
      </c>
      <c r="B11" s="235">
        <v>0.98488873509189878</v>
      </c>
      <c r="C11" s="235">
        <v>0.99108432983579309</v>
      </c>
      <c r="D11" s="235">
        <v>0.64584516957707583</v>
      </c>
      <c r="E11" s="235">
        <v>0.76428826597403621</v>
      </c>
      <c r="F11" s="235">
        <v>0.86621883380166531</v>
      </c>
      <c r="G11" s="235">
        <v>0.85480046489516004</v>
      </c>
      <c r="H11" s="235">
        <v>0.95023724173059909</v>
      </c>
      <c r="I11" s="235">
        <v>0.94997681090802699</v>
      </c>
      <c r="J11" s="235">
        <v>0.96172849402121963</v>
      </c>
      <c r="K11" s="235">
        <v>1</v>
      </c>
      <c r="L11" s="235"/>
    </row>
    <row r="12" spans="1:12" ht="15" thickBot="1" x14ac:dyDescent="0.35">
      <c r="A12" s="229" t="s">
        <v>178</v>
      </c>
      <c r="B12" s="236">
        <v>0.80167301453613582</v>
      </c>
      <c r="C12" s="236">
        <v>0.80101950336670136</v>
      </c>
      <c r="D12" s="236">
        <v>0.91990529862973602</v>
      </c>
      <c r="E12" s="236">
        <v>0.99999595172347888</v>
      </c>
      <c r="F12" s="236">
        <v>0.97889405414055242</v>
      </c>
      <c r="G12" s="236">
        <v>0.94645203856457905</v>
      </c>
      <c r="H12" s="236">
        <v>0.91064432340863777</v>
      </c>
      <c r="I12" s="236">
        <v>0.91080641143207042</v>
      </c>
      <c r="J12" s="236">
        <v>0.87986280453039878</v>
      </c>
      <c r="K12" s="236">
        <v>0.7644931758575817</v>
      </c>
      <c r="L12" s="236">
        <v>1</v>
      </c>
    </row>
    <row r="15" spans="1:12" ht="15" thickBot="1" x14ac:dyDescent="0.35"/>
    <row r="16" spans="1:12" x14ac:dyDescent="0.3">
      <c r="A16" s="230"/>
      <c r="B16" s="230" t="s">
        <v>168</v>
      </c>
      <c r="C16" s="230" t="s">
        <v>70</v>
      </c>
      <c r="D16" s="230" t="s">
        <v>169</v>
      </c>
      <c r="E16" s="230" t="s">
        <v>40</v>
      </c>
      <c r="F16" s="230" t="s">
        <v>89</v>
      </c>
    </row>
    <row r="17" spans="1:11" x14ac:dyDescent="0.3">
      <c r="A17" s="228" t="s">
        <v>168</v>
      </c>
      <c r="B17" s="228">
        <v>1</v>
      </c>
      <c r="C17" s="228"/>
      <c r="D17" s="228"/>
      <c r="E17" s="228"/>
      <c r="F17" s="228"/>
    </row>
    <row r="18" spans="1:11" x14ac:dyDescent="0.3">
      <c r="A18" s="228" t="s">
        <v>70</v>
      </c>
      <c r="B18" s="228">
        <v>0.74005410319193665</v>
      </c>
      <c r="C18" s="228">
        <v>1</v>
      </c>
      <c r="D18" s="228"/>
      <c r="E18" s="228"/>
      <c r="F18" s="228"/>
    </row>
    <row r="19" spans="1:11" x14ac:dyDescent="0.3">
      <c r="A19" s="228" t="s">
        <v>169</v>
      </c>
      <c r="B19" s="228">
        <v>0.85765468016019741</v>
      </c>
      <c r="C19" s="228">
        <v>0.89083615954190676</v>
      </c>
      <c r="D19" s="228">
        <v>1</v>
      </c>
      <c r="E19" s="228"/>
      <c r="F19" s="228"/>
    </row>
    <row r="20" spans="1:11" x14ac:dyDescent="0.3">
      <c r="A20" s="228" t="s">
        <v>40</v>
      </c>
      <c r="B20" s="228">
        <v>0.78885775845674022</v>
      </c>
      <c r="C20" s="228">
        <v>0.92970573768018527</v>
      </c>
      <c r="D20" s="228">
        <v>0.98388537394322539</v>
      </c>
      <c r="E20" s="228">
        <v>1</v>
      </c>
      <c r="F20" s="228"/>
    </row>
    <row r="21" spans="1:11" ht="15" thickBot="1" x14ac:dyDescent="0.35">
      <c r="A21" s="229" t="s">
        <v>89</v>
      </c>
      <c r="B21" s="229">
        <v>0.77955562049790061</v>
      </c>
      <c r="C21" s="229">
        <v>0.92277173382889555</v>
      </c>
      <c r="D21" s="229">
        <v>0.9848952948728974</v>
      </c>
      <c r="E21" s="229">
        <v>0.99930245993795819</v>
      </c>
      <c r="F21" s="229">
        <v>1</v>
      </c>
    </row>
    <row r="23" spans="1:11" ht="15" thickBot="1" x14ac:dyDescent="0.35"/>
    <row r="24" spans="1:11" x14ac:dyDescent="0.3">
      <c r="A24" s="230"/>
      <c r="B24" s="230" t="s">
        <v>79</v>
      </c>
      <c r="C24" s="230" t="s">
        <v>84</v>
      </c>
      <c r="D24" s="230" t="s">
        <v>92</v>
      </c>
      <c r="E24" s="230" t="s">
        <v>172</v>
      </c>
      <c r="F24" s="230" t="s">
        <v>173</v>
      </c>
      <c r="G24" s="230" t="s">
        <v>138</v>
      </c>
      <c r="H24" s="230" t="s">
        <v>177</v>
      </c>
      <c r="I24" s="230" t="s">
        <v>182</v>
      </c>
      <c r="J24" s="230" t="s">
        <v>176</v>
      </c>
      <c r="K24" s="230" t="s">
        <v>162</v>
      </c>
    </row>
    <row r="25" spans="1:11" x14ac:dyDescent="0.3">
      <c r="A25" s="228" t="s">
        <v>79</v>
      </c>
      <c r="B25" s="228">
        <v>1</v>
      </c>
      <c r="C25" s="228"/>
      <c r="D25" s="228"/>
      <c r="E25" s="228"/>
      <c r="F25" s="228"/>
      <c r="G25" s="228"/>
      <c r="H25" s="228"/>
      <c r="I25" s="228"/>
      <c r="J25" s="228"/>
      <c r="K25" s="228"/>
    </row>
    <row r="26" spans="1:11" x14ac:dyDescent="0.3">
      <c r="A26" s="228" t="s">
        <v>84</v>
      </c>
      <c r="B26" s="228">
        <v>0.74037403815838354</v>
      </c>
      <c r="C26" s="228">
        <v>1</v>
      </c>
      <c r="D26" s="228"/>
      <c r="E26" s="228"/>
      <c r="F26" s="228"/>
      <c r="G26" s="228"/>
      <c r="H26" s="228"/>
      <c r="I26" s="228"/>
      <c r="J26" s="228"/>
      <c r="K26" s="228"/>
    </row>
    <row r="27" spans="1:11" x14ac:dyDescent="0.3">
      <c r="A27" s="228" t="s">
        <v>92</v>
      </c>
      <c r="B27" s="228">
        <v>0.93545979666988344</v>
      </c>
      <c r="C27" s="228">
        <v>0.89145325480204085</v>
      </c>
      <c r="D27" s="228">
        <v>1</v>
      </c>
      <c r="E27" s="228"/>
      <c r="F27" s="228"/>
      <c r="G27" s="228"/>
      <c r="H27" s="228"/>
      <c r="I27" s="228"/>
      <c r="J27" s="228"/>
      <c r="K27" s="228"/>
    </row>
    <row r="28" spans="1:11" x14ac:dyDescent="0.3">
      <c r="A28" s="228" t="s">
        <v>172</v>
      </c>
      <c r="B28" s="228">
        <v>0.87270856403460828</v>
      </c>
      <c r="C28" s="228">
        <v>0.58319899391498364</v>
      </c>
      <c r="D28" s="228">
        <v>0.88134716791708523</v>
      </c>
      <c r="E28" s="228">
        <v>1</v>
      </c>
      <c r="F28" s="228"/>
      <c r="G28" s="228"/>
      <c r="H28" s="228"/>
      <c r="I28" s="228"/>
      <c r="J28" s="228"/>
      <c r="K28" s="228"/>
    </row>
    <row r="29" spans="1:11" x14ac:dyDescent="0.3">
      <c r="A29" s="228" t="s">
        <v>173</v>
      </c>
      <c r="B29" s="228">
        <v>0.74755432135777033</v>
      </c>
      <c r="C29" s="228">
        <v>0.87861158428241237</v>
      </c>
      <c r="D29" s="228">
        <v>0.75438527795995991</v>
      </c>
      <c r="E29" s="228">
        <v>0.38899504712077027</v>
      </c>
      <c r="F29" s="228">
        <v>1</v>
      </c>
      <c r="G29" s="228"/>
      <c r="H29" s="228"/>
      <c r="I29" s="228"/>
      <c r="J29" s="228"/>
      <c r="K29" s="228"/>
    </row>
    <row r="30" spans="1:11" x14ac:dyDescent="0.3">
      <c r="A30" s="228" t="s">
        <v>138</v>
      </c>
      <c r="B30" s="228">
        <v>0.68795428880678555</v>
      </c>
      <c r="C30" s="228">
        <v>0.96370204173474616</v>
      </c>
      <c r="D30" s="228">
        <v>0.89462322603241429</v>
      </c>
      <c r="E30" s="228">
        <v>0.66373110581913175</v>
      </c>
      <c r="F30" s="228">
        <v>0.72094431824673688</v>
      </c>
      <c r="G30" s="228">
        <v>1</v>
      </c>
      <c r="H30" s="228"/>
      <c r="I30" s="228"/>
      <c r="J30" s="228"/>
      <c r="K30" s="228"/>
    </row>
    <row r="31" spans="1:11" x14ac:dyDescent="0.3">
      <c r="A31" s="228" t="s">
        <v>177</v>
      </c>
      <c r="B31" s="228">
        <v>0.86547221255172202</v>
      </c>
      <c r="C31" s="228">
        <v>0.80154976026257863</v>
      </c>
      <c r="D31" s="228">
        <v>0.96549103170321093</v>
      </c>
      <c r="E31" s="228">
        <v>0.94383406390462909</v>
      </c>
      <c r="F31" s="228">
        <v>0.56231991120255254</v>
      </c>
      <c r="G31" s="228">
        <v>0.87339594357809447</v>
      </c>
      <c r="H31" s="228">
        <v>1</v>
      </c>
      <c r="I31" s="228"/>
      <c r="J31" s="228"/>
      <c r="K31" s="228"/>
    </row>
    <row r="32" spans="1:11" x14ac:dyDescent="0.3">
      <c r="A32" s="228" t="s">
        <v>182</v>
      </c>
      <c r="B32" s="228">
        <v>4.3308483070722617E-2</v>
      </c>
      <c r="C32" s="228">
        <v>-0.24836391388972076</v>
      </c>
      <c r="D32" s="228">
        <v>9.2634855854083209E-2</v>
      </c>
      <c r="E32" s="228">
        <v>0.5118489852956295</v>
      </c>
      <c r="F32" s="228">
        <v>-0.58263102355323582</v>
      </c>
      <c r="G32" s="228">
        <v>-1.2299402247759831E-2</v>
      </c>
      <c r="H32" s="228">
        <v>0.33728224844476801</v>
      </c>
      <c r="I32" s="228">
        <v>1</v>
      </c>
      <c r="J32" s="228"/>
      <c r="K32" s="228"/>
    </row>
    <row r="33" spans="1:11" x14ac:dyDescent="0.3">
      <c r="A33" s="228" t="s">
        <v>176</v>
      </c>
      <c r="B33" s="228">
        <v>-0.9523476296237533</v>
      </c>
      <c r="C33" s="228">
        <v>-0.54477272507196084</v>
      </c>
      <c r="D33" s="228">
        <v>-0.85709006802378274</v>
      </c>
      <c r="E33" s="228">
        <v>-0.94455863933836592</v>
      </c>
      <c r="F33" s="228">
        <v>-0.51002153683094875</v>
      </c>
      <c r="G33" s="228">
        <v>-0.54420408147814181</v>
      </c>
      <c r="H33" s="228">
        <v>-0.85087535885473209</v>
      </c>
      <c r="I33" s="228">
        <v>-0.31334418764098054</v>
      </c>
      <c r="J33" s="228">
        <v>1</v>
      </c>
      <c r="K33" s="228"/>
    </row>
    <row r="34" spans="1:11" ht="15" thickBot="1" x14ac:dyDescent="0.35">
      <c r="A34" s="229" t="s">
        <v>162</v>
      </c>
      <c r="B34" s="229">
        <v>-0.86903078602449613</v>
      </c>
      <c r="C34" s="229">
        <v>-0.35661812162620699</v>
      </c>
      <c r="D34" s="229">
        <v>-0.7351665421117296</v>
      </c>
      <c r="E34" s="229">
        <v>-0.91839638655540334</v>
      </c>
      <c r="F34" s="229">
        <v>-0.32924650707048991</v>
      </c>
      <c r="G34" s="229">
        <v>-0.37567090529518998</v>
      </c>
      <c r="H34" s="229">
        <v>-0.76034579755295684</v>
      </c>
      <c r="I34" s="229">
        <v>-0.44304196170380611</v>
      </c>
      <c r="J34" s="229">
        <v>0.97700710074653119</v>
      </c>
      <c r="K34" s="229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9"/>
  <sheetViews>
    <sheetView workbookViewId="0">
      <selection activeCell="M25" sqref="M25"/>
    </sheetView>
  </sheetViews>
  <sheetFormatPr defaultRowHeight="14.4" x14ac:dyDescent="0.3"/>
  <sheetData>
    <row r="4" spans="3:10" x14ac:dyDescent="0.3">
      <c r="C4" s="267"/>
      <c r="D4" s="268" t="s">
        <v>10</v>
      </c>
      <c r="E4" s="268" t="s">
        <v>11</v>
      </c>
      <c r="F4" s="267" t="s">
        <v>0</v>
      </c>
      <c r="G4" s="266" t="s">
        <v>1</v>
      </c>
      <c r="H4" s="266" t="s">
        <v>2</v>
      </c>
      <c r="I4" s="266" t="s">
        <v>3</v>
      </c>
      <c r="J4" s="266" t="s">
        <v>4</v>
      </c>
    </row>
    <row r="5" spans="3:10" x14ac:dyDescent="0.3">
      <c r="C5" s="267"/>
      <c r="D5" s="269"/>
      <c r="E5" s="269"/>
      <c r="F5" s="267"/>
      <c r="G5" s="266"/>
      <c r="H5" s="266"/>
      <c r="I5" s="266"/>
      <c r="J5" s="266"/>
    </row>
    <row r="6" spans="3:10" x14ac:dyDescent="0.3">
      <c r="C6" s="73" t="s">
        <v>5</v>
      </c>
      <c r="D6" s="5">
        <v>1</v>
      </c>
      <c r="E6" s="5">
        <v>11</v>
      </c>
      <c r="F6" s="5">
        <v>21</v>
      </c>
      <c r="G6" s="6">
        <v>70</v>
      </c>
      <c r="H6" s="6">
        <v>10</v>
      </c>
      <c r="I6" s="6">
        <v>6</v>
      </c>
      <c r="J6" s="7">
        <v>119</v>
      </c>
    </row>
    <row r="7" spans="3:10" x14ac:dyDescent="0.3">
      <c r="C7" s="73" t="s">
        <v>6</v>
      </c>
      <c r="D7" s="5">
        <v>1</v>
      </c>
      <c r="E7" s="5">
        <v>40</v>
      </c>
      <c r="F7" s="5">
        <v>24</v>
      </c>
      <c r="G7" s="6">
        <v>40</v>
      </c>
      <c r="H7" s="6">
        <v>5</v>
      </c>
      <c r="I7" s="6">
        <v>11</v>
      </c>
      <c r="J7" s="7">
        <v>121</v>
      </c>
    </row>
    <row r="8" spans="3:10" x14ac:dyDescent="0.3">
      <c r="C8" s="73" t="s">
        <v>7</v>
      </c>
      <c r="D8" s="5">
        <v>5</v>
      </c>
      <c r="E8" s="5">
        <v>13</v>
      </c>
      <c r="F8" s="5">
        <v>21</v>
      </c>
      <c r="G8" s="6">
        <v>30</v>
      </c>
      <c r="H8" s="6">
        <v>35</v>
      </c>
      <c r="I8" s="6">
        <v>1</v>
      </c>
      <c r="J8" s="7">
        <v>105</v>
      </c>
    </row>
    <row r="9" spans="3:10" x14ac:dyDescent="0.3">
      <c r="C9" s="73" t="s">
        <v>8</v>
      </c>
      <c r="D9" s="5">
        <v>9</v>
      </c>
      <c r="E9" s="5">
        <v>14</v>
      </c>
      <c r="F9" s="5">
        <v>14</v>
      </c>
      <c r="G9" s="6">
        <v>11</v>
      </c>
      <c r="H9" s="6">
        <v>3</v>
      </c>
      <c r="I9" s="6">
        <v>17</v>
      </c>
      <c r="J9" s="7">
        <v>68</v>
      </c>
    </row>
    <row r="10" spans="3:10" x14ac:dyDescent="0.3">
      <c r="C10" s="73" t="s">
        <v>4</v>
      </c>
      <c r="D10" s="8">
        <v>16</v>
      </c>
      <c r="E10" s="8">
        <v>78</v>
      </c>
      <c r="F10" s="8">
        <v>80</v>
      </c>
      <c r="G10" s="7">
        <v>151</v>
      </c>
      <c r="H10" s="7">
        <v>53</v>
      </c>
      <c r="I10" s="7">
        <v>35</v>
      </c>
      <c r="J10" s="7">
        <v>413</v>
      </c>
    </row>
    <row r="14" spans="3:10" x14ac:dyDescent="0.3">
      <c r="C14" s="267"/>
      <c r="D14" s="268" t="s">
        <v>10</v>
      </c>
      <c r="E14" s="268" t="s">
        <v>11</v>
      </c>
      <c r="F14" s="267" t="s">
        <v>0</v>
      </c>
      <c r="G14" s="266" t="s">
        <v>1</v>
      </c>
      <c r="H14" s="266" t="s">
        <v>2</v>
      </c>
      <c r="I14" s="266" t="s">
        <v>3</v>
      </c>
      <c r="J14" s="266" t="s">
        <v>4</v>
      </c>
    </row>
    <row r="15" spans="3:10" x14ac:dyDescent="0.3">
      <c r="C15" s="267"/>
      <c r="D15" s="269"/>
      <c r="E15" s="269"/>
      <c r="F15" s="267"/>
      <c r="G15" s="266"/>
      <c r="H15" s="266"/>
      <c r="I15" s="266"/>
      <c r="J15" s="266"/>
    </row>
    <row r="16" spans="3:10" x14ac:dyDescent="0.3">
      <c r="C16" s="73" t="s">
        <v>5</v>
      </c>
      <c r="D16" s="84">
        <f>D6/D$10</f>
        <v>6.25E-2</v>
      </c>
      <c r="E16" s="84">
        <f t="shared" ref="E16:J16" si="0">E6/E$10</f>
        <v>0.14102564102564102</v>
      </c>
      <c r="F16" s="84">
        <f t="shared" si="0"/>
        <v>0.26250000000000001</v>
      </c>
      <c r="G16" s="84">
        <f t="shared" si="0"/>
        <v>0.46357615894039733</v>
      </c>
      <c r="H16" s="84">
        <f t="shared" si="0"/>
        <v>0.18867924528301888</v>
      </c>
      <c r="I16" s="84">
        <f t="shared" si="0"/>
        <v>0.17142857142857143</v>
      </c>
      <c r="J16" s="84">
        <f t="shared" si="0"/>
        <v>0.28813559322033899</v>
      </c>
    </row>
    <row r="17" spans="3:10" x14ac:dyDescent="0.3">
      <c r="C17" s="73" t="s">
        <v>6</v>
      </c>
      <c r="D17" s="84">
        <f t="shared" ref="D17:J17" si="1">D7/D$10</f>
        <v>6.25E-2</v>
      </c>
      <c r="E17" s="84">
        <f t="shared" si="1"/>
        <v>0.51282051282051277</v>
      </c>
      <c r="F17" s="84">
        <f t="shared" si="1"/>
        <v>0.3</v>
      </c>
      <c r="G17" s="84">
        <f t="shared" si="1"/>
        <v>0.26490066225165565</v>
      </c>
      <c r="H17" s="84">
        <f t="shared" si="1"/>
        <v>9.4339622641509441E-2</v>
      </c>
      <c r="I17" s="84">
        <f t="shared" si="1"/>
        <v>0.31428571428571428</v>
      </c>
      <c r="J17" s="84">
        <f t="shared" si="1"/>
        <v>0.29297820823244553</v>
      </c>
    </row>
    <row r="18" spans="3:10" x14ac:dyDescent="0.3">
      <c r="C18" s="73" t="s">
        <v>7</v>
      </c>
      <c r="D18" s="84">
        <f t="shared" ref="D18:J18" si="2">D8/D$10</f>
        <v>0.3125</v>
      </c>
      <c r="E18" s="84">
        <f t="shared" si="2"/>
        <v>0.16666666666666666</v>
      </c>
      <c r="F18" s="84">
        <f t="shared" si="2"/>
        <v>0.26250000000000001</v>
      </c>
      <c r="G18" s="84">
        <f t="shared" si="2"/>
        <v>0.19867549668874171</v>
      </c>
      <c r="H18" s="84">
        <f t="shared" si="2"/>
        <v>0.660377358490566</v>
      </c>
      <c r="I18" s="84">
        <f t="shared" si="2"/>
        <v>2.8571428571428571E-2</v>
      </c>
      <c r="J18" s="84">
        <f t="shared" si="2"/>
        <v>0.25423728813559321</v>
      </c>
    </row>
    <row r="19" spans="3:10" x14ac:dyDescent="0.3">
      <c r="C19" s="73" t="s">
        <v>8</v>
      </c>
      <c r="D19" s="84">
        <f t="shared" ref="D19:J19" si="3">D9/D$10</f>
        <v>0.5625</v>
      </c>
      <c r="E19" s="84">
        <f t="shared" si="3"/>
        <v>0.17948717948717949</v>
      </c>
      <c r="F19" s="84">
        <f t="shared" si="3"/>
        <v>0.17499999999999999</v>
      </c>
      <c r="G19" s="84">
        <f t="shared" si="3"/>
        <v>7.2847682119205295E-2</v>
      </c>
      <c r="H19" s="84">
        <f t="shared" si="3"/>
        <v>5.6603773584905662E-2</v>
      </c>
      <c r="I19" s="84">
        <f t="shared" si="3"/>
        <v>0.48571428571428571</v>
      </c>
      <c r="J19" s="84">
        <f t="shared" si="3"/>
        <v>0.16464891041162227</v>
      </c>
    </row>
    <row r="20" spans="3:10" x14ac:dyDescent="0.3">
      <c r="C20" s="73" t="s">
        <v>4</v>
      </c>
      <c r="D20" s="84">
        <f t="shared" ref="D20:J20" si="4">D10/D$10</f>
        <v>1</v>
      </c>
      <c r="E20" s="84">
        <f t="shared" si="4"/>
        <v>1</v>
      </c>
      <c r="F20" s="84">
        <f t="shared" si="4"/>
        <v>1</v>
      </c>
      <c r="G20" s="84">
        <f t="shared" si="4"/>
        <v>1</v>
      </c>
      <c r="H20" s="84">
        <f t="shared" si="4"/>
        <v>1</v>
      </c>
      <c r="I20" s="84">
        <f t="shared" si="4"/>
        <v>1</v>
      </c>
      <c r="J20" s="84">
        <f t="shared" si="4"/>
        <v>1</v>
      </c>
    </row>
    <row r="23" spans="3:10" x14ac:dyDescent="0.3">
      <c r="C23" s="267"/>
      <c r="D23" s="268" t="s">
        <v>10</v>
      </c>
      <c r="E23" s="268" t="s">
        <v>11</v>
      </c>
      <c r="F23" s="267" t="s">
        <v>0</v>
      </c>
      <c r="G23" s="266" t="s">
        <v>1</v>
      </c>
      <c r="H23" s="266" t="s">
        <v>2</v>
      </c>
      <c r="I23" s="266" t="s">
        <v>3</v>
      </c>
      <c r="J23" s="266" t="s">
        <v>4</v>
      </c>
    </row>
    <row r="24" spans="3:10" x14ac:dyDescent="0.3">
      <c r="C24" s="267"/>
      <c r="D24" s="269"/>
      <c r="E24" s="269"/>
      <c r="F24" s="267"/>
      <c r="G24" s="266"/>
      <c r="H24" s="266"/>
      <c r="I24" s="266"/>
      <c r="J24" s="266"/>
    </row>
    <row r="25" spans="3:10" x14ac:dyDescent="0.3">
      <c r="C25" s="73" t="s">
        <v>5</v>
      </c>
      <c r="D25" s="84">
        <f>(D16-$J16)^2/$J16</f>
        <v>0.17669257851445663</v>
      </c>
      <c r="E25" s="84">
        <f t="shared" ref="E25:I25" si="5">(E16-$J16)^2/$J16</f>
        <v>7.510817317934429E-2</v>
      </c>
      <c r="F25" s="84">
        <f t="shared" si="5"/>
        <v>2.2808138085742766E-3</v>
      </c>
      <c r="G25" s="84">
        <f t="shared" si="5"/>
        <v>0.10682259611236895</v>
      </c>
      <c r="H25" s="84">
        <f t="shared" si="5"/>
        <v>3.4329549620983967E-2</v>
      </c>
      <c r="I25" s="84">
        <f t="shared" si="5"/>
        <v>4.7271247482043664E-2</v>
      </c>
      <c r="J25" s="84"/>
    </row>
    <row r="26" spans="3:10" x14ac:dyDescent="0.3">
      <c r="C26" s="73" t="s">
        <v>6</v>
      </c>
      <c r="D26" s="84">
        <f t="shared" ref="D26:I26" si="6">(D17-$J17)^2/$J17</f>
        <v>0.1813111111250075</v>
      </c>
      <c r="E26" s="84">
        <f t="shared" si="6"/>
        <v>0.1649632550426671</v>
      </c>
      <c r="F26" s="84">
        <f t="shared" si="6"/>
        <v>1.68290877073619E-4</v>
      </c>
      <c r="G26" s="84">
        <f t="shared" si="6"/>
        <v>2.6908096443743115E-3</v>
      </c>
      <c r="H26" s="84">
        <f t="shared" si="6"/>
        <v>0.13467652738958211</v>
      </c>
      <c r="I26" s="84">
        <f t="shared" si="6"/>
        <v>1.5496368038740904E-3</v>
      </c>
      <c r="J26" s="84"/>
    </row>
    <row r="27" spans="3:10" x14ac:dyDescent="0.3">
      <c r="C27" s="73" t="s">
        <v>7</v>
      </c>
      <c r="D27" s="84">
        <f t="shared" ref="D27:I27" si="7">(D18-$J18)^2/$J18</f>
        <v>1.3351871468926559E-2</v>
      </c>
      <c r="E27" s="84">
        <f t="shared" si="7"/>
        <v>3.0163214061519145E-2</v>
      </c>
      <c r="F27" s="84">
        <f t="shared" si="7"/>
        <v>2.6853813559322179E-4</v>
      </c>
      <c r="G27" s="84">
        <f t="shared" si="7"/>
        <v>1.2142643163881455E-2</v>
      </c>
      <c r="H27" s="84">
        <f t="shared" si="7"/>
        <v>0.6488023765419062</v>
      </c>
      <c r="I27" s="84">
        <f t="shared" si="7"/>
        <v>0.20030531534647755</v>
      </c>
      <c r="J27" s="84"/>
    </row>
    <row r="28" spans="3:10" x14ac:dyDescent="0.3">
      <c r="C28" s="73" t="s">
        <v>8</v>
      </c>
      <c r="D28" s="84">
        <f t="shared" ref="D28:I28" si="8">(D19-$J19)^2/$J19</f>
        <v>0.96135157585279873</v>
      </c>
      <c r="E28" s="84">
        <f t="shared" si="8"/>
        <v>1.3372346565076075E-3</v>
      </c>
      <c r="F28" s="84">
        <f t="shared" si="8"/>
        <v>6.5074864691639267E-4</v>
      </c>
      <c r="G28" s="84">
        <f t="shared" si="8"/>
        <v>5.1184459678037322E-2</v>
      </c>
      <c r="H28" s="84">
        <f t="shared" si="8"/>
        <v>7.0900873639063486E-2</v>
      </c>
      <c r="I28" s="84">
        <f t="shared" si="8"/>
        <v>0.62607748184019374</v>
      </c>
      <c r="J28" s="84"/>
    </row>
    <row r="29" spans="3:10" x14ac:dyDescent="0.3">
      <c r="C29" s="73" t="s">
        <v>4</v>
      </c>
      <c r="D29" s="86">
        <f>SUM(D25:D28)</f>
        <v>1.3327071369611896</v>
      </c>
      <c r="E29" s="86">
        <f t="shared" ref="E29:H29" si="9">SUM(E25:E28)</f>
        <v>0.27157187694003815</v>
      </c>
      <c r="F29" s="86">
        <f t="shared" si="9"/>
        <v>3.3683914681575102E-3</v>
      </c>
      <c r="G29" s="86">
        <f t="shared" si="9"/>
        <v>0.17284050859866204</v>
      </c>
      <c r="H29" s="86">
        <f t="shared" si="9"/>
        <v>0.88870932719153584</v>
      </c>
      <c r="I29" s="86">
        <f>SUM(I25:I28)</f>
        <v>0.87520368147258898</v>
      </c>
      <c r="J29" s="84"/>
    </row>
  </sheetData>
  <mergeCells count="24">
    <mergeCell ref="I4:I5"/>
    <mergeCell ref="J4:J5"/>
    <mergeCell ref="C14:C15"/>
    <mergeCell ref="D14:D15"/>
    <mergeCell ref="E14:E15"/>
    <mergeCell ref="F14:F15"/>
    <mergeCell ref="G14:G15"/>
    <mergeCell ref="H14:H15"/>
    <mergeCell ref="I14:I15"/>
    <mergeCell ref="J14:J15"/>
    <mergeCell ref="C4:C5"/>
    <mergeCell ref="D4:D5"/>
    <mergeCell ref="E4:E5"/>
    <mergeCell ref="F4:F5"/>
    <mergeCell ref="G4:G5"/>
    <mergeCell ref="H4:H5"/>
    <mergeCell ref="I23:I24"/>
    <mergeCell ref="J23:J24"/>
    <mergeCell ref="C23:C24"/>
    <mergeCell ref="D23:D24"/>
    <mergeCell ref="E23:E24"/>
    <mergeCell ref="F23:F24"/>
    <mergeCell ref="G23:G24"/>
    <mergeCell ref="H23:H2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9"/>
  <sheetViews>
    <sheetView workbookViewId="0">
      <selection activeCell="M24" sqref="M24"/>
    </sheetView>
  </sheetViews>
  <sheetFormatPr defaultRowHeight="13.2" x14ac:dyDescent="0.25"/>
  <cols>
    <col min="1" max="3" width="8.88671875" style="49"/>
    <col min="4" max="4" width="6.21875" style="49" customWidth="1"/>
    <col min="5" max="5" width="6.33203125" style="49" customWidth="1"/>
    <col min="6" max="7" width="6.44140625" style="49" customWidth="1"/>
    <col min="8" max="8" width="6.33203125" style="49" customWidth="1"/>
    <col min="9" max="9" width="6.6640625" style="49" customWidth="1"/>
    <col min="10" max="10" width="5.6640625" style="49" customWidth="1"/>
    <col min="11" max="11" width="5.5546875" style="49" customWidth="1"/>
    <col min="12" max="12" width="6.21875" style="49" customWidth="1"/>
    <col min="13" max="13" width="6.33203125" style="49" customWidth="1"/>
    <col min="14" max="14" width="6.21875" style="49" customWidth="1"/>
    <col min="15" max="16" width="6.33203125" style="49" customWidth="1"/>
    <col min="17" max="16384" width="8.88671875" style="49"/>
  </cols>
  <sheetData>
    <row r="3" spans="3:16" s="100" customFormat="1" x14ac:dyDescent="0.25">
      <c r="C3" s="302"/>
      <c r="D3" s="305" t="s">
        <v>10</v>
      </c>
      <c r="E3" s="305" t="s">
        <v>11</v>
      </c>
      <c r="F3" s="302" t="s">
        <v>0</v>
      </c>
      <c r="G3" s="302" t="s">
        <v>1</v>
      </c>
      <c r="H3" s="302" t="s">
        <v>2</v>
      </c>
      <c r="I3" s="302" t="s">
        <v>3</v>
      </c>
      <c r="J3" s="302" t="s">
        <v>4</v>
      </c>
      <c r="K3" s="305" t="s">
        <v>10</v>
      </c>
      <c r="L3" s="305" t="s">
        <v>11</v>
      </c>
      <c r="M3" s="302" t="s">
        <v>0</v>
      </c>
      <c r="N3" s="302" t="s">
        <v>1</v>
      </c>
      <c r="O3" s="302" t="s">
        <v>2</v>
      </c>
      <c r="P3" s="302" t="s">
        <v>3</v>
      </c>
    </row>
    <row r="4" spans="3:16" s="100" customFormat="1" x14ac:dyDescent="0.25">
      <c r="C4" s="302"/>
      <c r="D4" s="306"/>
      <c r="E4" s="306"/>
      <c r="F4" s="302"/>
      <c r="G4" s="302"/>
      <c r="H4" s="302"/>
      <c r="I4" s="302"/>
      <c r="J4" s="302"/>
      <c r="K4" s="306"/>
      <c r="L4" s="306"/>
      <c r="M4" s="302"/>
      <c r="N4" s="302"/>
      <c r="O4" s="302"/>
      <c r="P4" s="302"/>
    </row>
    <row r="5" spans="3:16" ht="14.4" x14ac:dyDescent="0.3">
      <c r="C5" s="74" t="s">
        <v>5</v>
      </c>
      <c r="D5" s="51">
        <v>1</v>
      </c>
      <c r="E5" s="51">
        <v>11</v>
      </c>
      <c r="F5" s="51">
        <v>21</v>
      </c>
      <c r="G5" s="52">
        <v>70</v>
      </c>
      <c r="H5" s="52">
        <v>10</v>
      </c>
      <c r="I5" s="52">
        <v>6</v>
      </c>
      <c r="J5" s="53">
        <v>119</v>
      </c>
      <c r="K5" s="3">
        <f>(D5/D$9)/($J5/$J$9)</f>
        <v>0.21691176470588236</v>
      </c>
      <c r="L5" s="3">
        <f t="shared" ref="L5:P5" si="0">(E5/E$9)/($J5/$J$9)</f>
        <v>0.48944193061840119</v>
      </c>
      <c r="M5" s="3">
        <f t="shared" si="0"/>
        <v>0.91102941176470587</v>
      </c>
      <c r="N5" s="3">
        <f t="shared" si="0"/>
        <v>1.6088819633813789</v>
      </c>
      <c r="O5" s="3">
        <f t="shared" si="0"/>
        <v>0.65482796892341844</v>
      </c>
      <c r="P5" s="3">
        <f t="shared" si="0"/>
        <v>0.59495798319327731</v>
      </c>
    </row>
    <row r="6" spans="3:16" ht="14.4" x14ac:dyDescent="0.3">
      <c r="C6" s="74" t="s">
        <v>6</v>
      </c>
      <c r="D6" s="51">
        <v>1</v>
      </c>
      <c r="E6" s="51">
        <v>40</v>
      </c>
      <c r="F6" s="51">
        <v>24</v>
      </c>
      <c r="G6" s="52">
        <v>40</v>
      </c>
      <c r="H6" s="52">
        <v>5</v>
      </c>
      <c r="I6" s="52">
        <v>11</v>
      </c>
      <c r="J6" s="53">
        <v>121</v>
      </c>
      <c r="K6" s="3">
        <f t="shared" ref="K6:K7" si="1">(D6/D$9)/($J6/$J$9)</f>
        <v>0.21332644628099173</v>
      </c>
      <c r="L6" s="3">
        <f t="shared" ref="L6:L8" si="2">(E6/E$9)/($J6/$J$9)</f>
        <v>1.7503708412799319</v>
      </c>
      <c r="M6" s="3">
        <f t="shared" ref="M6:M8" si="3">(F6/F$9)/($J6/$J$9)</f>
        <v>1.0239669421487603</v>
      </c>
      <c r="N6" s="3">
        <f t="shared" ref="N6:N8" si="4">(G6/G$9)/($J6/$J$9)</f>
        <v>0.90416507033003124</v>
      </c>
      <c r="O6" s="3">
        <f t="shared" ref="O6:O8" si="5">(H6/H$9)/($J6/$J$9)</f>
        <v>0.32200218306564793</v>
      </c>
      <c r="P6" s="3">
        <f t="shared" ref="P6:P8" si="6">(I6/I$9)/($J6/$J$9)</f>
        <v>1.0727272727272728</v>
      </c>
    </row>
    <row r="7" spans="3:16" ht="14.4" x14ac:dyDescent="0.3">
      <c r="C7" s="74" t="s">
        <v>7</v>
      </c>
      <c r="D7" s="51">
        <v>5</v>
      </c>
      <c r="E7" s="51">
        <v>13</v>
      </c>
      <c r="F7" s="51">
        <v>21</v>
      </c>
      <c r="G7" s="52">
        <v>30</v>
      </c>
      <c r="H7" s="52">
        <v>35</v>
      </c>
      <c r="I7" s="52">
        <v>1</v>
      </c>
      <c r="J7" s="53">
        <v>105</v>
      </c>
      <c r="K7" s="3">
        <f t="shared" si="1"/>
        <v>1.2291666666666667</v>
      </c>
      <c r="L7" s="3">
        <f t="shared" si="2"/>
        <v>0.65555555555555556</v>
      </c>
      <c r="M7" s="3">
        <f t="shared" si="3"/>
        <v>1.0325000000000002</v>
      </c>
      <c r="N7" s="3">
        <f t="shared" si="4"/>
        <v>0.7814569536423841</v>
      </c>
      <c r="O7" s="3">
        <f t="shared" si="5"/>
        <v>2.5974842767295598</v>
      </c>
      <c r="P7" s="3">
        <f t="shared" si="6"/>
        <v>0.11238095238095239</v>
      </c>
    </row>
    <row r="8" spans="3:16" ht="14.4" x14ac:dyDescent="0.3">
      <c r="C8" s="74" t="s">
        <v>8</v>
      </c>
      <c r="D8" s="51">
        <v>9</v>
      </c>
      <c r="E8" s="51">
        <v>14</v>
      </c>
      <c r="F8" s="51">
        <v>14</v>
      </c>
      <c r="G8" s="52">
        <v>11</v>
      </c>
      <c r="H8" s="52">
        <v>3</v>
      </c>
      <c r="I8" s="52">
        <v>17</v>
      </c>
      <c r="J8" s="53">
        <v>68</v>
      </c>
      <c r="K8" s="3">
        <f>(D8/D$9)/($J8/$J$9)</f>
        <v>3.4163602941176472</v>
      </c>
      <c r="L8" s="3">
        <f t="shared" si="2"/>
        <v>1.0901206636500755</v>
      </c>
      <c r="M8" s="3">
        <f t="shared" si="3"/>
        <v>1.0628676470588234</v>
      </c>
      <c r="N8" s="3">
        <f t="shared" si="4"/>
        <v>0.44244253992987925</v>
      </c>
      <c r="O8" s="3">
        <f t="shared" si="5"/>
        <v>0.3437846836847947</v>
      </c>
      <c r="P8" s="3">
        <f t="shared" si="6"/>
        <v>2.95</v>
      </c>
    </row>
    <row r="9" spans="3:16" ht="14.4" x14ac:dyDescent="0.3">
      <c r="C9" s="74" t="s">
        <v>4</v>
      </c>
      <c r="D9" s="54">
        <v>16</v>
      </c>
      <c r="E9" s="54">
        <v>78</v>
      </c>
      <c r="F9" s="54">
        <v>80</v>
      </c>
      <c r="G9" s="53">
        <v>151</v>
      </c>
      <c r="H9" s="53">
        <v>53</v>
      </c>
      <c r="I9" s="53">
        <v>35</v>
      </c>
      <c r="J9" s="53">
        <v>413</v>
      </c>
      <c r="K9" s="4" t="s">
        <v>9</v>
      </c>
      <c r="L9" s="4" t="s">
        <v>9</v>
      </c>
      <c r="M9" s="4" t="s">
        <v>9</v>
      </c>
      <c r="N9" s="4" t="s">
        <v>9</v>
      </c>
      <c r="O9" s="4" t="s">
        <v>9</v>
      </c>
      <c r="P9" s="4" t="s">
        <v>9</v>
      </c>
    </row>
    <row r="11" spans="3:16" x14ac:dyDescent="0.25">
      <c r="C11" s="97" t="s">
        <v>69</v>
      </c>
    </row>
    <row r="12" spans="3:16" x14ac:dyDescent="0.25">
      <c r="C12" s="298"/>
      <c r="D12" s="305" t="s">
        <v>10</v>
      </c>
      <c r="E12" s="305" t="s">
        <v>11</v>
      </c>
      <c r="F12" s="302" t="s">
        <v>0</v>
      </c>
      <c r="G12" s="302" t="s">
        <v>1</v>
      </c>
      <c r="H12" s="302" t="s">
        <v>2</v>
      </c>
      <c r="I12" s="302" t="s">
        <v>3</v>
      </c>
      <c r="J12" s="302" t="s">
        <v>4</v>
      </c>
      <c r="K12" s="305" t="s">
        <v>10</v>
      </c>
      <c r="L12" s="305" t="s">
        <v>11</v>
      </c>
      <c r="M12" s="302" t="s">
        <v>0</v>
      </c>
      <c r="N12" s="302" t="s">
        <v>1</v>
      </c>
      <c r="O12" s="302" t="s">
        <v>2</v>
      </c>
      <c r="P12" s="302" t="s">
        <v>3</v>
      </c>
    </row>
    <row r="13" spans="3:16" x14ac:dyDescent="0.25">
      <c r="C13" s="298"/>
      <c r="D13" s="306"/>
      <c r="E13" s="306"/>
      <c r="F13" s="302"/>
      <c r="G13" s="302"/>
      <c r="H13" s="302"/>
      <c r="I13" s="302"/>
      <c r="J13" s="302"/>
      <c r="K13" s="306"/>
      <c r="L13" s="306"/>
      <c r="M13" s="302"/>
      <c r="N13" s="302"/>
      <c r="O13" s="302"/>
      <c r="P13" s="302"/>
    </row>
    <row r="14" spans="3:16" x14ac:dyDescent="0.25">
      <c r="C14" s="74" t="s">
        <v>5</v>
      </c>
      <c r="D14" s="98">
        <f>D5/D$9</f>
        <v>6.25E-2</v>
      </c>
      <c r="E14" s="98">
        <f t="shared" ref="E14:J14" si="7">E5/E$9</f>
        <v>0.14102564102564102</v>
      </c>
      <c r="F14" s="98">
        <f t="shared" si="7"/>
        <v>0.26250000000000001</v>
      </c>
      <c r="G14" s="98">
        <f t="shared" si="7"/>
        <v>0.46357615894039733</v>
      </c>
      <c r="H14" s="98">
        <f t="shared" si="7"/>
        <v>0.18867924528301888</v>
      </c>
      <c r="I14" s="98">
        <f t="shared" si="7"/>
        <v>0.17142857142857143</v>
      </c>
      <c r="J14" s="98">
        <f t="shared" si="7"/>
        <v>0.28813559322033899</v>
      </c>
      <c r="K14" s="101">
        <f>K5*D14</f>
        <v>1.3556985294117647E-2</v>
      </c>
      <c r="L14" s="101">
        <f t="shared" ref="L14:P14" si="8">L5*E14</f>
        <v>6.9023862010287346E-2</v>
      </c>
      <c r="M14" s="101">
        <f t="shared" si="8"/>
        <v>0.23914522058823531</v>
      </c>
      <c r="N14" s="101">
        <f t="shared" si="8"/>
        <v>0.74583932077282467</v>
      </c>
      <c r="O14" s="101">
        <f t="shared" si="8"/>
        <v>0.12355244696668273</v>
      </c>
      <c r="P14" s="101">
        <f t="shared" si="8"/>
        <v>0.10199279711884754</v>
      </c>
    </row>
    <row r="15" spans="3:16" x14ac:dyDescent="0.25">
      <c r="C15" s="74" t="s">
        <v>6</v>
      </c>
      <c r="D15" s="98">
        <f t="shared" ref="D15:J15" si="9">D6/D$9</f>
        <v>6.25E-2</v>
      </c>
      <c r="E15" s="98">
        <f t="shared" si="9"/>
        <v>0.51282051282051277</v>
      </c>
      <c r="F15" s="98">
        <f t="shared" si="9"/>
        <v>0.3</v>
      </c>
      <c r="G15" s="98">
        <f t="shared" si="9"/>
        <v>0.26490066225165565</v>
      </c>
      <c r="H15" s="98">
        <f t="shared" si="9"/>
        <v>9.4339622641509441E-2</v>
      </c>
      <c r="I15" s="98">
        <f t="shared" si="9"/>
        <v>0.31428571428571428</v>
      </c>
      <c r="J15" s="98">
        <f t="shared" si="9"/>
        <v>0.29297820823244553</v>
      </c>
      <c r="K15" s="101">
        <f t="shared" ref="K15:K17" si="10">K6*D15</f>
        <v>1.3332902892561983E-2</v>
      </c>
      <c r="L15" s="101">
        <f t="shared" ref="L15:L17" si="11">L6*E15</f>
        <v>0.89762607245124704</v>
      </c>
      <c r="M15" s="101">
        <f t="shared" ref="M15:M17" si="12">M6*F15</f>
        <v>0.30719008264462805</v>
      </c>
      <c r="N15" s="101">
        <f t="shared" ref="N15:N17" si="13">N6*G15</f>
        <v>0.23951392591524009</v>
      </c>
      <c r="O15" s="101">
        <f t="shared" ref="O15:O17" si="14">O6*H15</f>
        <v>3.0377564440155467E-2</v>
      </c>
      <c r="P15" s="101">
        <f t="shared" ref="P15:P17" si="15">P6*I15</f>
        <v>0.33714285714285713</v>
      </c>
    </row>
    <row r="16" spans="3:16" x14ac:dyDescent="0.25">
      <c r="C16" s="74" t="s">
        <v>7</v>
      </c>
      <c r="D16" s="98">
        <f t="shared" ref="D16:J16" si="16">D7/D$9</f>
        <v>0.3125</v>
      </c>
      <c r="E16" s="98">
        <f t="shared" si="16"/>
        <v>0.16666666666666666</v>
      </c>
      <c r="F16" s="98">
        <f t="shared" si="16"/>
        <v>0.26250000000000001</v>
      </c>
      <c r="G16" s="98">
        <f t="shared" si="16"/>
        <v>0.19867549668874171</v>
      </c>
      <c r="H16" s="98">
        <f t="shared" si="16"/>
        <v>0.660377358490566</v>
      </c>
      <c r="I16" s="98">
        <f t="shared" si="16"/>
        <v>2.8571428571428571E-2</v>
      </c>
      <c r="J16" s="98">
        <f t="shared" si="16"/>
        <v>0.25423728813559321</v>
      </c>
      <c r="K16" s="101">
        <f t="shared" si="10"/>
        <v>0.38411458333333337</v>
      </c>
      <c r="L16" s="101">
        <f t="shared" si="11"/>
        <v>0.10925925925925925</v>
      </c>
      <c r="M16" s="101">
        <f t="shared" si="12"/>
        <v>0.27103125000000006</v>
      </c>
      <c r="N16" s="101">
        <f t="shared" si="13"/>
        <v>0.15525634840577165</v>
      </c>
      <c r="O16" s="101">
        <f t="shared" si="14"/>
        <v>1.715319805387445</v>
      </c>
      <c r="P16" s="101">
        <f t="shared" si="15"/>
        <v>3.2108843537414968E-3</v>
      </c>
    </row>
    <row r="17" spans="3:16" x14ac:dyDescent="0.25">
      <c r="C17" s="74" t="s">
        <v>8</v>
      </c>
      <c r="D17" s="98">
        <f t="shared" ref="D17:J17" si="17">D8/D$9</f>
        <v>0.5625</v>
      </c>
      <c r="E17" s="98">
        <f t="shared" si="17"/>
        <v>0.17948717948717949</v>
      </c>
      <c r="F17" s="98">
        <f t="shared" si="17"/>
        <v>0.17499999999999999</v>
      </c>
      <c r="G17" s="98">
        <f t="shared" si="17"/>
        <v>7.2847682119205295E-2</v>
      </c>
      <c r="H17" s="98">
        <f t="shared" si="17"/>
        <v>5.6603773584905662E-2</v>
      </c>
      <c r="I17" s="98">
        <f t="shared" si="17"/>
        <v>0.48571428571428571</v>
      </c>
      <c r="J17" s="98">
        <f t="shared" si="17"/>
        <v>0.16464891041162227</v>
      </c>
      <c r="K17" s="101">
        <f t="shared" si="10"/>
        <v>1.9217026654411766</v>
      </c>
      <c r="L17" s="101">
        <f t="shared" si="11"/>
        <v>0.19566268321924432</v>
      </c>
      <c r="M17" s="101">
        <f t="shared" si="12"/>
        <v>0.18600183823529409</v>
      </c>
      <c r="N17" s="101">
        <f t="shared" si="13"/>
        <v>3.223091350482564E-2</v>
      </c>
      <c r="O17" s="101">
        <f t="shared" si="14"/>
        <v>1.9459510397252532E-2</v>
      </c>
      <c r="P17" s="101">
        <f t="shared" si="15"/>
        <v>1.4328571428571428</v>
      </c>
    </row>
    <row r="18" spans="3:16" x14ac:dyDescent="0.25">
      <c r="C18" s="74" t="s">
        <v>4</v>
      </c>
      <c r="D18" s="98">
        <f t="shared" ref="D18:J18" si="18">D9/D$9</f>
        <v>1</v>
      </c>
      <c r="E18" s="98">
        <f t="shared" si="18"/>
        <v>1</v>
      </c>
      <c r="F18" s="98">
        <f t="shared" si="18"/>
        <v>1</v>
      </c>
      <c r="G18" s="98">
        <f t="shared" si="18"/>
        <v>1</v>
      </c>
      <c r="H18" s="98">
        <f t="shared" si="18"/>
        <v>1</v>
      </c>
      <c r="I18" s="98">
        <f t="shared" si="18"/>
        <v>1</v>
      </c>
      <c r="J18" s="98">
        <f t="shared" si="18"/>
        <v>1</v>
      </c>
      <c r="K18" s="102">
        <f>SUM(K14:K17)</f>
        <v>2.3327071369611896</v>
      </c>
      <c r="L18" s="102">
        <f t="shared" ref="L18:P18" si="19">SUM(L14:L17)</f>
        <v>1.2715718769400379</v>
      </c>
      <c r="M18" s="102">
        <f t="shared" si="19"/>
        <v>1.0033683914681575</v>
      </c>
      <c r="N18" s="102">
        <f t="shared" si="19"/>
        <v>1.172840508598662</v>
      </c>
      <c r="O18" s="102">
        <f t="shared" si="19"/>
        <v>1.8887093271915358</v>
      </c>
      <c r="P18" s="102">
        <f t="shared" si="19"/>
        <v>1.875203681472589</v>
      </c>
    </row>
    <row r="19" spans="3:16" x14ac:dyDescent="0.25">
      <c r="C19" s="74" t="s">
        <v>70</v>
      </c>
      <c r="D19" s="99"/>
      <c r="E19" s="99"/>
      <c r="F19" s="99"/>
      <c r="G19" s="99"/>
      <c r="H19" s="99"/>
      <c r="I19" s="99"/>
      <c r="J19" s="99"/>
      <c r="K19" s="103">
        <f>1/K18</f>
        <v>0.42868647510664237</v>
      </c>
      <c r="L19" s="103">
        <f t="shared" ref="L19:P19" si="20">1/L18</f>
        <v>0.78642821387843254</v>
      </c>
      <c r="M19" s="103">
        <f t="shared" si="20"/>
        <v>0.99664291650325088</v>
      </c>
      <c r="N19" s="103">
        <f t="shared" si="20"/>
        <v>0.85263085020385598</v>
      </c>
      <c r="O19" s="103">
        <f t="shared" si="20"/>
        <v>0.52946209647144349</v>
      </c>
      <c r="P19" s="103">
        <f t="shared" si="20"/>
        <v>0.53327540356293701</v>
      </c>
    </row>
    <row r="22" spans="3:16" x14ac:dyDescent="0.25">
      <c r="C22" s="298"/>
      <c r="D22" s="305" t="s">
        <v>10</v>
      </c>
      <c r="E22" s="305" t="s">
        <v>11</v>
      </c>
      <c r="F22" s="302" t="s">
        <v>0</v>
      </c>
      <c r="G22" s="302" t="s">
        <v>1</v>
      </c>
      <c r="H22" s="302" t="s">
        <v>2</v>
      </c>
      <c r="I22" s="302" t="s">
        <v>3</v>
      </c>
      <c r="L22" s="302"/>
    </row>
    <row r="23" spans="3:16" x14ac:dyDescent="0.25">
      <c r="C23" s="298"/>
      <c r="D23" s="306"/>
      <c r="E23" s="306"/>
      <c r="F23" s="302"/>
      <c r="G23" s="302"/>
      <c r="H23" s="302"/>
      <c r="I23" s="302"/>
      <c r="L23" s="302"/>
    </row>
    <row r="24" spans="3:16" x14ac:dyDescent="0.25">
      <c r="C24" s="74" t="s">
        <v>5</v>
      </c>
      <c r="D24" s="98">
        <v>1.3556985294117647E-2</v>
      </c>
      <c r="E24" s="98">
        <v>6.9023862010287346E-2</v>
      </c>
      <c r="F24" s="98">
        <v>0.23914522058823531</v>
      </c>
      <c r="G24" s="98">
        <v>0.74583932077282467</v>
      </c>
      <c r="H24" s="98">
        <v>0.12355244696668273</v>
      </c>
      <c r="I24" s="98">
        <v>0.10199279711884754</v>
      </c>
      <c r="L24" s="98"/>
    </row>
    <row r="25" spans="3:16" x14ac:dyDescent="0.25">
      <c r="C25" s="74" t="s">
        <v>6</v>
      </c>
      <c r="D25" s="98">
        <v>1.3332902892561983E-2</v>
      </c>
      <c r="E25" s="98">
        <v>0.89762607245124704</v>
      </c>
      <c r="F25" s="98">
        <v>0.30719008264462805</v>
      </c>
      <c r="G25" s="98">
        <v>0.23951392591524009</v>
      </c>
      <c r="H25" s="98">
        <v>3.0377564440155467E-2</v>
      </c>
      <c r="I25" s="98">
        <v>0.33714285714285713</v>
      </c>
      <c r="L25" s="98"/>
    </row>
    <row r="26" spans="3:16" x14ac:dyDescent="0.25">
      <c r="C26" s="74" t="s">
        <v>7</v>
      </c>
      <c r="D26" s="98">
        <v>0.38411458333333337</v>
      </c>
      <c r="E26" s="98">
        <v>0.10925925925925925</v>
      </c>
      <c r="F26" s="98">
        <v>0.27103125000000006</v>
      </c>
      <c r="G26" s="98">
        <v>0.15525634840577165</v>
      </c>
      <c r="H26" s="98">
        <v>1.715319805387445</v>
      </c>
      <c r="I26" s="98">
        <v>3.2108843537414968E-3</v>
      </c>
      <c r="L26" s="98"/>
    </row>
    <row r="27" spans="3:16" x14ac:dyDescent="0.25">
      <c r="C27" s="74" t="s">
        <v>8</v>
      </c>
      <c r="D27" s="98">
        <v>1.9217026654411766</v>
      </c>
      <c r="E27" s="98">
        <v>0.19566268321924432</v>
      </c>
      <c r="F27" s="98">
        <v>0.18600183823529409</v>
      </c>
      <c r="G27" s="98">
        <v>3.223091350482564E-2</v>
      </c>
      <c r="H27" s="98">
        <v>1.9459510397252532E-2</v>
      </c>
      <c r="I27" s="98">
        <v>1.4328571428571428</v>
      </c>
      <c r="L27" s="98"/>
    </row>
    <row r="28" spans="3:16" x14ac:dyDescent="0.25">
      <c r="C28" s="74" t="s">
        <v>4</v>
      </c>
      <c r="D28" s="98">
        <v>2.3327071369611896</v>
      </c>
      <c r="E28" s="98">
        <v>1.2715718769400379</v>
      </c>
      <c r="F28" s="98">
        <v>1.0033683914681575</v>
      </c>
      <c r="G28" s="98">
        <v>1.172840508598662</v>
      </c>
      <c r="H28" s="98">
        <v>1.8887093271915358</v>
      </c>
      <c r="I28" s="98">
        <v>1.875203681472589</v>
      </c>
      <c r="L28" s="98"/>
    </row>
    <row r="29" spans="3:16" x14ac:dyDescent="0.25">
      <c r="C29" s="74" t="s">
        <v>70</v>
      </c>
      <c r="D29" s="99">
        <v>0.42868647510664237</v>
      </c>
      <c r="E29" s="99">
        <v>0.78642821387843254</v>
      </c>
      <c r="F29" s="99">
        <v>0.99664291650325088</v>
      </c>
      <c r="G29" s="99">
        <v>0.85263085020385598</v>
      </c>
      <c r="H29" s="99">
        <v>0.52946209647144349</v>
      </c>
      <c r="I29" s="99">
        <v>0.53327540356293701</v>
      </c>
      <c r="L29" s="99"/>
    </row>
  </sheetData>
  <mergeCells count="36">
    <mergeCell ref="N3:N4"/>
    <mergeCell ref="C3:C4"/>
    <mergeCell ref="D3:D4"/>
    <mergeCell ref="E3:E4"/>
    <mergeCell ref="F3:F4"/>
    <mergeCell ref="G3:G4"/>
    <mergeCell ref="H3:H4"/>
    <mergeCell ref="P12:P13"/>
    <mergeCell ref="O3:O4"/>
    <mergeCell ref="P3:P4"/>
    <mergeCell ref="C12:C13"/>
    <mergeCell ref="D12:D13"/>
    <mergeCell ref="E12:E13"/>
    <mergeCell ref="F12:F13"/>
    <mergeCell ref="G12:G13"/>
    <mergeCell ref="H12:H13"/>
    <mergeCell ref="I12:I13"/>
    <mergeCell ref="J12:J13"/>
    <mergeCell ref="I3:I4"/>
    <mergeCell ref="J3:J4"/>
    <mergeCell ref="K3:K4"/>
    <mergeCell ref="L3:L4"/>
    <mergeCell ref="M3:M4"/>
    <mergeCell ref="K12:K13"/>
    <mergeCell ref="L12:L13"/>
    <mergeCell ref="M12:M13"/>
    <mergeCell ref="N12:N13"/>
    <mergeCell ref="O12:O13"/>
    <mergeCell ref="I22:I23"/>
    <mergeCell ref="L22:L23"/>
    <mergeCell ref="C22:C23"/>
    <mergeCell ref="D22:D23"/>
    <mergeCell ref="E22:E23"/>
    <mergeCell ref="F22:F23"/>
    <mergeCell ref="G22:G23"/>
    <mergeCell ref="H22:H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26" sqref="K26"/>
    </sheetView>
  </sheetViews>
  <sheetFormatPr defaultRowHeight="12" x14ac:dyDescent="0.25"/>
  <cols>
    <col min="1" max="2" width="8.88671875" style="112"/>
    <col min="3" max="3" width="9.6640625" style="112" customWidth="1"/>
    <col min="4" max="10" width="8.88671875" style="112"/>
    <col min="11" max="11" width="9" style="112" customWidth="1"/>
    <col min="12" max="12" width="7.21875" style="112" customWidth="1"/>
    <col min="13" max="16384" width="8.88671875" style="112"/>
  </cols>
  <sheetData>
    <row r="3" spans="3:11" x14ac:dyDescent="0.25">
      <c r="C3" s="272"/>
      <c r="D3" s="270" t="s">
        <v>10</v>
      </c>
      <c r="E3" s="270" t="s">
        <v>11</v>
      </c>
      <c r="F3" s="272" t="s">
        <v>0</v>
      </c>
      <c r="G3" s="273" t="s">
        <v>1</v>
      </c>
      <c r="H3" s="273" t="s">
        <v>2</v>
      </c>
      <c r="I3" s="273" t="s">
        <v>3</v>
      </c>
      <c r="J3" s="273" t="s">
        <v>4</v>
      </c>
    </row>
    <row r="4" spans="3:11" x14ac:dyDescent="0.25">
      <c r="C4" s="272"/>
      <c r="D4" s="271"/>
      <c r="E4" s="271"/>
      <c r="F4" s="272"/>
      <c r="G4" s="273"/>
      <c r="H4" s="273"/>
      <c r="I4" s="273"/>
      <c r="J4" s="273"/>
    </row>
    <row r="5" spans="3:11" x14ac:dyDescent="0.25">
      <c r="C5" s="105" t="s">
        <v>5</v>
      </c>
      <c r="D5" s="5">
        <v>1</v>
      </c>
      <c r="E5" s="5">
        <v>11</v>
      </c>
      <c r="F5" s="5">
        <v>21</v>
      </c>
      <c r="G5" s="6">
        <v>70</v>
      </c>
      <c r="H5" s="6">
        <v>10</v>
      </c>
      <c r="I5" s="6">
        <v>6</v>
      </c>
      <c r="J5" s="91">
        <v>119</v>
      </c>
    </row>
    <row r="6" spans="3:11" x14ac:dyDescent="0.25">
      <c r="C6" s="105" t="s">
        <v>6</v>
      </c>
      <c r="D6" s="5">
        <v>1</v>
      </c>
      <c r="E6" s="5">
        <v>40</v>
      </c>
      <c r="F6" s="5">
        <v>24</v>
      </c>
      <c r="G6" s="6">
        <v>40</v>
      </c>
      <c r="H6" s="6">
        <v>5</v>
      </c>
      <c r="I6" s="6">
        <v>11</v>
      </c>
      <c r="J6" s="91">
        <v>121</v>
      </c>
    </row>
    <row r="7" spans="3:11" x14ac:dyDescent="0.25">
      <c r="C7" s="105" t="s">
        <v>7</v>
      </c>
      <c r="D7" s="5">
        <v>5</v>
      </c>
      <c r="E7" s="5">
        <v>13</v>
      </c>
      <c r="F7" s="5">
        <v>21</v>
      </c>
      <c r="G7" s="6">
        <v>30</v>
      </c>
      <c r="H7" s="6">
        <v>35</v>
      </c>
      <c r="I7" s="6">
        <v>1</v>
      </c>
      <c r="J7" s="91">
        <v>105</v>
      </c>
    </row>
    <row r="8" spans="3:11" x14ac:dyDescent="0.25">
      <c r="C8" s="105" t="s">
        <v>8</v>
      </c>
      <c r="D8" s="5">
        <v>9</v>
      </c>
      <c r="E8" s="5">
        <v>14</v>
      </c>
      <c r="F8" s="5">
        <v>14</v>
      </c>
      <c r="G8" s="6">
        <v>11</v>
      </c>
      <c r="H8" s="6">
        <v>3</v>
      </c>
      <c r="I8" s="6">
        <v>17</v>
      </c>
      <c r="J8" s="91">
        <v>68</v>
      </c>
    </row>
    <row r="9" spans="3:11" x14ac:dyDescent="0.25">
      <c r="C9" s="105" t="s">
        <v>4</v>
      </c>
      <c r="D9" s="81">
        <v>16</v>
      </c>
      <c r="E9" s="81">
        <v>78</v>
      </c>
      <c r="F9" s="81">
        <v>80</v>
      </c>
      <c r="G9" s="91">
        <v>151</v>
      </c>
      <c r="H9" s="91">
        <v>53</v>
      </c>
      <c r="I9" s="91">
        <v>35</v>
      </c>
      <c r="J9" s="91">
        <v>413</v>
      </c>
    </row>
    <row r="12" spans="3:11" x14ac:dyDescent="0.25">
      <c r="C12" s="272" t="s">
        <v>73</v>
      </c>
      <c r="D12" s="270" t="s">
        <v>10</v>
      </c>
      <c r="E12" s="270" t="s">
        <v>11</v>
      </c>
      <c r="F12" s="272" t="s">
        <v>0</v>
      </c>
      <c r="G12" s="273" t="s">
        <v>1</v>
      </c>
      <c r="H12" s="273" t="s">
        <v>2</v>
      </c>
      <c r="I12" s="273" t="s">
        <v>3</v>
      </c>
      <c r="J12" s="273" t="s">
        <v>74</v>
      </c>
    </row>
    <row r="13" spans="3:11" x14ac:dyDescent="0.25">
      <c r="C13" s="272"/>
      <c r="D13" s="271"/>
      <c r="E13" s="271"/>
      <c r="F13" s="272"/>
      <c r="G13" s="273"/>
      <c r="H13" s="273"/>
      <c r="I13" s="273"/>
      <c r="J13" s="273"/>
    </row>
    <row r="14" spans="3:11" x14ac:dyDescent="0.25">
      <c r="C14" s="105" t="s">
        <v>5</v>
      </c>
      <c r="D14" s="106">
        <f>D5/D$9</f>
        <v>6.25E-2</v>
      </c>
      <c r="E14" s="106">
        <f t="shared" ref="E14:I14" si="0">E5/E$9</f>
        <v>0.14102564102564102</v>
      </c>
      <c r="F14" s="106">
        <f t="shared" si="0"/>
        <v>0.26250000000000001</v>
      </c>
      <c r="G14" s="106">
        <f t="shared" si="0"/>
        <v>0.46357615894039733</v>
      </c>
      <c r="H14" s="106">
        <f t="shared" si="0"/>
        <v>0.18867924528301888</v>
      </c>
      <c r="I14" s="106">
        <f t="shared" si="0"/>
        <v>0.17142857142857143</v>
      </c>
      <c r="J14" s="113">
        <f>AVERAGE(D14:I14)</f>
        <v>0.21495160277960479</v>
      </c>
      <c r="K14" s="111"/>
    </row>
    <row r="15" spans="3:11" x14ac:dyDescent="0.25">
      <c r="C15" s="105" t="s">
        <v>6</v>
      </c>
      <c r="D15" s="106">
        <f t="shared" ref="D15:I15" si="1">D6/D$9</f>
        <v>6.25E-2</v>
      </c>
      <c r="E15" s="106">
        <f t="shared" si="1"/>
        <v>0.51282051282051277</v>
      </c>
      <c r="F15" s="106">
        <f t="shared" si="1"/>
        <v>0.3</v>
      </c>
      <c r="G15" s="106">
        <f t="shared" si="1"/>
        <v>0.26490066225165565</v>
      </c>
      <c r="H15" s="106">
        <f t="shared" si="1"/>
        <v>9.4339622641509441E-2</v>
      </c>
      <c r="I15" s="106">
        <f t="shared" si="1"/>
        <v>0.31428571428571428</v>
      </c>
      <c r="J15" s="113">
        <f t="shared" ref="J15:J17" si="2">AVERAGE(D15:I15)</f>
        <v>0.25814108533323205</v>
      </c>
    </row>
    <row r="16" spans="3:11" x14ac:dyDescent="0.25">
      <c r="C16" s="105" t="s">
        <v>7</v>
      </c>
      <c r="D16" s="106">
        <f t="shared" ref="D16:I16" si="3">D7/D$9</f>
        <v>0.3125</v>
      </c>
      <c r="E16" s="106">
        <f t="shared" si="3"/>
        <v>0.16666666666666666</v>
      </c>
      <c r="F16" s="106">
        <f t="shared" si="3"/>
        <v>0.26250000000000001</v>
      </c>
      <c r="G16" s="106">
        <f t="shared" si="3"/>
        <v>0.19867549668874171</v>
      </c>
      <c r="H16" s="106">
        <f t="shared" si="3"/>
        <v>0.660377358490566</v>
      </c>
      <c r="I16" s="106">
        <f t="shared" si="3"/>
        <v>2.8571428571428571E-2</v>
      </c>
      <c r="J16" s="113">
        <f t="shared" si="2"/>
        <v>0.2715484917362338</v>
      </c>
    </row>
    <row r="17" spans="3:12" x14ac:dyDescent="0.25">
      <c r="C17" s="105" t="s">
        <v>8</v>
      </c>
      <c r="D17" s="106">
        <f t="shared" ref="D17:I17" si="4">D8/D$9</f>
        <v>0.5625</v>
      </c>
      <c r="E17" s="106">
        <f t="shared" si="4"/>
        <v>0.17948717948717949</v>
      </c>
      <c r="F17" s="106">
        <f t="shared" si="4"/>
        <v>0.17499999999999999</v>
      </c>
      <c r="G17" s="106">
        <f t="shared" si="4"/>
        <v>7.2847682119205295E-2</v>
      </c>
      <c r="H17" s="106">
        <f t="shared" si="4"/>
        <v>5.6603773584905662E-2</v>
      </c>
      <c r="I17" s="106">
        <f t="shared" si="4"/>
        <v>0.48571428571428571</v>
      </c>
      <c r="J17" s="113">
        <f t="shared" si="2"/>
        <v>0.25535882015092942</v>
      </c>
    </row>
    <row r="18" spans="3:12" ht="34.200000000000003" x14ac:dyDescent="0.25">
      <c r="C18" s="104" t="s">
        <v>75</v>
      </c>
      <c r="D18" s="107">
        <f>D9/$J$9</f>
        <v>3.8740920096852302E-2</v>
      </c>
      <c r="E18" s="107">
        <f t="shared" ref="E18:I18" si="5">E9/$J$9</f>
        <v>0.18886198547215496</v>
      </c>
      <c r="F18" s="107">
        <f t="shared" si="5"/>
        <v>0.1937046004842615</v>
      </c>
      <c r="G18" s="107">
        <f t="shared" si="5"/>
        <v>0.36561743341404357</v>
      </c>
      <c r="H18" s="107">
        <f t="shared" si="5"/>
        <v>0.12832929782082325</v>
      </c>
      <c r="I18" s="107">
        <f t="shared" si="5"/>
        <v>8.4745762711864403E-2</v>
      </c>
      <c r="J18" s="113">
        <f>AVERAGE(D18:I18)</f>
        <v>0.16666666666666666</v>
      </c>
    </row>
    <row r="20" spans="3:12" ht="20.399999999999999" customHeight="1" x14ac:dyDescent="0.25">
      <c r="C20" s="114" t="s">
        <v>71</v>
      </c>
      <c r="D20" s="115" t="s">
        <v>10</v>
      </c>
      <c r="E20" s="115" t="s">
        <v>11</v>
      </c>
      <c r="F20" s="105" t="s">
        <v>0</v>
      </c>
      <c r="G20" s="104" t="s">
        <v>1</v>
      </c>
      <c r="H20" s="104" t="s">
        <v>2</v>
      </c>
      <c r="I20" s="104" t="s">
        <v>3</v>
      </c>
      <c r="J20" s="104" t="s">
        <v>72</v>
      </c>
      <c r="K20" s="116" t="s">
        <v>77</v>
      </c>
      <c r="L20" s="120" t="s">
        <v>78</v>
      </c>
    </row>
    <row r="21" spans="3:12" x14ac:dyDescent="0.25">
      <c r="C21" s="105" t="s">
        <v>5</v>
      </c>
      <c r="D21" s="84">
        <f t="shared" ref="D21:I23" si="6">(D14-$J14)^2</f>
        <v>2.3241491190070403E-2</v>
      </c>
      <c r="E21" s="84">
        <f t="shared" si="6"/>
        <v>5.4650478212485134E-3</v>
      </c>
      <c r="F21" s="84">
        <f t="shared" si="6"/>
        <v>2.2608500782284879E-3</v>
      </c>
      <c r="G21" s="84">
        <f t="shared" si="6"/>
        <v>6.1814169926151082E-2</v>
      </c>
      <c r="H21" s="84">
        <f t="shared" si="6"/>
        <v>6.9023676842841378E-4</v>
      </c>
      <c r="I21" s="84">
        <f t="shared" si="6"/>
        <v>1.8942542579830327E-3</v>
      </c>
      <c r="J21" s="86">
        <f>SUM(D21:I21)</f>
        <v>9.5366050042109934E-2</v>
      </c>
      <c r="K21" s="117">
        <f>(J21/6)^0.5</f>
        <v>0.12607276340940968</v>
      </c>
      <c r="L21" s="92">
        <f>(K21/J14)/($K$26/$J$18)</f>
        <v>0.93665414032510697</v>
      </c>
    </row>
    <row r="22" spans="3:12" x14ac:dyDescent="0.25">
      <c r="C22" s="105" t="s">
        <v>6</v>
      </c>
      <c r="D22" s="84">
        <f t="shared" si="6"/>
        <v>3.8275434270364984E-2</v>
      </c>
      <c r="E22" s="84">
        <f t="shared" si="6"/>
        <v>6.4861610785249088E-2</v>
      </c>
      <c r="F22" s="84">
        <f t="shared" si="6"/>
        <v>1.7521687370797604E-3</v>
      </c>
      <c r="G22" s="84">
        <f t="shared" si="6"/>
        <v>4.5691880116085148E-5</v>
      </c>
      <c r="H22" s="84">
        <f t="shared" si="6"/>
        <v>2.6830919179947791E-2</v>
      </c>
      <c r="I22" s="84">
        <f t="shared" si="6"/>
        <v>3.1522193602119063E-3</v>
      </c>
      <c r="J22" s="86">
        <f t="shared" ref="J22:J24" si="7">SUM(D22:I22)</f>
        <v>0.13491804421296963</v>
      </c>
      <c r="K22" s="117">
        <f>(J22/6)^0.5</f>
        <v>0.14995446209486935</v>
      </c>
      <c r="L22" s="92">
        <f t="shared" ref="L22:L24" si="8">(K22/J15)/($K$26/$J$18)</f>
        <v>0.92768585409276261</v>
      </c>
    </row>
    <row r="23" spans="3:12" x14ac:dyDescent="0.25">
      <c r="C23" s="105" t="s">
        <v>7</v>
      </c>
      <c r="D23" s="84">
        <f t="shared" si="6"/>
        <v>1.6770260290773114E-3</v>
      </c>
      <c r="E23" s="84">
        <f t="shared" si="6"/>
        <v>1.1000197229923283E-2</v>
      </c>
      <c r="F23" s="84">
        <f t="shared" si="6"/>
        <v>8.187520270069115E-5</v>
      </c>
      <c r="G23" s="84">
        <f t="shared" si="6"/>
        <v>5.3104734071918068E-3</v>
      </c>
      <c r="H23" s="84">
        <f t="shared" si="6"/>
        <v>0.15118788762145824</v>
      </c>
      <c r="I23" s="84">
        <f t="shared" si="6"/>
        <v>5.9037853224193748E-2</v>
      </c>
      <c r="J23" s="86">
        <f t="shared" si="7"/>
        <v>0.22829531271454509</v>
      </c>
      <c r="K23" s="117">
        <f t="shared" ref="K23:K24" si="9">(J23/6)^0.5</f>
        <v>0.19506208956575216</v>
      </c>
      <c r="L23" s="92">
        <f t="shared" si="8"/>
        <v>1.1471604084262048</v>
      </c>
    </row>
    <row r="24" spans="3:12" x14ac:dyDescent="0.25">
      <c r="C24" s="105" t="s">
        <v>8</v>
      </c>
      <c r="D24" s="84">
        <f t="shared" ref="D24:I24" si="10">(D17-$J17)^2</f>
        <v>9.433570435907912E-2</v>
      </c>
      <c r="E24" s="84">
        <f t="shared" si="10"/>
        <v>5.7565058570091922E-3</v>
      </c>
      <c r="F24" s="84">
        <f t="shared" si="10"/>
        <v>6.4575399760494227E-3</v>
      </c>
      <c r="G24" s="84">
        <f t="shared" si="10"/>
        <v>3.3310315505635062E-2</v>
      </c>
      <c r="H24" s="84">
        <f t="shared" si="10"/>
        <v>3.9503568535462281E-2</v>
      </c>
      <c r="I24" s="84">
        <f t="shared" si="10"/>
        <v>5.3063640514910623E-2</v>
      </c>
      <c r="J24" s="86">
        <f t="shared" si="7"/>
        <v>0.23242727474814567</v>
      </c>
      <c r="K24" s="117">
        <f t="shared" si="9"/>
        <v>0.19681940738832374</v>
      </c>
      <c r="L24" s="92">
        <f t="shared" si="8"/>
        <v>1.230880040560199</v>
      </c>
    </row>
    <row r="25" spans="3:12" x14ac:dyDescent="0.25">
      <c r="D25" s="118"/>
      <c r="E25" s="118"/>
      <c r="F25" s="118"/>
      <c r="G25" s="118"/>
      <c r="H25" s="118"/>
      <c r="I25" s="118"/>
      <c r="J25" s="118"/>
      <c r="K25" s="118"/>
      <c r="L25" s="118"/>
    </row>
    <row r="26" spans="3:12" s="123" customFormat="1" ht="34.200000000000003" x14ac:dyDescent="0.3">
      <c r="C26" s="104" t="s">
        <v>76</v>
      </c>
      <c r="D26" s="84">
        <f>(D18-$J$18)^2</f>
        <v>1.6364996635444374E-2</v>
      </c>
      <c r="E26" s="84">
        <f t="shared" ref="E26:I26" si="11">(E18-$J$18)^2</f>
        <v>4.9263217687726285E-4</v>
      </c>
      <c r="F26" s="84">
        <f t="shared" si="11"/>
        <v>7.3104986512463859E-4</v>
      </c>
      <c r="G26" s="84">
        <f t="shared" si="11"/>
        <v>3.9581407589369177E-2</v>
      </c>
      <c r="H26" s="84">
        <f t="shared" si="11"/>
        <v>1.4697538500222445E-3</v>
      </c>
      <c r="I26" s="84">
        <f t="shared" si="11"/>
        <v>6.7110345047719355E-3</v>
      </c>
      <c r="J26" s="119">
        <f>SUM(D26:I26)</f>
        <v>6.5350874621609628E-2</v>
      </c>
      <c r="K26" s="121">
        <f>(J26/6)^0.5</f>
        <v>0.10436384640734041</v>
      </c>
      <c r="L26" s="122"/>
    </row>
  </sheetData>
  <mergeCells count="16">
    <mergeCell ref="I3:I4"/>
    <mergeCell ref="J3:J4"/>
    <mergeCell ref="C12:C13"/>
    <mergeCell ref="D12:D13"/>
    <mergeCell ref="E12:E13"/>
    <mergeCell ref="F12:F13"/>
    <mergeCell ref="G12:G13"/>
    <mergeCell ref="H12:H13"/>
    <mergeCell ref="I12:I13"/>
    <mergeCell ref="J12:J13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19"/>
  <sheetViews>
    <sheetView workbookViewId="0">
      <selection activeCell="H26" sqref="H26"/>
    </sheetView>
  </sheetViews>
  <sheetFormatPr defaultRowHeight="14.4" x14ac:dyDescent="0.3"/>
  <cols>
    <col min="4" max="4" width="17.44140625" customWidth="1"/>
    <col min="5" max="10" width="9" bestFit="1" customWidth="1"/>
    <col min="11" max="11" width="9.109375" bestFit="1" customWidth="1"/>
    <col min="12" max="12" width="9" bestFit="1" customWidth="1"/>
  </cols>
  <sheetData>
    <row r="5" spans="4:12" x14ac:dyDescent="0.3">
      <c r="D5" s="96"/>
      <c r="E5" s="96" t="s">
        <v>10</v>
      </c>
      <c r="F5" s="96" t="s">
        <v>11</v>
      </c>
      <c r="G5" s="96" t="s">
        <v>0</v>
      </c>
      <c r="H5" s="96" t="s">
        <v>1</v>
      </c>
      <c r="I5" s="96" t="s">
        <v>2</v>
      </c>
      <c r="J5" s="96" t="s">
        <v>3</v>
      </c>
      <c r="K5" s="96" t="s">
        <v>127</v>
      </c>
    </row>
    <row r="6" spans="4:12" x14ac:dyDescent="0.3">
      <c r="D6" s="96" t="s">
        <v>121</v>
      </c>
      <c r="E6" s="96">
        <v>1</v>
      </c>
      <c r="F6" s="96">
        <v>70</v>
      </c>
      <c r="G6" s="96">
        <v>6</v>
      </c>
      <c r="H6" s="96">
        <v>11</v>
      </c>
      <c r="I6" s="96">
        <v>21</v>
      </c>
      <c r="J6" s="96">
        <v>10</v>
      </c>
      <c r="K6" s="166">
        <f t="shared" ref="K6:K9" si="0">AVERAGE(E6:J6)</f>
        <v>19.833333333333332</v>
      </c>
    </row>
    <row r="7" spans="4:12" x14ac:dyDescent="0.3">
      <c r="D7" s="96" t="s">
        <v>122</v>
      </c>
      <c r="E7" s="96">
        <v>1</v>
      </c>
      <c r="F7" s="96">
        <v>70</v>
      </c>
      <c r="G7" s="96">
        <v>10</v>
      </c>
      <c r="H7" s="96">
        <v>21</v>
      </c>
      <c r="I7" s="96">
        <v>11</v>
      </c>
      <c r="J7" s="96">
        <v>6</v>
      </c>
      <c r="K7" s="166">
        <f t="shared" si="0"/>
        <v>19.833333333333332</v>
      </c>
    </row>
    <row r="8" spans="4:12" x14ac:dyDescent="0.3">
      <c r="D8" s="96" t="s">
        <v>123</v>
      </c>
      <c r="E8" s="96">
        <v>11</v>
      </c>
      <c r="F8" s="96">
        <v>10</v>
      </c>
      <c r="G8" s="96">
        <v>6</v>
      </c>
      <c r="H8" s="96">
        <v>1</v>
      </c>
      <c r="I8" s="96">
        <v>21</v>
      </c>
      <c r="J8" s="96">
        <v>70</v>
      </c>
      <c r="K8" s="166">
        <f t="shared" si="0"/>
        <v>19.833333333333332</v>
      </c>
    </row>
    <row r="9" spans="4:12" x14ac:dyDescent="0.3">
      <c r="D9" s="96" t="s">
        <v>124</v>
      </c>
      <c r="E9" s="96">
        <v>21</v>
      </c>
      <c r="F9" s="96">
        <v>6</v>
      </c>
      <c r="G9" s="96">
        <v>70</v>
      </c>
      <c r="H9" s="96">
        <v>11</v>
      </c>
      <c r="I9" s="96">
        <v>1</v>
      </c>
      <c r="J9" s="96">
        <v>10</v>
      </c>
      <c r="K9" s="166">
        <f t="shared" si="0"/>
        <v>19.833333333333332</v>
      </c>
    </row>
    <row r="10" spans="4:12" x14ac:dyDescent="0.3">
      <c r="D10" s="96" t="s">
        <v>125</v>
      </c>
      <c r="E10" s="96">
        <v>1</v>
      </c>
      <c r="F10" s="96">
        <v>11</v>
      </c>
      <c r="G10" s="96">
        <v>21</v>
      </c>
      <c r="H10" s="96">
        <v>70</v>
      </c>
      <c r="I10" s="96">
        <v>10</v>
      </c>
      <c r="J10" s="96">
        <v>6</v>
      </c>
      <c r="K10" s="166">
        <f>AVERAGE(E10:J10)</f>
        <v>19.833333333333332</v>
      </c>
    </row>
    <row r="12" spans="4:12" x14ac:dyDescent="0.3">
      <c r="D12" s="96"/>
      <c r="E12" s="96" t="s">
        <v>10</v>
      </c>
      <c r="F12" s="96" t="s">
        <v>11</v>
      </c>
      <c r="G12" s="96" t="s">
        <v>0</v>
      </c>
      <c r="H12" s="96" t="s">
        <v>1</v>
      </c>
      <c r="I12" s="96" t="s">
        <v>2</v>
      </c>
      <c r="J12" s="96" t="s">
        <v>3</v>
      </c>
      <c r="K12" s="96" t="s">
        <v>4</v>
      </c>
    </row>
    <row r="13" spans="4:12" x14ac:dyDescent="0.3">
      <c r="D13" s="96" t="s">
        <v>126</v>
      </c>
      <c r="E13" s="166">
        <f>(E10-$K$10)^2</f>
        <v>354.6944444444444</v>
      </c>
      <c r="F13" s="166">
        <f t="shared" ref="F13:J13" si="1">(F10-$K$10)^2</f>
        <v>78.027777777777757</v>
      </c>
      <c r="G13" s="166">
        <f t="shared" si="1"/>
        <v>1.3611111111111138</v>
      </c>
      <c r="H13" s="166">
        <f t="shared" si="1"/>
        <v>2516.6944444444448</v>
      </c>
      <c r="I13" s="166">
        <f t="shared" si="1"/>
        <v>96.694444444444414</v>
      </c>
      <c r="J13" s="166">
        <f t="shared" si="1"/>
        <v>191.36111111111109</v>
      </c>
      <c r="K13" s="166">
        <f>SUM(E13:J13)</f>
        <v>3238.8333333333339</v>
      </c>
    </row>
    <row r="15" spans="4:12" x14ac:dyDescent="0.3">
      <c r="D15" s="96" t="s">
        <v>128</v>
      </c>
      <c r="E15" s="96" t="s">
        <v>10</v>
      </c>
      <c r="F15" s="96" t="s">
        <v>11</v>
      </c>
      <c r="G15" s="96" t="s">
        <v>0</v>
      </c>
      <c r="H15" s="96" t="s">
        <v>1</v>
      </c>
      <c r="I15" s="96" t="s">
        <v>2</v>
      </c>
      <c r="J15" s="96" t="s">
        <v>3</v>
      </c>
      <c r="K15" s="96" t="s">
        <v>4</v>
      </c>
      <c r="L15" s="96" t="s">
        <v>129</v>
      </c>
    </row>
    <row r="16" spans="4:12" x14ac:dyDescent="0.3">
      <c r="D16" s="96" t="s">
        <v>121</v>
      </c>
      <c r="E16" s="166">
        <f>(E6-$K$10)*(E$10-$K$10)</f>
        <v>354.6944444444444</v>
      </c>
      <c r="F16" s="166">
        <f t="shared" ref="F16:J16" si="2">(F6-$K$10)*(F$10-$K$10)</f>
        <v>-443.13888888888886</v>
      </c>
      <c r="G16" s="166">
        <f t="shared" si="2"/>
        <v>-16.138888888888903</v>
      </c>
      <c r="H16" s="166">
        <f t="shared" si="2"/>
        <v>-443.13888888888886</v>
      </c>
      <c r="I16" s="166">
        <f t="shared" si="2"/>
        <v>-11.472222222222232</v>
      </c>
      <c r="J16" s="166">
        <f t="shared" si="2"/>
        <v>136.02777777777774</v>
      </c>
      <c r="K16" s="166">
        <f>SUM(E16:J16)</f>
        <v>-423.16666666666674</v>
      </c>
      <c r="L16" s="167">
        <f>K16/$K$13</f>
        <v>-0.13065404209334636</v>
      </c>
    </row>
    <row r="17" spans="4:12" x14ac:dyDescent="0.3">
      <c r="D17" s="96" t="s">
        <v>122</v>
      </c>
      <c r="E17" s="166">
        <f>(E7-$K$10)*(E$10-$K$10)</f>
        <v>354.6944444444444</v>
      </c>
      <c r="F17" s="166">
        <f t="shared" ref="F17:J19" si="3">(F7-$K$10)*(F$10-$K$10)</f>
        <v>-443.13888888888886</v>
      </c>
      <c r="G17" s="166">
        <f t="shared" si="3"/>
        <v>-11.472222222222232</v>
      </c>
      <c r="H17" s="166">
        <f t="shared" si="3"/>
        <v>58.527777777777843</v>
      </c>
      <c r="I17" s="166">
        <f t="shared" si="3"/>
        <v>86.861111111111086</v>
      </c>
      <c r="J17" s="166">
        <f t="shared" si="3"/>
        <v>191.36111111111109</v>
      </c>
      <c r="K17" s="166">
        <f t="shared" ref="K17:K19" si="4">SUM(E17:J17)</f>
        <v>236.83333333333331</v>
      </c>
      <c r="L17" s="167">
        <f t="shared" ref="L17:L19" si="5">K17/$K$13</f>
        <v>7.3123038131014229E-2</v>
      </c>
    </row>
    <row r="18" spans="4:12" x14ac:dyDescent="0.3">
      <c r="D18" s="96" t="s">
        <v>123</v>
      </c>
      <c r="E18" s="166">
        <f>(E8-$K$10)*(E$10-$K$10)</f>
        <v>166.36111111111109</v>
      </c>
      <c r="F18" s="166">
        <f t="shared" si="3"/>
        <v>86.861111111111086</v>
      </c>
      <c r="G18" s="166">
        <f t="shared" si="3"/>
        <v>-16.138888888888903</v>
      </c>
      <c r="H18" s="166">
        <f t="shared" si="3"/>
        <v>-944.80555555555554</v>
      </c>
      <c r="I18" s="166">
        <f t="shared" si="3"/>
        <v>-11.472222222222232</v>
      </c>
      <c r="J18" s="166">
        <f t="shared" si="3"/>
        <v>-693.97222222222217</v>
      </c>
      <c r="K18" s="166">
        <f>SUM(E18:J18)</f>
        <v>-1413.1666666666667</v>
      </c>
      <c r="L18" s="167">
        <f t="shared" si="5"/>
        <v>-0.43631966242988723</v>
      </c>
    </row>
    <row r="19" spans="4:12" x14ac:dyDescent="0.3">
      <c r="D19" s="96" t="s">
        <v>124</v>
      </c>
      <c r="E19" s="166">
        <f>(E9-$K$10)*(E$10-$K$10)</f>
        <v>-21.972222222222243</v>
      </c>
      <c r="F19" s="166">
        <f t="shared" si="3"/>
        <v>122.19444444444441</v>
      </c>
      <c r="G19" s="166">
        <f t="shared" si="3"/>
        <v>58.527777777777843</v>
      </c>
      <c r="H19" s="166">
        <f t="shared" si="3"/>
        <v>-443.13888888888886</v>
      </c>
      <c r="I19" s="166">
        <f t="shared" si="3"/>
        <v>185.1944444444444</v>
      </c>
      <c r="J19" s="166">
        <f t="shared" si="3"/>
        <v>136.02777777777774</v>
      </c>
      <c r="K19" s="166">
        <f t="shared" si="4"/>
        <v>36.833333333333286</v>
      </c>
      <c r="L19" s="167">
        <f t="shared" si="5"/>
        <v>1.1372407759995866E-2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7"/>
  <sheetViews>
    <sheetView topLeftCell="A11" workbookViewId="0">
      <selection activeCell="N24" sqref="N24"/>
    </sheetView>
  </sheetViews>
  <sheetFormatPr defaultRowHeight="14.4" x14ac:dyDescent="0.3"/>
  <sheetData>
    <row r="2" spans="3:16" x14ac:dyDescent="0.3">
      <c r="O2">
        <f t="shared" ref="O2" si="0">O3/10</f>
        <v>1</v>
      </c>
      <c r="P2">
        <f t="shared" ref="P2:P6" si="1">((1/O2)^2)*O2</f>
        <v>1</v>
      </c>
    </row>
    <row r="3" spans="3:16" x14ac:dyDescent="0.3">
      <c r="O3">
        <f t="shared" ref="O3:O5" si="2">O4/10</f>
        <v>10</v>
      </c>
      <c r="P3">
        <f t="shared" si="1"/>
        <v>0.10000000000000002</v>
      </c>
    </row>
    <row r="4" spans="3:16" x14ac:dyDescent="0.3">
      <c r="C4" s="267"/>
      <c r="D4" s="268" t="s">
        <v>10</v>
      </c>
      <c r="E4" s="268" t="s">
        <v>11</v>
      </c>
      <c r="F4" s="267" t="s">
        <v>0</v>
      </c>
      <c r="G4" s="266" t="s">
        <v>1</v>
      </c>
      <c r="H4" s="266" t="s">
        <v>2</v>
      </c>
      <c r="I4" s="266" t="s">
        <v>3</v>
      </c>
      <c r="J4" s="266" t="s">
        <v>4</v>
      </c>
      <c r="O4">
        <f t="shared" si="2"/>
        <v>100</v>
      </c>
      <c r="P4">
        <f t="shared" si="1"/>
        <v>0.01</v>
      </c>
    </row>
    <row r="5" spans="3:16" x14ac:dyDescent="0.3">
      <c r="C5" s="267"/>
      <c r="D5" s="269"/>
      <c r="E5" s="269"/>
      <c r="F5" s="267"/>
      <c r="G5" s="266"/>
      <c r="H5" s="266"/>
      <c r="I5" s="266"/>
      <c r="J5" s="266"/>
      <c r="O5">
        <f t="shared" si="2"/>
        <v>1000</v>
      </c>
      <c r="P5">
        <f t="shared" si="1"/>
        <v>1E-3</v>
      </c>
    </row>
    <row r="6" spans="3:16" x14ac:dyDescent="0.3">
      <c r="C6" s="168" t="s">
        <v>5</v>
      </c>
      <c r="D6" s="5">
        <v>1</v>
      </c>
      <c r="E6" s="5">
        <v>11</v>
      </c>
      <c r="F6" s="5">
        <v>21</v>
      </c>
      <c r="G6" s="6">
        <v>70</v>
      </c>
      <c r="H6" s="6">
        <v>10</v>
      </c>
      <c r="I6" s="6">
        <v>6</v>
      </c>
      <c r="J6" s="7">
        <v>119</v>
      </c>
      <c r="O6">
        <f>O7/10</f>
        <v>10000</v>
      </c>
      <c r="P6">
        <f t="shared" si="1"/>
        <v>1E-4</v>
      </c>
    </row>
    <row r="7" spans="3:16" x14ac:dyDescent="0.3">
      <c r="C7" s="168" t="s">
        <v>6</v>
      </c>
      <c r="D7" s="5">
        <v>1</v>
      </c>
      <c r="E7" s="5">
        <v>40</v>
      </c>
      <c r="F7" s="5">
        <v>24</v>
      </c>
      <c r="G7" s="6">
        <v>40</v>
      </c>
      <c r="H7" s="6">
        <v>5</v>
      </c>
      <c r="I7" s="6">
        <v>11</v>
      </c>
      <c r="J7" s="7">
        <v>121</v>
      </c>
      <c r="O7" s="172">
        <f>100000</f>
        <v>100000</v>
      </c>
      <c r="P7">
        <f>((1/O7)^2)*O7</f>
        <v>1.0000000000000001E-5</v>
      </c>
    </row>
    <row r="8" spans="3:16" x14ac:dyDescent="0.3">
      <c r="C8" s="168" t="s">
        <v>7</v>
      </c>
      <c r="D8" s="5">
        <v>5</v>
      </c>
      <c r="E8" s="5">
        <v>13</v>
      </c>
      <c r="F8" s="5">
        <v>21</v>
      </c>
      <c r="G8" s="6">
        <v>30</v>
      </c>
      <c r="H8" s="6">
        <v>35</v>
      </c>
      <c r="I8" s="6">
        <v>1</v>
      </c>
      <c r="J8" s="7">
        <v>105</v>
      </c>
      <c r="O8">
        <f>O7*10</f>
        <v>1000000</v>
      </c>
      <c r="P8">
        <f t="shared" ref="P8:P12" si="3">((1/O8)^2)*O8</f>
        <v>9.9999999999999995E-7</v>
      </c>
    </row>
    <row r="9" spans="3:16" x14ac:dyDescent="0.3">
      <c r="C9" s="168" t="s">
        <v>8</v>
      </c>
      <c r="D9" s="5">
        <v>9</v>
      </c>
      <c r="E9" s="5">
        <v>14</v>
      </c>
      <c r="F9" s="5">
        <v>14</v>
      </c>
      <c r="G9" s="6">
        <v>11</v>
      </c>
      <c r="H9" s="6">
        <v>3</v>
      </c>
      <c r="I9" s="6">
        <v>17</v>
      </c>
      <c r="J9" s="7">
        <v>68</v>
      </c>
      <c r="O9">
        <f t="shared" ref="O9:O12" si="4">O8*10</f>
        <v>10000000</v>
      </c>
      <c r="P9">
        <f t="shared" si="3"/>
        <v>9.9999999999999982E-8</v>
      </c>
    </row>
    <row r="10" spans="3:16" x14ac:dyDescent="0.3">
      <c r="C10" s="168" t="s">
        <v>4</v>
      </c>
      <c r="D10" s="8">
        <v>16</v>
      </c>
      <c r="E10" s="8">
        <v>78</v>
      </c>
      <c r="F10" s="8">
        <v>80</v>
      </c>
      <c r="G10" s="7">
        <v>151</v>
      </c>
      <c r="H10" s="7">
        <v>53</v>
      </c>
      <c r="I10" s="7">
        <v>35</v>
      </c>
      <c r="J10" s="7">
        <v>413</v>
      </c>
      <c r="O10">
        <f t="shared" si="4"/>
        <v>100000000</v>
      </c>
      <c r="P10">
        <f t="shared" si="3"/>
        <v>1E-8</v>
      </c>
    </row>
    <row r="11" spans="3:16" x14ac:dyDescent="0.3">
      <c r="O11">
        <f t="shared" si="4"/>
        <v>1000000000</v>
      </c>
      <c r="P11">
        <f t="shared" si="3"/>
        <v>1.0000000000000001E-9</v>
      </c>
    </row>
    <row r="12" spans="3:16" x14ac:dyDescent="0.3">
      <c r="O12">
        <f t="shared" si="4"/>
        <v>10000000000</v>
      </c>
      <c r="P12">
        <f t="shared" si="3"/>
        <v>1E-10</v>
      </c>
    </row>
    <row r="13" spans="3:16" x14ac:dyDescent="0.3">
      <c r="C13" s="267"/>
      <c r="D13" s="268" t="s">
        <v>10</v>
      </c>
      <c r="E13" s="268" t="s">
        <v>11</v>
      </c>
      <c r="F13" s="267" t="s">
        <v>0</v>
      </c>
      <c r="G13" s="266" t="s">
        <v>1</v>
      </c>
      <c r="H13" s="266" t="s">
        <v>2</v>
      </c>
      <c r="I13" s="266" t="s">
        <v>3</v>
      </c>
      <c r="J13" s="266" t="s">
        <v>4</v>
      </c>
      <c r="K13" t="s">
        <v>130</v>
      </c>
      <c r="L13" t="s">
        <v>131</v>
      </c>
    </row>
    <row r="14" spans="3:16" x14ac:dyDescent="0.3">
      <c r="C14" s="267"/>
      <c r="D14" s="269"/>
      <c r="E14" s="269"/>
      <c r="F14" s="267"/>
      <c r="G14" s="266"/>
      <c r="H14" s="266"/>
      <c r="I14" s="266"/>
      <c r="J14" s="266"/>
    </row>
    <row r="15" spans="3:16" x14ac:dyDescent="0.3">
      <c r="C15" s="168" t="s">
        <v>5</v>
      </c>
      <c r="D15" s="70">
        <f>D6/D$10</f>
        <v>6.25E-2</v>
      </c>
      <c r="E15" s="70">
        <f t="shared" ref="E15:I15" si="5">E6/E$10</f>
        <v>0.14102564102564102</v>
      </c>
      <c r="F15" s="70">
        <f t="shared" si="5"/>
        <v>0.26250000000000001</v>
      </c>
      <c r="G15" s="70">
        <f t="shared" si="5"/>
        <v>0.46357615894039733</v>
      </c>
      <c r="H15" s="70">
        <f t="shared" si="5"/>
        <v>0.18867924528301888</v>
      </c>
      <c r="I15" s="70">
        <f t="shared" si="5"/>
        <v>0.17142857142857143</v>
      </c>
      <c r="J15" s="70">
        <f>J6/J$10</f>
        <v>0.28813559322033899</v>
      </c>
      <c r="K15" s="170">
        <f>1/4</f>
        <v>0.25</v>
      </c>
      <c r="L15" s="171">
        <v>1</v>
      </c>
    </row>
    <row r="16" spans="3:16" x14ac:dyDescent="0.3">
      <c r="C16" s="168" t="s">
        <v>6</v>
      </c>
      <c r="D16" s="70">
        <f t="shared" ref="D16:J16" si="6">D7/D$10</f>
        <v>6.25E-2</v>
      </c>
      <c r="E16" s="70">
        <f t="shared" si="6"/>
        <v>0.51282051282051277</v>
      </c>
      <c r="F16" s="70">
        <f t="shared" si="6"/>
        <v>0.3</v>
      </c>
      <c r="G16" s="70">
        <f t="shared" si="6"/>
        <v>0.26490066225165565</v>
      </c>
      <c r="H16" s="70">
        <f t="shared" si="6"/>
        <v>9.4339622641509441E-2</v>
      </c>
      <c r="I16" s="70">
        <f t="shared" si="6"/>
        <v>0.31428571428571428</v>
      </c>
      <c r="J16" s="70">
        <f t="shared" si="6"/>
        <v>0.29297820823244553</v>
      </c>
      <c r="K16" s="170">
        <f t="shared" ref="K16:K18" si="7">1/4</f>
        <v>0.25</v>
      </c>
      <c r="L16">
        <v>0</v>
      </c>
    </row>
    <row r="17" spans="3:12" x14ac:dyDescent="0.3">
      <c r="C17" s="168" t="s">
        <v>7</v>
      </c>
      <c r="D17" s="70">
        <f t="shared" ref="D17:J17" si="8">D8/D$10</f>
        <v>0.3125</v>
      </c>
      <c r="E17" s="70">
        <f t="shared" si="8"/>
        <v>0.16666666666666666</v>
      </c>
      <c r="F17" s="70">
        <f t="shared" si="8"/>
        <v>0.26250000000000001</v>
      </c>
      <c r="G17" s="70">
        <f t="shared" si="8"/>
        <v>0.19867549668874171</v>
      </c>
      <c r="H17" s="70">
        <f t="shared" si="8"/>
        <v>0.660377358490566</v>
      </c>
      <c r="I17" s="70">
        <f t="shared" si="8"/>
        <v>2.8571428571428571E-2</v>
      </c>
      <c r="J17" s="70">
        <f t="shared" si="8"/>
        <v>0.25423728813559321</v>
      </c>
      <c r="K17" s="170">
        <f t="shared" si="7"/>
        <v>0.25</v>
      </c>
      <c r="L17">
        <v>0</v>
      </c>
    </row>
    <row r="18" spans="3:12" x14ac:dyDescent="0.3">
      <c r="C18" s="168" t="s">
        <v>8</v>
      </c>
      <c r="D18" s="70">
        <f t="shared" ref="D18:J18" si="9">D9/D$10</f>
        <v>0.5625</v>
      </c>
      <c r="E18" s="70">
        <f t="shared" si="9"/>
        <v>0.17948717948717949</v>
      </c>
      <c r="F18" s="70">
        <f t="shared" si="9"/>
        <v>0.17499999999999999</v>
      </c>
      <c r="G18" s="70">
        <f t="shared" si="9"/>
        <v>7.2847682119205295E-2</v>
      </c>
      <c r="H18" s="70">
        <f t="shared" si="9"/>
        <v>5.6603773584905662E-2</v>
      </c>
      <c r="I18" s="70">
        <f t="shared" si="9"/>
        <v>0.48571428571428571</v>
      </c>
      <c r="J18" s="70">
        <f t="shared" si="9"/>
        <v>0.16464891041162227</v>
      </c>
      <c r="K18" s="170">
        <f t="shared" si="7"/>
        <v>0.25</v>
      </c>
      <c r="L18">
        <v>0</v>
      </c>
    </row>
    <row r="19" spans="3:12" x14ac:dyDescent="0.3">
      <c r="C19" s="168" t="s">
        <v>4</v>
      </c>
      <c r="D19" s="71">
        <f>SUM(D15:D18)</f>
        <v>1</v>
      </c>
      <c r="E19" s="71">
        <f t="shared" ref="E19:J19" si="10">SUM(E15:E18)</f>
        <v>0.99999999999999989</v>
      </c>
      <c r="F19" s="71">
        <f t="shared" si="10"/>
        <v>1</v>
      </c>
      <c r="G19" s="71">
        <f t="shared" si="10"/>
        <v>1</v>
      </c>
      <c r="H19" s="71">
        <f t="shared" si="10"/>
        <v>1</v>
      </c>
      <c r="I19" s="71">
        <f t="shared" si="10"/>
        <v>1</v>
      </c>
      <c r="J19" s="71">
        <f t="shared" si="10"/>
        <v>1</v>
      </c>
    </row>
    <row r="21" spans="3:12" x14ac:dyDescent="0.3">
      <c r="C21" s="267"/>
      <c r="D21" s="268" t="s">
        <v>10</v>
      </c>
      <c r="E21" s="268" t="s">
        <v>11</v>
      </c>
      <c r="F21" s="267" t="s">
        <v>0</v>
      </c>
      <c r="G21" s="266" t="s">
        <v>1</v>
      </c>
      <c r="H21" s="266" t="s">
        <v>2</v>
      </c>
      <c r="I21" s="266" t="s">
        <v>3</v>
      </c>
      <c r="J21" s="266" t="s">
        <v>4</v>
      </c>
    </row>
    <row r="22" spans="3:12" x14ac:dyDescent="0.3">
      <c r="C22" s="267"/>
      <c r="D22" s="269"/>
      <c r="E22" s="269"/>
      <c r="F22" s="267"/>
      <c r="G22" s="266"/>
      <c r="H22" s="266"/>
      <c r="I22" s="266"/>
      <c r="J22" s="266"/>
    </row>
    <row r="23" spans="3:12" x14ac:dyDescent="0.3">
      <c r="C23" s="168" t="s">
        <v>5</v>
      </c>
      <c r="D23" s="70">
        <f>D15^2</f>
        <v>3.90625E-3</v>
      </c>
      <c r="E23" s="70">
        <f t="shared" ref="E23:J23" si="11">E15^2</f>
        <v>1.9888231426692965E-2</v>
      </c>
      <c r="F23" s="70">
        <f t="shared" si="11"/>
        <v>6.8906250000000002E-2</v>
      </c>
      <c r="G23" s="70">
        <f t="shared" si="11"/>
        <v>0.21490285513793253</v>
      </c>
      <c r="H23" s="70">
        <f t="shared" si="11"/>
        <v>3.55998576005696E-2</v>
      </c>
      <c r="I23" s="70">
        <f t="shared" si="11"/>
        <v>2.9387755102040818E-2</v>
      </c>
      <c r="J23" s="70">
        <f t="shared" si="11"/>
        <v>8.3022120080436662E-2</v>
      </c>
      <c r="K23" s="70">
        <f t="shared" ref="K23:L23" si="12">K15^2</f>
        <v>6.25E-2</v>
      </c>
      <c r="L23" s="70">
        <f t="shared" si="12"/>
        <v>1</v>
      </c>
    </row>
    <row r="24" spans="3:12" x14ac:dyDescent="0.3">
      <c r="C24" s="168" t="s">
        <v>6</v>
      </c>
      <c r="D24" s="70">
        <f t="shared" ref="D24:J26" si="13">D16^2</f>
        <v>3.90625E-3</v>
      </c>
      <c r="E24" s="70">
        <f t="shared" si="13"/>
        <v>0.26298487836949369</v>
      </c>
      <c r="F24" s="70">
        <f t="shared" si="13"/>
        <v>0.09</v>
      </c>
      <c r="G24" s="70">
        <f t="shared" si="13"/>
        <v>7.0172360861365746E-2</v>
      </c>
      <c r="H24" s="70">
        <f t="shared" si="13"/>
        <v>8.8999644001423999E-3</v>
      </c>
      <c r="I24" s="70">
        <f t="shared" si="13"/>
        <v>9.8775510204081624E-2</v>
      </c>
      <c r="J24" s="70">
        <f t="shared" si="13"/>
        <v>8.583623049909421E-2</v>
      </c>
      <c r="K24" s="70">
        <f t="shared" ref="K24:L24" si="14">K16^2</f>
        <v>6.25E-2</v>
      </c>
      <c r="L24" s="70">
        <f t="shared" si="14"/>
        <v>0</v>
      </c>
    </row>
    <row r="25" spans="3:12" x14ac:dyDescent="0.3">
      <c r="C25" s="168" t="s">
        <v>7</v>
      </c>
      <c r="D25" s="70">
        <f t="shared" si="13"/>
        <v>9.765625E-2</v>
      </c>
      <c r="E25" s="70">
        <f t="shared" si="13"/>
        <v>2.7777777777777776E-2</v>
      </c>
      <c r="F25" s="70">
        <f t="shared" si="13"/>
        <v>6.8906250000000002E-2</v>
      </c>
      <c r="G25" s="70">
        <f t="shared" si="13"/>
        <v>3.9471952984518215E-2</v>
      </c>
      <c r="H25" s="70">
        <f t="shared" si="13"/>
        <v>0.43609825560697751</v>
      </c>
      <c r="I25" s="70">
        <f t="shared" si="13"/>
        <v>8.1632653061224482E-4</v>
      </c>
      <c r="J25" s="70">
        <f t="shared" si="13"/>
        <v>6.4636598678540644E-2</v>
      </c>
      <c r="K25" s="70">
        <f t="shared" ref="K25:L25" si="15">K17^2</f>
        <v>6.25E-2</v>
      </c>
      <c r="L25" s="70">
        <f t="shared" si="15"/>
        <v>0</v>
      </c>
    </row>
    <row r="26" spans="3:12" x14ac:dyDescent="0.3">
      <c r="C26" s="168" t="s">
        <v>8</v>
      </c>
      <c r="D26" s="70">
        <f t="shared" si="13"/>
        <v>0.31640625</v>
      </c>
      <c r="E26" s="70">
        <f t="shared" si="13"/>
        <v>3.2215647600262985E-2</v>
      </c>
      <c r="F26" s="70">
        <f t="shared" si="13"/>
        <v>3.0624999999999996E-2</v>
      </c>
      <c r="G26" s="70">
        <f t="shared" si="13"/>
        <v>5.3067847901407828E-3</v>
      </c>
      <c r="H26" s="70">
        <f t="shared" si="13"/>
        <v>3.203987184051264E-3</v>
      </c>
      <c r="I26" s="70">
        <f t="shared" si="13"/>
        <v>0.23591836734693877</v>
      </c>
      <c r="J26" s="70">
        <f t="shared" si="13"/>
        <v>2.7109263699734418E-2</v>
      </c>
      <c r="K26" s="70">
        <f t="shared" ref="K26:L26" si="16">K18^2</f>
        <v>6.25E-2</v>
      </c>
      <c r="L26" s="70">
        <f t="shared" si="16"/>
        <v>0</v>
      </c>
    </row>
    <row r="27" spans="3:12" x14ac:dyDescent="0.3">
      <c r="C27" s="168" t="s">
        <v>4</v>
      </c>
      <c r="D27" s="71">
        <f>SUM(D23:D26)</f>
        <v>0.421875</v>
      </c>
      <c r="E27" s="71">
        <f t="shared" ref="E27" si="17">SUM(E23:E26)</f>
        <v>0.34286653517422738</v>
      </c>
      <c r="F27" s="71">
        <f t="shared" ref="F27" si="18">SUM(F23:F26)</f>
        <v>0.25843749999999999</v>
      </c>
      <c r="G27" s="71">
        <f t="shared" ref="G27" si="19">SUM(G23:G26)</f>
        <v>0.32985395377395732</v>
      </c>
      <c r="H27" s="71">
        <f t="shared" ref="H27" si="20">SUM(H23:H26)</f>
        <v>0.48380206479174076</v>
      </c>
      <c r="I27" s="71">
        <f t="shared" ref="I27" si="21">SUM(I23:I26)</f>
        <v>0.36489795918367346</v>
      </c>
      <c r="J27" s="71">
        <f t="shared" ref="J27:L27" si="22">SUM(J23:J26)</f>
        <v>0.26060421295780595</v>
      </c>
      <c r="K27" s="71">
        <f>SUM(K23:K26)</f>
        <v>0.25</v>
      </c>
      <c r="L27" s="71">
        <f t="shared" si="22"/>
        <v>1</v>
      </c>
    </row>
  </sheetData>
  <mergeCells count="24">
    <mergeCell ref="I4:I5"/>
    <mergeCell ref="J4:J5"/>
    <mergeCell ref="C4:C5"/>
    <mergeCell ref="D4:D5"/>
    <mergeCell ref="E4:E5"/>
    <mergeCell ref="F4:F5"/>
    <mergeCell ref="G4:G5"/>
    <mergeCell ref="H4:H5"/>
    <mergeCell ref="I13:I14"/>
    <mergeCell ref="J13:J14"/>
    <mergeCell ref="C21:C22"/>
    <mergeCell ref="D21:D22"/>
    <mergeCell ref="E21:E22"/>
    <mergeCell ref="F21:F22"/>
    <mergeCell ref="G21:G22"/>
    <mergeCell ref="H21:H22"/>
    <mergeCell ref="I21:I22"/>
    <mergeCell ref="J21:J22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topLeftCell="A21" workbookViewId="0">
      <selection activeCell="P38" sqref="P38"/>
    </sheetView>
  </sheetViews>
  <sheetFormatPr defaultRowHeight="14.4" x14ac:dyDescent="0.3"/>
  <cols>
    <col min="2" max="2" width="10.5546875" customWidth="1"/>
    <col min="3" max="3" width="8.5546875" customWidth="1"/>
    <col min="4" max="4" width="9.44140625" bestFit="1" customWidth="1"/>
    <col min="5" max="5" width="11.6640625" customWidth="1"/>
    <col min="6" max="7" width="9.44140625" bestFit="1" customWidth="1"/>
    <col min="8" max="8" width="9.5546875" customWidth="1"/>
    <col min="9" max="15" width="9.44140625" bestFit="1" customWidth="1"/>
  </cols>
  <sheetData>
    <row r="2" spans="2:10" x14ac:dyDescent="0.3">
      <c r="D2" t="s">
        <v>148</v>
      </c>
    </row>
    <row r="3" spans="2:10" x14ac:dyDescent="0.3">
      <c r="D3" t="s">
        <v>149</v>
      </c>
    </row>
    <row r="4" spans="2:10" x14ac:dyDescent="0.3">
      <c r="C4" s="267"/>
      <c r="D4" s="268" t="s">
        <v>10</v>
      </c>
      <c r="E4" s="268" t="s">
        <v>11</v>
      </c>
      <c r="F4" s="267" t="s">
        <v>0</v>
      </c>
      <c r="G4" s="266" t="s">
        <v>1</v>
      </c>
      <c r="H4" s="266" t="s">
        <v>2</v>
      </c>
      <c r="I4" s="266" t="s">
        <v>3</v>
      </c>
      <c r="J4" s="266" t="s">
        <v>4</v>
      </c>
    </row>
    <row r="5" spans="2:10" x14ac:dyDescent="0.3">
      <c r="C5" s="267"/>
      <c r="D5" s="269"/>
      <c r="E5" s="269"/>
      <c r="F5" s="267"/>
      <c r="G5" s="266"/>
      <c r="H5" s="266"/>
      <c r="I5" s="266"/>
      <c r="J5" s="266"/>
    </row>
    <row r="6" spans="2:10" x14ac:dyDescent="0.3">
      <c r="C6" s="169" t="s">
        <v>5</v>
      </c>
      <c r="D6" s="5">
        <v>1</v>
      </c>
      <c r="E6" s="5">
        <v>11</v>
      </c>
      <c r="F6" s="5">
        <v>21</v>
      </c>
      <c r="G6" s="6">
        <v>70</v>
      </c>
      <c r="H6" s="6">
        <v>10</v>
      </c>
      <c r="I6" s="6">
        <v>6</v>
      </c>
      <c r="J6" s="7">
        <v>119</v>
      </c>
    </row>
    <row r="7" spans="2:10" x14ac:dyDescent="0.3">
      <c r="C7" s="169" t="s">
        <v>6</v>
      </c>
      <c r="D7" s="5">
        <v>1</v>
      </c>
      <c r="E7" s="5">
        <v>40</v>
      </c>
      <c r="F7" s="5">
        <v>24</v>
      </c>
      <c r="G7" s="6">
        <v>40</v>
      </c>
      <c r="H7" s="6">
        <v>5</v>
      </c>
      <c r="I7" s="6">
        <v>11</v>
      </c>
      <c r="J7" s="7">
        <v>121</v>
      </c>
    </row>
    <row r="8" spans="2:10" x14ac:dyDescent="0.3">
      <c r="C8" s="169" t="s">
        <v>7</v>
      </c>
      <c r="D8" s="5">
        <v>5</v>
      </c>
      <c r="E8" s="5">
        <v>13</v>
      </c>
      <c r="F8" s="5">
        <v>21</v>
      </c>
      <c r="G8" s="6">
        <v>30</v>
      </c>
      <c r="H8" s="6">
        <v>35</v>
      </c>
      <c r="I8" s="6">
        <v>1</v>
      </c>
      <c r="J8" s="7">
        <v>105</v>
      </c>
    </row>
    <row r="9" spans="2:10" x14ac:dyDescent="0.3">
      <c r="C9" s="169" t="s">
        <v>8</v>
      </c>
      <c r="D9" s="5">
        <v>9</v>
      </c>
      <c r="E9" s="5">
        <v>14</v>
      </c>
      <c r="F9" s="5">
        <v>14</v>
      </c>
      <c r="G9" s="6">
        <v>11</v>
      </c>
      <c r="H9" s="6">
        <v>3</v>
      </c>
      <c r="I9" s="6">
        <v>17</v>
      </c>
      <c r="J9" s="7">
        <v>68</v>
      </c>
    </row>
    <row r="10" spans="2:10" x14ac:dyDescent="0.3">
      <c r="C10" s="169" t="s">
        <v>4</v>
      </c>
      <c r="D10" s="8">
        <v>16</v>
      </c>
      <c r="E10" s="8">
        <v>78</v>
      </c>
      <c r="F10" s="8">
        <v>80</v>
      </c>
      <c r="G10" s="7">
        <v>151</v>
      </c>
      <c r="H10" s="7">
        <v>53</v>
      </c>
      <c r="I10" s="7">
        <v>35</v>
      </c>
      <c r="J10" s="7">
        <v>413</v>
      </c>
    </row>
    <row r="11" spans="2:10" x14ac:dyDescent="0.3">
      <c r="C11" s="18"/>
      <c r="D11" s="192"/>
      <c r="E11" s="192"/>
      <c r="F11" s="192"/>
      <c r="G11" s="193"/>
      <c r="H11" s="193"/>
      <c r="I11" s="193"/>
      <c r="J11" s="193"/>
    </row>
    <row r="12" spans="2:10" x14ac:dyDescent="0.3">
      <c r="C12" s="18" t="s">
        <v>150</v>
      </c>
    </row>
    <row r="13" spans="2:10" x14ac:dyDescent="0.3">
      <c r="C13" s="18"/>
    </row>
    <row r="14" spans="2:10" x14ac:dyDescent="0.3">
      <c r="C14" s="267"/>
      <c r="D14" s="268" t="s">
        <v>10</v>
      </c>
      <c r="E14" s="268" t="s">
        <v>11</v>
      </c>
      <c r="F14" s="267" t="s">
        <v>0</v>
      </c>
      <c r="G14" s="266" t="s">
        <v>1</v>
      </c>
      <c r="H14" s="266" t="s">
        <v>2</v>
      </c>
      <c r="I14" s="266" t="s">
        <v>3</v>
      </c>
      <c r="J14" s="266" t="s">
        <v>4</v>
      </c>
    </row>
    <row r="15" spans="2:10" x14ac:dyDescent="0.3">
      <c r="C15" s="267"/>
      <c r="D15" s="269"/>
      <c r="E15" s="269"/>
      <c r="F15" s="267"/>
      <c r="G15" s="266"/>
      <c r="H15" s="266"/>
      <c r="I15" s="266"/>
      <c r="J15" s="266"/>
    </row>
    <row r="16" spans="2:10" x14ac:dyDescent="0.3">
      <c r="B16" t="s">
        <v>134</v>
      </c>
      <c r="C16" s="169" t="s">
        <v>5</v>
      </c>
      <c r="D16" s="178">
        <f>D6/$J6</f>
        <v>8.4033613445378148E-3</v>
      </c>
      <c r="E16" s="178">
        <f t="shared" ref="E16:H16" si="0">E6/$J6</f>
        <v>9.2436974789915971E-2</v>
      </c>
      <c r="F16" s="178">
        <f t="shared" si="0"/>
        <v>0.17647058823529413</v>
      </c>
      <c r="G16" s="178">
        <f t="shared" si="0"/>
        <v>0.58823529411764708</v>
      </c>
      <c r="H16" s="178">
        <f t="shared" si="0"/>
        <v>8.4033613445378158E-2</v>
      </c>
      <c r="I16" s="178">
        <f>I6/$J6</f>
        <v>5.0420168067226892E-2</v>
      </c>
      <c r="J16" s="83">
        <f>SUM(D16:I16)</f>
        <v>1</v>
      </c>
    </row>
    <row r="17" spans="2:15" x14ac:dyDescent="0.3">
      <c r="C17" s="169" t="s">
        <v>6</v>
      </c>
      <c r="D17" s="178">
        <f>D7/$J7</f>
        <v>8.2644628099173556E-3</v>
      </c>
      <c r="E17" s="178">
        <f t="shared" ref="E17:I17" si="1">E7/$J7</f>
        <v>0.33057851239669422</v>
      </c>
      <c r="F17" s="178">
        <f>F7/$J7</f>
        <v>0.19834710743801653</v>
      </c>
      <c r="G17" s="178">
        <f t="shared" si="1"/>
        <v>0.33057851239669422</v>
      </c>
      <c r="H17" s="178">
        <f t="shared" si="1"/>
        <v>4.1322314049586778E-2</v>
      </c>
      <c r="I17" s="178">
        <f t="shared" si="1"/>
        <v>9.0909090909090912E-2</v>
      </c>
      <c r="J17" s="83">
        <f t="shared" ref="J17:J19" si="2">SUM(D17:I17)</f>
        <v>1</v>
      </c>
    </row>
    <row r="18" spans="2:15" x14ac:dyDescent="0.3">
      <c r="C18" s="169" t="s">
        <v>7</v>
      </c>
      <c r="D18" s="178">
        <f t="shared" ref="D18:I18" si="3">D8/$J8</f>
        <v>4.7619047619047616E-2</v>
      </c>
      <c r="E18" s="178">
        <f t="shared" si="3"/>
        <v>0.12380952380952381</v>
      </c>
      <c r="F18" s="178">
        <f t="shared" si="3"/>
        <v>0.2</v>
      </c>
      <c r="G18" s="178">
        <f t="shared" si="3"/>
        <v>0.2857142857142857</v>
      </c>
      <c r="H18" s="178">
        <f t="shared" si="3"/>
        <v>0.33333333333333331</v>
      </c>
      <c r="I18" s="178">
        <f t="shared" si="3"/>
        <v>9.5238095238095247E-3</v>
      </c>
      <c r="J18" s="83">
        <f t="shared" si="2"/>
        <v>1</v>
      </c>
    </row>
    <row r="19" spans="2:15" x14ac:dyDescent="0.3">
      <c r="C19" s="169" t="s">
        <v>8</v>
      </c>
      <c r="D19" s="178">
        <f t="shared" ref="D19:I19" si="4">D9/$J9</f>
        <v>0.13235294117647059</v>
      </c>
      <c r="E19" s="178">
        <f t="shared" si="4"/>
        <v>0.20588235294117646</v>
      </c>
      <c r="F19" s="178">
        <f t="shared" si="4"/>
        <v>0.20588235294117646</v>
      </c>
      <c r="G19" s="178">
        <f t="shared" si="4"/>
        <v>0.16176470588235295</v>
      </c>
      <c r="H19" s="178">
        <f t="shared" si="4"/>
        <v>4.4117647058823532E-2</v>
      </c>
      <c r="I19" s="178">
        <f t="shared" si="4"/>
        <v>0.25</v>
      </c>
      <c r="J19" s="83">
        <f t="shared" si="2"/>
        <v>1</v>
      </c>
    </row>
    <row r="20" spans="2:15" x14ac:dyDescent="0.3">
      <c r="B20" t="s">
        <v>135</v>
      </c>
      <c r="C20" s="169" t="s">
        <v>4</v>
      </c>
      <c r="D20" s="180">
        <f>D10/$J$10</f>
        <v>3.8740920096852302E-2</v>
      </c>
      <c r="E20" s="180">
        <f t="shared" ref="E20:J20" si="5">E10/$J$10</f>
        <v>0.18886198547215496</v>
      </c>
      <c r="F20" s="180">
        <f t="shared" si="5"/>
        <v>0.1937046004842615</v>
      </c>
      <c r="G20" s="180">
        <f t="shared" si="5"/>
        <v>0.36561743341404357</v>
      </c>
      <c r="H20" s="180">
        <f t="shared" si="5"/>
        <v>0.12832929782082325</v>
      </c>
      <c r="I20" s="180">
        <f t="shared" si="5"/>
        <v>8.4745762711864403E-2</v>
      </c>
      <c r="J20" s="180">
        <f t="shared" si="5"/>
        <v>1</v>
      </c>
    </row>
    <row r="21" spans="2:15" x14ac:dyDescent="0.3">
      <c r="C21" s="18"/>
      <c r="D21" s="181"/>
      <c r="E21" s="181"/>
      <c r="F21" s="181"/>
      <c r="G21" s="181"/>
      <c r="H21" s="181"/>
      <c r="I21" s="181"/>
      <c r="J21" s="182"/>
    </row>
    <row r="22" spans="2:15" x14ac:dyDescent="0.3">
      <c r="C22" s="18"/>
      <c r="D22" s="181"/>
      <c r="E22" s="181"/>
      <c r="F22" s="181"/>
      <c r="G22" s="181"/>
      <c r="H22" s="181"/>
      <c r="I22" s="181"/>
      <c r="J22" s="182"/>
    </row>
    <row r="23" spans="2:15" x14ac:dyDescent="0.3">
      <c r="C23" s="173"/>
    </row>
    <row r="24" spans="2:15" x14ac:dyDescent="0.3">
      <c r="C24" s="173"/>
      <c r="D24" s="183" t="s">
        <v>10</v>
      </c>
      <c r="E24" s="183" t="s">
        <v>11</v>
      </c>
      <c r="F24" s="184" t="s">
        <v>0</v>
      </c>
      <c r="G24" s="185" t="s">
        <v>1</v>
      </c>
      <c r="H24" s="185" t="s">
        <v>2</v>
      </c>
      <c r="I24" s="185" t="s">
        <v>3</v>
      </c>
      <c r="J24" s="185" t="s">
        <v>4</v>
      </c>
      <c r="K24" s="173"/>
      <c r="L24" s="188" t="s">
        <v>136</v>
      </c>
      <c r="M24" s="188" t="s">
        <v>137</v>
      </c>
      <c r="N24" s="188" t="s">
        <v>138</v>
      </c>
    </row>
    <row r="25" spans="2:15" x14ac:dyDescent="0.3">
      <c r="B25" s="18" t="s">
        <v>132</v>
      </c>
      <c r="C25" s="169" t="s">
        <v>5</v>
      </c>
      <c r="D25" s="178">
        <f>(D16-D$20)^2</f>
        <v>9.2036747105013342E-4</v>
      </c>
      <c r="E25" s="178">
        <f t="shared" ref="E25:I25" si="6">(E16-E$20)^2</f>
        <v>9.2977826850699045E-3</v>
      </c>
      <c r="F25" s="178">
        <f t="shared" si="6"/>
        <v>2.9701117819755726E-4</v>
      </c>
      <c r="G25" s="178">
        <f t="shared" si="6"/>
        <v>4.9558711904249014E-2</v>
      </c>
      <c r="H25" s="178">
        <f t="shared" si="6"/>
        <v>1.9621076542890507E-3</v>
      </c>
      <c r="I25" s="178">
        <f t="shared" si="6"/>
        <v>1.1782464477079675E-3</v>
      </c>
      <c r="J25" s="83">
        <f>SUM(D25:I25)</f>
        <v>6.3214227340563631E-2</v>
      </c>
      <c r="K25" s="173" t="s">
        <v>5</v>
      </c>
      <c r="L25" s="178">
        <f>J25-(1-$J$29)*M43</f>
        <v>-0.10539374272756354</v>
      </c>
      <c r="M25" s="189">
        <f>(1-$J$29)*(1-M43)</f>
        <v>0.59937448864359644</v>
      </c>
      <c r="N25" s="210">
        <f>L25/M25</f>
        <v>-0.17583955394243245</v>
      </c>
    </row>
    <row r="26" spans="2:15" x14ac:dyDescent="0.3">
      <c r="B26" s="18" t="s">
        <v>132</v>
      </c>
      <c r="C26" s="169" t="s">
        <v>6</v>
      </c>
      <c r="D26" s="178">
        <f t="shared" ref="D26:I26" si="7">(D17-D$20)^2</f>
        <v>9.2881444876237017E-4</v>
      </c>
      <c r="E26" s="178">
        <f t="shared" si="7"/>
        <v>2.0083574003553661E-2</v>
      </c>
      <c r="F26" s="178">
        <f t="shared" si="7"/>
        <v>2.1552870815663881E-5</v>
      </c>
      <c r="G26" s="178">
        <f t="shared" si="7"/>
        <v>1.2277259860600457E-3</v>
      </c>
      <c r="H26" s="178">
        <f t="shared" si="7"/>
        <v>7.5702152249682072E-3</v>
      </c>
      <c r="I26" s="178">
        <f t="shared" si="7"/>
        <v>3.7986614466727363E-5</v>
      </c>
      <c r="J26" s="83">
        <f t="shared" ref="J26:J28" si="8">SUM(D26:I26)</f>
        <v>2.9869869148626677E-2</v>
      </c>
      <c r="K26" s="173" t="s">
        <v>6</v>
      </c>
      <c r="L26" s="178">
        <f>J26-(1-$J$29)*M44</f>
        <v>-2.8406786245726522E-2</v>
      </c>
      <c r="M26" s="189">
        <f>(1-$J$29)*(1-M44)</f>
        <v>0.70970580331737043</v>
      </c>
      <c r="N26" s="210">
        <f>L26/M26</f>
        <v>-4.0026143386379227E-2</v>
      </c>
      <c r="O26" s="194"/>
    </row>
    <row r="27" spans="2:15" x14ac:dyDescent="0.3">
      <c r="B27" s="18" t="s">
        <v>132</v>
      </c>
      <c r="C27" s="169" t="s">
        <v>7</v>
      </c>
      <c r="D27" s="178">
        <f t="shared" ref="D27:I27" si="9">(D18-D$20)^2</f>
        <v>7.8821148300361909E-5</v>
      </c>
      <c r="E27" s="178">
        <f t="shared" si="9"/>
        <v>4.2318227683680954E-3</v>
      </c>
      <c r="F27" s="178">
        <f t="shared" si="9"/>
        <v>3.9632055062760723E-5</v>
      </c>
      <c r="G27" s="178">
        <f t="shared" si="9"/>
        <v>6.3845130123293212E-3</v>
      </c>
      <c r="H27" s="178">
        <f t="shared" si="9"/>
        <v>4.2026654576414489E-2</v>
      </c>
      <c r="I27" s="178">
        <f t="shared" si="9"/>
        <v>5.6583422414259203E-3</v>
      </c>
      <c r="J27" s="83">
        <f t="shared" si="8"/>
        <v>5.841978580190095E-2</v>
      </c>
      <c r="K27" s="173" t="s">
        <v>7</v>
      </c>
      <c r="L27" s="178">
        <f>J27-(1-$J$29)*M45</f>
        <v>-5.3175339007046768E-3</v>
      </c>
      <c r="M27" s="189">
        <f>(1-$J$29)*(1-M45)</f>
        <v>0.704245139009118</v>
      </c>
      <c r="N27" s="210">
        <f t="shared" ref="N27:N28" si="10">L27/M27</f>
        <v>-7.5506859844095137E-3</v>
      </c>
    </row>
    <row r="28" spans="2:15" x14ac:dyDescent="0.3">
      <c r="B28" s="18" t="s">
        <v>132</v>
      </c>
      <c r="C28" s="169" t="s">
        <v>8</v>
      </c>
      <c r="D28" s="178">
        <f t="shared" ref="D28:I28" si="11">(D19-D$20)^2</f>
        <v>8.7632104906108978E-3</v>
      </c>
      <c r="E28" s="178">
        <f t="shared" si="11"/>
        <v>2.8969290878052526E-4</v>
      </c>
      <c r="F28" s="178">
        <f t="shared" si="11"/>
        <v>1.4829765490189845E-4</v>
      </c>
      <c r="G28" s="178">
        <f t="shared" si="11"/>
        <v>4.1555934522109692E-2</v>
      </c>
      <c r="H28" s="178">
        <f t="shared" si="11"/>
        <v>7.0916021240610069E-3</v>
      </c>
      <c r="I28" s="178">
        <f t="shared" si="11"/>
        <v>2.7308962941683425E-2</v>
      </c>
      <c r="J28" s="83">
        <f t="shared" si="8"/>
        <v>8.5157700642147449E-2</v>
      </c>
      <c r="K28" s="173" t="s">
        <v>8</v>
      </c>
      <c r="L28" s="178">
        <f>J28-(1-$J$29)*M46</f>
        <v>1.407281908319033E-2</v>
      </c>
      <c r="M28" s="189">
        <f>(1-$J$29)*(1-M46)</f>
        <v>0.69689757715276657</v>
      </c>
      <c r="N28" s="210">
        <f t="shared" si="10"/>
        <v>2.0193525626371112E-2</v>
      </c>
    </row>
    <row r="29" spans="2:15" x14ac:dyDescent="0.3">
      <c r="B29" s="18" t="s">
        <v>133</v>
      </c>
      <c r="C29" s="173" t="s">
        <v>4</v>
      </c>
      <c r="D29" s="180">
        <f>D20^2</f>
        <v>1.5008588899506946E-3</v>
      </c>
      <c r="E29" s="180">
        <f t="shared" ref="E29:I29" si="12">E20^2</f>
        <v>3.5668849556484472E-2</v>
      </c>
      <c r="F29" s="180">
        <f t="shared" si="12"/>
        <v>3.7521472248767361E-2</v>
      </c>
      <c r="G29" s="180">
        <f t="shared" si="12"/>
        <v>0.13367610761627258</v>
      </c>
      <c r="H29" s="180">
        <f t="shared" si="12"/>
        <v>1.6468408679185552E-2</v>
      </c>
      <c r="I29" s="180">
        <f t="shared" si="12"/>
        <v>7.1818442976156272E-3</v>
      </c>
      <c r="J29" s="83">
        <f>SUM(D29:I29)</f>
        <v>0.23201754128827629</v>
      </c>
      <c r="K29" s="173" t="s">
        <v>4</v>
      </c>
      <c r="L29" s="4" t="s">
        <v>9</v>
      </c>
      <c r="M29" s="4" t="s">
        <v>9</v>
      </c>
      <c r="N29" s="4" t="s">
        <v>9</v>
      </c>
    </row>
    <row r="30" spans="2:15" x14ac:dyDescent="0.3">
      <c r="C30" s="18"/>
      <c r="D30" s="176"/>
      <c r="E30" s="176"/>
      <c r="F30" s="176"/>
      <c r="G30" s="176"/>
      <c r="H30" s="176"/>
      <c r="I30" s="176"/>
      <c r="J30" s="177"/>
    </row>
    <row r="31" spans="2:15" x14ac:dyDescent="0.3">
      <c r="C31" s="191" t="s">
        <v>147</v>
      </c>
      <c r="D31" s="190"/>
      <c r="E31" s="176"/>
      <c r="F31" s="176"/>
      <c r="G31" s="176"/>
      <c r="H31" s="176"/>
      <c r="I31" s="176"/>
      <c r="J31" s="177"/>
    </row>
    <row r="32" spans="2:15" x14ac:dyDescent="0.3">
      <c r="C32" s="18"/>
      <c r="D32" s="176"/>
      <c r="E32" s="176"/>
      <c r="F32" s="176"/>
      <c r="G32" s="176"/>
      <c r="H32" s="176"/>
      <c r="I32" s="176"/>
      <c r="J32" s="177"/>
    </row>
    <row r="33" spans="2:13" x14ac:dyDescent="0.3">
      <c r="C33" s="18"/>
      <c r="D33" s="176"/>
      <c r="E33" s="176"/>
      <c r="F33" s="176"/>
      <c r="G33" s="176"/>
      <c r="H33" s="176"/>
      <c r="I33" s="176"/>
      <c r="J33" s="177"/>
    </row>
    <row r="34" spans="2:13" x14ac:dyDescent="0.3">
      <c r="C34" s="18"/>
      <c r="D34" s="176"/>
      <c r="E34" s="176"/>
      <c r="F34" s="176"/>
      <c r="G34" s="176"/>
      <c r="H34" s="176"/>
      <c r="I34" s="176"/>
      <c r="J34" s="177"/>
    </row>
    <row r="35" spans="2:13" x14ac:dyDescent="0.3">
      <c r="C35" s="169"/>
      <c r="D35" s="311" t="s">
        <v>145</v>
      </c>
      <c r="E35" s="312"/>
      <c r="F35" s="312"/>
      <c r="G35" s="312"/>
      <c r="H35" s="176"/>
      <c r="I35" s="176"/>
      <c r="J35" s="177"/>
    </row>
    <row r="36" spans="2:13" x14ac:dyDescent="0.3">
      <c r="C36" s="186" t="s">
        <v>144</v>
      </c>
      <c r="D36" s="209">
        <v>100</v>
      </c>
      <c r="E36" s="209">
        <v>50</v>
      </c>
      <c r="F36" s="209">
        <v>10</v>
      </c>
      <c r="G36" s="209">
        <v>1</v>
      </c>
      <c r="H36" s="186" t="s">
        <v>4</v>
      </c>
      <c r="I36" s="176"/>
      <c r="J36" s="177"/>
    </row>
    <row r="37" spans="2:13" x14ac:dyDescent="0.3">
      <c r="B37" s="313" t="s">
        <v>146</v>
      </c>
      <c r="C37" s="186" t="s">
        <v>5</v>
      </c>
      <c r="D37" s="187">
        <v>0</v>
      </c>
      <c r="E37" s="187">
        <v>1</v>
      </c>
      <c r="F37" s="187">
        <v>6</v>
      </c>
      <c r="G37" s="187">
        <v>9</v>
      </c>
      <c r="H37" s="174">
        <f>SUMPRODUCT($D$36:$G$36,D37:G37)</f>
        <v>119</v>
      </c>
      <c r="I37" s="176"/>
      <c r="J37" s="177"/>
    </row>
    <row r="38" spans="2:13" x14ac:dyDescent="0.3">
      <c r="B38" s="313"/>
      <c r="C38" s="186" t="s">
        <v>6</v>
      </c>
      <c r="D38" s="174">
        <v>0</v>
      </c>
      <c r="E38" s="174">
        <v>0</v>
      </c>
      <c r="F38" s="174">
        <v>11</v>
      </c>
      <c r="G38" s="174">
        <v>11</v>
      </c>
      <c r="H38" s="174">
        <f>SUMPRODUCT($D$36:$G$36,D38:G38)</f>
        <v>121</v>
      </c>
      <c r="I38" s="176"/>
      <c r="J38" s="177"/>
    </row>
    <row r="39" spans="2:13" x14ac:dyDescent="0.3">
      <c r="B39" s="313"/>
      <c r="C39" s="186" t="s">
        <v>7</v>
      </c>
      <c r="D39" s="174">
        <v>0</v>
      </c>
      <c r="E39" s="174">
        <v>0</v>
      </c>
      <c r="F39" s="174">
        <v>9</v>
      </c>
      <c r="G39" s="174">
        <v>15</v>
      </c>
      <c r="H39" s="174">
        <f>SUMPRODUCT($D$36:$G$36,D39:G39)</f>
        <v>105</v>
      </c>
      <c r="I39" s="176"/>
      <c r="J39" s="177"/>
    </row>
    <row r="40" spans="2:13" x14ac:dyDescent="0.3">
      <c r="B40" s="313"/>
      <c r="C40" s="186" t="s">
        <v>8</v>
      </c>
      <c r="D40" s="174">
        <v>0</v>
      </c>
      <c r="E40" s="174">
        <v>0</v>
      </c>
      <c r="F40" s="174">
        <v>4</v>
      </c>
      <c r="G40" s="174">
        <v>28</v>
      </c>
      <c r="H40" s="174">
        <f>SUMPRODUCT($D$36:$G$36,D40:G40)</f>
        <v>68</v>
      </c>
      <c r="I40" s="176"/>
      <c r="J40" s="177"/>
    </row>
    <row r="42" spans="2:13" x14ac:dyDescent="0.3">
      <c r="C42" s="169"/>
      <c r="D42" s="174">
        <v>100</v>
      </c>
      <c r="E42" s="174">
        <v>50</v>
      </c>
      <c r="F42" s="174">
        <v>10</v>
      </c>
      <c r="G42" s="174">
        <v>1</v>
      </c>
      <c r="H42" s="173"/>
      <c r="I42" s="174">
        <v>100</v>
      </c>
      <c r="J42" s="174">
        <v>50</v>
      </c>
      <c r="K42" s="174">
        <v>10</v>
      </c>
      <c r="L42" s="174">
        <v>1</v>
      </c>
      <c r="M42" s="179" t="s">
        <v>143</v>
      </c>
    </row>
    <row r="43" spans="2:13" x14ac:dyDescent="0.3">
      <c r="C43" s="175" t="s">
        <v>139</v>
      </c>
      <c r="D43" s="3">
        <f t="shared" ref="D43:G46" si="13">D$42/$H37</f>
        <v>0.84033613445378152</v>
      </c>
      <c r="E43" s="3">
        <f t="shared" si="13"/>
        <v>0.42016806722689076</v>
      </c>
      <c r="F43" s="3">
        <f t="shared" si="13"/>
        <v>8.4033613445378158E-2</v>
      </c>
      <c r="G43" s="3">
        <f t="shared" si="13"/>
        <v>8.4033613445378148E-3</v>
      </c>
      <c r="H43" s="175" t="s">
        <v>139</v>
      </c>
      <c r="I43" s="178">
        <f t="shared" ref="I43:L46" si="14">D43^2*D37</f>
        <v>0</v>
      </c>
      <c r="J43" s="178">
        <f t="shared" si="14"/>
        <v>0.17654120471718099</v>
      </c>
      <c r="K43" s="178">
        <f t="shared" si="14"/>
        <v>4.2369889132123445E-2</v>
      </c>
      <c r="L43" s="178">
        <f t="shared" si="14"/>
        <v>6.355483369818516E-4</v>
      </c>
      <c r="M43" s="215">
        <f>SUM(I43:L43)</f>
        <v>0.21954664218628628</v>
      </c>
    </row>
    <row r="44" spans="2:13" x14ac:dyDescent="0.3">
      <c r="C44" s="175" t="s">
        <v>140</v>
      </c>
      <c r="D44" s="3">
        <f t="shared" si="13"/>
        <v>0.82644628099173556</v>
      </c>
      <c r="E44" s="3">
        <f t="shared" si="13"/>
        <v>0.41322314049586778</v>
      </c>
      <c r="F44" s="3">
        <f t="shared" si="13"/>
        <v>8.2644628099173556E-2</v>
      </c>
      <c r="G44" s="3">
        <f t="shared" si="13"/>
        <v>8.2644628099173556E-3</v>
      </c>
      <c r="H44" s="175" t="s">
        <v>140</v>
      </c>
      <c r="I44" s="178">
        <f t="shared" si="14"/>
        <v>0</v>
      </c>
      <c r="J44" s="178">
        <f t="shared" si="14"/>
        <v>0</v>
      </c>
      <c r="K44" s="178">
        <f t="shared" si="14"/>
        <v>7.5131480090157785E-2</v>
      </c>
      <c r="L44" s="178">
        <f t="shared" si="14"/>
        <v>7.513148009015778E-4</v>
      </c>
      <c r="M44" s="215">
        <f t="shared" ref="M44:M46" si="15">SUM(I44:L44)</f>
        <v>7.5882794891059369E-2</v>
      </c>
    </row>
    <row r="45" spans="2:13" x14ac:dyDescent="0.3">
      <c r="C45" s="175" t="s">
        <v>141</v>
      </c>
      <c r="D45" s="3">
        <f t="shared" si="13"/>
        <v>0.95238095238095233</v>
      </c>
      <c r="E45" s="3">
        <f t="shared" si="13"/>
        <v>0.47619047619047616</v>
      </c>
      <c r="F45" s="3">
        <f t="shared" si="13"/>
        <v>9.5238095238095233E-2</v>
      </c>
      <c r="G45" s="3">
        <f t="shared" si="13"/>
        <v>9.5238095238095247E-3</v>
      </c>
      <c r="H45" s="175" t="s">
        <v>141</v>
      </c>
      <c r="I45" s="178">
        <f t="shared" si="14"/>
        <v>0</v>
      </c>
      <c r="J45" s="178">
        <f t="shared" si="14"/>
        <v>0</v>
      </c>
      <c r="K45" s="178">
        <f t="shared" si="14"/>
        <v>8.1632653061224469E-2</v>
      </c>
      <c r="L45" s="178">
        <f t="shared" si="14"/>
        <v>1.360544217687075E-3</v>
      </c>
      <c r="M45" s="215">
        <f t="shared" si="15"/>
        <v>8.2993197278911551E-2</v>
      </c>
    </row>
    <row r="46" spans="2:13" x14ac:dyDescent="0.3">
      <c r="C46" s="175" t="s">
        <v>142</v>
      </c>
      <c r="D46" s="3">
        <f t="shared" si="13"/>
        <v>1.4705882352941178</v>
      </c>
      <c r="E46" s="3">
        <f t="shared" si="13"/>
        <v>0.73529411764705888</v>
      </c>
      <c r="F46" s="3">
        <f t="shared" si="13"/>
        <v>0.14705882352941177</v>
      </c>
      <c r="G46" s="3">
        <f t="shared" si="13"/>
        <v>1.4705882352941176E-2</v>
      </c>
      <c r="H46" s="175" t="s">
        <v>142</v>
      </c>
      <c r="I46" s="178">
        <f t="shared" si="14"/>
        <v>0</v>
      </c>
      <c r="J46" s="178">
        <f t="shared" si="14"/>
        <v>0</v>
      </c>
      <c r="K46" s="178">
        <f t="shared" si="14"/>
        <v>8.6505190311418692E-2</v>
      </c>
      <c r="L46" s="178">
        <f t="shared" si="14"/>
        <v>6.0553633217993079E-3</v>
      </c>
      <c r="M46" s="215">
        <f t="shared" si="15"/>
        <v>9.2560553633217996E-2</v>
      </c>
    </row>
    <row r="47" spans="2:13" x14ac:dyDescent="0.3">
      <c r="C47" s="18"/>
      <c r="D47" s="176"/>
      <c r="E47" s="176"/>
      <c r="F47" s="176"/>
      <c r="G47" s="176"/>
      <c r="H47" s="176"/>
      <c r="I47" s="176"/>
      <c r="J47" s="177"/>
    </row>
    <row r="48" spans="2:13" x14ac:dyDescent="0.3">
      <c r="C48" s="18"/>
      <c r="D48" s="176"/>
      <c r="E48" s="176"/>
      <c r="F48" s="176"/>
      <c r="G48" s="176"/>
      <c r="H48" s="176"/>
      <c r="I48" s="176"/>
      <c r="J48" s="177"/>
    </row>
    <row r="49" spans="3:10" x14ac:dyDescent="0.3">
      <c r="C49" s="18"/>
      <c r="D49" s="176"/>
      <c r="E49" s="176"/>
      <c r="F49" s="176"/>
      <c r="G49" s="176"/>
      <c r="H49" s="176"/>
      <c r="I49" s="176"/>
      <c r="J49" s="177"/>
    </row>
    <row r="50" spans="3:10" x14ac:dyDescent="0.3">
      <c r="C50" s="18"/>
      <c r="D50" s="176"/>
      <c r="E50" s="176"/>
      <c r="F50" s="176"/>
      <c r="G50" s="176"/>
      <c r="H50" s="176"/>
      <c r="I50" s="176"/>
      <c r="J50" s="177"/>
    </row>
    <row r="51" spans="3:10" x14ac:dyDescent="0.3">
      <c r="C51" s="18"/>
      <c r="D51" s="176"/>
      <c r="E51" s="176"/>
      <c r="F51" s="176"/>
      <c r="G51" s="176"/>
      <c r="H51" s="176"/>
      <c r="I51" s="176"/>
      <c r="J51" s="177"/>
    </row>
    <row r="52" spans="3:10" x14ac:dyDescent="0.3">
      <c r="C52" s="18"/>
      <c r="D52" s="176"/>
      <c r="E52" s="176"/>
      <c r="F52" s="176"/>
      <c r="G52" s="176"/>
      <c r="H52" s="176"/>
      <c r="I52" s="176"/>
      <c r="J52" s="177"/>
    </row>
    <row r="53" spans="3:10" x14ac:dyDescent="0.3">
      <c r="C53" s="18"/>
      <c r="D53" s="176"/>
      <c r="E53" s="176"/>
      <c r="F53" s="176"/>
      <c r="G53" s="176"/>
      <c r="H53" s="176"/>
      <c r="I53" s="176"/>
      <c r="J53" s="177"/>
    </row>
  </sheetData>
  <mergeCells count="18">
    <mergeCell ref="D35:G35"/>
    <mergeCell ref="B37:B40"/>
    <mergeCell ref="I4:I5"/>
    <mergeCell ref="J4:J5"/>
    <mergeCell ref="C14:C15"/>
    <mergeCell ref="D14:D15"/>
    <mergeCell ref="E14:E15"/>
    <mergeCell ref="F14:F15"/>
    <mergeCell ref="G14:G15"/>
    <mergeCell ref="H14:H15"/>
    <mergeCell ref="I14:I15"/>
    <mergeCell ref="J14:J1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3"/>
  <sheetViews>
    <sheetView topLeftCell="A13" workbookViewId="0">
      <selection activeCell="N24" sqref="N24:N29"/>
    </sheetView>
  </sheetViews>
  <sheetFormatPr defaultRowHeight="14.4" x14ac:dyDescent="0.3"/>
  <cols>
    <col min="2" max="2" width="10.5546875" customWidth="1"/>
    <col min="3" max="3" width="8.5546875" customWidth="1"/>
    <col min="4" max="4" width="9.44140625" bestFit="1" customWidth="1"/>
    <col min="5" max="5" width="11.6640625" customWidth="1"/>
    <col min="6" max="7" width="9.44140625" bestFit="1" customWidth="1"/>
    <col min="8" max="8" width="9.5546875" customWidth="1"/>
    <col min="9" max="15" width="9.44140625" bestFit="1" customWidth="1"/>
    <col min="16" max="16" width="10.6640625" customWidth="1"/>
  </cols>
  <sheetData>
    <row r="2" spans="2:10" x14ac:dyDescent="0.3">
      <c r="D2" t="s">
        <v>148</v>
      </c>
    </row>
    <row r="3" spans="2:10" x14ac:dyDescent="0.3">
      <c r="D3" t="s">
        <v>149</v>
      </c>
    </row>
    <row r="4" spans="2:10" x14ac:dyDescent="0.3">
      <c r="C4" s="267"/>
      <c r="D4" s="268" t="s">
        <v>10</v>
      </c>
      <c r="E4" s="268" t="s">
        <v>11</v>
      </c>
      <c r="F4" s="267" t="s">
        <v>0</v>
      </c>
      <c r="G4" s="266" t="s">
        <v>1</v>
      </c>
      <c r="H4" s="266" t="s">
        <v>2</v>
      </c>
      <c r="I4" s="266" t="s">
        <v>3</v>
      </c>
      <c r="J4" s="266" t="s">
        <v>4</v>
      </c>
    </row>
    <row r="5" spans="2:10" x14ac:dyDescent="0.3">
      <c r="C5" s="267"/>
      <c r="D5" s="269"/>
      <c r="E5" s="269"/>
      <c r="F5" s="267"/>
      <c r="G5" s="266"/>
      <c r="H5" s="266"/>
      <c r="I5" s="266"/>
      <c r="J5" s="266"/>
    </row>
    <row r="6" spans="2:10" x14ac:dyDescent="0.3">
      <c r="C6" s="196" t="s">
        <v>5</v>
      </c>
      <c r="D6" s="5">
        <v>1</v>
      </c>
      <c r="E6" s="5">
        <v>11</v>
      </c>
      <c r="F6" s="5">
        <v>21</v>
      </c>
      <c r="G6" s="6">
        <v>70</v>
      </c>
      <c r="H6" s="6">
        <v>10</v>
      </c>
      <c r="I6" s="6">
        <v>6</v>
      </c>
      <c r="J6" s="7">
        <v>119</v>
      </c>
    </row>
    <row r="7" spans="2:10" x14ac:dyDescent="0.3">
      <c r="C7" s="196" t="s">
        <v>6</v>
      </c>
      <c r="D7" s="5">
        <v>1</v>
      </c>
      <c r="E7" s="5">
        <v>40</v>
      </c>
      <c r="F7" s="5">
        <v>24</v>
      </c>
      <c r="G7" s="6">
        <v>40</v>
      </c>
      <c r="H7" s="6">
        <v>5</v>
      </c>
      <c r="I7" s="6">
        <v>11</v>
      </c>
      <c r="J7" s="7">
        <v>121</v>
      </c>
    </row>
    <row r="8" spans="2:10" x14ac:dyDescent="0.3">
      <c r="C8" s="196" t="s">
        <v>7</v>
      </c>
      <c r="D8" s="5">
        <v>5</v>
      </c>
      <c r="E8" s="5">
        <v>13</v>
      </c>
      <c r="F8" s="5">
        <v>21</v>
      </c>
      <c r="G8" s="6">
        <v>30</v>
      </c>
      <c r="H8" s="6">
        <v>35</v>
      </c>
      <c r="I8" s="6">
        <v>1</v>
      </c>
      <c r="J8" s="7">
        <v>105</v>
      </c>
    </row>
    <row r="9" spans="2:10" x14ac:dyDescent="0.3">
      <c r="C9" s="196" t="s">
        <v>8</v>
      </c>
      <c r="D9" s="5">
        <v>9</v>
      </c>
      <c r="E9" s="5">
        <v>14</v>
      </c>
      <c r="F9" s="5">
        <v>14</v>
      </c>
      <c r="G9" s="6">
        <v>11</v>
      </c>
      <c r="H9" s="6">
        <v>3</v>
      </c>
      <c r="I9" s="6">
        <v>17</v>
      </c>
      <c r="J9" s="7">
        <v>68</v>
      </c>
    </row>
    <row r="10" spans="2:10" x14ac:dyDescent="0.3">
      <c r="C10" s="196" t="s">
        <v>4</v>
      </c>
      <c r="D10" s="8">
        <v>16</v>
      </c>
      <c r="E10" s="8">
        <v>78</v>
      </c>
      <c r="F10" s="8">
        <v>80</v>
      </c>
      <c r="G10" s="7">
        <v>151</v>
      </c>
      <c r="H10" s="7">
        <v>53</v>
      </c>
      <c r="I10" s="7">
        <v>35</v>
      </c>
      <c r="J10" s="7">
        <v>413</v>
      </c>
    </row>
    <row r="11" spans="2:10" x14ac:dyDescent="0.3">
      <c r="C11" s="18"/>
      <c r="D11" s="192"/>
      <c r="E11" s="192"/>
      <c r="F11" s="192"/>
      <c r="G11" s="193"/>
      <c r="H11" s="193"/>
      <c r="I11" s="193"/>
      <c r="J11" s="193"/>
    </row>
    <row r="12" spans="2:10" x14ac:dyDescent="0.3">
      <c r="C12" s="18" t="s">
        <v>150</v>
      </c>
    </row>
    <row r="13" spans="2:10" x14ac:dyDescent="0.3">
      <c r="C13" s="18"/>
    </row>
    <row r="14" spans="2:10" x14ac:dyDescent="0.3">
      <c r="C14" s="267"/>
      <c r="D14" s="268" t="s">
        <v>10</v>
      </c>
      <c r="E14" s="268" t="s">
        <v>11</v>
      </c>
      <c r="F14" s="267" t="s">
        <v>0</v>
      </c>
      <c r="G14" s="266" t="s">
        <v>1</v>
      </c>
      <c r="H14" s="266" t="s">
        <v>2</v>
      </c>
      <c r="I14" s="266" t="s">
        <v>3</v>
      </c>
      <c r="J14" s="266" t="s">
        <v>4</v>
      </c>
    </row>
    <row r="15" spans="2:10" x14ac:dyDescent="0.3">
      <c r="C15" s="267"/>
      <c r="D15" s="269"/>
      <c r="E15" s="269"/>
      <c r="F15" s="267"/>
      <c r="G15" s="266"/>
      <c r="H15" s="266"/>
      <c r="I15" s="266"/>
      <c r="J15" s="266"/>
    </row>
    <row r="16" spans="2:10" x14ac:dyDescent="0.3">
      <c r="B16" t="s">
        <v>134</v>
      </c>
      <c r="C16" s="196" t="s">
        <v>5</v>
      </c>
      <c r="D16" s="178">
        <f>D6/$J6</f>
        <v>8.4033613445378148E-3</v>
      </c>
      <c r="E16" s="178">
        <f t="shared" ref="E16:I17" si="0">E6/$J6</f>
        <v>9.2436974789915971E-2</v>
      </c>
      <c r="F16" s="178">
        <f t="shared" si="0"/>
        <v>0.17647058823529413</v>
      </c>
      <c r="G16" s="178">
        <f t="shared" si="0"/>
        <v>0.58823529411764708</v>
      </c>
      <c r="H16" s="178">
        <f t="shared" si="0"/>
        <v>8.4033613445378158E-2</v>
      </c>
      <c r="I16" s="178">
        <f>I6/$J6</f>
        <v>5.0420168067226892E-2</v>
      </c>
      <c r="J16" s="83">
        <f>SUM(D16:I16)</f>
        <v>1</v>
      </c>
    </row>
    <row r="17" spans="2:21" x14ac:dyDescent="0.3">
      <c r="C17" s="196" t="s">
        <v>6</v>
      </c>
      <c r="D17" s="178">
        <f>D7/$J7</f>
        <v>8.2644628099173556E-3</v>
      </c>
      <c r="E17" s="178">
        <f t="shared" si="0"/>
        <v>0.33057851239669422</v>
      </c>
      <c r="F17" s="178">
        <f>F7/$J7</f>
        <v>0.19834710743801653</v>
      </c>
      <c r="G17" s="178">
        <f t="shared" si="0"/>
        <v>0.33057851239669422</v>
      </c>
      <c r="H17" s="178">
        <f t="shared" si="0"/>
        <v>4.1322314049586778E-2</v>
      </c>
      <c r="I17" s="178">
        <f t="shared" si="0"/>
        <v>9.0909090909090912E-2</v>
      </c>
      <c r="J17" s="83">
        <f t="shared" ref="J17:J19" si="1">SUM(D17:I17)</f>
        <v>1</v>
      </c>
    </row>
    <row r="18" spans="2:21" x14ac:dyDescent="0.3">
      <c r="C18" s="196" t="s">
        <v>7</v>
      </c>
      <c r="D18" s="178">
        <f t="shared" ref="D18:I19" si="2">D8/$J8</f>
        <v>4.7619047619047616E-2</v>
      </c>
      <c r="E18" s="178">
        <f t="shared" si="2"/>
        <v>0.12380952380952381</v>
      </c>
      <c r="F18" s="178">
        <f t="shared" si="2"/>
        <v>0.2</v>
      </c>
      <c r="G18" s="178">
        <f t="shared" si="2"/>
        <v>0.2857142857142857</v>
      </c>
      <c r="H18" s="178">
        <f t="shared" si="2"/>
        <v>0.33333333333333331</v>
      </c>
      <c r="I18" s="178">
        <f t="shared" si="2"/>
        <v>9.5238095238095247E-3</v>
      </c>
      <c r="J18" s="83">
        <f t="shared" si="1"/>
        <v>1</v>
      </c>
    </row>
    <row r="19" spans="2:21" x14ac:dyDescent="0.3">
      <c r="C19" s="196" t="s">
        <v>8</v>
      </c>
      <c r="D19" s="178">
        <f t="shared" si="2"/>
        <v>0.13235294117647059</v>
      </c>
      <c r="E19" s="178">
        <f t="shared" si="2"/>
        <v>0.20588235294117646</v>
      </c>
      <c r="F19" s="178">
        <f t="shared" si="2"/>
        <v>0.20588235294117646</v>
      </c>
      <c r="G19" s="178">
        <f t="shared" si="2"/>
        <v>0.16176470588235295</v>
      </c>
      <c r="H19" s="178">
        <f t="shared" si="2"/>
        <v>4.4117647058823532E-2</v>
      </c>
      <c r="I19" s="178">
        <f t="shared" si="2"/>
        <v>0.25</v>
      </c>
      <c r="J19" s="83">
        <f t="shared" si="1"/>
        <v>1</v>
      </c>
    </row>
    <row r="20" spans="2:21" x14ac:dyDescent="0.3">
      <c r="B20" t="s">
        <v>135</v>
      </c>
      <c r="C20" s="196" t="s">
        <v>4</v>
      </c>
      <c r="D20" s="180">
        <f>D10/$J$10</f>
        <v>3.8740920096852302E-2</v>
      </c>
      <c r="E20" s="180">
        <f t="shared" ref="E20:J20" si="3">E10/$J$10</f>
        <v>0.18886198547215496</v>
      </c>
      <c r="F20" s="180">
        <f t="shared" si="3"/>
        <v>0.1937046004842615</v>
      </c>
      <c r="G20" s="180">
        <f t="shared" si="3"/>
        <v>0.36561743341404357</v>
      </c>
      <c r="H20" s="180">
        <f t="shared" si="3"/>
        <v>0.12832929782082325</v>
      </c>
      <c r="I20" s="180">
        <f t="shared" si="3"/>
        <v>8.4745762711864403E-2</v>
      </c>
      <c r="J20" s="180">
        <f t="shared" si="3"/>
        <v>1</v>
      </c>
    </row>
    <row r="21" spans="2:21" x14ac:dyDescent="0.3">
      <c r="C21" s="18"/>
      <c r="D21" s="181"/>
      <c r="E21" s="181"/>
      <c r="F21" s="181"/>
      <c r="G21" s="181"/>
      <c r="H21" s="181"/>
      <c r="I21" s="181"/>
      <c r="J21" s="182"/>
    </row>
    <row r="22" spans="2:21" x14ac:dyDescent="0.3">
      <c r="C22" s="18"/>
      <c r="D22" s="181"/>
      <c r="E22" s="181"/>
      <c r="F22" s="181"/>
      <c r="G22" s="181"/>
      <c r="H22" s="181"/>
      <c r="I22" s="181"/>
      <c r="J22" s="182"/>
    </row>
    <row r="23" spans="2:21" x14ac:dyDescent="0.3">
      <c r="C23" s="196"/>
    </row>
    <row r="24" spans="2:21" x14ac:dyDescent="0.3">
      <c r="C24" s="196"/>
      <c r="D24" s="183" t="s">
        <v>10</v>
      </c>
      <c r="E24" s="183" t="s">
        <v>11</v>
      </c>
      <c r="F24" s="184" t="s">
        <v>0</v>
      </c>
      <c r="G24" s="185" t="s">
        <v>1</v>
      </c>
      <c r="H24" s="185" t="s">
        <v>2</v>
      </c>
      <c r="I24" s="185" t="s">
        <v>3</v>
      </c>
      <c r="J24" s="185" t="s">
        <v>4</v>
      </c>
      <c r="K24" s="196"/>
      <c r="L24" s="188" t="s">
        <v>136</v>
      </c>
      <c r="M24" s="188" t="s">
        <v>137</v>
      </c>
      <c r="N24" s="188" t="s">
        <v>138</v>
      </c>
    </row>
    <row r="25" spans="2:21" x14ac:dyDescent="0.3">
      <c r="B25" s="18" t="s">
        <v>132</v>
      </c>
      <c r="C25" s="196" t="s">
        <v>5</v>
      </c>
      <c r="D25" s="178">
        <f>(D16-D$20)^2</f>
        <v>9.2036747105013342E-4</v>
      </c>
      <c r="E25" s="178">
        <f t="shared" ref="E25:I25" si="4">(E16-E$20)^2</f>
        <v>9.2977826850699045E-3</v>
      </c>
      <c r="F25" s="178">
        <f t="shared" si="4"/>
        <v>2.9701117819755726E-4</v>
      </c>
      <c r="G25" s="178">
        <f t="shared" si="4"/>
        <v>4.9558711904249014E-2</v>
      </c>
      <c r="H25" s="178">
        <f t="shared" si="4"/>
        <v>1.9621076542890507E-3</v>
      </c>
      <c r="I25" s="178">
        <f t="shared" si="4"/>
        <v>1.1782464477079675E-3</v>
      </c>
      <c r="J25" s="83">
        <f>SUM(D25:I25)</f>
        <v>6.3214227340563631E-2</v>
      </c>
      <c r="K25" s="196" t="s">
        <v>5</v>
      </c>
      <c r="L25" s="178">
        <f>J25-(1-$J$29)*M43</f>
        <v>3.2356094510468947E-2</v>
      </c>
      <c r="M25" s="189">
        <f>(1-$J$29)*(1-M43)</f>
        <v>0.73712432588162891</v>
      </c>
      <c r="N25" s="210">
        <f>L25/M25</f>
        <v>4.389503015216574E-2</v>
      </c>
      <c r="P25" t="s">
        <v>156</v>
      </c>
      <c r="Q25" t="s">
        <v>157</v>
      </c>
      <c r="R25" t="s">
        <v>153</v>
      </c>
      <c r="S25" t="s">
        <v>154</v>
      </c>
      <c r="T25" t="s">
        <v>155</v>
      </c>
      <c r="U25" t="s">
        <v>138</v>
      </c>
    </row>
    <row r="26" spans="2:21" x14ac:dyDescent="0.3">
      <c r="B26" s="18" t="s">
        <v>132</v>
      </c>
      <c r="C26" s="196" t="s">
        <v>6</v>
      </c>
      <c r="D26" s="178">
        <f t="shared" ref="D26:I28" si="5">(D17-D$20)^2</f>
        <v>9.2881444876237017E-4</v>
      </c>
      <c r="E26" s="178">
        <f t="shared" si="5"/>
        <v>2.0083574003553661E-2</v>
      </c>
      <c r="F26" s="178">
        <f t="shared" si="5"/>
        <v>2.1552870815663881E-5</v>
      </c>
      <c r="G26" s="178">
        <f t="shared" si="5"/>
        <v>1.2277259860600457E-3</v>
      </c>
      <c r="H26" s="178">
        <f t="shared" si="5"/>
        <v>7.5702152249682072E-3</v>
      </c>
      <c r="I26" s="178">
        <f t="shared" si="5"/>
        <v>3.7986614466727363E-5</v>
      </c>
      <c r="J26" s="83">
        <f t="shared" ref="J26:J28" si="6">SUM(D26:I26)</f>
        <v>2.9869869148626677E-2</v>
      </c>
      <c r="K26" s="196" t="s">
        <v>6</v>
      </c>
      <c r="L26" s="178">
        <f>J26-(1-$J$29)*M44</f>
        <v>4.6393819796942889E-3</v>
      </c>
      <c r="M26" s="189">
        <f>(1-$J$29)*(1-M44)</f>
        <v>0.74275197154279127</v>
      </c>
      <c r="N26" s="211">
        <f>L26/M26</f>
        <v>6.2462062134385141E-3</v>
      </c>
      <c r="O26" s="194"/>
      <c r="P26">
        <v>0</v>
      </c>
      <c r="Q26">
        <v>0</v>
      </c>
      <c r="R26">
        <v>0</v>
      </c>
      <c r="S26">
        <v>121</v>
      </c>
      <c r="T26">
        <v>8.0000000000000002E-3</v>
      </c>
      <c r="U26">
        <v>3.1E-2</v>
      </c>
    </row>
    <row r="27" spans="2:21" x14ac:dyDescent="0.3">
      <c r="B27" s="18" t="s">
        <v>132</v>
      </c>
      <c r="C27" s="196" t="s">
        <v>7</v>
      </c>
      <c r="D27" s="178">
        <f t="shared" si="5"/>
        <v>7.8821148300361909E-5</v>
      </c>
      <c r="E27" s="178">
        <f t="shared" si="5"/>
        <v>4.2318227683680954E-3</v>
      </c>
      <c r="F27" s="178">
        <f t="shared" si="5"/>
        <v>3.9632055062760723E-5</v>
      </c>
      <c r="G27" s="178">
        <f t="shared" si="5"/>
        <v>6.3845130123293212E-3</v>
      </c>
      <c r="H27" s="178">
        <f t="shared" si="5"/>
        <v>4.2026654576414489E-2</v>
      </c>
      <c r="I27" s="178">
        <f t="shared" si="5"/>
        <v>5.6583422414259203E-3</v>
      </c>
      <c r="J27" s="83">
        <f t="shared" si="6"/>
        <v>5.841978580190095E-2</v>
      </c>
      <c r="K27" s="196" t="s">
        <v>7</v>
      </c>
      <c r="L27" s="178">
        <f>J27-(1-$J$29)*M45</f>
        <v>4.4836422586591554E-2</v>
      </c>
      <c r="M27" s="189">
        <f>(1-$J$29)*(1-M45)</f>
        <v>0.75439909549641426</v>
      </c>
      <c r="N27" s="210">
        <f t="shared" ref="N27:N28" si="7">L27/M27</f>
        <v>5.9433293139207727E-2</v>
      </c>
      <c r="P27">
        <v>0</v>
      </c>
      <c r="Q27">
        <v>0</v>
      </c>
      <c r="R27">
        <v>1</v>
      </c>
      <c r="S27">
        <v>111</v>
      </c>
      <c r="T27" s="87">
        <v>1.4E-2</v>
      </c>
      <c r="U27">
        <v>2.5000000000000001E-2</v>
      </c>
    </row>
    <row r="28" spans="2:21" x14ac:dyDescent="0.3">
      <c r="B28" s="18" t="s">
        <v>132</v>
      </c>
      <c r="C28" s="196" t="s">
        <v>8</v>
      </c>
      <c r="D28" s="178">
        <f t="shared" si="5"/>
        <v>8.7632104906108978E-3</v>
      </c>
      <c r="E28" s="178">
        <f t="shared" si="5"/>
        <v>2.8969290878052526E-4</v>
      </c>
      <c r="F28" s="178">
        <f t="shared" si="5"/>
        <v>1.4829765490189845E-4</v>
      </c>
      <c r="G28" s="178">
        <f t="shared" si="5"/>
        <v>4.1555934522109692E-2</v>
      </c>
      <c r="H28" s="178">
        <f t="shared" si="5"/>
        <v>7.0916021240610069E-3</v>
      </c>
      <c r="I28" s="178">
        <f t="shared" si="5"/>
        <v>2.7308962941683425E-2</v>
      </c>
      <c r="J28" s="83">
        <f t="shared" si="6"/>
        <v>8.5157700642147449E-2</v>
      </c>
      <c r="K28" s="196" t="s">
        <v>8</v>
      </c>
      <c r="L28" s="178">
        <f>J28-(1-$J$29)*M46</f>
        <v>5.8916085487205332E-2</v>
      </c>
      <c r="M28" s="189">
        <f>(1-$J$29)*(1-M46)</f>
        <v>0.74174084355678149</v>
      </c>
      <c r="N28" s="210">
        <f t="shared" si="7"/>
        <v>7.9429474592085353E-2</v>
      </c>
      <c r="P28">
        <v>0</v>
      </c>
      <c r="Q28">
        <v>0</v>
      </c>
      <c r="R28">
        <v>2</v>
      </c>
      <c r="S28">
        <v>101</v>
      </c>
      <c r="T28" s="87">
        <v>2.1000000000000001E-2</v>
      </c>
      <c r="U28">
        <v>1.9E-2</v>
      </c>
    </row>
    <row r="29" spans="2:21" x14ac:dyDescent="0.3">
      <c r="B29" s="18" t="s">
        <v>133</v>
      </c>
      <c r="C29" s="196" t="s">
        <v>4</v>
      </c>
      <c r="D29" s="180">
        <f>D20^2</f>
        <v>1.5008588899506946E-3</v>
      </c>
      <c r="E29" s="180">
        <f t="shared" ref="E29:I29" si="8">E20^2</f>
        <v>3.5668849556484472E-2</v>
      </c>
      <c r="F29" s="180">
        <f t="shared" si="8"/>
        <v>3.7521472248767361E-2</v>
      </c>
      <c r="G29" s="180">
        <f t="shared" si="8"/>
        <v>0.13367610761627258</v>
      </c>
      <c r="H29" s="180">
        <f t="shared" si="8"/>
        <v>1.6468408679185552E-2</v>
      </c>
      <c r="I29" s="180">
        <f t="shared" si="8"/>
        <v>7.1818442976156272E-3</v>
      </c>
      <c r="J29" s="83">
        <f>SUM(D29:I29)</f>
        <v>0.23201754128827629</v>
      </c>
      <c r="K29" s="196" t="s">
        <v>4</v>
      </c>
      <c r="L29" s="4" t="s">
        <v>9</v>
      </c>
      <c r="M29" s="4" t="s">
        <v>9</v>
      </c>
      <c r="N29" s="4" t="s">
        <v>9</v>
      </c>
      <c r="P29">
        <v>0</v>
      </c>
      <c r="Q29">
        <v>0</v>
      </c>
      <c r="R29">
        <v>3</v>
      </c>
      <c r="S29">
        <f>121-R29*10</f>
        <v>91</v>
      </c>
      <c r="T29" s="87">
        <v>0.27</v>
      </c>
      <c r="U29">
        <v>1.2999999999999999E-2</v>
      </c>
    </row>
    <row r="30" spans="2:21" x14ac:dyDescent="0.3">
      <c r="C30" s="18"/>
      <c r="D30" s="176"/>
      <c r="E30" s="176"/>
      <c r="F30" s="176"/>
      <c r="G30" s="176"/>
      <c r="H30" s="176"/>
      <c r="I30" s="176"/>
      <c r="J30" s="177"/>
      <c r="P30">
        <v>0</v>
      </c>
      <c r="Q30">
        <v>0</v>
      </c>
      <c r="R30">
        <v>4</v>
      </c>
      <c r="S30">
        <f t="shared" ref="S30:S38" si="9">121-R30*10</f>
        <v>81</v>
      </c>
      <c r="T30" s="87">
        <v>3.3000000000000002E-2</v>
      </c>
      <c r="U30">
        <v>6.0000000000000001E-3</v>
      </c>
    </row>
    <row r="31" spans="2:21" x14ac:dyDescent="0.3">
      <c r="C31" s="191" t="s">
        <v>147</v>
      </c>
      <c r="D31" s="190"/>
      <c r="E31" s="176"/>
      <c r="F31" s="176"/>
      <c r="G31" s="176"/>
      <c r="H31" s="176"/>
      <c r="I31" s="176"/>
      <c r="J31" s="177"/>
      <c r="P31">
        <v>0</v>
      </c>
      <c r="Q31">
        <v>0</v>
      </c>
      <c r="R31">
        <v>5</v>
      </c>
      <c r="S31">
        <f t="shared" si="9"/>
        <v>71</v>
      </c>
      <c r="T31" s="87">
        <v>3.9E-2</v>
      </c>
      <c r="U31">
        <v>0</v>
      </c>
    </row>
    <row r="32" spans="2:21" x14ac:dyDescent="0.3">
      <c r="C32" s="18"/>
      <c r="D32" s="176"/>
      <c r="E32" s="176"/>
      <c r="F32" s="176"/>
      <c r="G32" s="176"/>
      <c r="H32" s="176"/>
      <c r="I32" s="176"/>
      <c r="J32" s="177"/>
      <c r="P32">
        <v>0</v>
      </c>
      <c r="Q32">
        <v>0</v>
      </c>
      <c r="R32">
        <v>6</v>
      </c>
      <c r="S32">
        <f t="shared" si="9"/>
        <v>61</v>
      </c>
      <c r="T32" s="87">
        <v>4.4999999999999998E-2</v>
      </c>
      <c r="U32">
        <v>-7.0000000000000001E-3</v>
      </c>
    </row>
    <row r="33" spans="2:21" x14ac:dyDescent="0.3">
      <c r="C33" s="18"/>
      <c r="D33" s="176"/>
      <c r="E33" s="176"/>
      <c r="F33" s="176"/>
      <c r="G33" s="176"/>
      <c r="H33" s="176"/>
      <c r="I33" s="176"/>
      <c r="J33" s="177"/>
      <c r="P33">
        <v>0</v>
      </c>
      <c r="Q33">
        <v>0</v>
      </c>
      <c r="R33">
        <v>7</v>
      </c>
      <c r="S33">
        <f t="shared" si="9"/>
        <v>51</v>
      </c>
      <c r="T33" s="87">
        <v>5.0999999999999997E-2</v>
      </c>
      <c r="U33">
        <v>-1.2999999999999999E-2</v>
      </c>
    </row>
    <row r="34" spans="2:21" x14ac:dyDescent="0.3">
      <c r="C34" s="18"/>
      <c r="D34" s="176"/>
      <c r="E34" s="176"/>
      <c r="F34" s="176"/>
      <c r="G34" s="176"/>
      <c r="H34" s="176"/>
      <c r="I34" s="176"/>
      <c r="J34" s="177"/>
      <c r="P34">
        <v>0</v>
      </c>
      <c r="Q34">
        <v>0</v>
      </c>
      <c r="R34">
        <v>8</v>
      </c>
      <c r="S34">
        <f t="shared" si="9"/>
        <v>41</v>
      </c>
      <c r="T34" s="87">
        <v>5.7000000000000002E-2</v>
      </c>
      <c r="U34">
        <v>-0.02</v>
      </c>
    </row>
    <row r="35" spans="2:21" x14ac:dyDescent="0.3">
      <c r="C35" s="196"/>
      <c r="D35" s="311" t="s">
        <v>145</v>
      </c>
      <c r="E35" s="312"/>
      <c r="F35" s="312"/>
      <c r="G35" s="312"/>
      <c r="H35" s="176"/>
      <c r="I35" s="176"/>
      <c r="J35" s="177"/>
      <c r="P35">
        <v>0</v>
      </c>
      <c r="Q35">
        <v>0</v>
      </c>
      <c r="R35">
        <v>9</v>
      </c>
      <c r="S35">
        <f t="shared" si="9"/>
        <v>31</v>
      </c>
      <c r="T35" s="87">
        <v>6.4000000000000001E-2</v>
      </c>
      <c r="U35">
        <v>-2.5999999999999999E-2</v>
      </c>
    </row>
    <row r="36" spans="2:21" x14ac:dyDescent="0.3">
      <c r="C36" s="186" t="s">
        <v>144</v>
      </c>
      <c r="D36" s="209">
        <v>100</v>
      </c>
      <c r="E36" s="209">
        <v>50</v>
      </c>
      <c r="F36" s="209">
        <v>10</v>
      </c>
      <c r="G36" s="209">
        <v>1</v>
      </c>
      <c r="H36" s="186" t="s">
        <v>4</v>
      </c>
      <c r="I36" s="176"/>
      <c r="J36" s="177"/>
      <c r="P36">
        <v>0</v>
      </c>
      <c r="Q36">
        <v>0</v>
      </c>
      <c r="R36">
        <v>10</v>
      </c>
      <c r="S36">
        <f t="shared" si="9"/>
        <v>21</v>
      </c>
      <c r="T36" s="87">
        <v>7.0000000000000007E-2</v>
      </c>
      <c r="U36">
        <v>-3.3000000000000002E-2</v>
      </c>
    </row>
    <row r="37" spans="2:21" x14ac:dyDescent="0.3">
      <c r="B37" s="313" t="s">
        <v>146</v>
      </c>
      <c r="C37" s="186" t="s">
        <v>5</v>
      </c>
      <c r="D37" s="187">
        <v>0</v>
      </c>
      <c r="E37" s="187">
        <v>0</v>
      </c>
      <c r="F37" s="187">
        <v>5</v>
      </c>
      <c r="G37" s="187">
        <v>69</v>
      </c>
      <c r="H37" s="174">
        <f>SUMPRODUCT($D$36:$G$36,D37:G37)</f>
        <v>119</v>
      </c>
      <c r="I37" s="176"/>
      <c r="J37" s="177"/>
      <c r="P37">
        <v>0</v>
      </c>
      <c r="Q37">
        <v>0</v>
      </c>
      <c r="R37">
        <v>11</v>
      </c>
      <c r="S37">
        <f t="shared" si="9"/>
        <v>11</v>
      </c>
      <c r="T37" s="87">
        <v>7.5999999999999998E-2</v>
      </c>
      <c r="U37">
        <v>-0.04</v>
      </c>
    </row>
    <row r="38" spans="2:21" x14ac:dyDescent="0.3">
      <c r="B38" s="313"/>
      <c r="C38" s="186" t="s">
        <v>6</v>
      </c>
      <c r="D38" s="174">
        <v>0</v>
      </c>
      <c r="E38" s="174">
        <v>0</v>
      </c>
      <c r="F38" s="213">
        <v>4</v>
      </c>
      <c r="G38" s="174">
        <v>81</v>
      </c>
      <c r="H38" s="174">
        <f>SUMPRODUCT($D$36:$G$36,D38:G38)</f>
        <v>121</v>
      </c>
      <c r="I38" s="176"/>
      <c r="J38" s="177"/>
      <c r="P38">
        <v>0</v>
      </c>
      <c r="Q38">
        <v>0</v>
      </c>
      <c r="R38">
        <v>12</v>
      </c>
      <c r="S38">
        <f t="shared" si="9"/>
        <v>1</v>
      </c>
      <c r="T38" s="87">
        <v>8.2000000000000003E-2</v>
      </c>
      <c r="U38">
        <v>-4.7E-2</v>
      </c>
    </row>
    <row r="39" spans="2:21" x14ac:dyDescent="0.3">
      <c r="B39" s="313"/>
      <c r="C39" s="186" t="s">
        <v>7</v>
      </c>
      <c r="D39" s="174">
        <v>0</v>
      </c>
      <c r="E39" s="174">
        <v>0</v>
      </c>
      <c r="F39" s="174">
        <v>1</v>
      </c>
      <c r="G39" s="174">
        <v>95</v>
      </c>
      <c r="H39" s="174">
        <f>SUMPRODUCT($D$36:$G$36,D39:G39)</f>
        <v>105</v>
      </c>
      <c r="I39" s="176"/>
      <c r="J39" s="177"/>
      <c r="P39">
        <v>0</v>
      </c>
      <c r="Q39">
        <v>2</v>
      </c>
      <c r="R39">
        <v>2</v>
      </c>
      <c r="S39">
        <v>1</v>
      </c>
      <c r="T39" s="87">
        <v>0.35499999999999998</v>
      </c>
      <c r="U39">
        <v>-0.49099999999999999</v>
      </c>
    </row>
    <row r="40" spans="2:21" x14ac:dyDescent="0.3">
      <c r="B40" s="313"/>
      <c r="C40" s="186" t="s">
        <v>8</v>
      </c>
      <c r="D40" s="174">
        <v>0</v>
      </c>
      <c r="E40" s="174">
        <v>0</v>
      </c>
      <c r="F40" s="174">
        <v>1</v>
      </c>
      <c r="G40" s="174">
        <v>58</v>
      </c>
      <c r="H40" s="174">
        <f>SUMPRODUCT($D$36:$G$36,D40:G40)</f>
        <v>68</v>
      </c>
      <c r="I40" s="176"/>
      <c r="J40" s="177"/>
      <c r="P40">
        <v>1</v>
      </c>
      <c r="Q40">
        <v>0</v>
      </c>
      <c r="R40">
        <v>2</v>
      </c>
      <c r="S40">
        <v>1</v>
      </c>
      <c r="T40" s="87">
        <v>0.69699999999999995</v>
      </c>
      <c r="U40">
        <v>-2.169</v>
      </c>
    </row>
    <row r="42" spans="2:21" x14ac:dyDescent="0.3">
      <c r="C42" s="196"/>
      <c r="D42" s="174">
        <v>100</v>
      </c>
      <c r="E42" s="174">
        <v>50</v>
      </c>
      <c r="F42" s="174">
        <v>10</v>
      </c>
      <c r="G42" s="174">
        <v>1</v>
      </c>
      <c r="H42" s="196"/>
      <c r="I42" s="174">
        <v>100</v>
      </c>
      <c r="J42" s="174">
        <v>50</v>
      </c>
      <c r="K42" s="174">
        <v>10</v>
      </c>
      <c r="L42" s="174">
        <v>1</v>
      </c>
      <c r="M42" s="179" t="s">
        <v>143</v>
      </c>
    </row>
    <row r="43" spans="2:21" x14ac:dyDescent="0.3">
      <c r="C43" s="175" t="s">
        <v>139</v>
      </c>
      <c r="D43" s="3">
        <f t="shared" ref="D43:G46" si="10">D$42/$H37</f>
        <v>0.84033613445378152</v>
      </c>
      <c r="E43" s="3">
        <f t="shared" si="10"/>
        <v>0.42016806722689076</v>
      </c>
      <c r="F43" s="3">
        <f t="shared" si="10"/>
        <v>8.4033613445378158E-2</v>
      </c>
      <c r="G43" s="3">
        <f t="shared" si="10"/>
        <v>8.4033613445378148E-3</v>
      </c>
      <c r="H43" s="175" t="s">
        <v>139</v>
      </c>
      <c r="I43" s="178">
        <f t="shared" ref="I43:L46" si="11">D43^2*D37</f>
        <v>0</v>
      </c>
      <c r="J43" s="178">
        <f t="shared" si="11"/>
        <v>0</v>
      </c>
      <c r="K43" s="178">
        <f t="shared" si="11"/>
        <v>3.5308240943436202E-2</v>
      </c>
      <c r="L43" s="178">
        <f t="shared" si="11"/>
        <v>4.8725372501941949E-3</v>
      </c>
      <c r="M43" s="215">
        <f>SUM(I43:L43)</f>
        <v>4.0180778193630397E-2</v>
      </c>
    </row>
    <row r="44" spans="2:21" x14ac:dyDescent="0.3">
      <c r="C44" s="175" t="s">
        <v>140</v>
      </c>
      <c r="D44" s="3">
        <f t="shared" si="10"/>
        <v>0.82644628099173556</v>
      </c>
      <c r="E44" s="3">
        <f t="shared" si="10"/>
        <v>0.41322314049586778</v>
      </c>
      <c r="F44" s="3">
        <f t="shared" si="10"/>
        <v>8.2644628099173556E-2</v>
      </c>
      <c r="G44" s="3">
        <f t="shared" si="10"/>
        <v>8.2644628099173556E-3</v>
      </c>
      <c r="H44" s="175" t="s">
        <v>140</v>
      </c>
      <c r="I44" s="178">
        <f t="shared" si="11"/>
        <v>0</v>
      </c>
      <c r="J44" s="178">
        <f t="shared" si="11"/>
        <v>0</v>
      </c>
      <c r="K44" s="178">
        <f t="shared" si="11"/>
        <v>2.732053821460283E-2</v>
      </c>
      <c r="L44" s="178">
        <f t="shared" si="11"/>
        <v>5.5324089884570731E-3</v>
      </c>
      <c r="M44" s="212">
        <f>SUM(I44:L44)</f>
        <v>3.2852947203059903E-2</v>
      </c>
    </row>
    <row r="45" spans="2:21" x14ac:dyDescent="0.3">
      <c r="C45" s="175" t="s">
        <v>141</v>
      </c>
      <c r="D45" s="3">
        <f t="shared" si="10"/>
        <v>0.95238095238095233</v>
      </c>
      <c r="E45" s="3">
        <f t="shared" si="10"/>
        <v>0.47619047619047616</v>
      </c>
      <c r="F45" s="3">
        <f t="shared" si="10"/>
        <v>9.5238095238095233E-2</v>
      </c>
      <c r="G45" s="3">
        <f t="shared" si="10"/>
        <v>9.5238095238095247E-3</v>
      </c>
      <c r="H45" s="175" t="s">
        <v>141</v>
      </c>
      <c r="I45" s="178">
        <f t="shared" si="11"/>
        <v>0</v>
      </c>
      <c r="J45" s="178">
        <f t="shared" si="11"/>
        <v>0</v>
      </c>
      <c r="K45" s="178">
        <f t="shared" si="11"/>
        <v>9.0702947845804974E-3</v>
      </c>
      <c r="L45" s="178">
        <f t="shared" si="11"/>
        <v>8.6167800453514753E-3</v>
      </c>
      <c r="M45" s="215">
        <f t="shared" ref="M45:M46" si="12">SUM(I45:L45)</f>
        <v>1.7687074829931974E-2</v>
      </c>
    </row>
    <row r="46" spans="2:21" x14ac:dyDescent="0.3">
      <c r="C46" s="175" t="s">
        <v>142</v>
      </c>
      <c r="D46" s="3">
        <f t="shared" si="10"/>
        <v>1.4705882352941178</v>
      </c>
      <c r="E46" s="3">
        <f t="shared" si="10"/>
        <v>0.73529411764705888</v>
      </c>
      <c r="F46" s="3">
        <f t="shared" si="10"/>
        <v>0.14705882352941177</v>
      </c>
      <c r="G46" s="3">
        <f t="shared" si="10"/>
        <v>1.4705882352941176E-2</v>
      </c>
      <c r="H46" s="175" t="s">
        <v>142</v>
      </c>
      <c r="I46" s="178">
        <f t="shared" si="11"/>
        <v>0</v>
      </c>
      <c r="J46" s="178">
        <f t="shared" si="11"/>
        <v>0</v>
      </c>
      <c r="K46" s="178">
        <f t="shared" si="11"/>
        <v>2.1626297577854673E-2</v>
      </c>
      <c r="L46" s="178">
        <f t="shared" si="11"/>
        <v>1.2543252595155709E-2</v>
      </c>
      <c r="M46" s="215">
        <f t="shared" si="12"/>
        <v>3.4169550173010384E-2</v>
      </c>
    </row>
    <row r="47" spans="2:21" x14ac:dyDescent="0.3">
      <c r="C47" s="18"/>
      <c r="D47" s="176"/>
      <c r="E47" s="176"/>
      <c r="F47" s="176"/>
      <c r="G47" s="176"/>
      <c r="H47" s="176"/>
      <c r="I47" s="176"/>
      <c r="J47" s="177"/>
    </row>
    <row r="48" spans="2:21" x14ac:dyDescent="0.3">
      <c r="C48" s="18"/>
      <c r="D48" s="176"/>
      <c r="E48" s="176"/>
      <c r="F48" s="176"/>
      <c r="G48" s="176"/>
      <c r="H48" s="176"/>
      <c r="I48" s="176"/>
      <c r="J48" s="177"/>
    </row>
    <row r="49" spans="3:10" x14ac:dyDescent="0.3">
      <c r="C49" s="18"/>
      <c r="D49" s="176"/>
      <c r="E49" s="176"/>
      <c r="F49" s="176"/>
      <c r="G49" s="176"/>
      <c r="H49" s="176"/>
      <c r="I49" s="176"/>
      <c r="J49" s="177"/>
    </row>
    <row r="50" spans="3:10" x14ac:dyDescent="0.3">
      <c r="C50" s="18"/>
      <c r="D50" s="176"/>
      <c r="E50" s="176"/>
      <c r="F50" s="176"/>
      <c r="G50" s="176"/>
      <c r="H50" s="176"/>
      <c r="I50" s="176"/>
      <c r="J50" s="177"/>
    </row>
    <row r="51" spans="3:10" x14ac:dyDescent="0.3">
      <c r="C51" s="18"/>
      <c r="D51" s="176"/>
      <c r="E51" s="176"/>
      <c r="F51" s="176"/>
      <c r="G51" s="176"/>
      <c r="H51" s="176"/>
      <c r="I51" s="176"/>
      <c r="J51" s="177"/>
    </row>
    <row r="52" spans="3:10" x14ac:dyDescent="0.3">
      <c r="C52" s="18"/>
      <c r="D52" s="176"/>
      <c r="E52" s="176"/>
      <c r="F52" s="176"/>
      <c r="G52" s="176"/>
      <c r="H52" s="176"/>
      <c r="I52" s="176"/>
      <c r="J52" s="177"/>
    </row>
    <row r="53" spans="3:10" x14ac:dyDescent="0.3">
      <c r="C53" s="18"/>
      <c r="D53" s="176"/>
      <c r="E53" s="176"/>
      <c r="F53" s="176"/>
      <c r="G53" s="176"/>
      <c r="H53" s="176"/>
      <c r="I53" s="176"/>
      <c r="J53" s="177"/>
    </row>
  </sheetData>
  <mergeCells count="18">
    <mergeCell ref="J4:J5"/>
    <mergeCell ref="C14:C15"/>
    <mergeCell ref="D14:D15"/>
    <mergeCell ref="E14:E15"/>
    <mergeCell ref="F14:F15"/>
    <mergeCell ref="G14:G15"/>
    <mergeCell ref="H14:H15"/>
    <mergeCell ref="I14:I15"/>
    <mergeCell ref="J14:J15"/>
    <mergeCell ref="C4:C5"/>
    <mergeCell ref="D4:D5"/>
    <mergeCell ref="E4:E5"/>
    <mergeCell ref="F4:F5"/>
    <mergeCell ref="G4:G5"/>
    <mergeCell ref="H4:H5"/>
    <mergeCell ref="D35:G35"/>
    <mergeCell ref="B37:B40"/>
    <mergeCell ref="I4:I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3"/>
  <sheetViews>
    <sheetView workbookViewId="0">
      <selection activeCell="C4" sqref="C4:J10"/>
    </sheetView>
  </sheetViews>
  <sheetFormatPr defaultRowHeight="14.4" x14ac:dyDescent="0.3"/>
  <cols>
    <col min="2" max="2" width="10.5546875" customWidth="1"/>
    <col min="3" max="3" width="8.5546875" customWidth="1"/>
    <col min="4" max="4" width="9.44140625" bestFit="1" customWidth="1"/>
    <col min="5" max="5" width="11.6640625" customWidth="1"/>
    <col min="6" max="7" width="9.44140625" bestFit="1" customWidth="1"/>
    <col min="8" max="8" width="9.5546875" customWidth="1"/>
    <col min="9" max="15" width="9.44140625" bestFit="1" customWidth="1"/>
    <col min="16" max="16" width="10.6640625" customWidth="1"/>
  </cols>
  <sheetData>
    <row r="2" spans="2:10" x14ac:dyDescent="0.3">
      <c r="D2" t="s">
        <v>148</v>
      </c>
    </row>
    <row r="3" spans="2:10" x14ac:dyDescent="0.3">
      <c r="D3" t="s">
        <v>149</v>
      </c>
    </row>
    <row r="4" spans="2:10" x14ac:dyDescent="0.3">
      <c r="C4" s="267"/>
      <c r="D4" s="268" t="s">
        <v>10</v>
      </c>
      <c r="E4" s="268" t="s">
        <v>11</v>
      </c>
      <c r="F4" s="267" t="s">
        <v>0</v>
      </c>
      <c r="G4" s="266" t="s">
        <v>1</v>
      </c>
      <c r="H4" s="266" t="s">
        <v>2</v>
      </c>
      <c r="I4" s="266" t="s">
        <v>3</v>
      </c>
      <c r="J4" s="266" t="s">
        <v>4</v>
      </c>
    </row>
    <row r="5" spans="2:10" x14ac:dyDescent="0.3">
      <c r="C5" s="267"/>
      <c r="D5" s="269"/>
      <c r="E5" s="269"/>
      <c r="F5" s="267"/>
      <c r="G5" s="266"/>
      <c r="H5" s="266"/>
      <c r="I5" s="266"/>
      <c r="J5" s="266"/>
    </row>
    <row r="6" spans="2:10" x14ac:dyDescent="0.3">
      <c r="C6" s="196" t="s">
        <v>5</v>
      </c>
      <c r="D6" s="5">
        <v>1</v>
      </c>
      <c r="E6" s="5">
        <v>11</v>
      </c>
      <c r="F6" s="5">
        <v>21</v>
      </c>
      <c r="G6" s="6">
        <v>70</v>
      </c>
      <c r="H6" s="6">
        <v>10</v>
      </c>
      <c r="I6" s="6">
        <v>6</v>
      </c>
      <c r="J6" s="7">
        <v>119</v>
      </c>
    </row>
    <row r="7" spans="2:10" x14ac:dyDescent="0.3">
      <c r="C7" s="196" t="s">
        <v>6</v>
      </c>
      <c r="D7" s="5">
        <v>1</v>
      </c>
      <c r="E7" s="5">
        <v>40</v>
      </c>
      <c r="F7" s="5">
        <v>24</v>
      </c>
      <c r="G7" s="6">
        <v>40</v>
      </c>
      <c r="H7" s="6">
        <v>5</v>
      </c>
      <c r="I7" s="6">
        <v>11</v>
      </c>
      <c r="J7" s="7">
        <v>121</v>
      </c>
    </row>
    <row r="8" spans="2:10" x14ac:dyDescent="0.3">
      <c r="C8" s="196" t="s">
        <v>7</v>
      </c>
      <c r="D8" s="5">
        <v>5</v>
      </c>
      <c r="E8" s="5">
        <v>13</v>
      </c>
      <c r="F8" s="5">
        <v>21</v>
      </c>
      <c r="G8" s="6">
        <v>30</v>
      </c>
      <c r="H8" s="6">
        <v>35</v>
      </c>
      <c r="I8" s="6">
        <v>1</v>
      </c>
      <c r="J8" s="7">
        <v>105</v>
      </c>
    </row>
    <row r="9" spans="2:10" x14ac:dyDescent="0.3">
      <c r="C9" s="196" t="s">
        <v>8</v>
      </c>
      <c r="D9" s="5">
        <v>9</v>
      </c>
      <c r="E9" s="5">
        <v>14</v>
      </c>
      <c r="F9" s="5">
        <v>14</v>
      </c>
      <c r="G9" s="6">
        <v>11</v>
      </c>
      <c r="H9" s="6">
        <v>3</v>
      </c>
      <c r="I9" s="6">
        <v>17</v>
      </c>
      <c r="J9" s="7">
        <v>68</v>
      </c>
    </row>
    <row r="10" spans="2:10" x14ac:dyDescent="0.3">
      <c r="C10" s="196" t="s">
        <v>4</v>
      </c>
      <c r="D10" s="8">
        <v>16</v>
      </c>
      <c r="E10" s="8">
        <v>78</v>
      </c>
      <c r="F10" s="8">
        <v>80</v>
      </c>
      <c r="G10" s="7">
        <v>151</v>
      </c>
      <c r="H10" s="7">
        <v>53</v>
      </c>
      <c r="I10" s="7">
        <v>35</v>
      </c>
      <c r="J10" s="7">
        <v>413</v>
      </c>
    </row>
    <row r="11" spans="2:10" x14ac:dyDescent="0.3">
      <c r="C11" s="18"/>
      <c r="D11" s="192"/>
      <c r="E11" s="192"/>
      <c r="F11" s="192"/>
      <c r="G11" s="193"/>
      <c r="H11" s="193"/>
      <c r="I11" s="193"/>
      <c r="J11" s="193"/>
    </row>
    <row r="12" spans="2:10" x14ac:dyDescent="0.3">
      <c r="C12" s="18" t="s">
        <v>150</v>
      </c>
    </row>
    <row r="13" spans="2:10" x14ac:dyDescent="0.3">
      <c r="C13" s="18"/>
    </row>
    <row r="14" spans="2:10" x14ac:dyDescent="0.3">
      <c r="C14" s="267"/>
      <c r="D14" s="268" t="s">
        <v>10</v>
      </c>
      <c r="E14" s="268" t="s">
        <v>11</v>
      </c>
      <c r="F14" s="267" t="s">
        <v>0</v>
      </c>
      <c r="G14" s="266" t="s">
        <v>1</v>
      </c>
      <c r="H14" s="266" t="s">
        <v>2</v>
      </c>
      <c r="I14" s="266" t="s">
        <v>3</v>
      </c>
      <c r="J14" s="266" t="s">
        <v>4</v>
      </c>
    </row>
    <row r="15" spans="2:10" x14ac:dyDescent="0.3">
      <c r="C15" s="267"/>
      <c r="D15" s="269"/>
      <c r="E15" s="269"/>
      <c r="F15" s="267"/>
      <c r="G15" s="266"/>
      <c r="H15" s="266"/>
      <c r="I15" s="266"/>
      <c r="J15" s="266"/>
    </row>
    <row r="16" spans="2:10" x14ac:dyDescent="0.3">
      <c r="B16" t="s">
        <v>134</v>
      </c>
      <c r="C16" s="196" t="s">
        <v>5</v>
      </c>
      <c r="D16" s="178">
        <f>D6/$J6</f>
        <v>8.4033613445378148E-3</v>
      </c>
      <c r="E16" s="178">
        <f t="shared" ref="E16:I17" si="0">E6/$J6</f>
        <v>9.2436974789915971E-2</v>
      </c>
      <c r="F16" s="178">
        <f t="shared" si="0"/>
        <v>0.17647058823529413</v>
      </c>
      <c r="G16" s="178">
        <f t="shared" si="0"/>
        <v>0.58823529411764708</v>
      </c>
      <c r="H16" s="178">
        <f t="shared" si="0"/>
        <v>8.4033613445378158E-2</v>
      </c>
      <c r="I16" s="178">
        <f>I6/$J6</f>
        <v>5.0420168067226892E-2</v>
      </c>
      <c r="J16" s="83">
        <f>SUM(D16:I16)</f>
        <v>1</v>
      </c>
    </row>
    <row r="17" spans="2:21" x14ac:dyDescent="0.3">
      <c r="C17" s="196" t="s">
        <v>6</v>
      </c>
      <c r="D17" s="178">
        <f>D7/$J7</f>
        <v>8.2644628099173556E-3</v>
      </c>
      <c r="E17" s="178">
        <f t="shared" si="0"/>
        <v>0.33057851239669422</v>
      </c>
      <c r="F17" s="178">
        <f>F7/$J7</f>
        <v>0.19834710743801653</v>
      </c>
      <c r="G17" s="178">
        <f t="shared" si="0"/>
        <v>0.33057851239669422</v>
      </c>
      <c r="H17" s="178">
        <f t="shared" si="0"/>
        <v>4.1322314049586778E-2</v>
      </c>
      <c r="I17" s="178">
        <f t="shared" si="0"/>
        <v>9.0909090909090912E-2</v>
      </c>
      <c r="J17" s="83">
        <f t="shared" ref="J17:J19" si="1">SUM(D17:I17)</f>
        <v>1</v>
      </c>
    </row>
    <row r="18" spans="2:21" x14ac:dyDescent="0.3">
      <c r="C18" s="196" t="s">
        <v>7</v>
      </c>
      <c r="D18" s="178">
        <f t="shared" ref="D18:I19" si="2">D8/$J8</f>
        <v>4.7619047619047616E-2</v>
      </c>
      <c r="E18" s="178">
        <f t="shared" si="2"/>
        <v>0.12380952380952381</v>
      </c>
      <c r="F18" s="178">
        <f t="shared" si="2"/>
        <v>0.2</v>
      </c>
      <c r="G18" s="178">
        <f t="shared" si="2"/>
        <v>0.2857142857142857</v>
      </c>
      <c r="H18" s="178">
        <f t="shared" si="2"/>
        <v>0.33333333333333331</v>
      </c>
      <c r="I18" s="178">
        <f t="shared" si="2"/>
        <v>9.5238095238095247E-3</v>
      </c>
      <c r="J18" s="83">
        <f t="shared" si="1"/>
        <v>1</v>
      </c>
    </row>
    <row r="19" spans="2:21" x14ac:dyDescent="0.3">
      <c r="C19" s="196" t="s">
        <v>8</v>
      </c>
      <c r="D19" s="178">
        <f t="shared" si="2"/>
        <v>0.13235294117647059</v>
      </c>
      <c r="E19" s="178">
        <f t="shared" si="2"/>
        <v>0.20588235294117646</v>
      </c>
      <c r="F19" s="178">
        <f t="shared" si="2"/>
        <v>0.20588235294117646</v>
      </c>
      <c r="G19" s="178">
        <f t="shared" si="2"/>
        <v>0.16176470588235295</v>
      </c>
      <c r="H19" s="178">
        <f t="shared" si="2"/>
        <v>4.4117647058823532E-2</v>
      </c>
      <c r="I19" s="178">
        <f t="shared" si="2"/>
        <v>0.25</v>
      </c>
      <c r="J19" s="83">
        <f t="shared" si="1"/>
        <v>1</v>
      </c>
    </row>
    <row r="20" spans="2:21" x14ac:dyDescent="0.3">
      <c r="B20" t="s">
        <v>135</v>
      </c>
      <c r="C20" s="196" t="s">
        <v>4</v>
      </c>
      <c r="D20" s="180">
        <f>D10/$J$10</f>
        <v>3.8740920096852302E-2</v>
      </c>
      <c r="E20" s="180">
        <f t="shared" ref="E20:J20" si="3">E10/$J$10</f>
        <v>0.18886198547215496</v>
      </c>
      <c r="F20" s="180">
        <f t="shared" si="3"/>
        <v>0.1937046004842615</v>
      </c>
      <c r="G20" s="180">
        <f t="shared" si="3"/>
        <v>0.36561743341404357</v>
      </c>
      <c r="H20" s="180">
        <f t="shared" si="3"/>
        <v>0.12832929782082325</v>
      </c>
      <c r="I20" s="180">
        <f t="shared" si="3"/>
        <v>8.4745762711864403E-2</v>
      </c>
      <c r="J20" s="180">
        <f t="shared" si="3"/>
        <v>1</v>
      </c>
    </row>
    <row r="21" spans="2:21" x14ac:dyDescent="0.3">
      <c r="C21" s="18"/>
      <c r="D21" s="181"/>
      <c r="E21" s="181"/>
      <c r="F21" s="181"/>
      <c r="G21" s="181"/>
      <c r="H21" s="181"/>
      <c r="I21" s="181"/>
      <c r="J21" s="182"/>
    </row>
    <row r="22" spans="2:21" x14ac:dyDescent="0.3">
      <c r="C22" s="18"/>
      <c r="D22" s="181"/>
      <c r="E22" s="181"/>
      <c r="F22" s="181"/>
      <c r="G22" s="181"/>
      <c r="H22" s="181"/>
      <c r="I22" s="181"/>
      <c r="J22" s="182"/>
    </row>
    <row r="23" spans="2:21" x14ac:dyDescent="0.3">
      <c r="C23" s="196"/>
    </row>
    <row r="24" spans="2:21" x14ac:dyDescent="0.3">
      <c r="C24" s="196"/>
      <c r="D24" s="183" t="s">
        <v>10</v>
      </c>
      <c r="E24" s="183" t="s">
        <v>11</v>
      </c>
      <c r="F24" s="184" t="s">
        <v>0</v>
      </c>
      <c r="G24" s="185" t="s">
        <v>1</v>
      </c>
      <c r="H24" s="185" t="s">
        <v>2</v>
      </c>
      <c r="I24" s="185" t="s">
        <v>3</v>
      </c>
      <c r="J24" s="185" t="s">
        <v>4</v>
      </c>
      <c r="K24" s="196"/>
      <c r="L24" s="188" t="s">
        <v>136</v>
      </c>
      <c r="M24" s="188" t="s">
        <v>137</v>
      </c>
      <c r="N24" s="188" t="s">
        <v>138</v>
      </c>
    </row>
    <row r="25" spans="2:21" x14ac:dyDescent="0.3">
      <c r="B25" s="18" t="s">
        <v>132</v>
      </c>
      <c r="C25" s="196" t="s">
        <v>5</v>
      </c>
      <c r="D25" s="178">
        <f>(D16-D$20)^2</f>
        <v>9.2036747105013342E-4</v>
      </c>
      <c r="E25" s="178">
        <f t="shared" ref="E25:I25" si="4">(E16-E$20)^2</f>
        <v>9.2977826850699045E-3</v>
      </c>
      <c r="F25" s="178">
        <f t="shared" si="4"/>
        <v>2.9701117819755726E-4</v>
      </c>
      <c r="G25" s="178">
        <f t="shared" si="4"/>
        <v>4.9558711904249014E-2</v>
      </c>
      <c r="H25" s="178">
        <f t="shared" si="4"/>
        <v>1.9621076542890507E-3</v>
      </c>
      <c r="I25" s="178">
        <f t="shared" si="4"/>
        <v>1.1782464477079675E-3</v>
      </c>
      <c r="J25" s="83">
        <f>SUM(D25:I25)</f>
        <v>6.3214227340563631E-2</v>
      </c>
      <c r="K25" s="196" t="s">
        <v>5</v>
      </c>
      <c r="L25" s="178">
        <f>J25-(1-$J$29)*M43</f>
        <v>5.6760593233742426E-2</v>
      </c>
      <c r="M25" s="189">
        <f>(1-$J$29)*(1-M43)</f>
        <v>0.76152882460490245</v>
      </c>
      <c r="N25" s="210">
        <f>L25/M25</f>
        <v>7.4535055535410677E-2</v>
      </c>
      <c r="P25" t="s">
        <v>156</v>
      </c>
      <c r="Q25" t="s">
        <v>157</v>
      </c>
      <c r="R25" t="s">
        <v>153</v>
      </c>
      <c r="S25" t="s">
        <v>154</v>
      </c>
      <c r="T25" t="s">
        <v>155</v>
      </c>
      <c r="U25" t="s">
        <v>138</v>
      </c>
    </row>
    <row r="26" spans="2:21" x14ac:dyDescent="0.3">
      <c r="B26" s="18" t="s">
        <v>132</v>
      </c>
      <c r="C26" s="196" t="s">
        <v>6</v>
      </c>
      <c r="D26" s="178">
        <f t="shared" ref="D26:I28" si="5">(D17-D$20)^2</f>
        <v>9.2881444876237017E-4</v>
      </c>
      <c r="E26" s="178">
        <f t="shared" si="5"/>
        <v>2.0083574003553661E-2</v>
      </c>
      <c r="F26" s="178">
        <f t="shared" si="5"/>
        <v>2.1552870815663881E-5</v>
      </c>
      <c r="G26" s="178">
        <f t="shared" si="5"/>
        <v>1.2277259860600457E-3</v>
      </c>
      <c r="H26" s="178">
        <f t="shared" si="5"/>
        <v>7.5702152249682072E-3</v>
      </c>
      <c r="I26" s="178">
        <f t="shared" si="5"/>
        <v>3.7986614466727363E-5</v>
      </c>
      <c r="J26" s="83">
        <f t="shared" ref="J26:J28" si="6">SUM(D26:I26)</f>
        <v>2.9869869148626677E-2</v>
      </c>
      <c r="K26" s="196" t="s">
        <v>6</v>
      </c>
      <c r="L26" s="178">
        <f>J26-(1-$J$29)*M44</f>
        <v>2.3522906679934747E-2</v>
      </c>
      <c r="M26" s="189">
        <f>(1-$J$29)*(1-M44)</f>
        <v>0.76163549624303173</v>
      </c>
      <c r="N26" s="211">
        <f>L26/M26</f>
        <v>3.088473002632847E-2</v>
      </c>
      <c r="O26" s="194"/>
      <c r="P26">
        <v>0</v>
      </c>
      <c r="Q26">
        <v>0</v>
      </c>
      <c r="R26">
        <v>0</v>
      </c>
      <c r="S26">
        <v>121</v>
      </c>
      <c r="T26">
        <v>8.0000000000000002E-3</v>
      </c>
      <c r="U26">
        <v>3.1E-2</v>
      </c>
    </row>
    <row r="27" spans="2:21" x14ac:dyDescent="0.3">
      <c r="B27" s="18" t="s">
        <v>132</v>
      </c>
      <c r="C27" s="196" t="s">
        <v>7</v>
      </c>
      <c r="D27" s="178">
        <f t="shared" si="5"/>
        <v>7.8821148300361909E-5</v>
      </c>
      <c r="E27" s="178">
        <f t="shared" si="5"/>
        <v>4.2318227683680954E-3</v>
      </c>
      <c r="F27" s="178">
        <f t="shared" si="5"/>
        <v>3.9632055062760723E-5</v>
      </c>
      <c r="G27" s="178">
        <f t="shared" si="5"/>
        <v>6.3845130123293212E-3</v>
      </c>
      <c r="H27" s="178">
        <f t="shared" si="5"/>
        <v>4.2026654576414489E-2</v>
      </c>
      <c r="I27" s="178">
        <f t="shared" si="5"/>
        <v>5.6583422414259203E-3</v>
      </c>
      <c r="J27" s="83">
        <f t="shared" si="6"/>
        <v>5.841978580190095E-2</v>
      </c>
      <c r="K27" s="196" t="s">
        <v>7</v>
      </c>
      <c r="L27" s="178">
        <f>J27-(1-$J$29)*M45</f>
        <v>5.1105667147503579E-2</v>
      </c>
      <c r="M27" s="189">
        <f>(1-$J$29)*(1-M45)</f>
        <v>0.76066834005732631</v>
      </c>
      <c r="N27" s="210">
        <f t="shared" ref="N27:N28" si="7">L27/M27</f>
        <v>6.7185216547401061E-2</v>
      </c>
      <c r="P27">
        <v>0</v>
      </c>
      <c r="Q27">
        <v>0</v>
      </c>
      <c r="R27">
        <v>1</v>
      </c>
      <c r="S27">
        <v>111</v>
      </c>
      <c r="T27" s="87">
        <v>1.4E-2</v>
      </c>
      <c r="U27">
        <v>2.5000000000000001E-2</v>
      </c>
    </row>
    <row r="28" spans="2:21" x14ac:dyDescent="0.3">
      <c r="B28" s="18" t="s">
        <v>132</v>
      </c>
      <c r="C28" s="196" t="s">
        <v>8</v>
      </c>
      <c r="D28" s="178">
        <f t="shared" si="5"/>
        <v>8.7632104906108978E-3</v>
      </c>
      <c r="E28" s="178">
        <f t="shared" si="5"/>
        <v>2.8969290878052526E-4</v>
      </c>
      <c r="F28" s="178">
        <f t="shared" si="5"/>
        <v>1.4829765490189845E-4</v>
      </c>
      <c r="G28" s="178">
        <f t="shared" si="5"/>
        <v>4.1555934522109692E-2</v>
      </c>
      <c r="H28" s="178">
        <f t="shared" si="5"/>
        <v>7.0916021240610069E-3</v>
      </c>
      <c r="I28" s="178">
        <f t="shared" si="5"/>
        <v>2.7308962941683425E-2</v>
      </c>
      <c r="J28" s="83">
        <f t="shared" si="6"/>
        <v>8.5157700642147449E-2</v>
      </c>
      <c r="K28" s="196" t="s">
        <v>8</v>
      </c>
      <c r="L28" s="178">
        <f>J28-(1-$J$29)*M46</f>
        <v>7.3863840955210341E-2</v>
      </c>
      <c r="M28" s="189">
        <f>(1-$J$29)*(1-M46)</f>
        <v>0.75668859902478658</v>
      </c>
      <c r="N28" s="210">
        <f t="shared" si="7"/>
        <v>9.7614581547026597E-2</v>
      </c>
      <c r="P28">
        <v>0</v>
      </c>
      <c r="Q28">
        <v>0</v>
      </c>
      <c r="R28">
        <v>2</v>
      </c>
      <c r="S28">
        <v>101</v>
      </c>
      <c r="T28" s="87">
        <v>2.1000000000000001E-2</v>
      </c>
      <c r="U28">
        <v>1.9E-2</v>
      </c>
    </row>
    <row r="29" spans="2:21" x14ac:dyDescent="0.3">
      <c r="B29" s="18" t="s">
        <v>133</v>
      </c>
      <c r="C29" s="196" t="s">
        <v>4</v>
      </c>
      <c r="D29" s="180">
        <f>D20^2</f>
        <v>1.5008588899506946E-3</v>
      </c>
      <c r="E29" s="180">
        <f t="shared" ref="E29:I29" si="8">E20^2</f>
        <v>3.5668849556484472E-2</v>
      </c>
      <c r="F29" s="180">
        <f t="shared" si="8"/>
        <v>3.7521472248767361E-2</v>
      </c>
      <c r="G29" s="180">
        <f t="shared" si="8"/>
        <v>0.13367610761627258</v>
      </c>
      <c r="H29" s="180">
        <f t="shared" si="8"/>
        <v>1.6468408679185552E-2</v>
      </c>
      <c r="I29" s="180">
        <f t="shared" si="8"/>
        <v>7.1818442976156272E-3</v>
      </c>
      <c r="J29" s="83">
        <f>SUM(D29:I29)</f>
        <v>0.23201754128827629</v>
      </c>
      <c r="K29" s="196" t="s">
        <v>4</v>
      </c>
      <c r="L29" s="4" t="s">
        <v>9</v>
      </c>
      <c r="M29" s="4" t="s">
        <v>9</v>
      </c>
      <c r="N29" s="4" t="s">
        <v>9</v>
      </c>
      <c r="P29">
        <v>0</v>
      </c>
      <c r="Q29">
        <v>0</v>
      </c>
      <c r="R29">
        <v>3</v>
      </c>
      <c r="S29">
        <f>121-R29*10</f>
        <v>91</v>
      </c>
      <c r="T29" s="87">
        <v>0.27</v>
      </c>
      <c r="U29">
        <v>1.2999999999999999E-2</v>
      </c>
    </row>
    <row r="30" spans="2:21" x14ac:dyDescent="0.3">
      <c r="C30" s="18"/>
      <c r="D30" s="176"/>
      <c r="E30" s="176"/>
      <c r="F30" s="176"/>
      <c r="G30" s="176"/>
      <c r="H30" s="176"/>
      <c r="I30" s="176"/>
      <c r="J30" s="177"/>
      <c r="P30">
        <v>0</v>
      </c>
      <c r="Q30">
        <v>0</v>
      </c>
      <c r="R30">
        <v>4</v>
      </c>
      <c r="S30">
        <f t="shared" ref="S30:S38" si="9">121-R30*10</f>
        <v>81</v>
      </c>
      <c r="T30" s="87">
        <v>3.3000000000000002E-2</v>
      </c>
      <c r="U30">
        <v>6.0000000000000001E-3</v>
      </c>
    </row>
    <row r="31" spans="2:21" x14ac:dyDescent="0.3">
      <c r="C31" s="191" t="s">
        <v>147</v>
      </c>
      <c r="D31" s="190"/>
      <c r="E31" s="176"/>
      <c r="F31" s="176"/>
      <c r="G31" s="176"/>
      <c r="H31" s="176"/>
      <c r="I31" s="176"/>
      <c r="J31" s="177"/>
      <c r="P31">
        <v>0</v>
      </c>
      <c r="Q31">
        <v>0</v>
      </c>
      <c r="R31">
        <v>5</v>
      </c>
      <c r="S31">
        <f t="shared" si="9"/>
        <v>71</v>
      </c>
      <c r="T31" s="87">
        <v>3.9E-2</v>
      </c>
      <c r="U31">
        <v>0</v>
      </c>
    </row>
    <row r="32" spans="2:21" x14ac:dyDescent="0.3">
      <c r="C32" s="18"/>
      <c r="D32" s="176"/>
      <c r="E32" s="176"/>
      <c r="F32" s="176"/>
      <c r="G32" s="176"/>
      <c r="H32" s="176"/>
      <c r="I32" s="176"/>
      <c r="J32" s="177"/>
      <c r="P32">
        <v>0</v>
      </c>
      <c r="Q32">
        <v>0</v>
      </c>
      <c r="R32">
        <v>6</v>
      </c>
      <c r="S32">
        <f t="shared" si="9"/>
        <v>61</v>
      </c>
      <c r="T32" s="87">
        <v>4.4999999999999998E-2</v>
      </c>
      <c r="U32">
        <v>-7.0000000000000001E-3</v>
      </c>
    </row>
    <row r="33" spans="2:21" x14ac:dyDescent="0.3">
      <c r="C33" s="18"/>
      <c r="D33" s="176"/>
      <c r="E33" s="176"/>
      <c r="F33" s="176"/>
      <c r="G33" s="176"/>
      <c r="H33" s="176"/>
      <c r="I33" s="176"/>
      <c r="J33" s="177"/>
      <c r="P33">
        <v>0</v>
      </c>
      <c r="Q33">
        <v>0</v>
      </c>
      <c r="R33">
        <v>7</v>
      </c>
      <c r="S33">
        <f t="shared" si="9"/>
        <v>51</v>
      </c>
      <c r="T33" s="87">
        <v>5.0999999999999997E-2</v>
      </c>
      <c r="U33">
        <v>-1.2999999999999999E-2</v>
      </c>
    </row>
    <row r="34" spans="2:21" x14ac:dyDescent="0.3">
      <c r="C34" s="18"/>
      <c r="D34" s="176"/>
      <c r="E34" s="176"/>
      <c r="F34" s="176"/>
      <c r="G34" s="176"/>
      <c r="H34" s="176"/>
      <c r="I34" s="176"/>
      <c r="J34" s="177"/>
      <c r="P34">
        <v>0</v>
      </c>
      <c r="Q34">
        <v>0</v>
      </c>
      <c r="R34">
        <v>8</v>
      </c>
      <c r="S34">
        <f t="shared" si="9"/>
        <v>41</v>
      </c>
      <c r="T34" s="87">
        <v>5.7000000000000002E-2</v>
      </c>
      <c r="U34">
        <v>-0.02</v>
      </c>
    </row>
    <row r="35" spans="2:21" x14ac:dyDescent="0.3">
      <c r="C35" s="196"/>
      <c r="D35" s="311" t="s">
        <v>145</v>
      </c>
      <c r="E35" s="312"/>
      <c r="F35" s="312"/>
      <c r="G35" s="312"/>
      <c r="H35" s="176"/>
      <c r="I35" s="176"/>
      <c r="J35" s="177"/>
      <c r="P35">
        <v>0</v>
      </c>
      <c r="Q35">
        <v>0</v>
      </c>
      <c r="R35">
        <v>9</v>
      </c>
      <c r="S35">
        <f t="shared" si="9"/>
        <v>31</v>
      </c>
      <c r="T35" s="87">
        <v>6.4000000000000001E-2</v>
      </c>
      <c r="U35">
        <v>-2.5999999999999999E-2</v>
      </c>
    </row>
    <row r="36" spans="2:21" x14ac:dyDescent="0.3">
      <c r="C36" s="186" t="s">
        <v>144</v>
      </c>
      <c r="D36" s="209">
        <v>100</v>
      </c>
      <c r="E36" s="209">
        <v>50</v>
      </c>
      <c r="F36" s="209">
        <v>10</v>
      </c>
      <c r="G36" s="209">
        <v>1</v>
      </c>
      <c r="H36" s="186" t="s">
        <v>4</v>
      </c>
      <c r="I36" s="176"/>
      <c r="J36" s="177"/>
      <c r="P36">
        <v>0</v>
      </c>
      <c r="Q36">
        <v>0</v>
      </c>
      <c r="R36">
        <v>10</v>
      </c>
      <c r="S36">
        <f t="shared" si="9"/>
        <v>21</v>
      </c>
      <c r="T36" s="87">
        <v>7.0000000000000007E-2</v>
      </c>
      <c r="U36">
        <v>-3.3000000000000002E-2</v>
      </c>
    </row>
    <row r="37" spans="2:21" x14ac:dyDescent="0.3">
      <c r="B37" s="313" t="s">
        <v>146</v>
      </c>
      <c r="C37" s="186" t="s">
        <v>5</v>
      </c>
      <c r="D37" s="187">
        <v>0</v>
      </c>
      <c r="E37" s="187">
        <v>0</v>
      </c>
      <c r="F37" s="187">
        <v>0</v>
      </c>
      <c r="G37" s="187">
        <v>119</v>
      </c>
      <c r="H37" s="174">
        <f>SUMPRODUCT($D$36:$G$36,D37:G37)</f>
        <v>119</v>
      </c>
      <c r="I37" s="176"/>
      <c r="J37" s="177"/>
      <c r="P37">
        <v>0</v>
      </c>
      <c r="Q37">
        <v>0</v>
      </c>
      <c r="R37">
        <v>11</v>
      </c>
      <c r="S37">
        <f t="shared" si="9"/>
        <v>11</v>
      </c>
      <c r="T37" s="87">
        <v>7.5999999999999998E-2</v>
      </c>
      <c r="U37">
        <v>-0.04</v>
      </c>
    </row>
    <row r="38" spans="2:21" x14ac:dyDescent="0.3">
      <c r="B38" s="313"/>
      <c r="C38" s="186" t="s">
        <v>6</v>
      </c>
      <c r="D38" s="174">
        <v>0</v>
      </c>
      <c r="E38" s="174">
        <v>0</v>
      </c>
      <c r="F38" s="213">
        <v>0</v>
      </c>
      <c r="G38" s="174">
        <v>121</v>
      </c>
      <c r="H38" s="174">
        <f>SUMPRODUCT($D$36:$G$36,D38:G38)</f>
        <v>121</v>
      </c>
      <c r="I38" s="176"/>
      <c r="J38" s="177"/>
      <c r="P38">
        <v>0</v>
      </c>
      <c r="Q38">
        <v>0</v>
      </c>
      <c r="R38">
        <v>12</v>
      </c>
      <c r="S38">
        <f t="shared" si="9"/>
        <v>1</v>
      </c>
      <c r="T38" s="87">
        <v>8.2000000000000003E-2</v>
      </c>
      <c r="U38">
        <v>-4.7E-2</v>
      </c>
    </row>
    <row r="39" spans="2:21" x14ac:dyDescent="0.3">
      <c r="B39" s="313"/>
      <c r="C39" s="186" t="s">
        <v>7</v>
      </c>
      <c r="D39" s="174">
        <v>0</v>
      </c>
      <c r="E39" s="174">
        <v>0</v>
      </c>
      <c r="F39" s="174">
        <v>0</v>
      </c>
      <c r="G39" s="174">
        <v>105</v>
      </c>
      <c r="H39" s="174">
        <f>SUMPRODUCT($D$36:$G$36,D39:G39)</f>
        <v>105</v>
      </c>
      <c r="I39" s="176"/>
      <c r="J39" s="177"/>
      <c r="P39">
        <v>0</v>
      </c>
      <c r="Q39">
        <v>2</v>
      </c>
      <c r="R39">
        <v>2</v>
      </c>
      <c r="S39">
        <v>1</v>
      </c>
      <c r="T39" s="87">
        <v>0.35499999999999998</v>
      </c>
      <c r="U39">
        <v>-0.49099999999999999</v>
      </c>
    </row>
    <row r="40" spans="2:21" x14ac:dyDescent="0.3">
      <c r="B40" s="313"/>
      <c r="C40" s="186" t="s">
        <v>8</v>
      </c>
      <c r="D40" s="174">
        <v>0</v>
      </c>
      <c r="E40" s="174">
        <v>0</v>
      </c>
      <c r="F40" s="174">
        <v>0</v>
      </c>
      <c r="G40" s="174">
        <v>68</v>
      </c>
      <c r="H40" s="174">
        <f>SUMPRODUCT($D$36:$G$36,D40:G40)</f>
        <v>68</v>
      </c>
      <c r="I40" s="176"/>
      <c r="J40" s="177"/>
      <c r="P40">
        <v>1</v>
      </c>
      <c r="Q40">
        <v>0</v>
      </c>
      <c r="R40">
        <v>2</v>
      </c>
      <c r="S40">
        <v>1</v>
      </c>
      <c r="T40" s="87">
        <v>0.69699999999999995</v>
      </c>
      <c r="U40">
        <v>-2.169</v>
      </c>
    </row>
    <row r="42" spans="2:21" x14ac:dyDescent="0.3">
      <c r="C42" s="196"/>
      <c r="D42" s="174">
        <v>100</v>
      </c>
      <c r="E42" s="174">
        <v>50</v>
      </c>
      <c r="F42" s="174">
        <v>10</v>
      </c>
      <c r="G42" s="174">
        <v>1</v>
      </c>
      <c r="H42" s="196"/>
      <c r="I42" s="174">
        <v>100</v>
      </c>
      <c r="J42" s="174">
        <v>50</v>
      </c>
      <c r="K42" s="174">
        <v>10</v>
      </c>
      <c r="L42" s="174">
        <v>1</v>
      </c>
      <c r="M42" s="179" t="s">
        <v>143</v>
      </c>
    </row>
    <row r="43" spans="2:21" x14ac:dyDescent="0.3">
      <c r="C43" s="175" t="s">
        <v>139</v>
      </c>
      <c r="D43" s="3">
        <f t="shared" ref="D43:G46" si="10">D$42/$H37</f>
        <v>0.84033613445378152</v>
      </c>
      <c r="E43" s="3">
        <f t="shared" si="10"/>
        <v>0.42016806722689076</v>
      </c>
      <c r="F43" s="3">
        <f t="shared" si="10"/>
        <v>8.4033613445378158E-2</v>
      </c>
      <c r="G43" s="3">
        <f t="shared" si="10"/>
        <v>8.4033613445378148E-3</v>
      </c>
      <c r="H43" s="175" t="s">
        <v>139</v>
      </c>
      <c r="I43" s="178">
        <f t="shared" ref="I43:L46" si="11">D43^2*D37</f>
        <v>0</v>
      </c>
      <c r="J43" s="178">
        <f t="shared" si="11"/>
        <v>0</v>
      </c>
      <c r="K43" s="178">
        <f t="shared" si="11"/>
        <v>0</v>
      </c>
      <c r="L43" s="178">
        <f t="shared" si="11"/>
        <v>8.4033613445378148E-3</v>
      </c>
      <c r="M43" s="215">
        <f>SUM(I43:L43)</f>
        <v>8.4033613445378148E-3</v>
      </c>
    </row>
    <row r="44" spans="2:21" x14ac:dyDescent="0.3">
      <c r="C44" s="175" t="s">
        <v>140</v>
      </c>
      <c r="D44" s="3">
        <f t="shared" si="10"/>
        <v>0.82644628099173556</v>
      </c>
      <c r="E44" s="3">
        <f t="shared" si="10"/>
        <v>0.41322314049586778</v>
      </c>
      <c r="F44" s="3">
        <f t="shared" si="10"/>
        <v>8.2644628099173556E-2</v>
      </c>
      <c r="G44" s="3">
        <f t="shared" si="10"/>
        <v>8.2644628099173556E-3</v>
      </c>
      <c r="H44" s="175" t="s">
        <v>140</v>
      </c>
      <c r="I44" s="178">
        <f t="shared" si="11"/>
        <v>0</v>
      </c>
      <c r="J44" s="178">
        <f t="shared" si="11"/>
        <v>0</v>
      </c>
      <c r="K44" s="178">
        <f t="shared" si="11"/>
        <v>0</v>
      </c>
      <c r="L44" s="178">
        <f t="shared" si="11"/>
        <v>8.2644628099173556E-3</v>
      </c>
      <c r="M44" s="212">
        <f>SUM(I44:L44)</f>
        <v>8.2644628099173556E-3</v>
      </c>
    </row>
    <row r="45" spans="2:21" x14ac:dyDescent="0.3">
      <c r="C45" s="175" t="s">
        <v>141</v>
      </c>
      <c r="D45" s="3">
        <f t="shared" si="10"/>
        <v>0.95238095238095233</v>
      </c>
      <c r="E45" s="3">
        <f t="shared" si="10"/>
        <v>0.47619047619047616</v>
      </c>
      <c r="F45" s="3">
        <f t="shared" si="10"/>
        <v>9.5238095238095233E-2</v>
      </c>
      <c r="G45" s="3">
        <f t="shared" si="10"/>
        <v>9.5238095238095247E-3</v>
      </c>
      <c r="H45" s="175" t="s">
        <v>141</v>
      </c>
      <c r="I45" s="178">
        <f t="shared" si="11"/>
        <v>0</v>
      </c>
      <c r="J45" s="178">
        <f t="shared" si="11"/>
        <v>0</v>
      </c>
      <c r="K45" s="178">
        <f t="shared" si="11"/>
        <v>0</v>
      </c>
      <c r="L45" s="178">
        <f t="shared" si="11"/>
        <v>9.5238095238095247E-3</v>
      </c>
      <c r="M45" s="215">
        <f t="shared" ref="M45:M46" si="12">SUM(I45:L45)</f>
        <v>9.5238095238095247E-3</v>
      </c>
    </row>
    <row r="46" spans="2:21" x14ac:dyDescent="0.3">
      <c r="C46" s="175" t="s">
        <v>142</v>
      </c>
      <c r="D46" s="3">
        <f t="shared" si="10"/>
        <v>1.4705882352941178</v>
      </c>
      <c r="E46" s="3">
        <f t="shared" si="10"/>
        <v>0.73529411764705888</v>
      </c>
      <c r="F46" s="3">
        <f t="shared" si="10"/>
        <v>0.14705882352941177</v>
      </c>
      <c r="G46" s="3">
        <f t="shared" si="10"/>
        <v>1.4705882352941176E-2</v>
      </c>
      <c r="H46" s="175" t="s">
        <v>142</v>
      </c>
      <c r="I46" s="178">
        <f t="shared" si="11"/>
        <v>0</v>
      </c>
      <c r="J46" s="178">
        <f t="shared" si="11"/>
        <v>0</v>
      </c>
      <c r="K46" s="178">
        <f t="shared" si="11"/>
        <v>0</v>
      </c>
      <c r="L46" s="178">
        <f t="shared" si="11"/>
        <v>1.4705882352941176E-2</v>
      </c>
      <c r="M46" s="215">
        <f t="shared" si="12"/>
        <v>1.4705882352941176E-2</v>
      </c>
    </row>
    <row r="47" spans="2:21" x14ac:dyDescent="0.3">
      <c r="C47" s="18"/>
      <c r="D47" s="176"/>
      <c r="E47" s="176"/>
      <c r="F47" s="176"/>
      <c r="G47" s="176"/>
      <c r="H47" s="176"/>
      <c r="I47" s="176"/>
      <c r="J47" s="177"/>
    </row>
    <row r="48" spans="2:21" x14ac:dyDescent="0.3">
      <c r="C48" s="18"/>
      <c r="D48" s="176"/>
      <c r="E48" s="176"/>
      <c r="F48" s="176"/>
      <c r="G48" s="176"/>
      <c r="H48" s="176"/>
      <c r="I48" s="176"/>
      <c r="J48" s="177"/>
    </row>
    <row r="49" spans="3:10" x14ac:dyDescent="0.3">
      <c r="C49" s="18"/>
      <c r="D49" s="176"/>
      <c r="E49" s="176"/>
      <c r="F49" s="176"/>
      <c r="G49" s="176"/>
      <c r="H49" s="176"/>
      <c r="I49" s="176"/>
      <c r="J49" s="177"/>
    </row>
    <row r="50" spans="3:10" x14ac:dyDescent="0.3">
      <c r="C50" s="18"/>
      <c r="D50" s="176"/>
      <c r="E50" s="176"/>
      <c r="F50" s="176"/>
      <c r="G50" s="176"/>
      <c r="H50" s="176"/>
      <c r="I50" s="176"/>
      <c r="J50" s="177"/>
    </row>
    <row r="51" spans="3:10" x14ac:dyDescent="0.3">
      <c r="C51" s="18"/>
      <c r="D51" s="176"/>
      <c r="E51" s="176"/>
      <c r="F51" s="176"/>
      <c r="G51" s="176"/>
      <c r="H51" s="176"/>
      <c r="I51" s="176"/>
      <c r="J51" s="177"/>
    </row>
    <row r="52" spans="3:10" x14ac:dyDescent="0.3">
      <c r="C52" s="18"/>
      <c r="D52" s="176"/>
      <c r="E52" s="176"/>
      <c r="F52" s="176"/>
      <c r="G52" s="176"/>
      <c r="H52" s="176"/>
      <c r="I52" s="176"/>
      <c r="J52" s="177"/>
    </row>
    <row r="53" spans="3:10" x14ac:dyDescent="0.3">
      <c r="C53" s="18"/>
      <c r="D53" s="176"/>
      <c r="E53" s="176"/>
      <c r="F53" s="176"/>
      <c r="G53" s="176"/>
      <c r="H53" s="176"/>
      <c r="I53" s="176"/>
      <c r="J53" s="177"/>
    </row>
  </sheetData>
  <mergeCells count="18">
    <mergeCell ref="J4:J5"/>
    <mergeCell ref="C14:C15"/>
    <mergeCell ref="D14:D15"/>
    <mergeCell ref="E14:E15"/>
    <mergeCell ref="F14:F15"/>
    <mergeCell ref="G14:G15"/>
    <mergeCell ref="H14:H15"/>
    <mergeCell ref="I14:I15"/>
    <mergeCell ref="J14:J15"/>
    <mergeCell ref="C4:C5"/>
    <mergeCell ref="D4:D5"/>
    <mergeCell ref="E4:E5"/>
    <mergeCell ref="F4:F5"/>
    <mergeCell ref="G4:G5"/>
    <mergeCell ref="H4:H5"/>
    <mergeCell ref="D35:G35"/>
    <mergeCell ref="B37:B40"/>
    <mergeCell ref="I4:I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16" workbookViewId="0">
      <selection activeCell="F36" sqref="F36:F41"/>
    </sheetView>
  </sheetViews>
  <sheetFormatPr defaultRowHeight="14.4" x14ac:dyDescent="0.3"/>
  <sheetData>
    <row r="2" spans="2:11" x14ac:dyDescent="0.3">
      <c r="C2" s="267"/>
      <c r="D2" s="268" t="s">
        <v>10</v>
      </c>
      <c r="E2" s="268" t="s">
        <v>11</v>
      </c>
      <c r="F2" s="267" t="s">
        <v>0</v>
      </c>
      <c r="G2" s="266" t="s">
        <v>1</v>
      </c>
      <c r="H2" s="266" t="s">
        <v>2</v>
      </c>
      <c r="I2" s="266" t="s">
        <v>3</v>
      </c>
      <c r="J2" s="266" t="s">
        <v>4</v>
      </c>
    </row>
    <row r="3" spans="2:11" x14ac:dyDescent="0.3">
      <c r="C3" s="267"/>
      <c r="D3" s="269"/>
      <c r="E3" s="269"/>
      <c r="F3" s="267"/>
      <c r="G3" s="266"/>
      <c r="H3" s="266"/>
      <c r="I3" s="266"/>
      <c r="J3" s="266"/>
    </row>
    <row r="4" spans="2:11" x14ac:dyDescent="0.3">
      <c r="C4" s="196" t="s">
        <v>5</v>
      </c>
      <c r="D4" s="5">
        <v>1</v>
      </c>
      <c r="E4" s="5">
        <v>11</v>
      </c>
      <c r="F4" s="5">
        <v>21</v>
      </c>
      <c r="G4" s="6">
        <v>70</v>
      </c>
      <c r="H4" s="6">
        <v>10</v>
      </c>
      <c r="I4" s="6">
        <v>6</v>
      </c>
      <c r="J4" s="7">
        <v>119</v>
      </c>
    </row>
    <row r="5" spans="2:11" x14ac:dyDescent="0.3">
      <c r="C5" s="196" t="s">
        <v>6</v>
      </c>
      <c r="D5" s="5">
        <v>1</v>
      </c>
      <c r="E5" s="5">
        <v>40</v>
      </c>
      <c r="F5" s="5">
        <v>24</v>
      </c>
      <c r="G5" s="6">
        <v>40</v>
      </c>
      <c r="H5" s="6">
        <v>5</v>
      </c>
      <c r="I5" s="6">
        <v>11</v>
      </c>
      <c r="J5" s="7">
        <v>121</v>
      </c>
    </row>
    <row r="6" spans="2:11" x14ac:dyDescent="0.3">
      <c r="C6" s="196" t="s">
        <v>7</v>
      </c>
      <c r="D6" s="5">
        <v>5</v>
      </c>
      <c r="E6" s="5">
        <v>13</v>
      </c>
      <c r="F6" s="5">
        <v>21</v>
      </c>
      <c r="G6" s="6">
        <v>30</v>
      </c>
      <c r="H6" s="6">
        <v>35</v>
      </c>
      <c r="I6" s="6">
        <v>1</v>
      </c>
      <c r="J6" s="7">
        <v>105</v>
      </c>
    </row>
    <row r="7" spans="2:11" x14ac:dyDescent="0.3">
      <c r="C7" s="196" t="s">
        <v>8</v>
      </c>
      <c r="D7" s="5">
        <v>9</v>
      </c>
      <c r="E7" s="5">
        <v>14</v>
      </c>
      <c r="F7" s="5">
        <v>14</v>
      </c>
      <c r="G7" s="6">
        <v>11</v>
      </c>
      <c r="H7" s="6">
        <v>3</v>
      </c>
      <c r="I7" s="6">
        <v>17</v>
      </c>
      <c r="J7" s="7">
        <v>68</v>
      </c>
    </row>
    <row r="8" spans="2:11" x14ac:dyDescent="0.3">
      <c r="C8" s="196" t="s">
        <v>4</v>
      </c>
      <c r="D8" s="8">
        <v>16</v>
      </c>
      <c r="E8" s="8">
        <v>78</v>
      </c>
      <c r="F8" s="8">
        <v>80</v>
      </c>
      <c r="G8" s="7">
        <v>151</v>
      </c>
      <c r="H8" s="7">
        <v>53</v>
      </c>
      <c r="I8" s="7">
        <v>35</v>
      </c>
      <c r="J8" s="7">
        <v>413</v>
      </c>
    </row>
    <row r="12" spans="2:11" x14ac:dyDescent="0.3">
      <c r="C12" s="267"/>
      <c r="D12" s="268" t="s">
        <v>10</v>
      </c>
      <c r="E12" s="268" t="s">
        <v>11</v>
      </c>
      <c r="F12" s="267" t="s">
        <v>0</v>
      </c>
      <c r="G12" s="266" t="s">
        <v>1</v>
      </c>
      <c r="H12" s="266" t="s">
        <v>2</v>
      </c>
      <c r="I12" s="266" t="s">
        <v>3</v>
      </c>
      <c r="J12" s="266" t="s">
        <v>4</v>
      </c>
    </row>
    <row r="13" spans="2:11" x14ac:dyDescent="0.3">
      <c r="C13" s="267"/>
      <c r="D13" s="269"/>
      <c r="E13" s="269"/>
      <c r="F13" s="267"/>
      <c r="G13" s="266"/>
      <c r="H13" s="266"/>
      <c r="I13" s="266"/>
      <c r="J13" s="266"/>
    </row>
    <row r="14" spans="2:11" x14ac:dyDescent="0.3">
      <c r="B14" t="s">
        <v>134</v>
      </c>
      <c r="C14" s="196" t="s">
        <v>5</v>
      </c>
      <c r="D14" s="214">
        <f>(D4/$J4)^2</f>
        <v>7.0616481886872395E-5</v>
      </c>
      <c r="E14" s="214">
        <f t="shared" ref="E14:I14" si="0">(E4/$J4)^2</f>
        <v>8.5445943083115612E-3</v>
      </c>
      <c r="F14" s="214">
        <f t="shared" si="0"/>
        <v>3.1141868512110732E-2</v>
      </c>
      <c r="G14" s="214">
        <f t="shared" si="0"/>
        <v>0.34602076124567477</v>
      </c>
      <c r="H14" s="214">
        <f t="shared" si="0"/>
        <v>7.0616481886872405E-3</v>
      </c>
      <c r="I14" s="214">
        <f t="shared" si="0"/>
        <v>2.5421933479274064E-3</v>
      </c>
      <c r="J14" s="83">
        <f>SUM(D14:I14)</f>
        <v>0.39538168208459856</v>
      </c>
      <c r="K14" t="s">
        <v>158</v>
      </c>
    </row>
    <row r="15" spans="2:11" x14ac:dyDescent="0.3">
      <c r="C15" s="196" t="s">
        <v>6</v>
      </c>
      <c r="D15" s="214">
        <f t="shared" ref="D15:I15" si="1">(D5/$J5)^2</f>
        <v>6.8301345536507077E-5</v>
      </c>
      <c r="E15" s="214">
        <f t="shared" si="1"/>
        <v>0.10928215285841132</v>
      </c>
      <c r="F15" s="214">
        <f t="shared" si="1"/>
        <v>3.9341575029028075E-2</v>
      </c>
      <c r="G15" s="214">
        <f t="shared" si="1"/>
        <v>0.10928215285841132</v>
      </c>
      <c r="H15" s="214">
        <f t="shared" si="1"/>
        <v>1.7075336384126769E-3</v>
      </c>
      <c r="I15" s="214">
        <f t="shared" si="1"/>
        <v>8.2644628099173556E-3</v>
      </c>
      <c r="J15" s="83">
        <f t="shared" ref="J15:J17" si="2">SUM(D15:I15)</f>
        <v>0.26794617853971725</v>
      </c>
    </row>
    <row r="16" spans="2:11" x14ac:dyDescent="0.3">
      <c r="C16" s="196" t="s">
        <v>7</v>
      </c>
      <c r="D16" s="214">
        <f t="shared" ref="D16:I16" si="3">(D6/$J6)^2</f>
        <v>2.2675736961451243E-3</v>
      </c>
      <c r="E16" s="214">
        <f t="shared" si="3"/>
        <v>1.5328798185941045E-2</v>
      </c>
      <c r="F16" s="214">
        <f t="shared" si="3"/>
        <v>4.0000000000000008E-2</v>
      </c>
      <c r="G16" s="214">
        <f t="shared" si="3"/>
        <v>8.1632653061224483E-2</v>
      </c>
      <c r="H16" s="214">
        <f t="shared" si="3"/>
        <v>0.1111111111111111</v>
      </c>
      <c r="I16" s="214">
        <f t="shared" si="3"/>
        <v>9.0702947845805004E-5</v>
      </c>
      <c r="J16" s="83">
        <f t="shared" si="2"/>
        <v>0.25043083900226754</v>
      </c>
    </row>
    <row r="17" spans="2:13" x14ac:dyDescent="0.3">
      <c r="C17" s="196" t="s">
        <v>8</v>
      </c>
      <c r="D17" s="214">
        <f t="shared" ref="D17:I17" si="4">(D7/$J7)^2</f>
        <v>1.7517301038062285E-2</v>
      </c>
      <c r="E17" s="214">
        <f t="shared" si="4"/>
        <v>4.2387543252595153E-2</v>
      </c>
      <c r="F17" s="214">
        <f t="shared" si="4"/>
        <v>4.2387543252595153E-2</v>
      </c>
      <c r="G17" s="214">
        <f t="shared" si="4"/>
        <v>2.6167820069204154E-2</v>
      </c>
      <c r="H17" s="214">
        <f t="shared" si="4"/>
        <v>1.9463667820069207E-3</v>
      </c>
      <c r="I17" s="214">
        <f t="shared" si="4"/>
        <v>6.25E-2</v>
      </c>
      <c r="J17" s="83">
        <f t="shared" si="2"/>
        <v>0.19290657439446365</v>
      </c>
    </row>
    <row r="18" spans="2:13" x14ac:dyDescent="0.3">
      <c r="B18" t="s">
        <v>135</v>
      </c>
      <c r="C18" s="196" t="s">
        <v>4</v>
      </c>
      <c r="D18" s="214">
        <f t="shared" ref="D18:I18" si="5">(D8/$J8)^2</f>
        <v>1.5008588899506946E-3</v>
      </c>
      <c r="E18" s="214">
        <f t="shared" si="5"/>
        <v>3.5668849556484472E-2</v>
      </c>
      <c r="F18" s="214">
        <f t="shared" si="5"/>
        <v>3.7521472248767361E-2</v>
      </c>
      <c r="G18" s="214">
        <f t="shared" si="5"/>
        <v>0.13367610761627258</v>
      </c>
      <c r="H18" s="214">
        <f t="shared" si="5"/>
        <v>1.6468408679185552E-2</v>
      </c>
      <c r="I18" s="214">
        <f t="shared" si="5"/>
        <v>7.1818442976156272E-3</v>
      </c>
      <c r="J18" s="180">
        <f>SUM(D18:I18)</f>
        <v>0.23201754128827629</v>
      </c>
      <c r="K18" t="s">
        <v>159</v>
      </c>
    </row>
    <row r="21" spans="2:13" x14ac:dyDescent="0.3">
      <c r="C21" s="196"/>
      <c r="D21" s="311" t="s">
        <v>145</v>
      </c>
      <c r="E21" s="312"/>
      <c r="F21" s="312"/>
      <c r="G21" s="312"/>
      <c r="H21" s="176"/>
      <c r="I21" s="176"/>
      <c r="J21" s="177"/>
    </row>
    <row r="22" spans="2:13" x14ac:dyDescent="0.3">
      <c r="C22" s="186" t="s">
        <v>144</v>
      </c>
      <c r="D22" s="209">
        <v>100</v>
      </c>
      <c r="E22" s="209">
        <v>50</v>
      </c>
      <c r="F22" s="209">
        <v>10</v>
      </c>
      <c r="G22" s="209">
        <v>1</v>
      </c>
      <c r="H22" s="186" t="s">
        <v>4</v>
      </c>
      <c r="I22" s="176"/>
      <c r="J22" s="177"/>
    </row>
    <row r="23" spans="2:13" x14ac:dyDescent="0.3">
      <c r="C23" s="186" t="s">
        <v>5</v>
      </c>
      <c r="D23" s="187">
        <v>0</v>
      </c>
      <c r="E23" s="187">
        <v>1</v>
      </c>
      <c r="F23" s="187">
        <v>6</v>
      </c>
      <c r="G23" s="187">
        <v>9</v>
      </c>
      <c r="H23" s="174">
        <f>SUMPRODUCT($D$22:$G$22,D23:G23)</f>
        <v>119</v>
      </c>
      <c r="I23" s="176"/>
      <c r="J23" s="177"/>
    </row>
    <row r="24" spans="2:13" x14ac:dyDescent="0.3">
      <c r="C24" s="186" t="s">
        <v>6</v>
      </c>
      <c r="D24" s="174">
        <v>0</v>
      </c>
      <c r="E24" s="174">
        <v>0</v>
      </c>
      <c r="F24" s="174">
        <v>11</v>
      </c>
      <c r="G24" s="174">
        <v>11</v>
      </c>
      <c r="H24" s="174">
        <f t="shared" ref="H24:H26" si="6">SUMPRODUCT($D$22:$G$22,D24:G24)</f>
        <v>121</v>
      </c>
      <c r="I24" s="176"/>
      <c r="J24" s="177"/>
    </row>
    <row r="25" spans="2:13" x14ac:dyDescent="0.3">
      <c r="C25" s="186" t="s">
        <v>7</v>
      </c>
      <c r="D25" s="174">
        <v>0</v>
      </c>
      <c r="E25" s="174">
        <v>0</v>
      </c>
      <c r="F25" s="174">
        <v>9</v>
      </c>
      <c r="G25" s="174">
        <v>15</v>
      </c>
      <c r="H25" s="174">
        <f t="shared" si="6"/>
        <v>105</v>
      </c>
      <c r="I25" s="176"/>
      <c r="J25" s="177"/>
    </row>
    <row r="26" spans="2:13" x14ac:dyDescent="0.3">
      <c r="C26" s="186" t="s">
        <v>8</v>
      </c>
      <c r="D26" s="174">
        <v>0</v>
      </c>
      <c r="E26" s="174">
        <v>0</v>
      </c>
      <c r="F26" s="174">
        <v>4</v>
      </c>
      <c r="G26" s="174">
        <v>28</v>
      </c>
      <c r="H26" s="174">
        <f t="shared" si="6"/>
        <v>68</v>
      </c>
      <c r="I26" s="176"/>
      <c r="J26" s="177"/>
    </row>
    <row r="28" spans="2:13" x14ac:dyDescent="0.3">
      <c r="C28" s="196"/>
      <c r="D28" s="174">
        <v>100</v>
      </c>
      <c r="E28" s="174">
        <v>50</v>
      </c>
      <c r="F28" s="174">
        <v>10</v>
      </c>
      <c r="G28" s="174">
        <v>1</v>
      </c>
      <c r="H28" s="196"/>
      <c r="I28" s="174">
        <v>100</v>
      </c>
      <c r="J28" s="174">
        <v>50</v>
      </c>
      <c r="K28" s="174">
        <v>10</v>
      </c>
      <c r="L28" s="174">
        <v>1</v>
      </c>
      <c r="M28" s="179" t="s">
        <v>143</v>
      </c>
    </row>
    <row r="29" spans="2:13" x14ac:dyDescent="0.3">
      <c r="C29" s="175" t="s">
        <v>139</v>
      </c>
      <c r="D29" s="3">
        <f>D$28/$H23</f>
        <v>0.84033613445378152</v>
      </c>
      <c r="E29" s="3">
        <f>E$28/$H23</f>
        <v>0.42016806722689076</v>
      </c>
      <c r="F29" s="3">
        <f>F$28/$H23</f>
        <v>8.4033613445378158E-2</v>
      </c>
      <c r="G29" s="3">
        <f>G$28/$H23</f>
        <v>8.4033613445378148E-3</v>
      </c>
      <c r="H29" s="175" t="s">
        <v>139</v>
      </c>
      <c r="I29" s="178">
        <f t="shared" ref="I29:L32" si="7">D29^2*D23</f>
        <v>0</v>
      </c>
      <c r="J29" s="178">
        <f t="shared" si="7"/>
        <v>0.17654120471718099</v>
      </c>
      <c r="K29" s="178">
        <f t="shared" si="7"/>
        <v>4.2369889132123445E-2</v>
      </c>
      <c r="L29" s="178">
        <f t="shared" si="7"/>
        <v>6.355483369818516E-4</v>
      </c>
      <c r="M29" s="215">
        <f>SUM(I29:L29)</f>
        <v>0.21954664218628628</v>
      </c>
    </row>
    <row r="30" spans="2:13" x14ac:dyDescent="0.3">
      <c r="C30" s="175" t="s">
        <v>140</v>
      </c>
      <c r="D30" s="3">
        <f t="shared" ref="D30:G31" si="8">D$28/$H24</f>
        <v>0.82644628099173556</v>
      </c>
      <c r="E30" s="3">
        <f t="shared" si="8"/>
        <v>0.41322314049586778</v>
      </c>
      <c r="F30" s="3">
        <f t="shared" si="8"/>
        <v>8.2644628099173556E-2</v>
      </c>
      <c r="G30" s="3">
        <f t="shared" si="8"/>
        <v>8.2644628099173556E-3</v>
      </c>
      <c r="H30" s="175" t="s">
        <v>140</v>
      </c>
      <c r="I30" s="178">
        <f t="shared" si="7"/>
        <v>0</v>
      </c>
      <c r="J30" s="178">
        <f t="shared" si="7"/>
        <v>0</v>
      </c>
      <c r="K30" s="178">
        <f t="shared" si="7"/>
        <v>7.5131480090157785E-2</v>
      </c>
      <c r="L30" s="178">
        <f t="shared" si="7"/>
        <v>7.513148009015778E-4</v>
      </c>
      <c r="M30" s="215">
        <f t="shared" ref="M30:M32" si="9">SUM(I30:L30)</f>
        <v>7.5882794891059369E-2</v>
      </c>
    </row>
    <row r="31" spans="2:13" x14ac:dyDescent="0.3">
      <c r="C31" s="175" t="s">
        <v>141</v>
      </c>
      <c r="D31" s="3">
        <f t="shared" si="8"/>
        <v>0.95238095238095233</v>
      </c>
      <c r="E31" s="3">
        <f t="shared" si="8"/>
        <v>0.47619047619047616</v>
      </c>
      <c r="F31" s="3">
        <f t="shared" si="8"/>
        <v>9.5238095238095233E-2</v>
      </c>
      <c r="G31" s="3">
        <f t="shared" si="8"/>
        <v>9.5238095238095247E-3</v>
      </c>
      <c r="H31" s="175" t="s">
        <v>141</v>
      </c>
      <c r="I31" s="178">
        <f t="shared" si="7"/>
        <v>0</v>
      </c>
      <c r="J31" s="178">
        <f t="shared" si="7"/>
        <v>0</v>
      </c>
      <c r="K31" s="178">
        <f t="shared" si="7"/>
        <v>8.1632653061224469E-2</v>
      </c>
      <c r="L31" s="178">
        <f t="shared" si="7"/>
        <v>1.360544217687075E-3</v>
      </c>
      <c r="M31" s="215">
        <f t="shared" si="9"/>
        <v>8.2993197278911551E-2</v>
      </c>
    </row>
    <row r="32" spans="2:13" x14ac:dyDescent="0.3">
      <c r="C32" s="175" t="s">
        <v>142</v>
      </c>
      <c r="D32" s="3">
        <f t="shared" ref="D32:G32" si="10">D$28/$H26</f>
        <v>1.4705882352941178</v>
      </c>
      <c r="E32" s="3">
        <f t="shared" si="10"/>
        <v>0.73529411764705888</v>
      </c>
      <c r="F32" s="3">
        <f t="shared" si="10"/>
        <v>0.14705882352941177</v>
      </c>
      <c r="G32" s="3">
        <f t="shared" si="10"/>
        <v>1.4705882352941176E-2</v>
      </c>
      <c r="H32" s="175" t="s">
        <v>142</v>
      </c>
      <c r="I32" s="178">
        <f t="shared" si="7"/>
        <v>0</v>
      </c>
      <c r="J32" s="178">
        <f t="shared" si="7"/>
        <v>0</v>
      </c>
      <c r="K32" s="178">
        <f t="shared" si="7"/>
        <v>8.6505190311418692E-2</v>
      </c>
      <c r="L32" s="178">
        <f t="shared" si="7"/>
        <v>6.0553633217993079E-3</v>
      </c>
      <c r="M32" s="215">
        <f t="shared" si="9"/>
        <v>9.2560553633217996E-2</v>
      </c>
    </row>
    <row r="36" spans="3:6" x14ac:dyDescent="0.3">
      <c r="C36" s="267"/>
      <c r="D36" s="268" t="s">
        <v>160</v>
      </c>
      <c r="E36" s="268" t="s">
        <v>161</v>
      </c>
      <c r="F36" s="268" t="s">
        <v>162</v>
      </c>
    </row>
    <row r="37" spans="3:6" x14ac:dyDescent="0.3">
      <c r="C37" s="267"/>
      <c r="D37" s="269"/>
      <c r="E37" s="269"/>
      <c r="F37" s="269"/>
    </row>
    <row r="38" spans="3:6" x14ac:dyDescent="0.3">
      <c r="C38" s="196" t="s">
        <v>5</v>
      </c>
      <c r="D38" s="214">
        <f>((J14-$J$18)/(1-$J$18))-M29</f>
        <v>-6.8280586520183262E-3</v>
      </c>
      <c r="E38" s="214">
        <f>1-M29</f>
        <v>0.78045335781371372</v>
      </c>
      <c r="F38" s="214">
        <f>D38/E38</f>
        <v>-8.7488362804226845E-3</v>
      </c>
    </row>
    <row r="39" spans="3:6" x14ac:dyDescent="0.3">
      <c r="C39" s="196" t="s">
        <v>6</v>
      </c>
      <c r="D39" s="214">
        <f t="shared" ref="D39:D40" si="11">((J15-$J$18)/(1-$J$18))-M30</f>
        <v>-2.9099646599221311E-2</v>
      </c>
      <c r="E39" s="214">
        <f t="shared" ref="E39:E41" si="12">1-M30</f>
        <v>0.92411720510894058</v>
      </c>
      <c r="F39" s="214">
        <f t="shared" ref="F39:F41" si="13">D39/E39</f>
        <v>-3.1489129775254934E-2</v>
      </c>
    </row>
    <row r="40" spans="3:6" x14ac:dyDescent="0.3">
      <c r="C40" s="196" t="s">
        <v>7</v>
      </c>
      <c r="D40" s="214">
        <f t="shared" si="11"/>
        <v>-5.9017001592255876E-2</v>
      </c>
      <c r="E40" s="214">
        <f t="shared" si="12"/>
        <v>0.91700680272108848</v>
      </c>
      <c r="F40" s="214">
        <f t="shared" si="13"/>
        <v>-6.4358302923305744E-2</v>
      </c>
    </row>
    <row r="41" spans="3:6" x14ac:dyDescent="0.3">
      <c r="C41" s="196" t="s">
        <v>8</v>
      </c>
      <c r="D41" s="214">
        <f>((J17-$J$18)/(1-$J$18))-M32</f>
        <v>-0.14348745495778803</v>
      </c>
      <c r="E41" s="214">
        <f t="shared" si="12"/>
        <v>0.90743944636678198</v>
      </c>
      <c r="F41" s="214">
        <f t="shared" si="13"/>
        <v>-0.15812344893346328</v>
      </c>
    </row>
  </sheetData>
  <mergeCells count="21">
    <mergeCell ref="I12:I13"/>
    <mergeCell ref="J12:J13"/>
    <mergeCell ref="D21:G21"/>
    <mergeCell ref="C36:C37"/>
    <mergeCell ref="D36:D37"/>
    <mergeCell ref="E36:E37"/>
    <mergeCell ref="F36:F37"/>
    <mergeCell ref="C12:C13"/>
    <mergeCell ref="D12:D13"/>
    <mergeCell ref="E12:E13"/>
    <mergeCell ref="F12:F13"/>
    <mergeCell ref="G12:G13"/>
    <mergeCell ref="H12:H13"/>
    <mergeCell ref="I2:I3"/>
    <mergeCell ref="J2:J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13" workbookViewId="0">
      <selection activeCell="F36" sqref="F36:F41"/>
    </sheetView>
  </sheetViews>
  <sheetFormatPr defaultRowHeight="14.4" x14ac:dyDescent="0.3"/>
  <sheetData>
    <row r="2" spans="2:11" x14ac:dyDescent="0.3">
      <c r="C2" s="267"/>
      <c r="D2" s="268" t="s">
        <v>10</v>
      </c>
      <c r="E2" s="268" t="s">
        <v>11</v>
      </c>
      <c r="F2" s="267" t="s">
        <v>0</v>
      </c>
      <c r="G2" s="266" t="s">
        <v>1</v>
      </c>
      <c r="H2" s="266" t="s">
        <v>2</v>
      </c>
      <c r="I2" s="266" t="s">
        <v>3</v>
      </c>
      <c r="J2" s="266" t="s">
        <v>4</v>
      </c>
    </row>
    <row r="3" spans="2:11" x14ac:dyDescent="0.3">
      <c r="C3" s="267"/>
      <c r="D3" s="269"/>
      <c r="E3" s="269"/>
      <c r="F3" s="267"/>
      <c r="G3" s="266"/>
      <c r="H3" s="266"/>
      <c r="I3" s="266"/>
      <c r="J3" s="266"/>
    </row>
    <row r="4" spans="2:11" x14ac:dyDescent="0.3">
      <c r="C4" s="196" t="s">
        <v>5</v>
      </c>
      <c r="D4" s="5">
        <v>1</v>
      </c>
      <c r="E4" s="5">
        <v>11</v>
      </c>
      <c r="F4" s="5">
        <v>21</v>
      </c>
      <c r="G4" s="6">
        <v>70</v>
      </c>
      <c r="H4" s="6">
        <v>10</v>
      </c>
      <c r="I4" s="6">
        <v>6</v>
      </c>
      <c r="J4" s="7">
        <v>119</v>
      </c>
    </row>
    <row r="5" spans="2:11" x14ac:dyDescent="0.3">
      <c r="C5" s="196" t="s">
        <v>6</v>
      </c>
      <c r="D5" s="5">
        <v>1</v>
      </c>
      <c r="E5" s="5">
        <v>40</v>
      </c>
      <c r="F5" s="5">
        <v>24</v>
      </c>
      <c r="G5" s="6">
        <v>40</v>
      </c>
      <c r="H5" s="6">
        <v>5</v>
      </c>
      <c r="I5" s="6">
        <v>11</v>
      </c>
      <c r="J5" s="7">
        <v>121</v>
      </c>
    </row>
    <row r="6" spans="2:11" x14ac:dyDescent="0.3">
      <c r="C6" s="196" t="s">
        <v>7</v>
      </c>
      <c r="D6" s="5">
        <v>5</v>
      </c>
      <c r="E6" s="5">
        <v>13</v>
      </c>
      <c r="F6" s="5">
        <v>21</v>
      </c>
      <c r="G6" s="6">
        <v>30</v>
      </c>
      <c r="H6" s="6">
        <v>35</v>
      </c>
      <c r="I6" s="6">
        <v>1</v>
      </c>
      <c r="J6" s="7">
        <v>105</v>
      </c>
    </row>
    <row r="7" spans="2:11" x14ac:dyDescent="0.3">
      <c r="C7" s="196" t="s">
        <v>8</v>
      </c>
      <c r="D7" s="5">
        <v>9</v>
      </c>
      <c r="E7" s="5">
        <v>14</v>
      </c>
      <c r="F7" s="5">
        <v>14</v>
      </c>
      <c r="G7" s="6">
        <v>11</v>
      </c>
      <c r="H7" s="6">
        <v>3</v>
      </c>
      <c r="I7" s="6">
        <v>17</v>
      </c>
      <c r="J7" s="7">
        <v>68</v>
      </c>
    </row>
    <row r="8" spans="2:11" x14ac:dyDescent="0.3">
      <c r="C8" s="196" t="s">
        <v>4</v>
      </c>
      <c r="D8" s="8">
        <v>16</v>
      </c>
      <c r="E8" s="8">
        <v>78</v>
      </c>
      <c r="F8" s="8">
        <v>80</v>
      </c>
      <c r="G8" s="7">
        <v>151</v>
      </c>
      <c r="H8" s="7">
        <v>53</v>
      </c>
      <c r="I8" s="7">
        <v>35</v>
      </c>
      <c r="J8" s="7">
        <v>413</v>
      </c>
    </row>
    <row r="12" spans="2:11" x14ac:dyDescent="0.3">
      <c r="C12" s="267"/>
      <c r="D12" s="268" t="s">
        <v>10</v>
      </c>
      <c r="E12" s="268" t="s">
        <v>11</v>
      </c>
      <c r="F12" s="267" t="s">
        <v>0</v>
      </c>
      <c r="G12" s="266" t="s">
        <v>1</v>
      </c>
      <c r="H12" s="266" t="s">
        <v>2</v>
      </c>
      <c r="I12" s="266" t="s">
        <v>3</v>
      </c>
      <c r="J12" s="266" t="s">
        <v>4</v>
      </c>
    </row>
    <row r="13" spans="2:11" x14ac:dyDescent="0.3">
      <c r="C13" s="267"/>
      <c r="D13" s="269"/>
      <c r="E13" s="269"/>
      <c r="F13" s="267"/>
      <c r="G13" s="266"/>
      <c r="H13" s="266"/>
      <c r="I13" s="266"/>
      <c r="J13" s="266"/>
    </row>
    <row r="14" spans="2:11" x14ac:dyDescent="0.3">
      <c r="B14" t="s">
        <v>134</v>
      </c>
      <c r="C14" s="196" t="s">
        <v>5</v>
      </c>
      <c r="D14" s="214">
        <f>(D4/$J4)^2</f>
        <v>7.0616481886872395E-5</v>
      </c>
      <c r="E14" s="214">
        <f t="shared" ref="E14:I14" si="0">(E4/$J4)^2</f>
        <v>8.5445943083115612E-3</v>
      </c>
      <c r="F14" s="214">
        <f t="shared" si="0"/>
        <v>3.1141868512110732E-2</v>
      </c>
      <c r="G14" s="214">
        <f t="shared" si="0"/>
        <v>0.34602076124567477</v>
      </c>
      <c r="H14" s="214">
        <f t="shared" si="0"/>
        <v>7.0616481886872405E-3</v>
      </c>
      <c r="I14" s="214">
        <f t="shared" si="0"/>
        <v>2.5421933479274064E-3</v>
      </c>
      <c r="J14" s="83">
        <f>SUM(D14:I14)</f>
        <v>0.39538168208459856</v>
      </c>
      <c r="K14" t="s">
        <v>158</v>
      </c>
    </row>
    <row r="15" spans="2:11" x14ac:dyDescent="0.3">
      <c r="C15" s="196" t="s">
        <v>6</v>
      </c>
      <c r="D15" s="214">
        <f t="shared" ref="D15:I18" si="1">(D5/$J5)^2</f>
        <v>6.8301345536507077E-5</v>
      </c>
      <c r="E15" s="214">
        <f t="shared" si="1"/>
        <v>0.10928215285841132</v>
      </c>
      <c r="F15" s="214">
        <f t="shared" si="1"/>
        <v>3.9341575029028075E-2</v>
      </c>
      <c r="G15" s="214">
        <f t="shared" si="1"/>
        <v>0.10928215285841132</v>
      </c>
      <c r="H15" s="214">
        <f t="shared" si="1"/>
        <v>1.7075336384126769E-3</v>
      </c>
      <c r="I15" s="214">
        <f t="shared" si="1"/>
        <v>8.2644628099173556E-3</v>
      </c>
      <c r="J15" s="83">
        <f t="shared" ref="J15:J17" si="2">SUM(D15:I15)</f>
        <v>0.26794617853971725</v>
      </c>
    </row>
    <row r="16" spans="2:11" x14ac:dyDescent="0.3">
      <c r="C16" s="196" t="s">
        <v>7</v>
      </c>
      <c r="D16" s="214">
        <f t="shared" si="1"/>
        <v>2.2675736961451243E-3</v>
      </c>
      <c r="E16" s="214">
        <f t="shared" si="1"/>
        <v>1.5328798185941045E-2</v>
      </c>
      <c r="F16" s="214">
        <f t="shared" si="1"/>
        <v>4.0000000000000008E-2</v>
      </c>
      <c r="G16" s="214">
        <f t="shared" si="1"/>
        <v>8.1632653061224483E-2</v>
      </c>
      <c r="H16" s="214">
        <f t="shared" si="1"/>
        <v>0.1111111111111111</v>
      </c>
      <c r="I16" s="214">
        <f t="shared" si="1"/>
        <v>9.0702947845805004E-5</v>
      </c>
      <c r="J16" s="83">
        <f t="shared" si="2"/>
        <v>0.25043083900226754</v>
      </c>
    </row>
    <row r="17" spans="2:13" x14ac:dyDescent="0.3">
      <c r="C17" s="196" t="s">
        <v>8</v>
      </c>
      <c r="D17" s="214">
        <f t="shared" si="1"/>
        <v>1.7517301038062285E-2</v>
      </c>
      <c r="E17" s="214">
        <f t="shared" si="1"/>
        <v>4.2387543252595153E-2</v>
      </c>
      <c r="F17" s="214">
        <f t="shared" si="1"/>
        <v>4.2387543252595153E-2</v>
      </c>
      <c r="G17" s="214">
        <f t="shared" si="1"/>
        <v>2.6167820069204154E-2</v>
      </c>
      <c r="H17" s="214">
        <f t="shared" si="1"/>
        <v>1.9463667820069207E-3</v>
      </c>
      <c r="I17" s="214">
        <f t="shared" si="1"/>
        <v>6.25E-2</v>
      </c>
      <c r="J17" s="83">
        <f t="shared" si="2"/>
        <v>0.19290657439446365</v>
      </c>
    </row>
    <row r="18" spans="2:13" x14ac:dyDescent="0.3">
      <c r="B18" t="s">
        <v>135</v>
      </c>
      <c r="C18" s="196" t="s">
        <v>4</v>
      </c>
      <c r="D18" s="214">
        <f t="shared" si="1"/>
        <v>1.5008588899506946E-3</v>
      </c>
      <c r="E18" s="214">
        <f t="shared" si="1"/>
        <v>3.5668849556484472E-2</v>
      </c>
      <c r="F18" s="214">
        <f t="shared" si="1"/>
        <v>3.7521472248767361E-2</v>
      </c>
      <c r="G18" s="214">
        <f t="shared" si="1"/>
        <v>0.13367610761627258</v>
      </c>
      <c r="H18" s="214">
        <f t="shared" si="1"/>
        <v>1.6468408679185552E-2</v>
      </c>
      <c r="I18" s="214">
        <f t="shared" si="1"/>
        <v>7.1818442976156272E-3</v>
      </c>
      <c r="J18" s="180">
        <f>SUM(D18:I18)</f>
        <v>0.23201754128827629</v>
      </c>
      <c r="K18" t="s">
        <v>159</v>
      </c>
    </row>
    <row r="21" spans="2:13" x14ac:dyDescent="0.3">
      <c r="C21" s="196"/>
      <c r="D21" s="311" t="s">
        <v>145</v>
      </c>
      <c r="E21" s="312"/>
      <c r="F21" s="312"/>
      <c r="G21" s="312"/>
      <c r="H21" s="176"/>
      <c r="I21" s="176"/>
      <c r="J21" s="177"/>
    </row>
    <row r="22" spans="2:13" x14ac:dyDescent="0.3">
      <c r="C22" s="186" t="s">
        <v>144</v>
      </c>
      <c r="D22" s="209">
        <v>100</v>
      </c>
      <c r="E22" s="209">
        <v>50</v>
      </c>
      <c r="F22" s="209">
        <v>10</v>
      </c>
      <c r="G22" s="209">
        <v>1</v>
      </c>
      <c r="H22" s="186" t="s">
        <v>4</v>
      </c>
      <c r="I22" s="176"/>
      <c r="J22" s="177"/>
    </row>
    <row r="23" spans="2:13" x14ac:dyDescent="0.3">
      <c r="C23" s="186" t="s">
        <v>5</v>
      </c>
      <c r="D23" s="187">
        <v>0</v>
      </c>
      <c r="E23" s="187">
        <v>0</v>
      </c>
      <c r="F23" s="187">
        <v>5</v>
      </c>
      <c r="G23" s="187">
        <v>69</v>
      </c>
      <c r="H23" s="174">
        <f>SUMPRODUCT($D$22:$G$22,D23:G23)</f>
        <v>119</v>
      </c>
      <c r="I23" s="176"/>
      <c r="J23" s="177"/>
    </row>
    <row r="24" spans="2:13" x14ac:dyDescent="0.3">
      <c r="C24" s="186" t="s">
        <v>6</v>
      </c>
      <c r="D24" s="174">
        <v>0</v>
      </c>
      <c r="E24" s="174">
        <v>0</v>
      </c>
      <c r="F24" s="213">
        <v>4</v>
      </c>
      <c r="G24" s="174">
        <v>81</v>
      </c>
      <c r="H24" s="174">
        <f t="shared" ref="H24:H26" si="3">SUMPRODUCT($D$22:$G$22,D24:G24)</f>
        <v>121</v>
      </c>
      <c r="I24" s="176"/>
      <c r="J24" s="177"/>
    </row>
    <row r="25" spans="2:13" x14ac:dyDescent="0.3">
      <c r="C25" s="186" t="s">
        <v>7</v>
      </c>
      <c r="D25" s="174">
        <v>0</v>
      </c>
      <c r="E25" s="174">
        <v>0</v>
      </c>
      <c r="F25" s="174">
        <v>1</v>
      </c>
      <c r="G25" s="174">
        <v>95</v>
      </c>
      <c r="H25" s="174">
        <f t="shared" si="3"/>
        <v>105</v>
      </c>
      <c r="I25" s="176"/>
      <c r="J25" s="177"/>
    </row>
    <row r="26" spans="2:13" x14ac:dyDescent="0.3">
      <c r="C26" s="186" t="s">
        <v>8</v>
      </c>
      <c r="D26" s="174">
        <v>0</v>
      </c>
      <c r="E26" s="174">
        <v>0</v>
      </c>
      <c r="F26" s="174">
        <v>1</v>
      </c>
      <c r="G26" s="174">
        <v>58</v>
      </c>
      <c r="H26" s="174">
        <f t="shared" si="3"/>
        <v>68</v>
      </c>
      <c r="I26" s="176"/>
      <c r="J26" s="177"/>
    </row>
    <row r="28" spans="2:13" x14ac:dyDescent="0.3">
      <c r="C28" s="196"/>
      <c r="D28" s="174">
        <v>100</v>
      </c>
      <c r="E28" s="174">
        <v>50</v>
      </c>
      <c r="F28" s="174">
        <v>10</v>
      </c>
      <c r="G28" s="174">
        <v>1</v>
      </c>
      <c r="H28" s="196"/>
      <c r="I28" s="174">
        <v>100</v>
      </c>
      <c r="J28" s="174">
        <v>50</v>
      </c>
      <c r="K28" s="174">
        <v>10</v>
      </c>
      <c r="L28" s="174">
        <v>1</v>
      </c>
      <c r="M28" s="179" t="s">
        <v>143</v>
      </c>
    </row>
    <row r="29" spans="2:13" x14ac:dyDescent="0.3">
      <c r="C29" s="175" t="s">
        <v>139</v>
      </c>
      <c r="D29" s="3">
        <f>D$28/$H23</f>
        <v>0.84033613445378152</v>
      </c>
      <c r="E29" s="3">
        <f>E$28/$H23</f>
        <v>0.42016806722689076</v>
      </c>
      <c r="F29" s="3">
        <f>F$28/$H23</f>
        <v>8.4033613445378158E-2</v>
      </c>
      <c r="G29" s="3">
        <f>G$28/$H23</f>
        <v>8.4033613445378148E-3</v>
      </c>
      <c r="H29" s="175" t="s">
        <v>139</v>
      </c>
      <c r="I29" s="178">
        <f t="shared" ref="I29:L32" si="4">D29^2*D23</f>
        <v>0</v>
      </c>
      <c r="J29" s="178">
        <f t="shared" si="4"/>
        <v>0</v>
      </c>
      <c r="K29" s="178">
        <f t="shared" si="4"/>
        <v>3.5308240943436202E-2</v>
      </c>
      <c r="L29" s="178">
        <f t="shared" si="4"/>
        <v>4.8725372501941949E-3</v>
      </c>
      <c r="M29" s="215">
        <f>SUM(I29:L29)</f>
        <v>4.0180778193630397E-2</v>
      </c>
    </row>
    <row r="30" spans="2:13" x14ac:dyDescent="0.3">
      <c r="C30" s="175" t="s">
        <v>140</v>
      </c>
      <c r="D30" s="3">
        <f t="shared" ref="D30:G32" si="5">D$28/$H24</f>
        <v>0.82644628099173556</v>
      </c>
      <c r="E30" s="3">
        <f t="shared" si="5"/>
        <v>0.41322314049586778</v>
      </c>
      <c r="F30" s="3">
        <f t="shared" si="5"/>
        <v>8.2644628099173556E-2</v>
      </c>
      <c r="G30" s="3">
        <f t="shared" si="5"/>
        <v>8.2644628099173556E-3</v>
      </c>
      <c r="H30" s="175" t="s">
        <v>140</v>
      </c>
      <c r="I30" s="178">
        <f t="shared" si="4"/>
        <v>0</v>
      </c>
      <c r="J30" s="178">
        <f t="shared" si="4"/>
        <v>0</v>
      </c>
      <c r="K30" s="178">
        <f t="shared" si="4"/>
        <v>2.732053821460283E-2</v>
      </c>
      <c r="L30" s="178">
        <f t="shared" si="4"/>
        <v>5.5324089884570731E-3</v>
      </c>
      <c r="M30" s="215">
        <f t="shared" ref="M30:M32" si="6">SUM(I30:L30)</f>
        <v>3.2852947203059903E-2</v>
      </c>
    </row>
    <row r="31" spans="2:13" x14ac:dyDescent="0.3">
      <c r="C31" s="175" t="s">
        <v>141</v>
      </c>
      <c r="D31" s="3">
        <f t="shared" si="5"/>
        <v>0.95238095238095233</v>
      </c>
      <c r="E31" s="3">
        <f t="shared" si="5"/>
        <v>0.47619047619047616</v>
      </c>
      <c r="F31" s="3">
        <f t="shared" si="5"/>
        <v>9.5238095238095233E-2</v>
      </c>
      <c r="G31" s="3">
        <f t="shared" si="5"/>
        <v>9.5238095238095247E-3</v>
      </c>
      <c r="H31" s="175" t="s">
        <v>141</v>
      </c>
      <c r="I31" s="178">
        <f t="shared" si="4"/>
        <v>0</v>
      </c>
      <c r="J31" s="178">
        <f t="shared" si="4"/>
        <v>0</v>
      </c>
      <c r="K31" s="178">
        <f t="shared" si="4"/>
        <v>9.0702947845804974E-3</v>
      </c>
      <c r="L31" s="178">
        <f t="shared" si="4"/>
        <v>8.6167800453514753E-3</v>
      </c>
      <c r="M31" s="215">
        <f t="shared" si="6"/>
        <v>1.7687074829931974E-2</v>
      </c>
    </row>
    <row r="32" spans="2:13" x14ac:dyDescent="0.3">
      <c r="C32" s="175" t="s">
        <v>142</v>
      </c>
      <c r="D32" s="3">
        <f t="shared" si="5"/>
        <v>1.4705882352941178</v>
      </c>
      <c r="E32" s="3">
        <f t="shared" si="5"/>
        <v>0.73529411764705888</v>
      </c>
      <c r="F32" s="3">
        <f t="shared" si="5"/>
        <v>0.14705882352941177</v>
      </c>
      <c r="G32" s="3">
        <f t="shared" si="5"/>
        <v>1.4705882352941176E-2</v>
      </c>
      <c r="H32" s="175" t="s">
        <v>142</v>
      </c>
      <c r="I32" s="178">
        <f t="shared" si="4"/>
        <v>0</v>
      </c>
      <c r="J32" s="178">
        <f t="shared" si="4"/>
        <v>0</v>
      </c>
      <c r="K32" s="178">
        <f t="shared" si="4"/>
        <v>2.1626297577854673E-2</v>
      </c>
      <c r="L32" s="178">
        <f t="shared" si="4"/>
        <v>1.2543252595155709E-2</v>
      </c>
      <c r="M32" s="215">
        <f t="shared" si="6"/>
        <v>3.4169550173010384E-2</v>
      </c>
    </row>
    <row r="36" spans="3:6" x14ac:dyDescent="0.3">
      <c r="C36" s="267"/>
      <c r="D36" s="268" t="s">
        <v>160</v>
      </c>
      <c r="E36" s="268" t="s">
        <v>161</v>
      </c>
      <c r="F36" s="268" t="s">
        <v>162</v>
      </c>
    </row>
    <row r="37" spans="3:6" x14ac:dyDescent="0.3">
      <c r="C37" s="267"/>
      <c r="D37" s="269"/>
      <c r="E37" s="269"/>
      <c r="F37" s="269"/>
    </row>
    <row r="38" spans="3:6" x14ac:dyDescent="0.3">
      <c r="C38" s="196" t="s">
        <v>5</v>
      </c>
      <c r="D38" s="214">
        <f>((J14-$J$18)/(1-$J$18))-M29</f>
        <v>0.17253780534063756</v>
      </c>
      <c r="E38" s="214">
        <f>1-M29</f>
        <v>0.95981922180636958</v>
      </c>
      <c r="F38" s="214">
        <f>D38/E38</f>
        <v>0.17976073141765514</v>
      </c>
    </row>
    <row r="39" spans="3:6" x14ac:dyDescent="0.3">
      <c r="C39" s="196" t="s">
        <v>6</v>
      </c>
      <c r="D39" s="214">
        <f t="shared" ref="D39:D40" si="7">((J15-$J$18)/(1-$J$18))-M30</f>
        <v>1.3930201088778155E-2</v>
      </c>
      <c r="E39" s="214">
        <f t="shared" ref="E39:E41" si="8">1-M30</f>
        <v>0.96714705279694013</v>
      </c>
      <c r="F39" s="214">
        <f t="shared" ref="F39:F41" si="9">D39/E39</f>
        <v>1.4403395066440745E-2</v>
      </c>
    </row>
    <row r="40" spans="3:6" x14ac:dyDescent="0.3">
      <c r="C40" s="196" t="s">
        <v>7</v>
      </c>
      <c r="D40" s="214">
        <f t="shared" si="7"/>
        <v>6.2891208567237011E-3</v>
      </c>
      <c r="E40" s="214">
        <f t="shared" si="8"/>
        <v>0.98231292517006807</v>
      </c>
      <c r="F40" s="214">
        <f t="shared" si="9"/>
        <v>6.4023598749195568E-3</v>
      </c>
    </row>
    <row r="41" spans="3:6" x14ac:dyDescent="0.3">
      <c r="C41" s="196" t="s">
        <v>8</v>
      </c>
      <c r="D41" s="214">
        <f>((J17-$J$18)/(1-$J$18))-M32</f>
        <v>-8.5096451497580411E-2</v>
      </c>
      <c r="E41" s="214">
        <f t="shared" si="8"/>
        <v>0.96583044982698962</v>
      </c>
      <c r="F41" s="214">
        <f t="shared" si="9"/>
        <v>-8.8107029047203717E-2</v>
      </c>
    </row>
  </sheetData>
  <mergeCells count="21">
    <mergeCell ref="D21:G21"/>
    <mergeCell ref="C36:C37"/>
    <mergeCell ref="D36:D37"/>
    <mergeCell ref="E36:E37"/>
    <mergeCell ref="F36:F37"/>
    <mergeCell ref="I2:I3"/>
    <mergeCell ref="J2:J3"/>
    <mergeCell ref="C12:C13"/>
    <mergeCell ref="D12:D13"/>
    <mergeCell ref="E12:E13"/>
    <mergeCell ref="F12:F13"/>
    <mergeCell ref="G12:G13"/>
    <mergeCell ref="H12:H13"/>
    <mergeCell ref="I12:I13"/>
    <mergeCell ref="J12:J1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2"/>
  <sheetViews>
    <sheetView topLeftCell="A27" workbookViewId="0">
      <selection activeCell="F52" sqref="F52"/>
    </sheetView>
  </sheetViews>
  <sheetFormatPr defaultRowHeight="14.4" x14ac:dyDescent="0.3"/>
  <cols>
    <col min="1" max="1" width="8.88671875" style="244"/>
    <col min="2" max="2" width="24" style="244" customWidth="1"/>
    <col min="3" max="4" width="10.44140625" style="244" bestFit="1" customWidth="1"/>
    <col min="5" max="5" width="10.88671875" style="244" customWidth="1"/>
    <col min="6" max="10" width="10.44140625" style="244" bestFit="1" customWidth="1"/>
    <col min="11" max="11" width="9.77734375" style="244" customWidth="1"/>
    <col min="12" max="12" width="11.33203125" style="244" customWidth="1"/>
    <col min="13" max="13" width="11.5546875" style="244" customWidth="1"/>
    <col min="14" max="14" width="23.77734375" style="244" customWidth="1"/>
    <col min="15" max="16384" width="8.88671875" style="244"/>
  </cols>
  <sheetData>
    <row r="3" spans="2:11" x14ac:dyDescent="0.3">
      <c r="B3" s="20"/>
    </row>
    <row r="4" spans="2:11" x14ac:dyDescent="0.3">
      <c r="B4" s="245"/>
      <c r="C4" s="245" t="s">
        <v>10</v>
      </c>
      <c r="D4" s="245" t="s">
        <v>11</v>
      </c>
      <c r="E4" s="245" t="s">
        <v>0</v>
      </c>
      <c r="F4" s="249" t="s">
        <v>1</v>
      </c>
      <c r="G4" s="249" t="s">
        <v>2</v>
      </c>
      <c r="H4" s="249" t="s">
        <v>3</v>
      </c>
      <c r="I4" s="245" t="s">
        <v>127</v>
      </c>
      <c r="J4" s="246" t="s">
        <v>179</v>
      </c>
      <c r="K4" s="246" t="s">
        <v>180</v>
      </c>
    </row>
    <row r="5" spans="2:11" x14ac:dyDescent="0.3">
      <c r="B5" s="248" t="s">
        <v>88</v>
      </c>
      <c r="C5" s="251">
        <v>1.333</v>
      </c>
      <c r="D5" s="251">
        <v>0.27200000000000002</v>
      </c>
      <c r="E5" s="251">
        <v>3.0000000000000001E-3</v>
      </c>
      <c r="F5" s="251">
        <v>0.17299999999999999</v>
      </c>
      <c r="G5" s="251">
        <v>0.88900000000000001</v>
      </c>
      <c r="H5" s="251">
        <v>0.875</v>
      </c>
      <c r="I5" s="251">
        <f t="shared" ref="I5:I15" si="0">AVERAGE(C5:H5)</f>
        <v>0.59083333333333332</v>
      </c>
      <c r="J5" s="251">
        <f t="shared" ref="J5:J15" si="1">_xlfn.STDEV.S(C5:H5)</f>
        <v>0.5181221541940344</v>
      </c>
      <c r="K5" s="252">
        <f t="shared" ref="K5:K15" si="2">J5/I5</f>
        <v>0.87693453460203286</v>
      </c>
    </row>
    <row r="6" spans="2:11" x14ac:dyDescent="0.3">
      <c r="B6" s="248" t="s">
        <v>176</v>
      </c>
      <c r="C6" s="251">
        <v>0.56299999999999994</v>
      </c>
      <c r="D6" s="251">
        <v>0.13100000000000001</v>
      </c>
      <c r="E6" s="251">
        <v>2E-3</v>
      </c>
      <c r="F6" s="251">
        <v>8.5000000000000006E-2</v>
      </c>
      <c r="G6" s="251">
        <v>0.38300000000000001</v>
      </c>
      <c r="H6" s="251">
        <v>0.39600000000000002</v>
      </c>
      <c r="I6" s="251">
        <f t="shared" si="0"/>
        <v>0.26</v>
      </c>
      <c r="J6" s="251">
        <f t="shared" si="1"/>
        <v>0.21875282855314115</v>
      </c>
      <c r="K6" s="252">
        <f t="shared" si="2"/>
        <v>0.84135703289669672</v>
      </c>
    </row>
    <row r="7" spans="2:11" x14ac:dyDescent="0.3">
      <c r="B7" s="248" t="s">
        <v>87</v>
      </c>
      <c r="C7" s="251">
        <v>0.13800000000000001</v>
      </c>
      <c r="D7" s="251">
        <v>7.8E-2</v>
      </c>
      <c r="E7" s="251">
        <v>4.4999999999999998E-2</v>
      </c>
      <c r="F7" s="251">
        <v>2.5999999999999999E-2</v>
      </c>
      <c r="G7" s="251">
        <v>0.23100000000000001</v>
      </c>
      <c r="H7" s="251">
        <v>0.10199999999999999</v>
      </c>
      <c r="I7" s="251">
        <f t="shared" si="0"/>
        <v>0.10333333333333333</v>
      </c>
      <c r="J7" s="251">
        <f t="shared" si="1"/>
        <v>7.4198831976431179E-2</v>
      </c>
      <c r="K7" s="252">
        <f t="shared" si="2"/>
        <v>0.71805321267514044</v>
      </c>
    </row>
    <row r="8" spans="2:11" x14ac:dyDescent="0.3">
      <c r="B8" s="248" t="s">
        <v>82</v>
      </c>
      <c r="C8" s="251">
        <v>0.69</v>
      </c>
      <c r="D8" s="251">
        <v>0.37</v>
      </c>
      <c r="E8" s="251">
        <v>0.03</v>
      </c>
      <c r="F8" s="251">
        <v>0.32</v>
      </c>
      <c r="G8" s="251">
        <v>0.94</v>
      </c>
      <c r="H8" s="251">
        <v>0.46</v>
      </c>
      <c r="I8" s="251">
        <f t="shared" si="0"/>
        <v>0.46833333333333332</v>
      </c>
      <c r="J8" s="251">
        <f t="shared" si="1"/>
        <v>0.31479623038827292</v>
      </c>
      <c r="K8" s="252">
        <f t="shared" si="2"/>
        <v>0.67216276951232656</v>
      </c>
    </row>
    <row r="9" spans="2:11" x14ac:dyDescent="0.3">
      <c r="B9" s="248" t="s">
        <v>90</v>
      </c>
      <c r="C9" s="251">
        <v>0.35</v>
      </c>
      <c r="D9" s="251">
        <v>0.16</v>
      </c>
      <c r="E9" s="251">
        <v>0.02</v>
      </c>
      <c r="F9" s="251">
        <v>0.17</v>
      </c>
      <c r="G9" s="251">
        <v>0.41</v>
      </c>
      <c r="H9" s="251">
        <v>0.27</v>
      </c>
      <c r="I9" s="251">
        <f t="shared" si="0"/>
        <v>0.23</v>
      </c>
      <c r="J9" s="251">
        <f t="shared" si="1"/>
        <v>0.14212670403551891</v>
      </c>
      <c r="K9" s="252">
        <f t="shared" si="2"/>
        <v>0.61794219145877782</v>
      </c>
    </row>
    <row r="10" spans="2:11" x14ac:dyDescent="0.3">
      <c r="B10" s="248" t="s">
        <v>175</v>
      </c>
      <c r="C10" s="251">
        <v>0.52</v>
      </c>
      <c r="D10" s="251">
        <v>0.27</v>
      </c>
      <c r="E10" s="251">
        <v>-0.02</v>
      </c>
      <c r="F10" s="251">
        <v>0.32</v>
      </c>
      <c r="G10" s="251">
        <v>0.57999999999999996</v>
      </c>
      <c r="H10" s="251">
        <v>0.42</v>
      </c>
      <c r="I10" s="251">
        <f t="shared" si="0"/>
        <v>0.34833333333333333</v>
      </c>
      <c r="J10" s="251">
        <f t="shared" si="1"/>
        <v>0.2148875675013952</v>
      </c>
      <c r="K10" s="252">
        <f t="shared" si="2"/>
        <v>0.61690210765950781</v>
      </c>
    </row>
    <row r="11" spans="2:11" x14ac:dyDescent="0.3">
      <c r="B11" s="248" t="s">
        <v>83</v>
      </c>
      <c r="C11" s="251">
        <v>0.91200000000000003</v>
      </c>
      <c r="D11" s="251">
        <v>0.46899999999999997</v>
      </c>
      <c r="E11" s="251">
        <v>5.0999999999999997E-2</v>
      </c>
      <c r="F11" s="251">
        <v>0.35099999999999998</v>
      </c>
      <c r="G11" s="251">
        <v>0.81200000000000006</v>
      </c>
      <c r="H11" s="251">
        <v>0.68500000000000005</v>
      </c>
      <c r="I11" s="251">
        <f t="shared" si="0"/>
        <v>0.54666666666666663</v>
      </c>
      <c r="J11" s="251">
        <f t="shared" si="1"/>
        <v>0.32031526137021138</v>
      </c>
      <c r="K11" s="252">
        <f t="shared" si="2"/>
        <v>0.58594255128697204</v>
      </c>
    </row>
    <row r="12" spans="2:11" x14ac:dyDescent="0.3">
      <c r="B12" s="248" t="s">
        <v>85</v>
      </c>
      <c r="C12" s="252">
        <v>0.45600000000000002</v>
      </c>
      <c r="D12" s="252">
        <v>0.23499999999999999</v>
      </c>
      <c r="E12" s="252">
        <v>2.5999999999999999E-2</v>
      </c>
      <c r="F12" s="252">
        <v>0.17499999999999999</v>
      </c>
      <c r="G12" s="252">
        <v>0.40600000000000003</v>
      </c>
      <c r="H12" s="252">
        <v>0.34200000000000003</v>
      </c>
      <c r="I12" s="251">
        <f t="shared" si="0"/>
        <v>0.27333333333333337</v>
      </c>
      <c r="J12" s="251">
        <f t="shared" si="1"/>
        <v>0.15999708330674864</v>
      </c>
      <c r="K12" s="252">
        <f t="shared" si="2"/>
        <v>0.58535518282956811</v>
      </c>
    </row>
    <row r="13" spans="2:11" x14ac:dyDescent="0.3">
      <c r="B13" s="248" t="s">
        <v>79</v>
      </c>
      <c r="C13" s="251">
        <v>0.95</v>
      </c>
      <c r="D13" s="251">
        <v>0.5</v>
      </c>
      <c r="E13" s="251">
        <v>7.0000000000000007E-2</v>
      </c>
      <c r="F13" s="251">
        <v>0.42</v>
      </c>
      <c r="G13" s="251">
        <v>0.87</v>
      </c>
      <c r="H13" s="251">
        <v>0.85</v>
      </c>
      <c r="I13" s="251">
        <f t="shared" si="0"/>
        <v>0.61</v>
      </c>
      <c r="J13" s="251">
        <f t="shared" si="1"/>
        <v>0.34076384784774311</v>
      </c>
      <c r="K13" s="252">
        <f t="shared" si="2"/>
        <v>0.55862925876679204</v>
      </c>
    </row>
    <row r="14" spans="2:11" x14ac:dyDescent="0.3">
      <c r="B14" s="248" t="s">
        <v>167</v>
      </c>
      <c r="C14" s="251">
        <v>3.4163602941176472</v>
      </c>
      <c r="D14" s="251">
        <v>1.7503708412799319</v>
      </c>
      <c r="E14" s="251">
        <v>1.0628676470588234</v>
      </c>
      <c r="F14" s="251">
        <v>1.6088819633813789</v>
      </c>
      <c r="G14" s="251">
        <v>2.5974842767295598</v>
      </c>
      <c r="H14" s="251">
        <v>2.95</v>
      </c>
      <c r="I14" s="251">
        <f t="shared" si="0"/>
        <v>2.2309941704278899</v>
      </c>
      <c r="J14" s="251">
        <f t="shared" si="1"/>
        <v>0.89876795508549645</v>
      </c>
      <c r="K14" s="252">
        <f t="shared" si="2"/>
        <v>0.40285535793807953</v>
      </c>
    </row>
    <row r="15" spans="2:11" x14ac:dyDescent="0.3">
      <c r="B15" s="248" t="s">
        <v>178</v>
      </c>
      <c r="C15" s="251">
        <v>0.42199999999999999</v>
      </c>
      <c r="D15" s="251">
        <v>0.34300000000000003</v>
      </c>
      <c r="E15" s="251">
        <v>0.25800000000000001</v>
      </c>
      <c r="F15" s="251">
        <v>0.33</v>
      </c>
      <c r="G15" s="251">
        <v>0.48399999999999999</v>
      </c>
      <c r="H15" s="251">
        <v>0.36499999999999999</v>
      </c>
      <c r="I15" s="251">
        <f t="shared" si="0"/>
        <v>0.36699999999999999</v>
      </c>
      <c r="J15" s="251">
        <f t="shared" si="1"/>
        <v>7.8158812682895998E-2</v>
      </c>
      <c r="K15" s="252">
        <f t="shared" si="2"/>
        <v>0.21296679205148775</v>
      </c>
    </row>
    <row r="25" spans="2:11" x14ac:dyDescent="0.3">
      <c r="B25" s="248"/>
      <c r="C25" s="245" t="s">
        <v>10</v>
      </c>
      <c r="D25" s="245" t="s">
        <v>11</v>
      </c>
      <c r="E25" s="245" t="s">
        <v>0</v>
      </c>
      <c r="F25" s="249" t="s">
        <v>1</v>
      </c>
      <c r="G25" s="249" t="s">
        <v>2</v>
      </c>
      <c r="H25" s="249" t="s">
        <v>3</v>
      </c>
      <c r="I25" s="245" t="s">
        <v>127</v>
      </c>
      <c r="J25" s="246" t="s">
        <v>179</v>
      </c>
      <c r="K25" s="246" t="s">
        <v>180</v>
      </c>
    </row>
    <row r="26" spans="2:11" ht="24.6" x14ac:dyDescent="0.3">
      <c r="B26" s="250" t="s">
        <v>168</v>
      </c>
      <c r="C26" s="251">
        <v>1.0962176509621764</v>
      </c>
      <c r="D26" s="251">
        <v>2.1305555555555555</v>
      </c>
      <c r="E26" s="251">
        <v>19.504132231404959</v>
      </c>
      <c r="F26" s="251">
        <v>2.8499680102367249</v>
      </c>
      <c r="G26" s="251">
        <v>1.2311023622047246</v>
      </c>
      <c r="H26" s="251">
        <v>1.4603960396039604</v>
      </c>
      <c r="I26" s="251">
        <f>AVERAGE(C26:H26)</f>
        <v>4.7120619749946835</v>
      </c>
      <c r="J26" s="251">
        <f>_xlfn.STDEV.S(C26:H26)</f>
        <v>7.2760106260871336</v>
      </c>
      <c r="K26" s="252">
        <f>J26/I26</f>
        <v>1.5441245604787155</v>
      </c>
    </row>
    <row r="27" spans="2:11" x14ac:dyDescent="0.3">
      <c r="B27" s="250" t="s">
        <v>70</v>
      </c>
      <c r="C27" s="251">
        <v>0.42899999999999999</v>
      </c>
      <c r="D27" s="251">
        <v>0.78600000000000003</v>
      </c>
      <c r="E27" s="251">
        <v>0.997</v>
      </c>
      <c r="F27" s="251">
        <v>0.85299999999999998</v>
      </c>
      <c r="G27" s="251">
        <v>0.52900000000000003</v>
      </c>
      <c r="H27" s="251">
        <v>0.53300000000000003</v>
      </c>
      <c r="I27" s="251">
        <f>AVERAGE(C27:H27)</f>
        <v>0.68783333333333341</v>
      </c>
      <c r="J27" s="251">
        <f>_xlfn.STDEV.S(C27:H27)</f>
        <v>0.22302324243599939</v>
      </c>
      <c r="K27" s="252">
        <f>J27/I27</f>
        <v>0.32424023615604464</v>
      </c>
    </row>
    <row r="28" spans="2:11" ht="24.6" x14ac:dyDescent="0.3">
      <c r="B28" s="250" t="s">
        <v>169</v>
      </c>
      <c r="C28" s="251">
        <v>2.3703703703703702</v>
      </c>
      <c r="D28" s="251">
        <v>2.9165867689357632</v>
      </c>
      <c r="E28" s="251">
        <v>3.8694074969770256</v>
      </c>
      <c r="F28" s="251">
        <v>3.0316447280946681</v>
      </c>
      <c r="G28" s="251">
        <v>2.0669610007358354</v>
      </c>
      <c r="H28" s="251">
        <v>2.7404921700223714</v>
      </c>
      <c r="I28" s="251">
        <f>AVERAGE(C28:H28)</f>
        <v>2.8325770891893391</v>
      </c>
      <c r="J28" s="251">
        <f>_xlfn.STDEV.S(C28:H28)</f>
        <v>0.62128665265267591</v>
      </c>
      <c r="K28" s="252">
        <f>J28/I28</f>
        <v>0.21933618506759975</v>
      </c>
    </row>
    <row r="29" spans="2:11" x14ac:dyDescent="0.3">
      <c r="B29" s="250" t="s">
        <v>40</v>
      </c>
      <c r="C29" s="251">
        <v>1.03</v>
      </c>
      <c r="D29" s="251">
        <v>1.23</v>
      </c>
      <c r="E29" s="251">
        <v>1.39</v>
      </c>
      <c r="F29" s="251">
        <v>1.22</v>
      </c>
      <c r="G29" s="251">
        <v>0.97</v>
      </c>
      <c r="H29" s="251">
        <v>1.1200000000000001</v>
      </c>
      <c r="I29" s="251">
        <f>AVERAGE(C29:H29)</f>
        <v>1.1599999999999999</v>
      </c>
      <c r="J29" s="251">
        <f>_xlfn.STDEV.S(C29:H29)</f>
        <v>0.15231546211727912</v>
      </c>
      <c r="K29" s="252">
        <f>J29/I29</f>
        <v>0.13130643285972338</v>
      </c>
    </row>
    <row r="30" spans="2:11" x14ac:dyDescent="0.3">
      <c r="B30" s="250" t="s">
        <v>89</v>
      </c>
      <c r="C30" s="251">
        <v>0.75</v>
      </c>
      <c r="D30" s="251">
        <v>0.88</v>
      </c>
      <c r="E30" s="251">
        <v>0.99</v>
      </c>
      <c r="F30" s="251">
        <v>0.88</v>
      </c>
      <c r="G30" s="251">
        <v>0.7</v>
      </c>
      <c r="H30" s="251">
        <v>0.81</v>
      </c>
      <c r="I30" s="251">
        <f>AVERAGE(C30:H30)</f>
        <v>0.83499999999999996</v>
      </c>
      <c r="J30" s="251">
        <f>_xlfn.STDEV.S(C30:H30)</f>
        <v>0.10406728592598148</v>
      </c>
      <c r="K30" s="252">
        <f>J30/I30</f>
        <v>0.12463148015087604</v>
      </c>
    </row>
    <row r="37" spans="2:9" x14ac:dyDescent="0.3">
      <c r="B37" s="246"/>
      <c r="C37" s="245" t="s">
        <v>5</v>
      </c>
      <c r="D37" s="245" t="s">
        <v>6</v>
      </c>
      <c r="E37" s="245" t="s">
        <v>7</v>
      </c>
      <c r="F37" s="245" t="s">
        <v>8</v>
      </c>
      <c r="G37" s="245" t="s">
        <v>127</v>
      </c>
      <c r="H37" s="246" t="s">
        <v>179</v>
      </c>
      <c r="I37" s="246" t="s">
        <v>180</v>
      </c>
    </row>
    <row r="38" spans="2:9" x14ac:dyDescent="0.3">
      <c r="B38" s="253" t="s">
        <v>79</v>
      </c>
      <c r="C38" s="254">
        <v>0.49</v>
      </c>
      <c r="D38" s="254">
        <v>0.54</v>
      </c>
      <c r="E38" s="254">
        <v>0.56999999999999995</v>
      </c>
      <c r="F38" s="254">
        <v>0.74</v>
      </c>
      <c r="G38" s="254">
        <f t="shared" ref="G38:G45" si="3">AVERAGE(C38:F38)</f>
        <v>0.58499999999999996</v>
      </c>
      <c r="H38" s="254">
        <f t="shared" ref="H38:H45" si="4">_xlfn.STDEV.S(C38:F38)</f>
        <v>0.10847426730182004</v>
      </c>
      <c r="I38" s="254">
        <f t="shared" ref="I38:I45" si="5">H38/G38</f>
        <v>0.18542609795182913</v>
      </c>
    </row>
    <row r="39" spans="2:9" x14ac:dyDescent="0.3">
      <c r="B39" s="253" t="s">
        <v>84</v>
      </c>
      <c r="C39" s="254">
        <v>0.44523572140720696</v>
      </c>
      <c r="D39" s="254">
        <v>0.30504472415104156</v>
      </c>
      <c r="E39" s="254">
        <v>0.44035512510088781</v>
      </c>
      <c r="F39" s="254">
        <v>0.57612875658738072</v>
      </c>
      <c r="G39" s="254">
        <f t="shared" si="3"/>
        <v>0.44169108181162925</v>
      </c>
      <c r="H39" s="254">
        <f t="shared" si="4"/>
        <v>0.11069487297854934</v>
      </c>
      <c r="I39" s="254">
        <f t="shared" si="5"/>
        <v>0.25061604713530999</v>
      </c>
    </row>
    <row r="40" spans="2:9" x14ac:dyDescent="0.3">
      <c r="B40" s="253" t="s">
        <v>92</v>
      </c>
      <c r="C40" s="254">
        <v>5.2999999999999999E-2</v>
      </c>
      <c r="D40" s="254">
        <v>4.4999999999999998E-2</v>
      </c>
      <c r="E40" s="254">
        <v>8.3000000000000004E-2</v>
      </c>
      <c r="F40" s="254">
        <v>0.123</v>
      </c>
      <c r="G40" s="254">
        <f t="shared" si="3"/>
        <v>7.5999999999999998E-2</v>
      </c>
      <c r="H40" s="254">
        <f t="shared" si="4"/>
        <v>3.5345909711497508E-2</v>
      </c>
      <c r="I40" s="254">
        <f t="shared" si="5"/>
        <v>0.46507775936180934</v>
      </c>
    </row>
    <row r="41" spans="2:9" x14ac:dyDescent="0.3">
      <c r="B41" s="253" t="s">
        <v>172</v>
      </c>
      <c r="C41" s="254">
        <v>8.8999999999999996E-2</v>
      </c>
      <c r="D41" s="254">
        <v>0.189</v>
      </c>
      <c r="E41" s="254">
        <v>0.32400000000000001</v>
      </c>
      <c r="F41" s="254">
        <v>0.38500000000000001</v>
      </c>
      <c r="G41" s="254">
        <f t="shared" si="3"/>
        <v>0.24675000000000002</v>
      </c>
      <c r="H41" s="254">
        <f t="shared" si="4"/>
        <v>0.13329259794402179</v>
      </c>
      <c r="I41" s="254">
        <f t="shared" si="5"/>
        <v>0.54019289946918658</v>
      </c>
    </row>
    <row r="42" spans="2:9" ht="24" x14ac:dyDescent="0.3">
      <c r="B42" s="253" t="s">
        <v>173</v>
      </c>
      <c r="C42" s="254">
        <v>-0.24</v>
      </c>
      <c r="D42" s="254">
        <v>-0.37</v>
      </c>
      <c r="E42" s="254">
        <v>-0.36</v>
      </c>
      <c r="F42" s="254">
        <v>-7.0000000000000007E-2</v>
      </c>
      <c r="G42" s="254">
        <f t="shared" si="3"/>
        <v>-0.26</v>
      </c>
      <c r="H42" s="254">
        <f t="shared" si="4"/>
        <v>0.13976170195491083</v>
      </c>
      <c r="I42" s="254">
        <f t="shared" si="5"/>
        <v>-0.53754500751888779</v>
      </c>
    </row>
    <row r="43" spans="2:9" x14ac:dyDescent="0.3">
      <c r="B43" s="246" t="s">
        <v>138</v>
      </c>
      <c r="C43" s="254">
        <v>4.3999999999999997E-2</v>
      </c>
      <c r="D43" s="254">
        <v>6.0000000000000001E-3</v>
      </c>
      <c r="E43" s="254">
        <v>5.8999999999999997E-2</v>
      </c>
      <c r="F43" s="254">
        <v>7.9000000000000001E-2</v>
      </c>
      <c r="G43" s="254">
        <f t="shared" si="3"/>
        <v>4.7E-2</v>
      </c>
      <c r="H43" s="254">
        <f t="shared" si="4"/>
        <v>3.0865298745786772E-2</v>
      </c>
      <c r="I43" s="254">
        <f t="shared" si="5"/>
        <v>0.65670848395291004</v>
      </c>
    </row>
    <row r="44" spans="2:9" x14ac:dyDescent="0.3">
      <c r="B44" s="253" t="s">
        <v>177</v>
      </c>
      <c r="C44" s="254">
        <v>0.93700000000000006</v>
      </c>
      <c r="D44" s="254">
        <v>0.92800000000000005</v>
      </c>
      <c r="E44" s="254">
        <v>1.147</v>
      </c>
      <c r="F44" s="254">
        <v>1.2310000000000001</v>
      </c>
      <c r="G44" s="254">
        <f t="shared" si="3"/>
        <v>1.0607500000000001</v>
      </c>
      <c r="H44" s="254">
        <f t="shared" si="4"/>
        <v>0.15205344455157813</v>
      </c>
      <c r="I44" s="254">
        <f t="shared" si="5"/>
        <v>0.14334522229703334</v>
      </c>
    </row>
    <row r="45" spans="2:9" x14ac:dyDescent="0.3">
      <c r="B45" s="253" t="s">
        <v>182</v>
      </c>
      <c r="C45" s="248">
        <v>1.69</v>
      </c>
      <c r="D45" s="248">
        <v>2.13</v>
      </c>
      <c r="E45" s="248">
        <v>2.52</v>
      </c>
      <c r="F45" s="248">
        <v>1.93</v>
      </c>
      <c r="G45" s="254">
        <f t="shared" si="3"/>
        <v>2.0674999999999999</v>
      </c>
      <c r="H45" s="254">
        <f t="shared" si="4"/>
        <v>0.35122405004972723</v>
      </c>
      <c r="I45" s="254">
        <f t="shared" si="5"/>
        <v>0.16987862154763109</v>
      </c>
    </row>
    <row r="47" spans="2:9" x14ac:dyDescent="0.3">
      <c r="B47" s="246" t="s">
        <v>176</v>
      </c>
      <c r="C47" s="254">
        <v>0.55000000000000004</v>
      </c>
      <c r="D47" s="254">
        <v>0.35</v>
      </c>
      <c r="E47" s="254">
        <v>0.3</v>
      </c>
      <c r="F47" s="254">
        <v>0.09</v>
      </c>
      <c r="G47" s="254">
        <f>AVERAGE(C47:F47)</f>
        <v>0.32250000000000001</v>
      </c>
      <c r="H47" s="254">
        <f>_xlfn.STDEV.S(C47:F47)</f>
        <v>0.18892238265135938</v>
      </c>
      <c r="I47" s="254">
        <f>H47/G47</f>
        <v>0.5858058376786337</v>
      </c>
    </row>
    <row r="48" spans="2:9" x14ac:dyDescent="0.3">
      <c r="B48" s="246" t="s">
        <v>162</v>
      </c>
      <c r="C48" s="254">
        <v>0.17979999999999999</v>
      </c>
      <c r="D48" s="254">
        <v>1.44E-2</v>
      </c>
      <c r="E48" s="254">
        <v>6.4000000000000003E-3</v>
      </c>
      <c r="F48" s="254">
        <v>-8.8099999999999998E-2</v>
      </c>
      <c r="G48" s="254">
        <f>AVERAGE(C48:F48)</f>
        <v>2.8124999999999994E-2</v>
      </c>
      <c r="H48" s="254">
        <f>_xlfn.STDEV.S(C48:F48)</f>
        <v>0.11131622747829716</v>
      </c>
      <c r="I48" s="254">
        <f>H48/G48</f>
        <v>3.9579103103394555</v>
      </c>
    </row>
    <row r="89" spans="2:9" x14ac:dyDescent="0.3">
      <c r="B89" s="205" t="s">
        <v>81</v>
      </c>
      <c r="C89" s="205" t="s">
        <v>10</v>
      </c>
      <c r="D89" s="205" t="s">
        <v>11</v>
      </c>
      <c r="E89" s="205" t="s">
        <v>0</v>
      </c>
      <c r="F89" s="206" t="s">
        <v>1</v>
      </c>
      <c r="G89" s="206" t="s">
        <v>2</v>
      </c>
      <c r="H89" s="206" t="s">
        <v>3</v>
      </c>
      <c r="I89" s="206" t="s">
        <v>4</v>
      </c>
    </row>
    <row r="90" spans="2:9" x14ac:dyDescent="0.3">
      <c r="B90" s="205" t="s">
        <v>5</v>
      </c>
      <c r="C90" s="255">
        <v>0.22</v>
      </c>
      <c r="D90" s="247" t="s">
        <v>80</v>
      </c>
      <c r="E90" s="247" t="s">
        <v>80</v>
      </c>
      <c r="F90" s="247" t="s">
        <v>80</v>
      </c>
      <c r="G90" s="247" t="s">
        <v>80</v>
      </c>
      <c r="H90" s="247" t="s">
        <v>80</v>
      </c>
      <c r="I90" s="206"/>
    </row>
    <row r="91" spans="2:9" x14ac:dyDescent="0.3">
      <c r="B91" s="205" t="s">
        <v>6</v>
      </c>
      <c r="C91" s="247" t="s">
        <v>80</v>
      </c>
      <c r="D91" s="247" t="s">
        <v>80</v>
      </c>
      <c r="E91" s="247" t="s">
        <v>80</v>
      </c>
      <c r="F91" s="247" t="s">
        <v>80</v>
      </c>
      <c r="G91" s="247" t="s">
        <v>80</v>
      </c>
      <c r="H91" s="247" t="s">
        <v>80</v>
      </c>
      <c r="I91" s="237"/>
    </row>
    <row r="92" spans="2:9" x14ac:dyDescent="0.3">
      <c r="B92" s="205" t="s">
        <v>7</v>
      </c>
      <c r="C92" s="247" t="s">
        <v>80</v>
      </c>
      <c r="D92" s="247" t="s">
        <v>80</v>
      </c>
      <c r="E92" s="247" t="s">
        <v>80</v>
      </c>
      <c r="F92" s="247" t="s">
        <v>80</v>
      </c>
      <c r="G92" s="247">
        <v>1.61</v>
      </c>
      <c r="H92" s="247" t="s">
        <v>80</v>
      </c>
      <c r="I92" s="237"/>
    </row>
    <row r="93" spans="2:9" x14ac:dyDescent="0.3">
      <c r="B93" s="205" t="s">
        <v>8</v>
      </c>
      <c r="C93" s="247" t="s">
        <v>80</v>
      </c>
      <c r="D93" s="247" t="s">
        <v>80</v>
      </c>
      <c r="E93" s="247" t="s">
        <v>80</v>
      </c>
      <c r="F93" s="247" t="s">
        <v>80</v>
      </c>
      <c r="G93" s="247" t="s">
        <v>80</v>
      </c>
      <c r="H93" s="247" t="s">
        <v>80</v>
      </c>
      <c r="I93" s="237"/>
    </row>
    <row r="94" spans="2:9" x14ac:dyDescent="0.3">
      <c r="B94" s="205"/>
      <c r="C94" s="247"/>
      <c r="D94" s="247"/>
      <c r="E94" s="247"/>
      <c r="F94" s="247"/>
      <c r="G94" s="247"/>
      <c r="H94" s="247"/>
      <c r="I94" s="237"/>
    </row>
    <row r="95" spans="2:9" x14ac:dyDescent="0.3">
      <c r="I95" s="237"/>
    </row>
    <row r="100" spans="2:3" x14ac:dyDescent="0.3">
      <c r="B100" s="247" t="s">
        <v>86</v>
      </c>
      <c r="C100" s="247">
        <v>0.25800000000000001</v>
      </c>
    </row>
    <row r="101" spans="2:3" x14ac:dyDescent="0.3">
      <c r="B101" s="247" t="s">
        <v>91</v>
      </c>
      <c r="C101" s="247">
        <v>0.376</v>
      </c>
    </row>
    <row r="102" spans="2:3" x14ac:dyDescent="0.3">
      <c r="B102" s="247" t="s">
        <v>174</v>
      </c>
      <c r="C102" s="247">
        <v>1.69</v>
      </c>
    </row>
  </sheetData>
  <sortState ref="B25:K30">
    <sortCondition descending="1" ref="K21:K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B12" sqref="B12:H18"/>
    </sheetView>
  </sheetViews>
  <sheetFormatPr defaultRowHeight="12" x14ac:dyDescent="0.25"/>
  <cols>
    <col min="1" max="1" width="8.88671875" style="223"/>
    <col min="2" max="2" width="20.33203125" style="223" customWidth="1"/>
    <col min="3" max="4" width="9" style="223" bestFit="1" customWidth="1"/>
    <col min="5" max="5" width="9.6640625" style="223" bestFit="1" customWidth="1"/>
    <col min="6" max="8" width="9" style="223" bestFit="1" customWidth="1"/>
    <col min="9" max="16384" width="8.88671875" style="223"/>
  </cols>
  <sheetData>
    <row r="2" spans="2:9" x14ac:dyDescent="0.25">
      <c r="B2" s="272"/>
      <c r="C2" s="270" t="s">
        <v>10</v>
      </c>
      <c r="D2" s="270" t="s">
        <v>11</v>
      </c>
      <c r="E2" s="272" t="s">
        <v>0</v>
      </c>
      <c r="F2" s="273" t="s">
        <v>1</v>
      </c>
      <c r="G2" s="273" t="s">
        <v>2</v>
      </c>
      <c r="H2" s="273" t="s">
        <v>3</v>
      </c>
      <c r="I2" s="273" t="s">
        <v>4</v>
      </c>
    </row>
    <row r="3" spans="2:9" x14ac:dyDescent="0.25">
      <c r="B3" s="272"/>
      <c r="C3" s="271"/>
      <c r="D3" s="271"/>
      <c r="E3" s="272"/>
      <c r="F3" s="273"/>
      <c r="G3" s="273"/>
      <c r="H3" s="273"/>
      <c r="I3" s="273"/>
    </row>
    <row r="4" spans="2:9" x14ac:dyDescent="0.25">
      <c r="B4" s="199" t="s">
        <v>5</v>
      </c>
      <c r="C4" s="5">
        <v>1</v>
      </c>
      <c r="D4" s="5">
        <v>11</v>
      </c>
      <c r="E4" s="5">
        <v>21</v>
      </c>
      <c r="F4" s="6">
        <v>70</v>
      </c>
      <c r="G4" s="6">
        <v>10</v>
      </c>
      <c r="H4" s="6">
        <v>6</v>
      </c>
      <c r="I4" s="91">
        <v>119</v>
      </c>
    </row>
    <row r="5" spans="2:9" x14ac:dyDescent="0.25">
      <c r="B5" s="199" t="s">
        <v>6</v>
      </c>
      <c r="C5" s="5">
        <v>1</v>
      </c>
      <c r="D5" s="5">
        <v>40</v>
      </c>
      <c r="E5" s="5">
        <v>24</v>
      </c>
      <c r="F5" s="6">
        <v>40</v>
      </c>
      <c r="G5" s="6">
        <v>5</v>
      </c>
      <c r="H5" s="6">
        <v>11</v>
      </c>
      <c r="I5" s="91">
        <v>121</v>
      </c>
    </row>
    <row r="6" spans="2:9" x14ac:dyDescent="0.25">
      <c r="B6" s="199" t="s">
        <v>7</v>
      </c>
      <c r="C6" s="5">
        <v>5</v>
      </c>
      <c r="D6" s="5">
        <v>13</v>
      </c>
      <c r="E6" s="5">
        <v>21</v>
      </c>
      <c r="F6" s="6">
        <v>30</v>
      </c>
      <c r="G6" s="6">
        <v>35</v>
      </c>
      <c r="H6" s="6">
        <v>1</v>
      </c>
      <c r="I6" s="91">
        <v>105</v>
      </c>
    </row>
    <row r="7" spans="2:9" x14ac:dyDescent="0.25">
      <c r="B7" s="199" t="s">
        <v>8</v>
      </c>
      <c r="C7" s="5">
        <v>9</v>
      </c>
      <c r="D7" s="5">
        <v>14</v>
      </c>
      <c r="E7" s="5">
        <v>14</v>
      </c>
      <c r="F7" s="6">
        <v>11</v>
      </c>
      <c r="G7" s="6">
        <v>3</v>
      </c>
      <c r="H7" s="6">
        <v>17</v>
      </c>
      <c r="I7" s="91">
        <v>68</v>
      </c>
    </row>
    <row r="8" spans="2:9" x14ac:dyDescent="0.25">
      <c r="B8" s="199" t="s">
        <v>4</v>
      </c>
      <c r="C8" s="81">
        <v>16</v>
      </c>
      <c r="D8" s="81">
        <v>78</v>
      </c>
      <c r="E8" s="81">
        <v>80</v>
      </c>
      <c r="F8" s="91">
        <v>151</v>
      </c>
      <c r="G8" s="91">
        <v>53</v>
      </c>
      <c r="H8" s="91">
        <v>35</v>
      </c>
      <c r="I8" s="91">
        <v>413</v>
      </c>
    </row>
    <row r="11" spans="2:9" x14ac:dyDescent="0.25">
      <c r="B11" s="136"/>
      <c r="C11" s="136" t="s">
        <v>10</v>
      </c>
      <c r="D11" s="136" t="s">
        <v>11</v>
      </c>
      <c r="E11" s="136" t="s">
        <v>0</v>
      </c>
      <c r="F11" s="136" t="s">
        <v>1</v>
      </c>
      <c r="G11" s="136" t="s">
        <v>2</v>
      </c>
      <c r="H11" s="136" t="s">
        <v>3</v>
      </c>
    </row>
    <row r="12" spans="2:9" ht="23.4" x14ac:dyDescent="0.25">
      <c r="B12" s="224" t="s">
        <v>165</v>
      </c>
      <c r="C12" s="92">
        <v>0.91222760290556915</v>
      </c>
      <c r="D12" s="92">
        <v>0.46936114732724898</v>
      </c>
      <c r="E12" s="92">
        <v>5.1271186440677963E-2</v>
      </c>
      <c r="F12" s="92">
        <v>0.35088113144011668</v>
      </c>
      <c r="G12" s="92">
        <v>0.81228014070994559</v>
      </c>
      <c r="H12" s="92">
        <v>0.68474576271186438</v>
      </c>
    </row>
    <row r="13" spans="2:9" ht="33.6" customHeight="1" x14ac:dyDescent="0.25">
      <c r="B13" s="224" t="s">
        <v>168</v>
      </c>
      <c r="C13" s="92">
        <f>1/C12</f>
        <v>1.0962176509621764</v>
      </c>
      <c r="D13" s="92">
        <f t="shared" ref="D13:G13" si="0">1/D12</f>
        <v>2.1305555555555555</v>
      </c>
      <c r="E13" s="92">
        <f t="shared" si="0"/>
        <v>19.504132231404959</v>
      </c>
      <c r="F13" s="92">
        <f t="shared" si="0"/>
        <v>2.8499680102367249</v>
      </c>
      <c r="G13" s="92">
        <f t="shared" si="0"/>
        <v>1.2311023622047246</v>
      </c>
      <c r="H13" s="92">
        <f>1/H12</f>
        <v>1.4603960396039604</v>
      </c>
    </row>
    <row r="15" spans="2:9" ht="23.4" x14ac:dyDescent="0.25">
      <c r="B15" s="224" t="s">
        <v>166</v>
      </c>
      <c r="C15" s="92">
        <v>0.421875</v>
      </c>
      <c r="D15" s="92">
        <v>0.34286653517422738</v>
      </c>
      <c r="E15" s="92">
        <v>0.25843749999999999</v>
      </c>
      <c r="F15" s="92">
        <v>0.32985395377395732</v>
      </c>
      <c r="G15" s="92">
        <v>0.48380206479174076</v>
      </c>
      <c r="H15" s="92">
        <v>0.36489795918367346</v>
      </c>
    </row>
    <row r="16" spans="2:9" ht="23.4" x14ac:dyDescent="0.25">
      <c r="B16" s="224" t="s">
        <v>169</v>
      </c>
      <c r="C16" s="92">
        <f>1/C15</f>
        <v>2.3703703703703702</v>
      </c>
      <c r="D16" s="92">
        <f t="shared" ref="D16:H16" si="1">1/D15</f>
        <v>2.9165867689357632</v>
      </c>
      <c r="E16" s="92">
        <f t="shared" si="1"/>
        <v>3.8694074969770256</v>
      </c>
      <c r="F16" s="92">
        <f t="shared" si="1"/>
        <v>3.0316447280946681</v>
      </c>
      <c r="G16" s="92">
        <f t="shared" si="1"/>
        <v>2.0669610007358354</v>
      </c>
      <c r="H16" s="92">
        <f t="shared" si="1"/>
        <v>2.7404921700223714</v>
      </c>
    </row>
    <row r="18" spans="2:8" x14ac:dyDescent="0.25">
      <c r="B18" s="136" t="s">
        <v>167</v>
      </c>
      <c r="C18" s="92">
        <v>3.4163602941176472</v>
      </c>
      <c r="D18" s="92">
        <v>1.7503708412799319</v>
      </c>
      <c r="E18" s="92">
        <v>1.0628676470588234</v>
      </c>
      <c r="F18" s="92">
        <v>1.6088819633813789</v>
      </c>
      <c r="G18" s="92">
        <v>2.5974842767295598</v>
      </c>
      <c r="H18" s="92">
        <v>2.95</v>
      </c>
    </row>
  </sheetData>
  <mergeCells count="8">
    <mergeCell ref="H2:H3"/>
    <mergeCell ref="I2:I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8"/>
  <sheetViews>
    <sheetView workbookViewId="0">
      <selection activeCell="E26" sqref="E26"/>
    </sheetView>
  </sheetViews>
  <sheetFormatPr defaultRowHeight="14.4" x14ac:dyDescent="0.3"/>
  <cols>
    <col min="5" max="10" width="9.44140625" bestFit="1" customWidth="1"/>
  </cols>
  <sheetData>
    <row r="2" spans="4:16" ht="15" thickBot="1" x14ac:dyDescent="0.35"/>
    <row r="3" spans="4:16" ht="15" thickBot="1" x14ac:dyDescent="0.35">
      <c r="D3" s="267"/>
      <c r="E3" s="268" t="s">
        <v>10</v>
      </c>
      <c r="F3" s="268" t="s">
        <v>11</v>
      </c>
      <c r="G3" s="267" t="s">
        <v>0</v>
      </c>
      <c r="H3" s="266" t="s">
        <v>1</v>
      </c>
      <c r="I3" s="266" t="s">
        <v>2</v>
      </c>
      <c r="J3" s="266" t="s">
        <v>3</v>
      </c>
      <c r="K3" s="266" t="s">
        <v>4</v>
      </c>
      <c r="L3" s="10"/>
      <c r="M3" s="11"/>
      <c r="N3" s="11"/>
      <c r="O3" s="11"/>
      <c r="P3" s="11"/>
    </row>
    <row r="4" spans="4:16" x14ac:dyDescent="0.3">
      <c r="D4" s="267"/>
      <c r="E4" s="269"/>
      <c r="F4" s="269"/>
      <c r="G4" s="267"/>
      <c r="H4" s="266"/>
      <c r="I4" s="266"/>
      <c r="J4" s="266"/>
      <c r="K4" s="266"/>
    </row>
    <row r="5" spans="4:16" x14ac:dyDescent="0.3">
      <c r="D5" s="2" t="s">
        <v>5</v>
      </c>
      <c r="E5" s="5">
        <v>1</v>
      </c>
      <c r="F5" s="5">
        <v>11</v>
      </c>
      <c r="G5" s="5">
        <v>21</v>
      </c>
      <c r="H5" s="6">
        <v>70</v>
      </c>
      <c r="I5" s="6">
        <v>10</v>
      </c>
      <c r="J5" s="6">
        <v>6</v>
      </c>
      <c r="K5" s="7">
        <v>119</v>
      </c>
      <c r="L5" s="1">
        <f>E5/$E$9</f>
        <v>6.25E-2</v>
      </c>
      <c r="M5" s="1">
        <f>K5/$K$9</f>
        <v>0.28813559322033899</v>
      </c>
      <c r="N5" s="1">
        <f>L5/M5</f>
        <v>0.21691176470588236</v>
      </c>
      <c r="O5" s="1">
        <f>RANK(N5,$N$5:$N$8)</f>
        <v>3</v>
      </c>
      <c r="P5" s="1">
        <f>ABS(N5-$N$9)*O5</f>
        <v>3.1560885847107443</v>
      </c>
    </row>
    <row r="6" spans="4:16" x14ac:dyDescent="0.3">
      <c r="D6" s="2" t="s">
        <v>6</v>
      </c>
      <c r="E6" s="5">
        <v>1</v>
      </c>
      <c r="F6" s="5">
        <v>40</v>
      </c>
      <c r="G6" s="5">
        <v>24</v>
      </c>
      <c r="H6" s="6">
        <v>40</v>
      </c>
      <c r="I6" s="6">
        <v>5</v>
      </c>
      <c r="J6" s="6">
        <v>11</v>
      </c>
      <c r="K6" s="7">
        <v>121</v>
      </c>
      <c r="L6" s="1">
        <f>E6/$E$9</f>
        <v>6.25E-2</v>
      </c>
      <c r="M6" s="1">
        <f t="shared" ref="M6:M7" si="0">K6/$K$9</f>
        <v>0.29297820823244553</v>
      </c>
      <c r="N6" s="1">
        <f t="shared" ref="N6:N7" si="1">L6/M6</f>
        <v>0.21332644628099173</v>
      </c>
      <c r="O6" s="1">
        <f t="shared" ref="O6:O8" si="2">RANK(N6,$N$5:$N$8)</f>
        <v>4</v>
      </c>
      <c r="P6" s="1">
        <f>ABS(N6-$N$9)*O6</f>
        <v>4.2224593866472215</v>
      </c>
    </row>
    <row r="7" spans="4:16" x14ac:dyDescent="0.3">
      <c r="D7" s="2" t="s">
        <v>7</v>
      </c>
      <c r="E7" s="5">
        <v>5</v>
      </c>
      <c r="F7" s="5">
        <v>13</v>
      </c>
      <c r="G7" s="5">
        <v>21</v>
      </c>
      <c r="H7" s="6">
        <v>30</v>
      </c>
      <c r="I7" s="6">
        <v>35</v>
      </c>
      <c r="J7" s="6">
        <v>1</v>
      </c>
      <c r="K7" s="7">
        <v>105</v>
      </c>
      <c r="L7" s="1">
        <f>E7/$E$9</f>
        <v>0.3125</v>
      </c>
      <c r="M7" s="1">
        <f t="shared" si="0"/>
        <v>0.25423728813559321</v>
      </c>
      <c r="N7" s="1">
        <f t="shared" si="1"/>
        <v>1.2291666666666667</v>
      </c>
      <c r="O7" s="1">
        <f t="shared" si="2"/>
        <v>2</v>
      </c>
      <c r="P7" s="1">
        <f>ABS(N7-$N$9)*O7</f>
        <v>7.954925255226053E-2</v>
      </c>
    </row>
    <row r="8" spans="4:16" x14ac:dyDescent="0.3">
      <c r="D8" s="2" t="s">
        <v>8</v>
      </c>
      <c r="E8" s="5">
        <v>9</v>
      </c>
      <c r="F8" s="5">
        <v>14</v>
      </c>
      <c r="G8" s="5">
        <v>14</v>
      </c>
      <c r="H8" s="6">
        <v>11</v>
      </c>
      <c r="I8" s="6">
        <v>3</v>
      </c>
      <c r="J8" s="6">
        <v>17</v>
      </c>
      <c r="K8" s="7">
        <v>68</v>
      </c>
      <c r="L8" s="1">
        <f t="shared" ref="L8" si="3">E8/$E$9</f>
        <v>0.5625</v>
      </c>
      <c r="M8" s="1">
        <f>K8/$K$9</f>
        <v>0.16464891041162227</v>
      </c>
      <c r="N8" s="1">
        <f>L8/M8</f>
        <v>3.4163602941176472</v>
      </c>
      <c r="O8" s="1">
        <f t="shared" si="2"/>
        <v>1</v>
      </c>
      <c r="P8" s="1">
        <f t="shared" ref="P8" si="4">ABS(N8-$N$9)*O8</f>
        <v>2.1474190011748502</v>
      </c>
    </row>
    <row r="9" spans="4:16" x14ac:dyDescent="0.3">
      <c r="D9" s="2" t="s">
        <v>4</v>
      </c>
      <c r="E9" s="8">
        <v>16</v>
      </c>
      <c r="F9" s="8">
        <v>78</v>
      </c>
      <c r="G9" s="8">
        <v>80</v>
      </c>
      <c r="H9" s="7">
        <v>151</v>
      </c>
      <c r="I9" s="7">
        <v>53</v>
      </c>
      <c r="J9" s="7">
        <v>35</v>
      </c>
      <c r="K9" s="7">
        <v>413</v>
      </c>
      <c r="N9" s="1">
        <f>AVERAGE(N5:N8)</f>
        <v>1.268941292942797</v>
      </c>
    </row>
    <row r="10" spans="4:16" x14ac:dyDescent="0.3">
      <c r="E10" s="1">
        <f>E5/$K$5</f>
        <v>8.4033613445378148E-3</v>
      </c>
      <c r="F10" s="1">
        <f>F5/$K$5</f>
        <v>9.2436974789915971E-2</v>
      </c>
      <c r="G10" s="1">
        <f t="shared" ref="G10:J10" si="5">G5/$K$5</f>
        <v>0.17647058823529413</v>
      </c>
      <c r="H10" s="1">
        <f t="shared" si="5"/>
        <v>0.58823529411764708</v>
      </c>
      <c r="I10" s="1">
        <f t="shared" si="5"/>
        <v>8.4033613445378158E-2</v>
      </c>
      <c r="J10" s="1">
        <f t="shared" si="5"/>
        <v>5.0420168067226892E-2</v>
      </c>
    </row>
    <row r="11" spans="4:16" x14ac:dyDescent="0.3">
      <c r="E11" s="1">
        <f>E9/$K$9</f>
        <v>3.8740920096852302E-2</v>
      </c>
      <c r="F11" s="1">
        <f t="shared" ref="F11:J11" si="6">F9/$K$9</f>
        <v>0.18886198547215496</v>
      </c>
      <c r="G11" s="1">
        <f t="shared" si="6"/>
        <v>0.1937046004842615</v>
      </c>
      <c r="H11" s="1">
        <f t="shared" si="6"/>
        <v>0.36561743341404357</v>
      </c>
      <c r="I11" s="1">
        <f t="shared" si="6"/>
        <v>0.12832929782082325</v>
      </c>
      <c r="J11" s="1">
        <f t="shared" si="6"/>
        <v>8.4745762711864403E-2</v>
      </c>
    </row>
    <row r="12" spans="4:16" x14ac:dyDescent="0.3">
      <c r="E12" s="1">
        <f>E10/E11</f>
        <v>0.21691176470588233</v>
      </c>
      <c r="F12" s="1">
        <f>F10/F11</f>
        <v>0.48944193061840124</v>
      </c>
      <c r="G12" s="1">
        <f t="shared" ref="G12:J12" si="7">G10/G11</f>
        <v>0.91102941176470598</v>
      </c>
      <c r="H12" s="1">
        <f t="shared" si="7"/>
        <v>1.6088819633813791</v>
      </c>
      <c r="I12" s="1">
        <f t="shared" si="7"/>
        <v>0.65482796892341844</v>
      </c>
      <c r="J12" s="1">
        <f t="shared" si="7"/>
        <v>0.59495798319327731</v>
      </c>
      <c r="K12" s="9">
        <f>AVERAGE(E12:J12)</f>
        <v>0.74600850376451078</v>
      </c>
    </row>
    <row r="13" spans="4:16" x14ac:dyDescent="0.3">
      <c r="E13">
        <f>RANK(E12,$E$12:$J$12)</f>
        <v>6</v>
      </c>
      <c r="F13">
        <f t="shared" ref="F13:J13" si="8">RANK(F12,$E$12:$J$12)</f>
        <v>5</v>
      </c>
      <c r="G13">
        <f t="shared" si="8"/>
        <v>2</v>
      </c>
      <c r="H13">
        <f t="shared" si="8"/>
        <v>1</v>
      </c>
      <c r="I13">
        <f t="shared" si="8"/>
        <v>3</v>
      </c>
      <c r="J13">
        <f t="shared" si="8"/>
        <v>4</v>
      </c>
    </row>
    <row r="14" spans="4:16" x14ac:dyDescent="0.3">
      <c r="E14" s="1">
        <f>ABS(E12-$K$12)*E13</f>
        <v>3.1745804343517703</v>
      </c>
      <c r="F14" s="1">
        <f t="shared" ref="F14:J14" si="9">ABS(F12-$K$12)*F13</f>
        <v>1.2828328657305477</v>
      </c>
      <c r="G14" s="1">
        <f t="shared" si="9"/>
        <v>0.3300418160003904</v>
      </c>
      <c r="H14" s="1">
        <f t="shared" si="9"/>
        <v>0.86287345961686834</v>
      </c>
      <c r="I14" s="1">
        <f t="shared" si="9"/>
        <v>0.27354160452327703</v>
      </c>
      <c r="J14" s="1">
        <f t="shared" si="9"/>
        <v>0.60420208228493388</v>
      </c>
    </row>
    <row r="17" spans="5:7" x14ac:dyDescent="0.3">
      <c r="E17" t="s">
        <v>12</v>
      </c>
      <c r="F17" s="1">
        <f>SUM(E14:J14)*2/(6*6*K12)</f>
        <v>0.48614818654254283</v>
      </c>
      <c r="G17" t="s">
        <v>171</v>
      </c>
    </row>
    <row r="18" spans="5:7" x14ac:dyDescent="0.3">
      <c r="E18" t="s">
        <v>13</v>
      </c>
      <c r="F18" s="1">
        <f>SUM(P5:P8)*2/(4*4*N9)</f>
        <v>0.94621361509256263</v>
      </c>
      <c r="G18" t="s">
        <v>170</v>
      </c>
    </row>
  </sheetData>
  <mergeCells count="8">
    <mergeCell ref="J3:J4"/>
    <mergeCell ref="K3:K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33"/>
  <sheetViews>
    <sheetView workbookViewId="0">
      <selection activeCell="G33" sqref="G33"/>
    </sheetView>
  </sheetViews>
  <sheetFormatPr defaultRowHeight="12" x14ac:dyDescent="0.25"/>
  <cols>
    <col min="1" max="16384" width="8.88671875" style="112"/>
  </cols>
  <sheetData>
    <row r="3" spans="3:10" x14ac:dyDescent="0.25">
      <c r="C3" s="272"/>
      <c r="D3" s="270" t="s">
        <v>10</v>
      </c>
      <c r="E3" s="270" t="s">
        <v>11</v>
      </c>
      <c r="F3" s="272" t="s">
        <v>0</v>
      </c>
      <c r="G3" s="273" t="s">
        <v>1</v>
      </c>
      <c r="H3" s="273" t="s">
        <v>2</v>
      </c>
      <c r="I3" s="273" t="s">
        <v>3</v>
      </c>
      <c r="J3" s="273" t="s">
        <v>4</v>
      </c>
    </row>
    <row r="4" spans="3:10" x14ac:dyDescent="0.25">
      <c r="C4" s="272"/>
      <c r="D4" s="271"/>
      <c r="E4" s="271"/>
      <c r="F4" s="272"/>
      <c r="G4" s="273"/>
      <c r="H4" s="273"/>
      <c r="I4" s="273"/>
      <c r="J4" s="273"/>
    </row>
    <row r="5" spans="3:10" x14ac:dyDescent="0.25">
      <c r="C5" s="110" t="s">
        <v>5</v>
      </c>
      <c r="D5" s="5">
        <v>1</v>
      </c>
      <c r="E5" s="5">
        <v>11</v>
      </c>
      <c r="F5" s="5">
        <v>21</v>
      </c>
      <c r="G5" s="6">
        <v>70</v>
      </c>
      <c r="H5" s="6">
        <v>10</v>
      </c>
      <c r="I5" s="6">
        <v>6</v>
      </c>
      <c r="J5" s="91">
        <v>119</v>
      </c>
    </row>
    <row r="6" spans="3:10" x14ac:dyDescent="0.25">
      <c r="C6" s="110" t="s">
        <v>6</v>
      </c>
      <c r="D6" s="5">
        <v>1</v>
      </c>
      <c r="E6" s="5">
        <v>40</v>
      </c>
      <c r="F6" s="5">
        <v>24</v>
      </c>
      <c r="G6" s="6">
        <v>40</v>
      </c>
      <c r="H6" s="6">
        <v>5</v>
      </c>
      <c r="I6" s="6">
        <v>11</v>
      </c>
      <c r="J6" s="91">
        <v>121</v>
      </c>
    </row>
    <row r="7" spans="3:10" x14ac:dyDescent="0.25">
      <c r="C7" s="110" t="s">
        <v>7</v>
      </c>
      <c r="D7" s="5">
        <v>5</v>
      </c>
      <c r="E7" s="5">
        <v>13</v>
      </c>
      <c r="F7" s="5">
        <v>21</v>
      </c>
      <c r="G7" s="6">
        <v>30</v>
      </c>
      <c r="H7" s="6">
        <v>35</v>
      </c>
      <c r="I7" s="6">
        <v>1</v>
      </c>
      <c r="J7" s="91">
        <v>105</v>
      </c>
    </row>
    <row r="8" spans="3:10" x14ac:dyDescent="0.25">
      <c r="C8" s="110" t="s">
        <v>8</v>
      </c>
      <c r="D8" s="5">
        <v>9</v>
      </c>
      <c r="E8" s="5">
        <v>14</v>
      </c>
      <c r="F8" s="5">
        <v>14</v>
      </c>
      <c r="G8" s="6">
        <v>11</v>
      </c>
      <c r="H8" s="6">
        <v>3</v>
      </c>
      <c r="I8" s="6">
        <v>17</v>
      </c>
      <c r="J8" s="91">
        <v>68</v>
      </c>
    </row>
    <row r="9" spans="3:10" x14ac:dyDescent="0.25">
      <c r="C9" s="110" t="s">
        <v>4</v>
      </c>
      <c r="D9" s="81">
        <v>16</v>
      </c>
      <c r="E9" s="81">
        <v>78</v>
      </c>
      <c r="F9" s="81">
        <v>80</v>
      </c>
      <c r="G9" s="91">
        <v>151</v>
      </c>
      <c r="H9" s="91">
        <v>53</v>
      </c>
      <c r="I9" s="91">
        <v>35</v>
      </c>
      <c r="J9" s="91">
        <v>413</v>
      </c>
    </row>
    <row r="12" spans="3:10" x14ac:dyDescent="0.25">
      <c r="C12" s="275" t="s">
        <v>93</v>
      </c>
      <c r="D12" s="270" t="s">
        <v>10</v>
      </c>
      <c r="E12" s="270" t="s">
        <v>11</v>
      </c>
      <c r="F12" s="272" t="s">
        <v>0</v>
      </c>
      <c r="G12" s="273" t="s">
        <v>1</v>
      </c>
      <c r="H12" s="273" t="s">
        <v>2</v>
      </c>
      <c r="I12" s="273" t="s">
        <v>3</v>
      </c>
      <c r="J12" s="273" t="s">
        <v>4</v>
      </c>
    </row>
    <row r="13" spans="3:10" x14ac:dyDescent="0.25">
      <c r="C13" s="276"/>
      <c r="D13" s="271"/>
      <c r="E13" s="271"/>
      <c r="F13" s="272"/>
      <c r="G13" s="273"/>
      <c r="H13" s="273"/>
      <c r="I13" s="273"/>
      <c r="J13" s="273"/>
    </row>
    <row r="14" spans="3:10" x14ac:dyDescent="0.25">
      <c r="C14" s="110" t="s">
        <v>5</v>
      </c>
      <c r="D14" s="106">
        <f>(D5/D$9)/(D$9/$J$9)</f>
        <v>1.61328125</v>
      </c>
      <c r="E14" s="106">
        <f t="shared" ref="E14:I14" si="0">(E5/E$9)/(E$9/$J$9)</f>
        <v>0.74671268902038135</v>
      </c>
      <c r="F14" s="106">
        <f t="shared" si="0"/>
        <v>1.3551562500000001</v>
      </c>
      <c r="G14" s="106">
        <f t="shared" si="0"/>
        <v>1.267926845313802</v>
      </c>
      <c r="H14" s="106">
        <f t="shared" si="0"/>
        <v>1.4702741189035244</v>
      </c>
      <c r="I14" s="106">
        <f t="shared" si="0"/>
        <v>2.0228571428571431</v>
      </c>
      <c r="J14" s="91"/>
    </row>
    <row r="15" spans="3:10" x14ac:dyDescent="0.25">
      <c r="C15" s="110" t="s">
        <v>6</v>
      </c>
      <c r="D15" s="106">
        <f t="shared" ref="D15:I15" si="1">(D6/D$9)/(D$9/$J$9)</f>
        <v>1.61328125</v>
      </c>
      <c r="E15" s="106">
        <f t="shared" si="1"/>
        <v>2.715318869165023</v>
      </c>
      <c r="F15" s="106">
        <f t="shared" si="1"/>
        <v>1.5487500000000001</v>
      </c>
      <c r="G15" s="106">
        <f t="shared" si="1"/>
        <v>0.72452962589360126</v>
      </c>
      <c r="H15" s="106">
        <f t="shared" si="1"/>
        <v>0.73513705945176222</v>
      </c>
      <c r="I15" s="106">
        <f t="shared" si="1"/>
        <v>3.7085714285714286</v>
      </c>
      <c r="J15" s="91"/>
    </row>
    <row r="16" spans="3:10" x14ac:dyDescent="0.25">
      <c r="C16" s="110" t="s">
        <v>7</v>
      </c>
      <c r="D16" s="106">
        <f t="shared" ref="D16:I16" si="2">(D7/D$9)/(D$9/$J$9)</f>
        <v>8.06640625</v>
      </c>
      <c r="E16" s="106">
        <f t="shared" si="2"/>
        <v>0.88247863247863245</v>
      </c>
      <c r="F16" s="106">
        <f t="shared" si="2"/>
        <v>1.3551562500000001</v>
      </c>
      <c r="G16" s="106">
        <f t="shared" si="2"/>
        <v>0.54339721942020081</v>
      </c>
      <c r="H16" s="106">
        <f t="shared" si="2"/>
        <v>5.1459594161623352</v>
      </c>
      <c r="I16" s="106">
        <f t="shared" si="2"/>
        <v>0.33714285714285713</v>
      </c>
      <c r="J16" s="91"/>
    </row>
    <row r="17" spans="2:36" x14ac:dyDescent="0.25">
      <c r="C17" s="110" t="s">
        <v>8</v>
      </c>
      <c r="D17" s="106">
        <f t="shared" ref="D17:I17" si="3">(D8/D$9)/(D$9/$J$9)</f>
        <v>14.51953125</v>
      </c>
      <c r="E17" s="106">
        <f t="shared" si="3"/>
        <v>0.95036160420775806</v>
      </c>
      <c r="F17" s="106">
        <f t="shared" si="3"/>
        <v>0.9034375</v>
      </c>
      <c r="G17" s="106">
        <f t="shared" si="3"/>
        <v>0.19924564712074033</v>
      </c>
      <c r="H17" s="106">
        <f t="shared" si="3"/>
        <v>0.44108223567105731</v>
      </c>
      <c r="I17" s="106">
        <f t="shared" si="3"/>
        <v>5.7314285714285713</v>
      </c>
      <c r="J17" s="91"/>
    </row>
    <row r="18" spans="2:36" x14ac:dyDescent="0.25">
      <c r="C18" s="110" t="s">
        <v>4</v>
      </c>
      <c r="D18" s="81"/>
      <c r="E18" s="81"/>
      <c r="F18" s="81"/>
      <c r="G18" s="91"/>
      <c r="H18" s="91"/>
      <c r="I18" s="91"/>
      <c r="J18" s="91"/>
    </row>
    <row r="20" spans="2:36" x14ac:dyDescent="0.25">
      <c r="B20" s="274" t="s">
        <v>98</v>
      </c>
      <c r="C20" s="274"/>
      <c r="D20" s="130">
        <v>1.61328125</v>
      </c>
      <c r="E20" s="130">
        <v>0.74671268902038135</v>
      </c>
      <c r="F20" s="130">
        <v>1.3551562500000001</v>
      </c>
      <c r="G20" s="130">
        <v>1.267926845313802</v>
      </c>
      <c r="H20" s="130">
        <v>1.4702741189035244</v>
      </c>
      <c r="I20" s="130">
        <v>2.0228571428571431</v>
      </c>
      <c r="K20" s="274" t="s">
        <v>103</v>
      </c>
      <c r="L20" s="274"/>
      <c r="M20" s="130">
        <v>1.61328125</v>
      </c>
      <c r="N20" s="130">
        <v>2.715318869165023</v>
      </c>
      <c r="O20" s="130">
        <v>1.5487500000000001</v>
      </c>
      <c r="P20" s="130">
        <v>0.72452962589360126</v>
      </c>
      <c r="Q20" s="130">
        <v>0.73513705945176222</v>
      </c>
      <c r="R20" s="130">
        <v>3.7085714285714286</v>
      </c>
      <c r="T20" s="274" t="s">
        <v>104</v>
      </c>
      <c r="U20" s="274"/>
      <c r="V20" s="130">
        <v>8.06640625</v>
      </c>
      <c r="W20" s="130">
        <v>0.88247863247863245</v>
      </c>
      <c r="X20" s="130">
        <v>1.3551562500000001</v>
      </c>
      <c r="Y20" s="130">
        <v>0.54339721942020081</v>
      </c>
      <c r="Z20" s="130">
        <v>5.1459594161623352</v>
      </c>
      <c r="AA20" s="130">
        <v>0.33714285714285713</v>
      </c>
      <c r="AC20" s="274" t="s">
        <v>104</v>
      </c>
      <c r="AD20" s="274"/>
      <c r="AE20" s="130">
        <v>14.51953125</v>
      </c>
      <c r="AF20" s="130">
        <v>0.95036160420775806</v>
      </c>
      <c r="AG20" s="130">
        <v>0.9034375</v>
      </c>
      <c r="AH20" s="130">
        <v>0.19924564712074033</v>
      </c>
      <c r="AI20" s="130">
        <v>0.44108223567105731</v>
      </c>
      <c r="AJ20" s="130">
        <v>5.7314285714285713</v>
      </c>
    </row>
    <row r="21" spans="2:36" x14ac:dyDescent="0.25">
      <c r="B21" s="274"/>
      <c r="C21" s="274"/>
      <c r="D21" s="110" t="s">
        <v>10</v>
      </c>
      <c r="E21" s="110" t="s">
        <v>11</v>
      </c>
      <c r="F21" s="110" t="s">
        <v>0</v>
      </c>
      <c r="G21" s="109" t="s">
        <v>1</v>
      </c>
      <c r="H21" s="109" t="s">
        <v>2</v>
      </c>
      <c r="I21" s="109" t="s">
        <v>3</v>
      </c>
      <c r="K21" s="274"/>
      <c r="L21" s="274"/>
      <c r="M21" s="110" t="s">
        <v>10</v>
      </c>
      <c r="N21" s="110" t="s">
        <v>11</v>
      </c>
      <c r="O21" s="110" t="s">
        <v>0</v>
      </c>
      <c r="P21" s="109" t="s">
        <v>1</v>
      </c>
      <c r="Q21" s="109" t="s">
        <v>2</v>
      </c>
      <c r="R21" s="109" t="s">
        <v>3</v>
      </c>
      <c r="T21" s="274"/>
      <c r="U21" s="274"/>
      <c r="V21" s="110" t="s">
        <v>10</v>
      </c>
      <c r="W21" s="110" t="s">
        <v>11</v>
      </c>
      <c r="X21" s="110" t="s">
        <v>0</v>
      </c>
      <c r="Y21" s="109" t="s">
        <v>1</v>
      </c>
      <c r="Z21" s="109" t="s">
        <v>2</v>
      </c>
      <c r="AA21" s="109" t="s">
        <v>3</v>
      </c>
      <c r="AC21" s="274"/>
      <c r="AD21" s="274"/>
      <c r="AE21" s="110" t="s">
        <v>10</v>
      </c>
      <c r="AF21" s="110" t="s">
        <v>11</v>
      </c>
      <c r="AG21" s="110" t="s">
        <v>0</v>
      </c>
      <c r="AH21" s="109" t="s">
        <v>1</v>
      </c>
      <c r="AI21" s="109" t="s">
        <v>2</v>
      </c>
      <c r="AJ21" s="109" t="s">
        <v>3</v>
      </c>
    </row>
    <row r="22" spans="2:36" x14ac:dyDescent="0.25">
      <c r="B22" s="130">
        <v>1.61328125</v>
      </c>
      <c r="C22" s="110" t="s">
        <v>10</v>
      </c>
      <c r="D22" s="131">
        <f>ABS(D$20-$B22)</f>
        <v>0</v>
      </c>
      <c r="E22" s="131">
        <f t="shared" ref="E22:I27" si="4">ABS(E$20-$B22)</f>
        <v>0.86656856097961865</v>
      </c>
      <c r="F22" s="131">
        <f t="shared" si="4"/>
        <v>0.25812499999999994</v>
      </c>
      <c r="G22" s="131">
        <f t="shared" si="4"/>
        <v>0.34535440468619805</v>
      </c>
      <c r="H22" s="131">
        <f t="shared" si="4"/>
        <v>0.14300713109647556</v>
      </c>
      <c r="I22" s="131">
        <f t="shared" si="4"/>
        <v>0.40957589285714313</v>
      </c>
      <c r="K22" s="130">
        <v>1.61328125</v>
      </c>
      <c r="L22" s="110" t="s">
        <v>10</v>
      </c>
      <c r="M22" s="131">
        <f>ABS(M$20-$K22)</f>
        <v>0</v>
      </c>
      <c r="N22" s="131">
        <f t="shared" ref="N22:R27" si="5">ABS(N$20-$K22)</f>
        <v>1.102037619165023</v>
      </c>
      <c r="O22" s="131">
        <f t="shared" si="5"/>
        <v>6.4531249999999929E-2</v>
      </c>
      <c r="P22" s="131">
        <f t="shared" si="5"/>
        <v>0.88875162410639874</v>
      </c>
      <c r="Q22" s="131">
        <f t="shared" si="5"/>
        <v>0.87814419054823778</v>
      </c>
      <c r="R22" s="131">
        <f t="shared" si="5"/>
        <v>2.0952901785714286</v>
      </c>
      <c r="T22" s="130">
        <v>8.06640625</v>
      </c>
      <c r="U22" s="110" t="s">
        <v>10</v>
      </c>
      <c r="V22" s="131">
        <f>ABS(V$20-$T22)</f>
        <v>0</v>
      </c>
      <c r="W22" s="131">
        <f t="shared" ref="W22:AA27" si="6">ABS(W$20-$T22)</f>
        <v>7.183927617521368</v>
      </c>
      <c r="X22" s="131">
        <f t="shared" si="6"/>
        <v>6.7112499999999997</v>
      </c>
      <c r="Y22" s="131">
        <f t="shared" si="6"/>
        <v>7.5230090305797992</v>
      </c>
      <c r="Z22" s="131">
        <f t="shared" si="6"/>
        <v>2.9204468338376648</v>
      </c>
      <c r="AA22" s="131">
        <f t="shared" si="6"/>
        <v>7.7292633928571428</v>
      </c>
      <c r="AC22" s="130">
        <v>14.51953125</v>
      </c>
      <c r="AD22" s="110" t="s">
        <v>10</v>
      </c>
      <c r="AE22" s="131">
        <f>ABS(AE$20-$AC22)</f>
        <v>0</v>
      </c>
      <c r="AF22" s="131">
        <f t="shared" ref="AF22:AJ27" si="7">ABS(AF$20-$AC22)</f>
        <v>13.569169645792241</v>
      </c>
      <c r="AG22" s="131">
        <f t="shared" si="7"/>
        <v>13.616093749999999</v>
      </c>
      <c r="AH22" s="131">
        <f t="shared" si="7"/>
        <v>14.32028560287926</v>
      </c>
      <c r="AI22" s="131">
        <f t="shared" si="7"/>
        <v>14.078449014328942</v>
      </c>
      <c r="AJ22" s="131">
        <f t="shared" si="7"/>
        <v>8.7881026785714287</v>
      </c>
    </row>
    <row r="23" spans="2:36" x14ac:dyDescent="0.25">
      <c r="B23" s="130">
        <v>0.74671268902038135</v>
      </c>
      <c r="C23" s="110" t="s">
        <v>11</v>
      </c>
      <c r="D23" s="131">
        <f t="shared" ref="D23:D27" si="8">ABS(D$20-$B23)</f>
        <v>0.86656856097961865</v>
      </c>
      <c r="E23" s="131">
        <f t="shared" si="4"/>
        <v>0</v>
      </c>
      <c r="F23" s="131">
        <f t="shared" si="4"/>
        <v>0.60844356097961871</v>
      </c>
      <c r="G23" s="131">
        <f t="shared" si="4"/>
        <v>0.52121415629342061</v>
      </c>
      <c r="H23" s="131">
        <f t="shared" si="4"/>
        <v>0.72356142988314309</v>
      </c>
      <c r="I23" s="131">
        <f t="shared" si="4"/>
        <v>1.2761444538367619</v>
      </c>
      <c r="K23" s="130">
        <v>2.715318869165023</v>
      </c>
      <c r="L23" s="110" t="s">
        <v>11</v>
      </c>
      <c r="M23" s="131">
        <f t="shared" ref="M23:M27" si="9">ABS(M$20-$K23)</f>
        <v>1.102037619165023</v>
      </c>
      <c r="N23" s="131">
        <f t="shared" si="5"/>
        <v>0</v>
      </c>
      <c r="O23" s="131">
        <f t="shared" si="5"/>
        <v>1.1665688691650229</v>
      </c>
      <c r="P23" s="131">
        <f t="shared" si="5"/>
        <v>1.9907892432714216</v>
      </c>
      <c r="Q23" s="131">
        <f t="shared" si="5"/>
        <v>1.9801818097132609</v>
      </c>
      <c r="R23" s="131">
        <f t="shared" si="5"/>
        <v>0.99325255940640567</v>
      </c>
      <c r="T23" s="130">
        <v>0.88247863247863245</v>
      </c>
      <c r="U23" s="110" t="s">
        <v>11</v>
      </c>
      <c r="V23" s="131">
        <f t="shared" ref="V23:V27" si="10">ABS(V$20-$T23)</f>
        <v>7.183927617521368</v>
      </c>
      <c r="W23" s="131">
        <f t="shared" si="6"/>
        <v>0</v>
      </c>
      <c r="X23" s="131">
        <f t="shared" si="6"/>
        <v>0.47267761752136761</v>
      </c>
      <c r="Y23" s="131">
        <f t="shared" si="6"/>
        <v>0.33908141305843165</v>
      </c>
      <c r="Z23" s="131">
        <f t="shared" si="6"/>
        <v>4.2634807836837023</v>
      </c>
      <c r="AA23" s="131">
        <f t="shared" si="6"/>
        <v>0.54533577533577526</v>
      </c>
      <c r="AC23" s="130">
        <v>0.95036160420775806</v>
      </c>
      <c r="AD23" s="110" t="s">
        <v>11</v>
      </c>
      <c r="AE23" s="131">
        <f t="shared" ref="AE23:AE27" si="11">ABS(AE$20-$AC23)</f>
        <v>13.569169645792241</v>
      </c>
      <c r="AF23" s="131">
        <f t="shared" si="7"/>
        <v>0</v>
      </c>
      <c r="AG23" s="131">
        <f t="shared" si="7"/>
        <v>4.6924104207758055E-2</v>
      </c>
      <c r="AH23" s="131">
        <f t="shared" si="7"/>
        <v>0.75111595708701773</v>
      </c>
      <c r="AI23" s="131">
        <f t="shared" si="7"/>
        <v>0.50927936853670075</v>
      </c>
      <c r="AJ23" s="131">
        <f t="shared" si="7"/>
        <v>4.7810669672208128</v>
      </c>
    </row>
    <row r="24" spans="2:36" x14ac:dyDescent="0.25">
      <c r="B24" s="130">
        <v>1.3551562500000001</v>
      </c>
      <c r="C24" s="110" t="s">
        <v>0</v>
      </c>
      <c r="D24" s="131">
        <f t="shared" si="8"/>
        <v>0.25812499999999994</v>
      </c>
      <c r="E24" s="131">
        <f t="shared" si="4"/>
        <v>0.60844356097961871</v>
      </c>
      <c r="F24" s="131">
        <f t="shared" si="4"/>
        <v>0</v>
      </c>
      <c r="G24" s="131">
        <f t="shared" si="4"/>
        <v>8.7229404686198109E-2</v>
      </c>
      <c r="H24" s="131">
        <f t="shared" si="4"/>
        <v>0.11511786890352438</v>
      </c>
      <c r="I24" s="131">
        <f t="shared" si="4"/>
        <v>0.66770089285714307</v>
      </c>
      <c r="K24" s="130">
        <v>1.5487500000000001</v>
      </c>
      <c r="L24" s="110" t="s">
        <v>0</v>
      </c>
      <c r="M24" s="131">
        <f t="shared" si="9"/>
        <v>6.4531249999999929E-2</v>
      </c>
      <c r="N24" s="131">
        <f t="shared" si="5"/>
        <v>1.1665688691650229</v>
      </c>
      <c r="O24" s="131">
        <f t="shared" si="5"/>
        <v>0</v>
      </c>
      <c r="P24" s="131">
        <f t="shared" si="5"/>
        <v>0.82422037410639881</v>
      </c>
      <c r="Q24" s="131">
        <f t="shared" si="5"/>
        <v>0.81361294054823785</v>
      </c>
      <c r="R24" s="131">
        <f t="shared" si="5"/>
        <v>2.1598214285714286</v>
      </c>
      <c r="T24" s="130">
        <v>1.3551562500000001</v>
      </c>
      <c r="U24" s="110" t="s">
        <v>0</v>
      </c>
      <c r="V24" s="131">
        <f t="shared" si="10"/>
        <v>6.7112499999999997</v>
      </c>
      <c r="W24" s="131">
        <f t="shared" si="6"/>
        <v>0.47267761752136761</v>
      </c>
      <c r="X24" s="131">
        <f t="shared" si="6"/>
        <v>0</v>
      </c>
      <c r="Y24" s="131">
        <f t="shared" si="6"/>
        <v>0.81175903057979926</v>
      </c>
      <c r="Z24" s="131">
        <f t="shared" si="6"/>
        <v>3.7908031661623349</v>
      </c>
      <c r="AA24" s="131">
        <f t="shared" si="6"/>
        <v>1.0180133928571429</v>
      </c>
      <c r="AC24" s="130">
        <v>0.9034375</v>
      </c>
      <c r="AD24" s="110" t="s">
        <v>0</v>
      </c>
      <c r="AE24" s="131">
        <f t="shared" si="11"/>
        <v>13.616093749999999</v>
      </c>
      <c r="AF24" s="131">
        <f t="shared" si="7"/>
        <v>4.6924104207758055E-2</v>
      </c>
      <c r="AG24" s="131">
        <f t="shared" si="7"/>
        <v>0</v>
      </c>
      <c r="AH24" s="131">
        <f t="shared" si="7"/>
        <v>0.70419185287925967</v>
      </c>
      <c r="AI24" s="131">
        <f t="shared" si="7"/>
        <v>0.46235526432894269</v>
      </c>
      <c r="AJ24" s="131">
        <f t="shared" si="7"/>
        <v>4.8279910714285714</v>
      </c>
    </row>
    <row r="25" spans="2:36" x14ac:dyDescent="0.25">
      <c r="B25" s="130">
        <v>1.267926845313802</v>
      </c>
      <c r="C25" s="109" t="s">
        <v>1</v>
      </c>
      <c r="D25" s="131">
        <f t="shared" si="8"/>
        <v>0.34535440468619805</v>
      </c>
      <c r="E25" s="131">
        <f t="shared" si="4"/>
        <v>0.52121415629342061</v>
      </c>
      <c r="F25" s="131">
        <f t="shared" si="4"/>
        <v>8.7229404686198109E-2</v>
      </c>
      <c r="G25" s="131">
        <f t="shared" si="4"/>
        <v>0</v>
      </c>
      <c r="H25" s="131">
        <f t="shared" si="4"/>
        <v>0.20234727358972249</v>
      </c>
      <c r="I25" s="131">
        <f t="shared" si="4"/>
        <v>0.75493029754334118</v>
      </c>
      <c r="K25" s="130">
        <v>0.72452962589360126</v>
      </c>
      <c r="L25" s="109" t="s">
        <v>1</v>
      </c>
      <c r="M25" s="131">
        <f t="shared" si="9"/>
        <v>0.88875162410639874</v>
      </c>
      <c r="N25" s="131">
        <f t="shared" si="5"/>
        <v>1.9907892432714216</v>
      </c>
      <c r="O25" s="131">
        <f t="shared" si="5"/>
        <v>0.82422037410639881</v>
      </c>
      <c r="P25" s="131">
        <f t="shared" si="5"/>
        <v>0</v>
      </c>
      <c r="Q25" s="131">
        <f t="shared" si="5"/>
        <v>1.0607433558160961E-2</v>
      </c>
      <c r="R25" s="131">
        <f t="shared" si="5"/>
        <v>2.9840418026778273</v>
      </c>
      <c r="T25" s="130">
        <v>0.54339721942020081</v>
      </c>
      <c r="U25" s="109" t="s">
        <v>1</v>
      </c>
      <c r="V25" s="131">
        <f t="shared" si="10"/>
        <v>7.5230090305797992</v>
      </c>
      <c r="W25" s="131">
        <f t="shared" si="6"/>
        <v>0.33908141305843165</v>
      </c>
      <c r="X25" s="131">
        <f t="shared" si="6"/>
        <v>0.81175903057979926</v>
      </c>
      <c r="Y25" s="131">
        <f t="shared" si="6"/>
        <v>0</v>
      </c>
      <c r="Z25" s="131">
        <f t="shared" si="6"/>
        <v>4.6025621967421344</v>
      </c>
      <c r="AA25" s="131">
        <f t="shared" si="6"/>
        <v>0.20625436227734367</v>
      </c>
      <c r="AC25" s="130">
        <v>0.19924564712074033</v>
      </c>
      <c r="AD25" s="109" t="s">
        <v>1</v>
      </c>
      <c r="AE25" s="131">
        <f t="shared" si="11"/>
        <v>14.32028560287926</v>
      </c>
      <c r="AF25" s="131">
        <f t="shared" si="7"/>
        <v>0.75111595708701773</v>
      </c>
      <c r="AG25" s="131">
        <f t="shared" si="7"/>
        <v>0.70419185287925967</v>
      </c>
      <c r="AH25" s="131">
        <f t="shared" si="7"/>
        <v>0</v>
      </c>
      <c r="AI25" s="131">
        <f t="shared" si="7"/>
        <v>0.24183658855031698</v>
      </c>
      <c r="AJ25" s="131">
        <f t="shared" si="7"/>
        <v>5.5321829243078309</v>
      </c>
    </row>
    <row r="26" spans="2:36" x14ac:dyDescent="0.25">
      <c r="B26" s="130">
        <v>1.4702741189035244</v>
      </c>
      <c r="C26" s="109" t="s">
        <v>2</v>
      </c>
      <c r="D26" s="131">
        <f t="shared" si="8"/>
        <v>0.14300713109647556</v>
      </c>
      <c r="E26" s="131">
        <f t="shared" si="4"/>
        <v>0.72356142988314309</v>
      </c>
      <c r="F26" s="131">
        <f t="shared" si="4"/>
        <v>0.11511786890352438</v>
      </c>
      <c r="G26" s="131">
        <f t="shared" si="4"/>
        <v>0.20234727358972249</v>
      </c>
      <c r="H26" s="131">
        <f t="shared" si="4"/>
        <v>0</v>
      </c>
      <c r="I26" s="131">
        <f t="shared" si="4"/>
        <v>0.55258302395361869</v>
      </c>
      <c r="K26" s="130">
        <v>0.73513705945176222</v>
      </c>
      <c r="L26" s="109" t="s">
        <v>2</v>
      </c>
      <c r="M26" s="131">
        <f t="shared" si="9"/>
        <v>0.87814419054823778</v>
      </c>
      <c r="N26" s="131">
        <f t="shared" si="5"/>
        <v>1.9801818097132609</v>
      </c>
      <c r="O26" s="131">
        <f t="shared" si="5"/>
        <v>0.81361294054823785</v>
      </c>
      <c r="P26" s="131">
        <f t="shared" si="5"/>
        <v>1.0607433558160961E-2</v>
      </c>
      <c r="Q26" s="131">
        <f t="shared" si="5"/>
        <v>0</v>
      </c>
      <c r="R26" s="131">
        <f t="shared" si="5"/>
        <v>2.9734343691196665</v>
      </c>
      <c r="T26" s="130">
        <v>5.1459594161623352</v>
      </c>
      <c r="U26" s="109" t="s">
        <v>2</v>
      </c>
      <c r="V26" s="131">
        <f t="shared" si="10"/>
        <v>2.9204468338376648</v>
      </c>
      <c r="W26" s="131">
        <f t="shared" si="6"/>
        <v>4.2634807836837023</v>
      </c>
      <c r="X26" s="131">
        <f t="shared" si="6"/>
        <v>3.7908031661623349</v>
      </c>
      <c r="Y26" s="131">
        <f t="shared" si="6"/>
        <v>4.6025621967421344</v>
      </c>
      <c r="Z26" s="131">
        <f t="shared" si="6"/>
        <v>0</v>
      </c>
      <c r="AA26" s="131">
        <f t="shared" si="6"/>
        <v>4.808816559019478</v>
      </c>
      <c r="AC26" s="130">
        <v>0.44108223567105731</v>
      </c>
      <c r="AD26" s="109" t="s">
        <v>2</v>
      </c>
      <c r="AE26" s="131">
        <f t="shared" si="11"/>
        <v>14.078449014328942</v>
      </c>
      <c r="AF26" s="131">
        <f t="shared" si="7"/>
        <v>0.50927936853670075</v>
      </c>
      <c r="AG26" s="131">
        <f t="shared" si="7"/>
        <v>0.46235526432894269</v>
      </c>
      <c r="AH26" s="131">
        <f t="shared" si="7"/>
        <v>0.24183658855031698</v>
      </c>
      <c r="AI26" s="131">
        <f t="shared" si="7"/>
        <v>0</v>
      </c>
      <c r="AJ26" s="131">
        <f t="shared" si="7"/>
        <v>5.2903463357575138</v>
      </c>
    </row>
    <row r="27" spans="2:36" x14ac:dyDescent="0.25">
      <c r="B27" s="130">
        <v>2.0228571428571431</v>
      </c>
      <c r="C27" s="109" t="s">
        <v>3</v>
      </c>
      <c r="D27" s="131">
        <f t="shared" si="8"/>
        <v>0.40957589285714313</v>
      </c>
      <c r="E27" s="131">
        <f t="shared" si="4"/>
        <v>1.2761444538367619</v>
      </c>
      <c r="F27" s="131">
        <f t="shared" si="4"/>
        <v>0.66770089285714307</v>
      </c>
      <c r="G27" s="131">
        <f t="shared" si="4"/>
        <v>0.75493029754334118</v>
      </c>
      <c r="H27" s="131">
        <f t="shared" si="4"/>
        <v>0.55258302395361869</v>
      </c>
      <c r="I27" s="131">
        <f t="shared" si="4"/>
        <v>0</v>
      </c>
      <c r="K27" s="130">
        <v>3.7085714285714286</v>
      </c>
      <c r="L27" s="109" t="s">
        <v>3</v>
      </c>
      <c r="M27" s="131">
        <f t="shared" si="9"/>
        <v>2.0952901785714286</v>
      </c>
      <c r="N27" s="131">
        <f t="shared" si="5"/>
        <v>0.99325255940640567</v>
      </c>
      <c r="O27" s="131">
        <f t="shared" si="5"/>
        <v>2.1598214285714286</v>
      </c>
      <c r="P27" s="131">
        <f t="shared" si="5"/>
        <v>2.9840418026778273</v>
      </c>
      <c r="Q27" s="131">
        <f t="shared" si="5"/>
        <v>2.9734343691196665</v>
      </c>
      <c r="R27" s="131">
        <f t="shared" si="5"/>
        <v>0</v>
      </c>
      <c r="T27" s="130">
        <v>0.33714285714285713</v>
      </c>
      <c r="U27" s="109" t="s">
        <v>3</v>
      </c>
      <c r="V27" s="131">
        <f t="shared" si="10"/>
        <v>7.7292633928571428</v>
      </c>
      <c r="W27" s="131">
        <f t="shared" si="6"/>
        <v>0.54533577533577526</v>
      </c>
      <c r="X27" s="131">
        <f t="shared" si="6"/>
        <v>1.0180133928571429</v>
      </c>
      <c r="Y27" s="131">
        <f t="shared" si="6"/>
        <v>0.20625436227734367</v>
      </c>
      <c r="Z27" s="131">
        <f t="shared" si="6"/>
        <v>4.808816559019478</v>
      </c>
      <c r="AA27" s="131">
        <f t="shared" si="6"/>
        <v>0</v>
      </c>
      <c r="AC27" s="130">
        <v>5.7314285714285713</v>
      </c>
      <c r="AD27" s="109" t="s">
        <v>3</v>
      </c>
      <c r="AE27" s="131">
        <f t="shared" si="11"/>
        <v>8.7881026785714287</v>
      </c>
      <c r="AF27" s="131">
        <f t="shared" si="7"/>
        <v>4.7810669672208128</v>
      </c>
      <c r="AG27" s="131">
        <f t="shared" si="7"/>
        <v>4.8279910714285714</v>
      </c>
      <c r="AH27" s="131">
        <f t="shared" si="7"/>
        <v>5.5321829243078309</v>
      </c>
      <c r="AI27" s="131">
        <f t="shared" si="7"/>
        <v>5.2903463357575138</v>
      </c>
      <c r="AJ27" s="131">
        <f t="shared" si="7"/>
        <v>0</v>
      </c>
    </row>
    <row r="30" spans="2:36" x14ac:dyDescent="0.25">
      <c r="C30" s="109" t="s">
        <v>94</v>
      </c>
      <c r="D30" s="129">
        <f>SUM(D22:I27)</f>
        <v>15.063806704291853</v>
      </c>
      <c r="L30" s="109" t="s">
        <v>94</v>
      </c>
      <c r="M30" s="129">
        <f>SUM(M22:R27)</f>
        <v>41.85057138505784</v>
      </c>
      <c r="U30" s="109" t="s">
        <v>94</v>
      </c>
      <c r="V30" s="129">
        <f>SUM(V22:AA27)</f>
        <v>105.85336234406698</v>
      </c>
      <c r="AD30" s="109" t="s">
        <v>94</v>
      </c>
      <c r="AE30" s="129">
        <f>SUM(AE22:AJ27)</f>
        <v>175.03878225175322</v>
      </c>
    </row>
    <row r="31" spans="2:36" x14ac:dyDescent="0.25">
      <c r="C31" s="109" t="s">
        <v>95</v>
      </c>
      <c r="D31" s="129">
        <f>6*5</f>
        <v>30</v>
      </c>
      <c r="L31" s="109" t="s">
        <v>95</v>
      </c>
      <c r="M31" s="129">
        <f>6*5</f>
        <v>30</v>
      </c>
      <c r="U31" s="109" t="s">
        <v>95</v>
      </c>
      <c r="V31" s="129">
        <f>6*5</f>
        <v>30</v>
      </c>
      <c r="AD31" s="109" t="s">
        <v>95</v>
      </c>
      <c r="AE31" s="129">
        <f>6*5</f>
        <v>30</v>
      </c>
    </row>
    <row r="32" spans="2:36" x14ac:dyDescent="0.25">
      <c r="C32" s="109" t="s">
        <v>96</v>
      </c>
      <c r="D32" s="129">
        <f>SUM(D20:I20)/6</f>
        <v>1.412701382682475</v>
      </c>
      <c r="L32" s="109" t="s">
        <v>96</v>
      </c>
      <c r="M32" s="129">
        <f>SUM(M20:R20)/6</f>
        <v>1.8409313721803027</v>
      </c>
      <c r="U32" s="109" t="s">
        <v>96</v>
      </c>
      <c r="V32" s="129">
        <f>SUM(V20:AA20)/6</f>
        <v>2.7217567708673376</v>
      </c>
      <c r="AD32" s="109" t="s">
        <v>96</v>
      </c>
      <c r="AE32" s="129">
        <f>SUM(AE20:AJ20)/6</f>
        <v>3.7908478014046878</v>
      </c>
    </row>
    <row r="33" spans="3:31" x14ac:dyDescent="0.25">
      <c r="C33" s="109" t="s">
        <v>97</v>
      </c>
      <c r="D33" s="129">
        <f>(D30/D31)/(4*D32)</f>
        <v>8.8859347116516912E-2</v>
      </c>
      <c r="L33" s="109" t="s">
        <v>97</v>
      </c>
      <c r="M33" s="129">
        <f>(M30/M31)/(4*M32)</f>
        <v>0.18944473803447753</v>
      </c>
      <c r="U33" s="109" t="s">
        <v>97</v>
      </c>
      <c r="V33" s="129">
        <f>(V30/V31)/(4*V32)</f>
        <v>0.32409631981410447</v>
      </c>
      <c r="AD33" s="109" t="s">
        <v>97</v>
      </c>
      <c r="AE33" s="129">
        <f>(AE30/AE31)/(4*AE32)</f>
        <v>0.38478371994362559</v>
      </c>
    </row>
  </sheetData>
  <mergeCells count="20">
    <mergeCell ref="K20:L21"/>
    <mergeCell ref="T20:U21"/>
    <mergeCell ref="AC20:AD21"/>
    <mergeCell ref="I3:I4"/>
    <mergeCell ref="J3:J4"/>
    <mergeCell ref="I12:I13"/>
    <mergeCell ref="J12:J13"/>
    <mergeCell ref="E3:E4"/>
    <mergeCell ref="F3:F4"/>
    <mergeCell ref="G3:G4"/>
    <mergeCell ref="H3:H4"/>
    <mergeCell ref="B20:C21"/>
    <mergeCell ref="C12:C13"/>
    <mergeCell ref="D12:D13"/>
    <mergeCell ref="E12:E13"/>
    <mergeCell ref="F12:F13"/>
    <mergeCell ref="G12:G13"/>
    <mergeCell ref="H12:H13"/>
    <mergeCell ref="C3:C4"/>
    <mergeCell ref="D3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42"/>
  <sheetViews>
    <sheetView topLeftCell="A11" workbookViewId="0">
      <selection activeCell="G46" sqref="G46"/>
    </sheetView>
  </sheetViews>
  <sheetFormatPr defaultRowHeight="13.2" x14ac:dyDescent="0.25"/>
  <cols>
    <col min="1" max="3" width="8.88671875" style="49"/>
    <col min="4" max="4" width="9.44140625" style="49" bestFit="1" customWidth="1"/>
    <col min="5" max="7" width="8.88671875" style="49"/>
    <col min="8" max="8" width="5.88671875" style="49" customWidth="1"/>
    <col min="9" max="9" width="8.33203125" style="49" customWidth="1"/>
    <col min="10" max="16" width="5.77734375" style="49" customWidth="1"/>
    <col min="17" max="17" width="14.6640625" style="49" customWidth="1"/>
    <col min="18" max="22" width="5.77734375" style="49" customWidth="1"/>
    <col min="23" max="16384" width="8.88671875" style="49"/>
  </cols>
  <sheetData>
    <row r="3" spans="3:16" ht="39.6" x14ac:dyDescent="0.25">
      <c r="C3" s="108"/>
      <c r="D3" s="132" t="s">
        <v>79</v>
      </c>
      <c r="E3" s="133" t="s">
        <v>99</v>
      </c>
      <c r="F3" s="133" t="s">
        <v>100</v>
      </c>
      <c r="G3" s="133" t="s">
        <v>101</v>
      </c>
    </row>
    <row r="4" spans="3:16" x14ac:dyDescent="0.25">
      <c r="C4" s="108" t="s">
        <v>5</v>
      </c>
      <c r="D4" s="146">
        <v>8.8859347116516912E-2</v>
      </c>
      <c r="E4" s="134">
        <v>4</v>
      </c>
      <c r="F4" s="134">
        <v>-0.24</v>
      </c>
      <c r="G4" s="134">
        <v>2</v>
      </c>
    </row>
    <row r="5" spans="3:16" x14ac:dyDescent="0.25">
      <c r="C5" s="108" t="s">
        <v>6</v>
      </c>
      <c r="D5" s="146">
        <v>0.18944473803447753</v>
      </c>
      <c r="E5" s="134">
        <v>3</v>
      </c>
      <c r="F5" s="134">
        <v>-0.37</v>
      </c>
      <c r="G5" s="134">
        <v>4</v>
      </c>
    </row>
    <row r="6" spans="3:16" x14ac:dyDescent="0.25">
      <c r="C6" s="108" t="s">
        <v>7</v>
      </c>
      <c r="D6" s="146">
        <v>0.32409631981410447</v>
      </c>
      <c r="E6" s="134">
        <v>2</v>
      </c>
      <c r="F6" s="134">
        <v>-0.36</v>
      </c>
      <c r="G6" s="134">
        <v>3</v>
      </c>
    </row>
    <row r="7" spans="3:16" x14ac:dyDescent="0.25">
      <c r="C7" s="108" t="s">
        <v>8</v>
      </c>
      <c r="D7" s="146">
        <v>0.38478371994362559</v>
      </c>
      <c r="E7" s="134">
        <v>1</v>
      </c>
      <c r="F7" s="134">
        <v>-7.0000000000000007E-2</v>
      </c>
      <c r="G7" s="134">
        <v>1</v>
      </c>
    </row>
    <row r="8" spans="3:16" x14ac:dyDescent="0.25">
      <c r="C8" s="108" t="s">
        <v>4</v>
      </c>
      <c r="D8" s="135"/>
      <c r="E8" s="134"/>
      <c r="F8" s="134"/>
      <c r="G8" s="134"/>
    </row>
    <row r="13" spans="3:16" x14ac:dyDescent="0.25">
      <c r="C13" s="99" t="s">
        <v>81</v>
      </c>
      <c r="D13" s="99" t="s">
        <v>10</v>
      </c>
      <c r="E13" s="99" t="s">
        <v>11</v>
      </c>
      <c r="F13" s="99" t="s">
        <v>0</v>
      </c>
      <c r="G13" s="99" t="s">
        <v>1</v>
      </c>
      <c r="H13" s="99" t="s">
        <v>2</v>
      </c>
      <c r="I13" s="99" t="s">
        <v>3</v>
      </c>
      <c r="J13" s="139" t="s">
        <v>106</v>
      </c>
      <c r="K13" s="99"/>
      <c r="L13" s="99"/>
      <c r="M13" s="99"/>
      <c r="N13" s="99"/>
      <c r="O13" s="99"/>
      <c r="P13" s="99"/>
    </row>
    <row r="14" spans="3:16" x14ac:dyDescent="0.25">
      <c r="C14" s="99" t="s">
        <v>5</v>
      </c>
      <c r="D14" s="140">
        <v>0.216911764705882</v>
      </c>
      <c r="E14" s="140">
        <v>0.48944193061840119</v>
      </c>
      <c r="F14" s="140">
        <v>0.91102941176470587</v>
      </c>
      <c r="G14" s="140">
        <v>1.6088819633813789</v>
      </c>
      <c r="H14" s="140">
        <v>0.65482796892341844</v>
      </c>
      <c r="I14" s="140">
        <v>0.59495798319327731</v>
      </c>
      <c r="J14" s="141">
        <f>AVERAGE(D14:I14)</f>
        <v>0.74600850376451067</v>
      </c>
    </row>
    <row r="15" spans="3:16" x14ac:dyDescent="0.25">
      <c r="C15" s="99" t="s">
        <v>6</v>
      </c>
      <c r="D15" s="140">
        <v>0.21332644628099173</v>
      </c>
      <c r="E15" s="140">
        <v>1.7503708412799319</v>
      </c>
      <c r="F15" s="140">
        <v>1.0239669421487603</v>
      </c>
      <c r="G15" s="140">
        <v>0.90416507033003124</v>
      </c>
      <c r="H15" s="140">
        <v>0.32200218306564793</v>
      </c>
      <c r="I15" s="140">
        <v>1.0727272727272728</v>
      </c>
      <c r="J15" s="141">
        <f t="shared" ref="J15:J17" si="0">AVERAGE(D15:I15)</f>
        <v>0.88109312597210609</v>
      </c>
    </row>
    <row r="16" spans="3:16" x14ac:dyDescent="0.25">
      <c r="C16" s="99" t="s">
        <v>7</v>
      </c>
      <c r="D16" s="140">
        <v>1.2291666666666667</v>
      </c>
      <c r="E16" s="140">
        <v>0.65555555555555556</v>
      </c>
      <c r="F16" s="140">
        <v>1.0325000000000002</v>
      </c>
      <c r="G16" s="140">
        <v>0.7814569536423841</v>
      </c>
      <c r="H16" s="140">
        <v>2.5974842767295598</v>
      </c>
      <c r="I16" s="140">
        <v>0.11238095238095239</v>
      </c>
      <c r="J16" s="141">
        <f t="shared" si="0"/>
        <v>1.0680907341625199</v>
      </c>
    </row>
    <row r="17" spans="2:36" x14ac:dyDescent="0.25">
      <c r="C17" s="99" t="s">
        <v>8</v>
      </c>
      <c r="D17" s="140">
        <v>3.4163602941176472</v>
      </c>
      <c r="E17" s="140">
        <v>1.0901206636500755</v>
      </c>
      <c r="F17" s="140">
        <v>1.0628676470588234</v>
      </c>
      <c r="G17" s="140">
        <v>0.44244253992987925</v>
      </c>
      <c r="H17" s="140">
        <v>0.3437846836847947</v>
      </c>
      <c r="I17" s="140">
        <v>2.95</v>
      </c>
      <c r="J17" s="141">
        <f t="shared" si="0"/>
        <v>1.5509293047402035</v>
      </c>
    </row>
    <row r="20" spans="2:36" x14ac:dyDescent="0.25">
      <c r="C20" s="49" t="s">
        <v>105</v>
      </c>
    </row>
    <row r="21" spans="2:36" ht="22.8" x14ac:dyDescent="0.25">
      <c r="C21" s="136"/>
      <c r="D21" s="110" t="s">
        <v>10</v>
      </c>
      <c r="E21" s="110" t="s">
        <v>11</v>
      </c>
      <c r="F21" s="110" t="s">
        <v>0</v>
      </c>
      <c r="G21" s="109" t="s">
        <v>1</v>
      </c>
      <c r="H21" s="109" t="s">
        <v>2</v>
      </c>
      <c r="I21" s="109" t="s">
        <v>3</v>
      </c>
      <c r="J21" s="109" t="s">
        <v>4</v>
      </c>
    </row>
    <row r="22" spans="2:36" x14ac:dyDescent="0.25">
      <c r="C22" s="110" t="s">
        <v>10</v>
      </c>
      <c r="D22" s="137">
        <v>0</v>
      </c>
      <c r="E22" s="137">
        <v>0</v>
      </c>
      <c r="F22" s="137">
        <v>0.25</v>
      </c>
      <c r="G22" s="137">
        <v>0.25</v>
      </c>
      <c r="H22" s="137">
        <v>0.25</v>
      </c>
      <c r="I22" s="137">
        <v>0.25</v>
      </c>
      <c r="J22" s="136">
        <v>1</v>
      </c>
    </row>
    <row r="23" spans="2:36" x14ac:dyDescent="0.25">
      <c r="C23" s="110" t="s">
        <v>11</v>
      </c>
      <c r="D23" s="137">
        <v>0</v>
      </c>
      <c r="E23" s="137">
        <v>0</v>
      </c>
      <c r="F23" s="137">
        <v>0</v>
      </c>
      <c r="G23" s="137">
        <v>0.5</v>
      </c>
      <c r="H23" s="137">
        <v>0.5</v>
      </c>
      <c r="I23" s="137">
        <v>0</v>
      </c>
      <c r="J23" s="136">
        <v>1</v>
      </c>
    </row>
    <row r="24" spans="2:36" x14ac:dyDescent="0.25">
      <c r="C24" s="110" t="s">
        <v>0</v>
      </c>
      <c r="D24" s="137">
        <v>0.5</v>
      </c>
      <c r="E24" s="137">
        <v>0</v>
      </c>
      <c r="F24" s="137">
        <v>0</v>
      </c>
      <c r="G24" s="137">
        <v>0.5</v>
      </c>
      <c r="H24" s="137">
        <v>0</v>
      </c>
      <c r="I24" s="137">
        <v>0</v>
      </c>
      <c r="J24" s="136">
        <v>1</v>
      </c>
    </row>
    <row r="25" spans="2:36" x14ac:dyDescent="0.25">
      <c r="C25" s="109" t="s">
        <v>1</v>
      </c>
      <c r="D25" s="137">
        <v>0.25</v>
      </c>
      <c r="E25" s="137">
        <v>0.25</v>
      </c>
      <c r="F25" s="137">
        <v>0.25</v>
      </c>
      <c r="G25" s="137">
        <v>0</v>
      </c>
      <c r="H25" s="137">
        <v>0.25</v>
      </c>
      <c r="I25" s="137">
        <v>0</v>
      </c>
      <c r="J25" s="136">
        <v>1</v>
      </c>
    </row>
    <row r="26" spans="2:36" x14ac:dyDescent="0.25">
      <c r="C26" s="109" t="s">
        <v>2</v>
      </c>
      <c r="D26" s="137">
        <v>0.25</v>
      </c>
      <c r="E26" s="137">
        <v>0.25</v>
      </c>
      <c r="F26" s="137">
        <v>0</v>
      </c>
      <c r="G26" s="137">
        <v>0.25</v>
      </c>
      <c r="H26" s="137">
        <v>0</v>
      </c>
      <c r="I26" s="137">
        <v>0.25</v>
      </c>
      <c r="J26" s="136">
        <v>1</v>
      </c>
    </row>
    <row r="27" spans="2:36" x14ac:dyDescent="0.25">
      <c r="C27" s="109" t="s">
        <v>3</v>
      </c>
      <c r="D27" s="137">
        <v>0.5</v>
      </c>
      <c r="E27" s="137">
        <v>0</v>
      </c>
      <c r="F27" s="137">
        <v>0</v>
      </c>
      <c r="G27" s="137">
        <v>0</v>
      </c>
      <c r="H27" s="137">
        <v>0.5</v>
      </c>
      <c r="I27" s="137">
        <v>0</v>
      </c>
      <c r="J27" s="136">
        <v>1</v>
      </c>
    </row>
    <row r="30" spans="2:36" x14ac:dyDescent="0.25">
      <c r="B30" s="99"/>
      <c r="C30" s="99"/>
      <c r="D30" s="144">
        <v>0.216911764705882</v>
      </c>
      <c r="E30" s="144">
        <v>0.48944193061840119</v>
      </c>
      <c r="F30" s="144">
        <v>0.91102941176470587</v>
      </c>
      <c r="G30" s="144">
        <v>1.6088819633813789</v>
      </c>
      <c r="H30" s="144">
        <v>0.65482796892341844</v>
      </c>
      <c r="I30" s="144">
        <v>0.59495798319327731</v>
      </c>
      <c r="K30" s="99"/>
      <c r="L30" s="99"/>
      <c r="M30" s="140">
        <v>0.21332644628099173</v>
      </c>
      <c r="N30" s="140">
        <v>1.7503708412799319</v>
      </c>
      <c r="O30" s="140">
        <v>1.0239669421487603</v>
      </c>
      <c r="P30" s="140">
        <v>0.90416507033003124</v>
      </c>
      <c r="Q30" s="140">
        <v>0.32200218306564793</v>
      </c>
      <c r="R30" s="140">
        <v>1.0727272727272728</v>
      </c>
      <c r="T30" s="99"/>
      <c r="U30" s="99"/>
      <c r="V30" s="144">
        <v>1.2291666666666667</v>
      </c>
      <c r="W30" s="144">
        <v>0.65555555555555556</v>
      </c>
      <c r="X30" s="144">
        <v>1.0325000000000002</v>
      </c>
      <c r="Y30" s="144">
        <v>0.7814569536423841</v>
      </c>
      <c r="Z30" s="144">
        <v>2.5974842767295598</v>
      </c>
      <c r="AA30" s="144">
        <v>0.11238095238095239</v>
      </c>
      <c r="AC30" s="99"/>
      <c r="AD30" s="99"/>
      <c r="AE30" s="144">
        <v>3.4163602941176472</v>
      </c>
      <c r="AF30" s="144">
        <v>1.0901206636500755</v>
      </c>
      <c r="AG30" s="144">
        <v>1.0628676470588234</v>
      </c>
      <c r="AH30" s="144">
        <v>0.44244253992987925</v>
      </c>
      <c r="AI30" s="144">
        <v>0.3437846836847947</v>
      </c>
      <c r="AJ30" s="144">
        <v>2.95</v>
      </c>
    </row>
    <row r="31" spans="2:36" ht="22.8" x14ac:dyDescent="0.25">
      <c r="B31" s="99"/>
      <c r="C31" s="136">
        <v>0.74600850376451067</v>
      </c>
      <c r="D31" s="128" t="s">
        <v>10</v>
      </c>
      <c r="E31" s="128" t="s">
        <v>11</v>
      </c>
      <c r="F31" s="128" t="s">
        <v>0</v>
      </c>
      <c r="G31" s="127" t="s">
        <v>1</v>
      </c>
      <c r="H31" s="127" t="s">
        <v>2</v>
      </c>
      <c r="I31" s="127" t="s">
        <v>3</v>
      </c>
      <c r="K31" s="99"/>
      <c r="L31" s="136">
        <v>0.88</v>
      </c>
      <c r="M31" s="128" t="s">
        <v>10</v>
      </c>
      <c r="N31" s="128" t="s">
        <v>11</v>
      </c>
      <c r="O31" s="128" t="s">
        <v>0</v>
      </c>
      <c r="P31" s="127" t="s">
        <v>1</v>
      </c>
      <c r="Q31" s="127" t="s">
        <v>2</v>
      </c>
      <c r="R31" s="127" t="s">
        <v>3</v>
      </c>
      <c r="T31" s="99"/>
      <c r="U31" s="136">
        <v>1.07</v>
      </c>
      <c r="V31" s="128" t="s">
        <v>10</v>
      </c>
      <c r="W31" s="128" t="s">
        <v>11</v>
      </c>
      <c r="X31" s="128" t="s">
        <v>0</v>
      </c>
      <c r="Y31" s="127" t="s">
        <v>1</v>
      </c>
      <c r="Z31" s="127" t="s">
        <v>2</v>
      </c>
      <c r="AA31" s="127" t="s">
        <v>3</v>
      </c>
      <c r="AC31" s="99"/>
      <c r="AD31" s="136">
        <v>1.55</v>
      </c>
      <c r="AE31" s="128" t="s">
        <v>10</v>
      </c>
      <c r="AF31" s="128" t="s">
        <v>11</v>
      </c>
      <c r="AG31" s="128" t="s">
        <v>0</v>
      </c>
      <c r="AH31" s="127" t="s">
        <v>1</v>
      </c>
      <c r="AI31" s="127" t="s">
        <v>2</v>
      </c>
      <c r="AJ31" s="127" t="s">
        <v>3</v>
      </c>
    </row>
    <row r="32" spans="2:36" x14ac:dyDescent="0.25">
      <c r="B32" s="144">
        <v>0.216911764705882</v>
      </c>
      <c r="C32" s="128" t="s">
        <v>10</v>
      </c>
      <c r="D32" s="145">
        <f>D22*(D$30-$C$31)*($B32-$C$31)</f>
        <v>0</v>
      </c>
      <c r="E32" s="145">
        <f t="shared" ref="E32:I32" si="1">E22*(E$30-$C$31)*($B32-$C$31)</f>
        <v>0</v>
      </c>
      <c r="F32" s="145">
        <f t="shared" si="1"/>
        <v>-2.1828006074849311E-2</v>
      </c>
      <c r="G32" s="145">
        <f t="shared" si="1"/>
        <v>-0.11413588342588056</v>
      </c>
      <c r="H32" s="145">
        <f t="shared" si="1"/>
        <v>1.2060830912510893E-2</v>
      </c>
      <c r="I32" s="145">
        <f t="shared" si="1"/>
        <v>1.9980084466836967E-2</v>
      </c>
      <c r="K32" s="140">
        <v>0.21332644628099173</v>
      </c>
      <c r="L32" s="128" t="s">
        <v>10</v>
      </c>
      <c r="M32" s="145">
        <f>D22*(M$30-$L$31)*($K32-$C$31)</f>
        <v>0</v>
      </c>
      <c r="N32" s="145">
        <f t="shared" ref="N32:R32" si="2">E22*(N$30-$L$31)*($K32-$C$31)</f>
        <v>0</v>
      </c>
      <c r="O32" s="145">
        <f t="shared" si="2"/>
        <v>-1.9172151738353089E-2</v>
      </c>
      <c r="P32" s="145">
        <f t="shared" si="2"/>
        <v>-3.218074845658744E-3</v>
      </c>
      <c r="Q32" s="145">
        <f t="shared" si="2"/>
        <v>7.4308856298975642E-2</v>
      </c>
      <c r="R32" s="145">
        <f t="shared" si="2"/>
        <v>-2.5665590042387734E-2</v>
      </c>
      <c r="T32" s="140">
        <v>1.2291666666666667</v>
      </c>
      <c r="U32" s="128" t="s">
        <v>10</v>
      </c>
      <c r="V32" s="145">
        <f>D22*(V$30-$U$31)*($T32-$C$31)</f>
        <v>0</v>
      </c>
      <c r="W32" s="145">
        <f t="shared" ref="W32:AA32" si="3">E22*(W$30-$U$31)*($T32-$C$31)</f>
        <v>0</v>
      </c>
      <c r="X32" s="145">
        <f t="shared" si="3"/>
        <v>-4.5296077772076972E-3</v>
      </c>
      <c r="Y32" s="145">
        <f t="shared" si="3"/>
        <v>-3.4852982049084345E-2</v>
      </c>
      <c r="Z32" s="145">
        <f t="shared" si="3"/>
        <v>0.18450412425164567</v>
      </c>
      <c r="AA32" s="145">
        <f t="shared" si="3"/>
        <v>-0.11567036495193285</v>
      </c>
      <c r="AC32" s="140">
        <v>3.4163602941176472</v>
      </c>
      <c r="AD32" s="128" t="s">
        <v>10</v>
      </c>
      <c r="AE32" s="145">
        <f>D22*(AE$30-$AD$31)*($AC32-$C$31)</f>
        <v>0</v>
      </c>
      <c r="AF32" s="145">
        <f t="shared" ref="AF32:AJ32" si="4">E22*(AF$30-$AD$31)*($AC32-$C$31)</f>
        <v>0</v>
      </c>
      <c r="AG32" s="145">
        <f t="shared" si="4"/>
        <v>-0.32520368770385172</v>
      </c>
      <c r="AH32" s="145">
        <f t="shared" si="4"/>
        <v>-0.7393920116043049</v>
      </c>
      <c r="AI32" s="145">
        <f t="shared" si="4"/>
        <v>-0.80525480736842092</v>
      </c>
      <c r="AJ32" s="145">
        <f t="shared" si="4"/>
        <v>0.93462312662359781</v>
      </c>
    </row>
    <row r="33" spans="2:36" x14ac:dyDescent="0.25">
      <c r="B33" s="144">
        <v>0.48944193061840119</v>
      </c>
      <c r="C33" s="128" t="s">
        <v>11</v>
      </c>
      <c r="D33" s="145">
        <f t="shared" ref="D33:I33" si="5">D23*(D$30-$C$31)*($B33-$C$31)</f>
        <v>0</v>
      </c>
      <c r="E33" s="145">
        <f t="shared" si="5"/>
        <v>0</v>
      </c>
      <c r="F33" s="145">
        <f t="shared" si="5"/>
        <v>0</v>
      </c>
      <c r="G33" s="145">
        <f t="shared" si="5"/>
        <v>-0.11069224329631389</v>
      </c>
      <c r="H33" s="145">
        <f t="shared" si="5"/>
        <v>1.1696938680904236E-2</v>
      </c>
      <c r="I33" s="145">
        <f t="shared" si="5"/>
        <v>0</v>
      </c>
      <c r="K33" s="140">
        <v>1.7503708412799319</v>
      </c>
      <c r="L33" s="128" t="s">
        <v>11</v>
      </c>
      <c r="M33" s="145">
        <f t="shared" ref="M33:M37" si="6">D23*(M$30-$L$31)*($K33-$C$31)</f>
        <v>0</v>
      </c>
      <c r="N33" s="145">
        <f t="shared" ref="N33:N37" si="7">E23*(N$30-$L$31)*($K33-$C$31)</f>
        <v>0</v>
      </c>
      <c r="O33" s="145">
        <f t="shared" ref="O33:O37" si="8">F23*(O$30-$L$31)*($K33-$C$31)</f>
        <v>0</v>
      </c>
      <c r="P33" s="145">
        <f t="shared" ref="P33:P37" si="9">G23*(P$30-$L$31)*($K33-$C$31)</f>
        <v>1.2135243261447362E-2</v>
      </c>
      <c r="Q33" s="145">
        <f t="shared" ref="Q33:Q37" si="10">H23*(Q$30-$L$31)*($K33-$C$31)</f>
        <v>-0.28021599587234397</v>
      </c>
      <c r="R33" s="145">
        <f t="shared" ref="R33:R37" si="11">I23*(R$30-$L$31)*($K33-$C$31)</f>
        <v>0</v>
      </c>
      <c r="T33" s="140">
        <v>0.65555555555555556</v>
      </c>
      <c r="U33" s="128" t="s">
        <v>11</v>
      </c>
      <c r="V33" s="145">
        <f t="shared" ref="V33:V37" si="12">D23*(V$30-$U$31)*($T33-$C$31)</f>
        <v>0</v>
      </c>
      <c r="W33" s="145">
        <f t="shared" ref="W33:W37" si="13">E23*(W$30-$U$31)*($T33-$C$31)</f>
        <v>0</v>
      </c>
      <c r="X33" s="145">
        <f t="shared" ref="X33:X37" si="14">F23*(X$30-$U$31)*($T33-$C$31)</f>
        <v>0</v>
      </c>
      <c r="Y33" s="145">
        <f t="shared" ref="Y33:Y37" si="15">G23*(Y$30-$U$31)*($T33-$C$31)</f>
        <v>1.3049784614119785E-2</v>
      </c>
      <c r="Z33" s="145">
        <f t="shared" ref="Z33:Z37" si="16">H23*(Z$30-$U$31)*($T33-$C$31)</f>
        <v>-6.9082728086506062E-2</v>
      </c>
      <c r="AA33" s="145">
        <f t="shared" ref="AA33:AA37" si="17">I23*(AA$30-$U$31)*($T33-$C$31)</f>
        <v>0</v>
      </c>
      <c r="AC33" s="140">
        <v>1.0901206636500755</v>
      </c>
      <c r="AD33" s="128" t="s">
        <v>11</v>
      </c>
      <c r="AE33" s="145">
        <f t="shared" ref="AE33:AE37" si="18">D23*(AE$30-$AD$31)*($AC33-$C$31)</f>
        <v>0</v>
      </c>
      <c r="AF33" s="145">
        <f t="shared" ref="AF33:AF37" si="19">E23*(AF$30-$AD$31)*($AC33-$C$31)</f>
        <v>0</v>
      </c>
      <c r="AG33" s="145">
        <f t="shared" ref="AG33:AG37" si="20">F23*(AG$30-$AD$31)*($AC33-$C$31)</f>
        <v>0</v>
      </c>
      <c r="AH33" s="145">
        <f t="shared" ref="AH33:AH37" si="21">G23*(AH$30-$AD$31)*($AC33-$C$31)</f>
        <v>-0.19056199489104977</v>
      </c>
      <c r="AI33" s="145">
        <f t="shared" ref="AI33:AI37" si="22">H23*(AI$30-$AD$31)*($AC33-$C$31)</f>
        <v>-0.20753667889213759</v>
      </c>
      <c r="AJ33" s="145">
        <f t="shared" ref="AJ33:AJ37" si="23">I23*(AJ$30-$AD$31)*($AC33-$C$31)</f>
        <v>0</v>
      </c>
    </row>
    <row r="34" spans="2:36" x14ac:dyDescent="0.25">
      <c r="B34" s="144">
        <v>0.91102941176470587</v>
      </c>
      <c r="C34" s="128" t="s">
        <v>0</v>
      </c>
      <c r="D34" s="145">
        <f t="shared" ref="D34:I34" si="24">D24*(D$30-$C$31)*($B34-$C$31)</f>
        <v>-4.3656012149698623E-2</v>
      </c>
      <c r="E34" s="145">
        <f t="shared" si="24"/>
        <v>0</v>
      </c>
      <c r="F34" s="145">
        <f t="shared" si="24"/>
        <v>0</v>
      </c>
      <c r="G34" s="145">
        <f t="shared" si="24"/>
        <v>7.1196080897622679E-2</v>
      </c>
      <c r="H34" s="145">
        <f t="shared" si="24"/>
        <v>0</v>
      </c>
      <c r="I34" s="145">
        <f t="shared" si="24"/>
        <v>0</v>
      </c>
      <c r="K34" s="140">
        <v>1.0239669421487603</v>
      </c>
      <c r="L34" s="128" t="s">
        <v>0</v>
      </c>
      <c r="M34" s="145">
        <f t="shared" si="6"/>
        <v>-9.2653769951906842E-2</v>
      </c>
      <c r="N34" s="145">
        <f t="shared" si="7"/>
        <v>0</v>
      </c>
      <c r="O34" s="145">
        <f t="shared" si="8"/>
        <v>0</v>
      </c>
      <c r="P34" s="145">
        <f t="shared" si="9"/>
        <v>3.3584426061905228E-3</v>
      </c>
      <c r="Q34" s="145">
        <f t="shared" si="10"/>
        <v>0</v>
      </c>
      <c r="R34" s="145">
        <f t="shared" si="11"/>
        <v>0</v>
      </c>
      <c r="T34" s="140">
        <v>1.0325000000000002</v>
      </c>
      <c r="U34" s="128" t="s">
        <v>0</v>
      </c>
      <c r="V34" s="145">
        <f t="shared" si="12"/>
        <v>2.2799948242074378E-2</v>
      </c>
      <c r="W34" s="145">
        <f t="shared" si="13"/>
        <v>0</v>
      </c>
      <c r="X34" s="145">
        <f t="shared" si="14"/>
        <v>0</v>
      </c>
      <c r="Y34" s="145">
        <f t="shared" si="15"/>
        <v>-4.1332564539669804E-2</v>
      </c>
      <c r="Z34" s="145">
        <f t="shared" si="16"/>
        <v>0</v>
      </c>
      <c r="AA34" s="145">
        <f t="shared" si="17"/>
        <v>0</v>
      </c>
      <c r="AC34" s="140">
        <v>1.0628676470588234</v>
      </c>
      <c r="AD34" s="128" t="s">
        <v>0</v>
      </c>
      <c r="AE34" s="145">
        <f t="shared" si="18"/>
        <v>0.29568666193631965</v>
      </c>
      <c r="AF34" s="145">
        <f t="shared" si="19"/>
        <v>0</v>
      </c>
      <c r="AG34" s="145">
        <f t="shared" si="20"/>
        <v>0</v>
      </c>
      <c r="AH34" s="145">
        <f t="shared" si="21"/>
        <v>-0.17546985397352174</v>
      </c>
      <c r="AI34" s="145">
        <f t="shared" si="22"/>
        <v>0</v>
      </c>
      <c r="AJ34" s="145">
        <f t="shared" si="23"/>
        <v>0</v>
      </c>
    </row>
    <row r="35" spans="2:36" ht="22.8" x14ac:dyDescent="0.25">
      <c r="B35" s="144">
        <v>1.6088819633813789</v>
      </c>
      <c r="C35" s="127" t="s">
        <v>1</v>
      </c>
      <c r="D35" s="145">
        <f t="shared" ref="D35:I35" si="25">D25*(D$30-$C$31)*($B35-$C$31)</f>
        <v>-0.11413588342588056</v>
      </c>
      <c r="E35" s="145">
        <f t="shared" si="25"/>
        <v>-5.5346121648156943E-2</v>
      </c>
      <c r="F35" s="145">
        <f t="shared" si="25"/>
        <v>3.559804044881134E-2</v>
      </c>
      <c r="G35" s="145">
        <f t="shared" si="25"/>
        <v>0</v>
      </c>
      <c r="H35" s="145">
        <f t="shared" si="25"/>
        <v>-1.9669315887012411E-2</v>
      </c>
      <c r="I35" s="145">
        <f t="shared" si="25"/>
        <v>0</v>
      </c>
      <c r="K35" s="140">
        <v>0.90416507033003124</v>
      </c>
      <c r="L35" s="127" t="s">
        <v>1</v>
      </c>
      <c r="M35" s="145">
        <f t="shared" si="6"/>
        <v>-2.635970006905812E-2</v>
      </c>
      <c r="N35" s="145">
        <f t="shared" si="7"/>
        <v>3.4413715973894421E-2</v>
      </c>
      <c r="O35" s="145">
        <f t="shared" si="8"/>
        <v>5.6923293172962131E-3</v>
      </c>
      <c r="P35" s="145">
        <f t="shared" si="9"/>
        <v>0</v>
      </c>
      <c r="Q35" s="145">
        <f t="shared" si="10"/>
        <v>-2.2062754719348251E-2</v>
      </c>
      <c r="R35" s="145">
        <f t="shared" si="11"/>
        <v>0</v>
      </c>
      <c r="T35" s="140">
        <v>0.7814569536423841</v>
      </c>
      <c r="U35" s="127" t="s">
        <v>1</v>
      </c>
      <c r="V35" s="145">
        <f t="shared" si="12"/>
        <v>1.4105529013903806E-3</v>
      </c>
      <c r="W35" s="145">
        <f t="shared" si="13"/>
        <v>-3.6728532790129978E-3</v>
      </c>
      <c r="X35" s="145">
        <f t="shared" si="14"/>
        <v>-3.3232921760506225E-4</v>
      </c>
      <c r="Y35" s="145">
        <f t="shared" si="15"/>
        <v>0</v>
      </c>
      <c r="Z35" s="145">
        <f t="shared" si="16"/>
        <v>1.3536737455721889E-2</v>
      </c>
      <c r="AA35" s="145">
        <f t="shared" si="17"/>
        <v>0</v>
      </c>
      <c r="AC35" s="140">
        <v>0.44244253992987925</v>
      </c>
      <c r="AD35" s="127" t="s">
        <v>1</v>
      </c>
      <c r="AE35" s="145">
        <f t="shared" si="18"/>
        <v>-0.14164086538662743</v>
      </c>
      <c r="AF35" s="145">
        <f>E25*(AF$30-$AD$31)*($AC35-$C$31)</f>
        <v>3.4900928496673866E-2</v>
      </c>
      <c r="AG35" s="145">
        <f t="shared" si="20"/>
        <v>3.6969200558905034E-2</v>
      </c>
      <c r="AH35" s="145">
        <f t="shared" si="21"/>
        <v>0</v>
      </c>
      <c r="AI35" s="145">
        <f t="shared" si="22"/>
        <v>9.1541478772330029E-2</v>
      </c>
      <c r="AJ35" s="145">
        <f t="shared" si="23"/>
        <v>0</v>
      </c>
    </row>
    <row r="36" spans="2:36" ht="22.8" x14ac:dyDescent="0.25">
      <c r="B36" s="144">
        <v>0.65482796892341844</v>
      </c>
      <c r="C36" s="127" t="s">
        <v>2</v>
      </c>
      <c r="D36" s="145">
        <f t="shared" ref="D36:I36" si="26">D26*(D$30-$C$31)*($B36-$C$31)</f>
        <v>1.2060830912510893E-2</v>
      </c>
      <c r="E36" s="145">
        <f t="shared" si="26"/>
        <v>5.8484693404521181E-3</v>
      </c>
      <c r="F36" s="145">
        <f t="shared" si="26"/>
        <v>0</v>
      </c>
      <c r="G36" s="145">
        <f t="shared" si="26"/>
        <v>-1.9669315887012411E-2</v>
      </c>
      <c r="H36" s="145">
        <f t="shared" si="26"/>
        <v>0</v>
      </c>
      <c r="I36" s="145">
        <f t="shared" si="26"/>
        <v>3.4432168134276154E-3</v>
      </c>
      <c r="K36" s="140">
        <v>0.32200218306564793</v>
      </c>
      <c r="L36" s="127" t="s">
        <v>2</v>
      </c>
      <c r="M36" s="145">
        <f t="shared" si="6"/>
        <v>7.066845015490808E-2</v>
      </c>
      <c r="N36" s="145">
        <f t="shared" si="7"/>
        <v>-9.2260684513669436E-2</v>
      </c>
      <c r="O36" s="145">
        <f t="shared" si="8"/>
        <v>0</v>
      </c>
      <c r="P36" s="145">
        <f t="shared" si="9"/>
        <v>-2.5615356400164493E-3</v>
      </c>
      <c r="Q36" s="145">
        <f t="shared" si="10"/>
        <v>0</v>
      </c>
      <c r="R36" s="145">
        <f t="shared" si="11"/>
        <v>-2.0429395451854297E-2</v>
      </c>
      <c r="T36" s="140">
        <v>2.5974842767295598</v>
      </c>
      <c r="U36" s="127" t="s">
        <v>2</v>
      </c>
      <c r="V36" s="145">
        <f t="shared" si="12"/>
        <v>7.3673306799234256E-2</v>
      </c>
      <c r="W36" s="145">
        <f t="shared" si="13"/>
        <v>-0.19183346203221205</v>
      </c>
      <c r="X36" s="145">
        <f t="shared" si="14"/>
        <v>0</v>
      </c>
      <c r="Y36" s="145">
        <f t="shared" si="15"/>
        <v>-0.13355761494716425</v>
      </c>
      <c r="Z36" s="145">
        <f t="shared" si="16"/>
        <v>0</v>
      </c>
      <c r="AA36" s="145">
        <f t="shared" si="17"/>
        <v>-0.44325211659913261</v>
      </c>
      <c r="AC36" s="140">
        <v>0.3437846836847947</v>
      </c>
      <c r="AD36" s="127" t="s">
        <v>2</v>
      </c>
      <c r="AE36" s="145">
        <f t="shared" si="18"/>
        <v>-0.18767364178627557</v>
      </c>
      <c r="AF36" s="145">
        <f t="shared" si="19"/>
        <v>4.6243605860597801E-2</v>
      </c>
      <c r="AG36" s="145">
        <f>F26*(AG$30-$AD$31)*($AC36-$C$31)</f>
        <v>0</v>
      </c>
      <c r="AH36" s="145">
        <f t="shared" si="21"/>
        <v>0.11137149813679786</v>
      </c>
      <c r="AI36" s="145">
        <f t="shared" si="22"/>
        <v>0</v>
      </c>
      <c r="AJ36" s="145">
        <f t="shared" si="23"/>
        <v>-0.1407783370279006</v>
      </c>
    </row>
    <row r="37" spans="2:36" ht="22.8" x14ac:dyDescent="0.25">
      <c r="B37" s="144">
        <v>0.59495798319327731</v>
      </c>
      <c r="C37" s="127" t="s">
        <v>3</v>
      </c>
      <c r="D37" s="145">
        <f t="shared" ref="D37:I37" si="27">D27*(D$30-$C$31)*($B37-$C$31)</f>
        <v>3.9960168933673934E-2</v>
      </c>
      <c r="E37" s="145">
        <f t="shared" si="27"/>
        <v>0</v>
      </c>
      <c r="F37" s="145">
        <f t="shared" si="27"/>
        <v>0</v>
      </c>
      <c r="G37" s="145">
        <f t="shared" si="27"/>
        <v>0</v>
      </c>
      <c r="H37" s="145">
        <f t="shared" si="27"/>
        <v>6.8864336268552309E-3</v>
      </c>
      <c r="I37" s="145">
        <f t="shared" si="27"/>
        <v>0</v>
      </c>
      <c r="K37" s="140">
        <v>1.0727272727272728</v>
      </c>
      <c r="L37" s="127" t="s">
        <v>3</v>
      </c>
      <c r="M37" s="145">
        <f t="shared" si="6"/>
        <v>-0.10890738138555212</v>
      </c>
      <c r="N37" s="145">
        <f t="shared" si="7"/>
        <v>0</v>
      </c>
      <c r="O37" s="145">
        <f t="shared" si="8"/>
        <v>0</v>
      </c>
      <c r="P37" s="145">
        <f t="shared" si="9"/>
        <v>0</v>
      </c>
      <c r="Q37" s="145">
        <f t="shared" si="10"/>
        <v>-9.1154179916350081E-2</v>
      </c>
      <c r="R37" s="145">
        <f t="shared" si="11"/>
        <v>0</v>
      </c>
      <c r="T37" s="140">
        <v>0.11238095238095239</v>
      </c>
      <c r="U37" s="127" t="s">
        <v>3</v>
      </c>
      <c r="V37" s="145">
        <f t="shared" si="12"/>
        <v>-5.0426192630941516E-2</v>
      </c>
      <c r="W37" s="145">
        <f t="shared" si="13"/>
        <v>0</v>
      </c>
      <c r="X37" s="145">
        <f t="shared" si="14"/>
        <v>0</v>
      </c>
      <c r="Y37" s="145">
        <f t="shared" si="15"/>
        <v>0</v>
      </c>
      <c r="Z37" s="145">
        <f t="shared" si="16"/>
        <v>-0.48392806102051827</v>
      </c>
      <c r="AA37" s="145">
        <f t="shared" si="17"/>
        <v>0</v>
      </c>
      <c r="AC37" s="140">
        <v>2.95</v>
      </c>
      <c r="AD37" s="127" t="s">
        <v>3</v>
      </c>
      <c r="AE37" s="145">
        <f t="shared" si="18"/>
        <v>2.0567211085734307</v>
      </c>
      <c r="AF37" s="145">
        <f t="shared" si="19"/>
        <v>0</v>
      </c>
      <c r="AG37" s="145">
        <f t="shared" si="20"/>
        <v>0</v>
      </c>
      <c r="AH37" s="145">
        <f t="shared" si="21"/>
        <v>0</v>
      </c>
      <c r="AI37" s="145">
        <f t="shared" si="22"/>
        <v>-1.3292441498938568</v>
      </c>
      <c r="AJ37" s="145">
        <f t="shared" si="23"/>
        <v>0</v>
      </c>
    </row>
    <row r="38" spans="2:36" x14ac:dyDescent="0.25">
      <c r="B38" s="144"/>
      <c r="C38" s="127" t="s">
        <v>4</v>
      </c>
      <c r="D38" s="277">
        <f>SUM(D32:I37)</f>
        <v>-0.28040168676119887</v>
      </c>
      <c r="E38" s="278"/>
      <c r="F38" s="278"/>
      <c r="G38" s="278"/>
      <c r="H38" s="278"/>
      <c r="I38" s="279"/>
      <c r="K38" s="144"/>
      <c r="L38" s="127" t="s">
        <v>4</v>
      </c>
      <c r="M38" s="277">
        <f>SUM(M32:R37)</f>
        <v>-0.58408417653378686</v>
      </c>
      <c r="N38" s="278"/>
      <c r="O38" s="278"/>
      <c r="P38" s="278"/>
      <c r="Q38" s="278"/>
      <c r="R38" s="279"/>
      <c r="T38" s="144"/>
      <c r="U38" s="127" t="s">
        <v>4</v>
      </c>
      <c r="V38" s="277">
        <f>SUM(V32:AA37)</f>
        <v>-1.2634964228668011</v>
      </c>
      <c r="W38" s="278"/>
      <c r="X38" s="278"/>
      <c r="Y38" s="278"/>
      <c r="Z38" s="278"/>
      <c r="AA38" s="279"/>
      <c r="AC38" s="144"/>
      <c r="AD38" s="127" t="s">
        <v>4</v>
      </c>
      <c r="AE38" s="277">
        <f>SUM(AE32:AJ37)</f>
        <v>-0.63469841956929418</v>
      </c>
      <c r="AF38" s="278"/>
      <c r="AG38" s="278"/>
      <c r="AH38" s="278"/>
      <c r="AI38" s="278"/>
      <c r="AJ38" s="279"/>
    </row>
    <row r="39" spans="2:36" x14ac:dyDescent="0.25">
      <c r="B39" s="142"/>
      <c r="C39" s="142"/>
      <c r="D39" s="142"/>
      <c r="E39" s="142"/>
      <c r="F39" s="142"/>
      <c r="G39" s="142"/>
      <c r="H39" s="142"/>
      <c r="I39" s="142"/>
      <c r="K39" s="142"/>
      <c r="L39" s="142"/>
      <c r="M39" s="142"/>
      <c r="N39" s="142"/>
      <c r="O39" s="142"/>
      <c r="P39" s="142"/>
      <c r="Q39" s="142"/>
      <c r="R39" s="142"/>
      <c r="T39" s="142"/>
      <c r="U39" s="142"/>
      <c r="V39" s="142"/>
      <c r="W39" s="142"/>
      <c r="X39" s="142"/>
      <c r="Y39" s="142"/>
      <c r="Z39" s="142"/>
      <c r="AA39" s="142"/>
      <c r="AC39" s="142"/>
      <c r="AD39" s="142"/>
      <c r="AE39" s="142"/>
      <c r="AF39" s="142"/>
      <c r="AG39" s="142"/>
      <c r="AH39" s="142"/>
      <c r="AI39" s="142"/>
      <c r="AJ39" s="142"/>
    </row>
    <row r="40" spans="2:36" x14ac:dyDescent="0.25">
      <c r="B40" s="99"/>
      <c r="C40" s="99" t="s">
        <v>107</v>
      </c>
      <c r="D40" s="144">
        <f>(D30-$C$31)^2</f>
        <v>0.27994335928247455</v>
      </c>
      <c r="E40" s="144">
        <f>(E30-$C$31)^2</f>
        <v>6.5826406455937944E-2</v>
      </c>
      <c r="F40" s="144">
        <f t="shared" ref="F40:I40" si="28">(F30-$C$31)^2</f>
        <v>2.7231900077208888E-2</v>
      </c>
      <c r="G40" s="144">
        <f t="shared" si="28"/>
        <v>0.74455060731118317</v>
      </c>
      <c r="H40" s="144">
        <f t="shared" si="28"/>
        <v>8.3138899339076349E-3</v>
      </c>
      <c r="I40" s="144">
        <f t="shared" si="28"/>
        <v>2.2816259764840592E-2</v>
      </c>
      <c r="K40" s="99"/>
      <c r="L40" s="99" t="s">
        <v>107</v>
      </c>
      <c r="M40" s="144">
        <f>(M30-$L$31)^2</f>
        <v>0.44445362722833143</v>
      </c>
      <c r="N40" s="144">
        <f t="shared" ref="N40:R40" si="29">(N30-$L$31)^2</f>
        <v>0.75754540135033643</v>
      </c>
      <c r="O40" s="144">
        <f t="shared" si="29"/>
        <v>2.0726480431664487E-2</v>
      </c>
      <c r="P40" s="144">
        <f t="shared" si="29"/>
        <v>5.8395062405535597E-4</v>
      </c>
      <c r="Q40" s="144">
        <f t="shared" si="29"/>
        <v>0.31136156370350265</v>
      </c>
      <c r="R40" s="144">
        <f t="shared" si="29"/>
        <v>3.714380165289257E-2</v>
      </c>
      <c r="T40" s="99"/>
      <c r="U40" s="99" t="s">
        <v>107</v>
      </c>
      <c r="V40" s="144">
        <f>(V30-$U$31)^2</f>
        <v>2.5334027777777782E-2</v>
      </c>
      <c r="W40" s="144">
        <f t="shared" ref="W40:AA40" si="30">(W30-$U$31)^2</f>
        <v>0.17176419753086425</v>
      </c>
      <c r="X40" s="144">
        <f t="shared" si="30"/>
        <v>1.40624999999999E-3</v>
      </c>
      <c r="Y40" s="144">
        <f t="shared" si="30"/>
        <v>8.3257089601333309E-2</v>
      </c>
      <c r="Z40" s="144">
        <f t="shared" si="30"/>
        <v>2.3332082156560263</v>
      </c>
      <c r="AA40" s="144">
        <f t="shared" si="30"/>
        <v>0.917034240362812</v>
      </c>
      <c r="AC40" s="99"/>
      <c r="AD40" s="99" t="s">
        <v>107</v>
      </c>
      <c r="AE40" s="144">
        <f>(AE30-$AD$31)^2</f>
        <v>3.4833007474589102</v>
      </c>
      <c r="AF40" s="144">
        <f t="shared" ref="AF40:AJ40" si="31">(AF30-$AD$31)^2</f>
        <v>0.211489004001647</v>
      </c>
      <c r="AG40" s="144">
        <f t="shared" si="31"/>
        <v>0.23729792928200708</v>
      </c>
      <c r="AH40" s="144">
        <f t="shared" si="31"/>
        <v>1.2266835273569772</v>
      </c>
      <c r="AI40" s="144">
        <f t="shared" si="31"/>
        <v>1.4549553893133911</v>
      </c>
      <c r="AJ40" s="144">
        <f t="shared" si="31"/>
        <v>1.9600000000000004</v>
      </c>
    </row>
    <row r="41" spans="2:36" x14ac:dyDescent="0.25">
      <c r="B41" s="99"/>
      <c r="C41" s="99" t="s">
        <v>4</v>
      </c>
      <c r="D41" s="280">
        <f>SUM(D40:I40)</f>
        <v>1.148682422825553</v>
      </c>
      <c r="E41" s="281"/>
      <c r="F41" s="281"/>
      <c r="G41" s="281"/>
      <c r="H41" s="281"/>
      <c r="I41" s="282"/>
      <c r="K41" s="99"/>
      <c r="L41" s="99" t="s">
        <v>4</v>
      </c>
      <c r="M41" s="280">
        <f>SUM(M40:R40)</f>
        <v>1.5718148249907828</v>
      </c>
      <c r="N41" s="281"/>
      <c r="O41" s="281"/>
      <c r="P41" s="281"/>
      <c r="Q41" s="281"/>
      <c r="R41" s="282"/>
      <c r="T41" s="99"/>
      <c r="U41" s="99" t="s">
        <v>4</v>
      </c>
      <c r="V41" s="280">
        <f>SUM(V40:AA40)</f>
        <v>3.5320040209288135</v>
      </c>
      <c r="W41" s="281"/>
      <c r="X41" s="281"/>
      <c r="Y41" s="281"/>
      <c r="Z41" s="281"/>
      <c r="AA41" s="282"/>
      <c r="AC41" s="99"/>
      <c r="AD41" s="99" t="s">
        <v>4</v>
      </c>
      <c r="AE41" s="280">
        <f>SUM(AE40:AJ40)</f>
        <v>8.5737265974129322</v>
      </c>
      <c r="AF41" s="281"/>
      <c r="AG41" s="281"/>
      <c r="AH41" s="281"/>
      <c r="AI41" s="281"/>
      <c r="AJ41" s="282"/>
    </row>
    <row r="42" spans="2:36" x14ac:dyDescent="0.25">
      <c r="B42" s="99"/>
      <c r="C42" s="99" t="s">
        <v>108</v>
      </c>
      <c r="D42" s="280">
        <f>D38/D41</f>
        <v>-0.24410723206807758</v>
      </c>
      <c r="E42" s="283"/>
      <c r="F42" s="283"/>
      <c r="G42" s="283"/>
      <c r="H42" s="283"/>
      <c r="I42" s="284"/>
      <c r="K42" s="99"/>
      <c r="L42" s="99" t="s">
        <v>108</v>
      </c>
      <c r="M42" s="280">
        <f>M38/M41</f>
        <v>-0.37159859243420224</v>
      </c>
      <c r="N42" s="283"/>
      <c r="O42" s="283"/>
      <c r="P42" s="283"/>
      <c r="Q42" s="283"/>
      <c r="R42" s="284"/>
      <c r="T42" s="99"/>
      <c r="U42" s="99" t="s">
        <v>108</v>
      </c>
      <c r="V42" s="280">
        <f>V38/V41</f>
        <v>-0.35772791179737634</v>
      </c>
      <c r="W42" s="283"/>
      <c r="X42" s="283"/>
      <c r="Y42" s="283"/>
      <c r="Z42" s="283"/>
      <c r="AA42" s="284"/>
      <c r="AC42" s="99"/>
      <c r="AD42" s="99" t="s">
        <v>108</v>
      </c>
      <c r="AE42" s="280">
        <f>AE38/AE41</f>
        <v>-7.4028301737637678E-2</v>
      </c>
      <c r="AF42" s="283"/>
      <c r="AG42" s="283"/>
      <c r="AH42" s="283"/>
      <c r="AI42" s="283"/>
      <c r="AJ42" s="284"/>
    </row>
  </sheetData>
  <mergeCells count="12">
    <mergeCell ref="D38:I38"/>
    <mergeCell ref="D41:I41"/>
    <mergeCell ref="D42:I42"/>
    <mergeCell ref="M38:R38"/>
    <mergeCell ref="M41:R41"/>
    <mergeCell ref="M42:R42"/>
    <mergeCell ref="V38:AA38"/>
    <mergeCell ref="V41:AA41"/>
    <mergeCell ref="V42:AA42"/>
    <mergeCell ref="AE38:AJ38"/>
    <mergeCell ref="AE41:AJ41"/>
    <mergeCell ref="AE42:AJ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2"/>
  <sheetViews>
    <sheetView tabSelected="1" workbookViewId="0">
      <selection activeCell="H25" sqref="H25"/>
    </sheetView>
  </sheetViews>
  <sheetFormatPr defaultRowHeight="14.4" x14ac:dyDescent="0.3"/>
  <cols>
    <col min="4" max="4" width="5.5546875" customWidth="1"/>
    <col min="5" max="5" width="5.77734375" customWidth="1"/>
    <col min="6" max="9" width="5.88671875" bestFit="1" customWidth="1"/>
    <col min="10" max="10" width="5.5546875" customWidth="1"/>
    <col min="11" max="11" width="5.5546875" style="238" customWidth="1"/>
    <col min="12" max="12" width="13" style="238" customWidth="1"/>
    <col min="13" max="18" width="5.88671875" bestFit="1" customWidth="1"/>
  </cols>
  <sheetData>
    <row r="4" spans="3:18" x14ac:dyDescent="0.3">
      <c r="C4" s="267"/>
      <c r="D4" s="268" t="s">
        <v>10</v>
      </c>
      <c r="E4" s="268" t="s">
        <v>11</v>
      </c>
      <c r="F4" s="267" t="s">
        <v>0</v>
      </c>
      <c r="G4" s="266" t="s">
        <v>1</v>
      </c>
      <c r="H4" s="266" t="s">
        <v>2</v>
      </c>
      <c r="I4" s="266" t="s">
        <v>3</v>
      </c>
      <c r="J4" s="266" t="s">
        <v>4</v>
      </c>
      <c r="K4" s="241"/>
      <c r="L4" s="267"/>
      <c r="M4" s="285" t="s">
        <v>10</v>
      </c>
      <c r="N4" s="268" t="s">
        <v>11</v>
      </c>
      <c r="O4" s="267" t="s">
        <v>0</v>
      </c>
      <c r="P4" s="266" t="s">
        <v>1</v>
      </c>
      <c r="Q4" s="266" t="s">
        <v>2</v>
      </c>
      <c r="R4" s="266" t="s">
        <v>3</v>
      </c>
    </row>
    <row r="5" spans="3:18" x14ac:dyDescent="0.3">
      <c r="C5" s="267"/>
      <c r="D5" s="269"/>
      <c r="E5" s="269"/>
      <c r="F5" s="267"/>
      <c r="G5" s="266"/>
      <c r="H5" s="266"/>
      <c r="I5" s="266"/>
      <c r="J5" s="266"/>
      <c r="K5" s="241"/>
      <c r="L5" s="267"/>
      <c r="M5" s="286"/>
      <c r="N5" s="269"/>
      <c r="O5" s="267"/>
      <c r="P5" s="266"/>
      <c r="Q5" s="266"/>
      <c r="R5" s="266"/>
    </row>
    <row r="6" spans="3:18" x14ac:dyDescent="0.3">
      <c r="C6" s="2" t="s">
        <v>5</v>
      </c>
      <c r="D6" s="5">
        <v>1</v>
      </c>
      <c r="E6" s="5">
        <v>11</v>
      </c>
      <c r="F6" s="5">
        <v>21</v>
      </c>
      <c r="G6" s="6">
        <v>70</v>
      </c>
      <c r="H6" s="6">
        <v>10</v>
      </c>
      <c r="I6" s="6">
        <v>6</v>
      </c>
      <c r="J6" s="7">
        <v>119</v>
      </c>
      <c r="K6" s="202"/>
      <c r="L6" s="231" t="s">
        <v>5</v>
      </c>
      <c r="M6" s="239">
        <f t="shared" ref="M6:R6" si="0">(D6/D$10)/($J6/$J$10)</f>
        <v>0.21691176470588236</v>
      </c>
      <c r="N6" s="3">
        <f t="shared" si="0"/>
        <v>0.48944193061840119</v>
      </c>
      <c r="O6" s="3">
        <f t="shared" si="0"/>
        <v>0.91102941176470587</v>
      </c>
      <c r="P6" s="3">
        <f t="shared" si="0"/>
        <v>1.6088819633813789</v>
      </c>
      <c r="Q6" s="3">
        <f t="shared" si="0"/>
        <v>0.65482796892341844</v>
      </c>
      <c r="R6" s="3">
        <f t="shared" si="0"/>
        <v>0.59495798319327731</v>
      </c>
    </row>
    <row r="7" spans="3:18" x14ac:dyDescent="0.3">
      <c r="C7" s="2" t="s">
        <v>6</v>
      </c>
      <c r="D7" s="5">
        <v>1</v>
      </c>
      <c r="E7" s="5">
        <v>40</v>
      </c>
      <c r="F7" s="5">
        <v>24</v>
      </c>
      <c r="G7" s="6">
        <v>40</v>
      </c>
      <c r="H7" s="6">
        <v>5</v>
      </c>
      <c r="I7" s="6">
        <v>11</v>
      </c>
      <c r="J7" s="7">
        <v>121</v>
      </c>
      <c r="K7" s="202"/>
      <c r="L7" s="231" t="s">
        <v>6</v>
      </c>
      <c r="M7" s="239">
        <f t="shared" ref="M7:M9" si="1">(D7/D$10)/($J7/$J$10)</f>
        <v>0.21332644628099173</v>
      </c>
      <c r="N7" s="3">
        <f t="shared" ref="N7:N9" si="2">(E7/E$10)/($J7/$J$10)</f>
        <v>1.7503708412799319</v>
      </c>
      <c r="O7" s="3">
        <f t="shared" ref="O7:O9" si="3">(F7/F$10)/($J7/$J$10)</f>
        <v>1.0239669421487603</v>
      </c>
      <c r="P7" s="3">
        <f t="shared" ref="P7:P9" si="4">(G7/G$10)/($J7/$J$10)</f>
        <v>0.90416507033003124</v>
      </c>
      <c r="Q7" s="3">
        <f t="shared" ref="Q7:R9" si="5">(H7/H$10)/($J7/$J$10)</f>
        <v>0.32200218306564793</v>
      </c>
      <c r="R7" s="3">
        <f t="shared" si="5"/>
        <v>1.0727272727272728</v>
      </c>
    </row>
    <row r="8" spans="3:18" x14ac:dyDescent="0.3">
      <c r="C8" s="2" t="s">
        <v>7</v>
      </c>
      <c r="D8" s="5">
        <v>5</v>
      </c>
      <c r="E8" s="5">
        <v>13</v>
      </c>
      <c r="F8" s="5">
        <v>21</v>
      </c>
      <c r="G8" s="6">
        <v>30</v>
      </c>
      <c r="H8" s="6">
        <v>35</v>
      </c>
      <c r="I8" s="6">
        <v>1</v>
      </c>
      <c r="J8" s="7">
        <v>105</v>
      </c>
      <c r="K8" s="202"/>
      <c r="L8" s="231" t="s">
        <v>7</v>
      </c>
      <c r="M8" s="239">
        <f t="shared" si="1"/>
        <v>1.2291666666666667</v>
      </c>
      <c r="N8" s="3">
        <f t="shared" si="2"/>
        <v>0.65555555555555556</v>
      </c>
      <c r="O8" s="3">
        <f t="shared" si="3"/>
        <v>1.0325000000000002</v>
      </c>
      <c r="P8" s="3">
        <f t="shared" si="4"/>
        <v>0.7814569536423841</v>
      </c>
      <c r="Q8" s="3">
        <f t="shared" si="5"/>
        <v>2.5974842767295598</v>
      </c>
      <c r="R8" s="3">
        <f t="shared" si="5"/>
        <v>0.11238095238095239</v>
      </c>
    </row>
    <row r="9" spans="3:18" x14ac:dyDescent="0.3">
      <c r="C9" s="2" t="s">
        <v>8</v>
      </c>
      <c r="D9" s="5">
        <v>9</v>
      </c>
      <c r="E9" s="5">
        <v>14</v>
      </c>
      <c r="F9" s="5">
        <v>14</v>
      </c>
      <c r="G9" s="6">
        <v>11</v>
      </c>
      <c r="H9" s="6">
        <v>3</v>
      </c>
      <c r="I9" s="6">
        <v>17</v>
      </c>
      <c r="J9" s="7">
        <v>68</v>
      </c>
      <c r="K9" s="202"/>
      <c r="L9" s="231" t="s">
        <v>8</v>
      </c>
      <c r="M9" s="239">
        <f t="shared" si="1"/>
        <v>3.4163602941176472</v>
      </c>
      <c r="N9" s="3">
        <f t="shared" si="2"/>
        <v>1.0901206636500755</v>
      </c>
      <c r="O9" s="3">
        <f t="shared" si="3"/>
        <v>1.0628676470588234</v>
      </c>
      <c r="P9" s="3">
        <f t="shared" si="4"/>
        <v>0.44244253992987925</v>
      </c>
      <c r="Q9" s="3">
        <f t="shared" si="5"/>
        <v>0.3437846836847947</v>
      </c>
      <c r="R9" s="3">
        <f t="shared" si="5"/>
        <v>2.95</v>
      </c>
    </row>
    <row r="10" spans="3:18" x14ac:dyDescent="0.3">
      <c r="C10" s="2" t="s">
        <v>4</v>
      </c>
      <c r="D10" s="8">
        <v>16</v>
      </c>
      <c r="E10" s="8">
        <v>78</v>
      </c>
      <c r="F10" s="8">
        <v>80</v>
      </c>
      <c r="G10" s="7">
        <v>151</v>
      </c>
      <c r="H10" s="7">
        <v>53</v>
      </c>
      <c r="I10" s="7">
        <v>35</v>
      </c>
      <c r="J10" s="7">
        <v>413</v>
      </c>
      <c r="K10" s="202"/>
      <c r="L10" s="231" t="s">
        <v>4</v>
      </c>
      <c r="M10" s="240" t="s">
        <v>9</v>
      </c>
      <c r="N10" s="4" t="s">
        <v>9</v>
      </c>
      <c r="O10" s="4" t="s">
        <v>9</v>
      </c>
      <c r="P10" s="4" t="s">
        <v>9</v>
      </c>
      <c r="Q10" s="4" t="s">
        <v>9</v>
      </c>
      <c r="R10" s="4" t="s">
        <v>9</v>
      </c>
    </row>
    <row r="12" spans="3:18" x14ac:dyDescent="0.3">
      <c r="J12" t="s">
        <v>163</v>
      </c>
      <c r="L12" s="231" t="s">
        <v>181</v>
      </c>
      <c r="M12" s="167">
        <f>MAX(M6:M9)</f>
        <v>3.4163602941176472</v>
      </c>
      <c r="N12" s="167">
        <f t="shared" ref="N12:R12" si="6">MAX(N6:N9)</f>
        <v>1.7503708412799319</v>
      </c>
      <c r="O12" s="167">
        <f t="shared" si="6"/>
        <v>1.0628676470588234</v>
      </c>
      <c r="P12" s="167">
        <f t="shared" si="6"/>
        <v>1.6088819633813789</v>
      </c>
      <c r="Q12" s="167">
        <f t="shared" si="6"/>
        <v>2.5974842767295598</v>
      </c>
      <c r="R12" s="167">
        <f t="shared" si="6"/>
        <v>2.95</v>
      </c>
    </row>
  </sheetData>
  <mergeCells count="15">
    <mergeCell ref="L4:L5"/>
    <mergeCell ref="J4:J5"/>
    <mergeCell ref="D4:D5"/>
    <mergeCell ref="E4:E5"/>
    <mergeCell ref="C4:C5"/>
    <mergeCell ref="F4:F5"/>
    <mergeCell ref="G4:G5"/>
    <mergeCell ref="H4:H5"/>
    <mergeCell ref="I4:I5"/>
    <mergeCell ref="O4:O5"/>
    <mergeCell ref="P4:P5"/>
    <mergeCell ref="Q4:Q5"/>
    <mergeCell ref="R4:R5"/>
    <mergeCell ref="M4:M5"/>
    <mergeCell ref="N4:N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1"/>
  <sheetViews>
    <sheetView workbookViewId="0">
      <selection activeCell="O20" sqref="O20"/>
    </sheetView>
  </sheetViews>
  <sheetFormatPr defaultRowHeight="13.2" x14ac:dyDescent="0.25"/>
  <cols>
    <col min="1" max="4" width="8.88671875" style="49"/>
    <col min="5" max="5" width="9.33203125" style="49" bestFit="1" customWidth="1"/>
    <col min="6" max="16384" width="8.88671875" style="49"/>
  </cols>
  <sheetData>
    <row r="3" spans="3:10" x14ac:dyDescent="0.25">
      <c r="C3" s="124"/>
      <c r="D3" s="126" t="s">
        <v>10</v>
      </c>
      <c r="E3" s="126" t="s">
        <v>11</v>
      </c>
      <c r="F3" s="124" t="s">
        <v>0</v>
      </c>
      <c r="G3" s="125" t="s">
        <v>1</v>
      </c>
      <c r="H3" s="125" t="s">
        <v>2</v>
      </c>
      <c r="I3" s="125" t="s">
        <v>3</v>
      </c>
      <c r="J3" s="125" t="s">
        <v>4</v>
      </c>
    </row>
    <row r="4" spans="3:10" x14ac:dyDescent="0.25">
      <c r="C4" s="124" t="s">
        <v>5</v>
      </c>
      <c r="D4" s="51">
        <v>1</v>
      </c>
      <c r="E4" s="51">
        <v>11</v>
      </c>
      <c r="F4" s="51">
        <v>21</v>
      </c>
      <c r="G4" s="52">
        <v>70</v>
      </c>
      <c r="H4" s="52">
        <v>10</v>
      </c>
      <c r="I4" s="52">
        <v>6</v>
      </c>
      <c r="J4" s="53">
        <v>119</v>
      </c>
    </row>
    <row r="5" spans="3:10" x14ac:dyDescent="0.25">
      <c r="C5" s="124" t="s">
        <v>6</v>
      </c>
      <c r="D5" s="51">
        <v>1</v>
      </c>
      <c r="E5" s="51">
        <v>40</v>
      </c>
      <c r="F5" s="51">
        <v>24</v>
      </c>
      <c r="G5" s="52">
        <v>40</v>
      </c>
      <c r="H5" s="52">
        <v>5</v>
      </c>
      <c r="I5" s="52">
        <v>11</v>
      </c>
      <c r="J5" s="53">
        <v>121</v>
      </c>
    </row>
    <row r="6" spans="3:10" x14ac:dyDescent="0.25">
      <c r="C6" s="124" t="s">
        <v>7</v>
      </c>
      <c r="D6" s="51">
        <v>5</v>
      </c>
      <c r="E6" s="51">
        <v>13</v>
      </c>
      <c r="F6" s="51">
        <v>21</v>
      </c>
      <c r="G6" s="52">
        <v>30</v>
      </c>
      <c r="H6" s="52">
        <v>35</v>
      </c>
      <c r="I6" s="52">
        <v>1</v>
      </c>
      <c r="J6" s="53">
        <v>105</v>
      </c>
    </row>
    <row r="7" spans="3:10" x14ac:dyDescent="0.25">
      <c r="C7" s="124" t="s">
        <v>8</v>
      </c>
      <c r="D7" s="51">
        <v>9</v>
      </c>
      <c r="E7" s="51">
        <v>14</v>
      </c>
      <c r="F7" s="51">
        <v>14</v>
      </c>
      <c r="G7" s="52">
        <v>11</v>
      </c>
      <c r="H7" s="52">
        <v>3</v>
      </c>
      <c r="I7" s="52">
        <v>17</v>
      </c>
      <c r="J7" s="53">
        <v>68</v>
      </c>
    </row>
    <row r="8" spans="3:10" x14ac:dyDescent="0.25">
      <c r="C8" s="124" t="s">
        <v>4</v>
      </c>
      <c r="D8" s="54">
        <v>16</v>
      </c>
      <c r="E8" s="54">
        <v>78</v>
      </c>
      <c r="F8" s="54">
        <v>80</v>
      </c>
      <c r="G8" s="53">
        <v>151</v>
      </c>
      <c r="H8" s="53">
        <v>53</v>
      </c>
      <c r="I8" s="53">
        <v>35</v>
      </c>
      <c r="J8" s="53">
        <v>413</v>
      </c>
    </row>
    <row r="10" spans="3:10" ht="13.8" x14ac:dyDescent="0.25">
      <c r="C10" s="165" t="s">
        <v>120</v>
      </c>
      <c r="D10" s="126" t="s">
        <v>10</v>
      </c>
      <c r="E10" s="126" t="s">
        <v>11</v>
      </c>
      <c r="F10" s="124" t="s">
        <v>0</v>
      </c>
      <c r="G10" s="125" t="s">
        <v>1</v>
      </c>
      <c r="H10" s="125" t="s">
        <v>2</v>
      </c>
      <c r="I10" s="125" t="s">
        <v>3</v>
      </c>
      <c r="J10" s="125" t="s">
        <v>4</v>
      </c>
    </row>
    <row r="11" spans="3:10" x14ac:dyDescent="0.25">
      <c r="C11" s="124" t="s">
        <v>5</v>
      </c>
      <c r="D11" s="98">
        <f>D4/D$8</f>
        <v>6.25E-2</v>
      </c>
      <c r="E11" s="98">
        <f t="shared" ref="E11:I11" si="0">E4/E$8</f>
        <v>0.14102564102564102</v>
      </c>
      <c r="F11" s="98">
        <f t="shared" si="0"/>
        <v>0.26250000000000001</v>
      </c>
      <c r="G11" s="98">
        <f t="shared" si="0"/>
        <v>0.46357615894039733</v>
      </c>
      <c r="H11" s="98">
        <f t="shared" si="0"/>
        <v>0.18867924528301888</v>
      </c>
      <c r="I11" s="98">
        <f t="shared" si="0"/>
        <v>0.17142857142857143</v>
      </c>
      <c r="J11" s="53"/>
    </row>
    <row r="12" spans="3:10" x14ac:dyDescent="0.25">
      <c r="C12" s="124" t="s">
        <v>6</v>
      </c>
      <c r="D12" s="98">
        <f t="shared" ref="D12:I12" si="1">D5/D$8</f>
        <v>6.25E-2</v>
      </c>
      <c r="E12" s="98">
        <f t="shared" si="1"/>
        <v>0.51282051282051277</v>
      </c>
      <c r="F12" s="98">
        <f t="shared" si="1"/>
        <v>0.3</v>
      </c>
      <c r="G12" s="98">
        <f t="shared" si="1"/>
        <v>0.26490066225165565</v>
      </c>
      <c r="H12" s="98">
        <f t="shared" si="1"/>
        <v>9.4339622641509441E-2</v>
      </c>
      <c r="I12" s="98">
        <f t="shared" si="1"/>
        <v>0.31428571428571428</v>
      </c>
      <c r="J12" s="53"/>
    </row>
    <row r="13" spans="3:10" x14ac:dyDescent="0.25">
      <c r="C13" s="124" t="s">
        <v>7</v>
      </c>
      <c r="D13" s="98">
        <f t="shared" ref="D13:I13" si="2">D6/D$8</f>
        <v>0.3125</v>
      </c>
      <c r="E13" s="98">
        <f t="shared" si="2"/>
        <v>0.16666666666666666</v>
      </c>
      <c r="F13" s="98">
        <f t="shared" si="2"/>
        <v>0.26250000000000001</v>
      </c>
      <c r="G13" s="98">
        <f t="shared" si="2"/>
        <v>0.19867549668874171</v>
      </c>
      <c r="H13" s="98">
        <f t="shared" si="2"/>
        <v>0.660377358490566</v>
      </c>
      <c r="I13" s="98">
        <f t="shared" si="2"/>
        <v>2.8571428571428571E-2</v>
      </c>
      <c r="J13" s="53"/>
    </row>
    <row r="14" spans="3:10" x14ac:dyDescent="0.25">
      <c r="C14" s="124" t="s">
        <v>8</v>
      </c>
      <c r="D14" s="98">
        <f t="shared" ref="D14:I14" si="3">D7/D$8</f>
        <v>0.5625</v>
      </c>
      <c r="E14" s="98">
        <f t="shared" si="3"/>
        <v>0.17948717948717949</v>
      </c>
      <c r="F14" s="98">
        <f t="shared" si="3"/>
        <v>0.17499999999999999</v>
      </c>
      <c r="G14" s="98">
        <f t="shared" si="3"/>
        <v>7.2847682119205295E-2</v>
      </c>
      <c r="H14" s="98">
        <f t="shared" si="3"/>
        <v>5.6603773584905662E-2</v>
      </c>
      <c r="I14" s="98">
        <f t="shared" si="3"/>
        <v>0.48571428571428571</v>
      </c>
      <c r="J14" s="53"/>
    </row>
    <row r="15" spans="3:10" x14ac:dyDescent="0.25">
      <c r="C15" s="124" t="s">
        <v>4</v>
      </c>
      <c r="D15" s="152">
        <f>D8/$J$8</f>
        <v>3.8740920096852302E-2</v>
      </c>
      <c r="E15" s="152">
        <f t="shared" ref="E15:I15" si="4">E8/$J$8</f>
        <v>0.18886198547215496</v>
      </c>
      <c r="F15" s="152">
        <f t="shared" si="4"/>
        <v>0.1937046004842615</v>
      </c>
      <c r="G15" s="152">
        <f t="shared" si="4"/>
        <v>0.36561743341404357</v>
      </c>
      <c r="H15" s="152">
        <f t="shared" si="4"/>
        <v>0.12832929782082325</v>
      </c>
      <c r="I15" s="152">
        <f t="shared" si="4"/>
        <v>8.4745762711864403E-2</v>
      </c>
      <c r="J15" s="53"/>
    </row>
    <row r="18" spans="2:13" x14ac:dyDescent="0.25">
      <c r="D18" s="99" t="s">
        <v>115</v>
      </c>
      <c r="E18" s="99">
        <v>1</v>
      </c>
      <c r="F18" s="99">
        <v>2</v>
      </c>
      <c r="G18" s="99">
        <v>3</v>
      </c>
      <c r="H18" s="99">
        <v>4</v>
      </c>
      <c r="I18" s="99">
        <v>5</v>
      </c>
      <c r="J18" s="99">
        <v>6</v>
      </c>
    </row>
    <row r="19" spans="2:13" x14ac:dyDescent="0.25">
      <c r="D19" s="99">
        <v>1</v>
      </c>
      <c r="E19" s="143">
        <v>0</v>
      </c>
      <c r="F19" s="143">
        <v>0.78142219999999996</v>
      </c>
      <c r="G19" s="143">
        <v>0.40288930000000001</v>
      </c>
      <c r="H19" s="143">
        <v>0.42950260000000001</v>
      </c>
      <c r="I19" s="143">
        <v>0.54041309999999998</v>
      </c>
      <c r="J19" s="143">
        <v>0.54882759999999997</v>
      </c>
    </row>
    <row r="20" spans="2:13" x14ac:dyDescent="0.25">
      <c r="D20" s="99">
        <v>2</v>
      </c>
      <c r="E20" s="143">
        <v>0.78142219999999996</v>
      </c>
      <c r="F20" s="143">
        <v>0</v>
      </c>
      <c r="G20" s="143">
        <v>0.85264470000000003</v>
      </c>
      <c r="H20" s="143">
        <v>0.53731600000000002</v>
      </c>
      <c r="I20" s="143">
        <v>0.28875440000000002</v>
      </c>
      <c r="J20" s="143">
        <v>0.52706810000000004</v>
      </c>
    </row>
    <row r="21" spans="2:13" x14ac:dyDescent="0.25">
      <c r="D21" s="99">
        <v>3</v>
      </c>
      <c r="E21" s="143">
        <v>0.40288930000000001</v>
      </c>
      <c r="F21" s="143">
        <v>0.85264470000000003</v>
      </c>
      <c r="G21" s="143">
        <v>0</v>
      </c>
      <c r="H21" s="143">
        <v>0.31807740000000001</v>
      </c>
      <c r="I21" s="143">
        <v>0.72734960000000004</v>
      </c>
      <c r="J21" s="143">
        <v>0.85832909999999996</v>
      </c>
    </row>
    <row r="22" spans="2:13" x14ac:dyDescent="0.25">
      <c r="D22" s="99">
        <v>4</v>
      </c>
      <c r="E22" s="143">
        <v>0.42950260000000001</v>
      </c>
      <c r="F22" s="143">
        <v>0.53731600000000002</v>
      </c>
      <c r="G22" s="143">
        <v>0.31807740000000001</v>
      </c>
      <c r="H22" s="143">
        <v>0</v>
      </c>
      <c r="I22" s="143">
        <v>0.45915099999999998</v>
      </c>
      <c r="J22" s="143">
        <v>0.65666389999999997</v>
      </c>
    </row>
    <row r="23" spans="2:13" x14ac:dyDescent="0.25">
      <c r="D23" s="99">
        <v>5</v>
      </c>
      <c r="E23" s="143">
        <v>0.54041309999999998</v>
      </c>
      <c r="F23" s="143">
        <v>0.28875440000000002</v>
      </c>
      <c r="G23" s="143">
        <v>0.72734960000000004</v>
      </c>
      <c r="H23" s="143">
        <v>0.45915099999999998</v>
      </c>
      <c r="I23" s="143">
        <v>0</v>
      </c>
      <c r="J23" s="143">
        <v>0.26621250000000002</v>
      </c>
    </row>
    <row r="24" spans="2:13" x14ac:dyDescent="0.25">
      <c r="D24" s="99">
        <v>6</v>
      </c>
      <c r="E24" s="143">
        <v>0.54882759999999997</v>
      </c>
      <c r="F24" s="143">
        <v>0.52706810000000004</v>
      </c>
      <c r="G24" s="143">
        <v>0.85832909999999996</v>
      </c>
      <c r="H24" s="143">
        <v>0.65666389999999997</v>
      </c>
      <c r="I24" s="143">
        <v>0.26621250000000002</v>
      </c>
      <c r="J24" s="143">
        <v>0</v>
      </c>
    </row>
    <row r="27" spans="2:13" x14ac:dyDescent="0.25">
      <c r="B27" s="158" t="s">
        <v>116</v>
      </c>
      <c r="C27" s="159"/>
      <c r="D27" s="158" t="s">
        <v>110</v>
      </c>
      <c r="E27" s="160">
        <v>6.25E-2</v>
      </c>
      <c r="F27" s="160">
        <v>0.14102564102564102</v>
      </c>
      <c r="G27" s="160">
        <v>0.26250000000000001</v>
      </c>
      <c r="H27" s="160">
        <v>0.46357615894039733</v>
      </c>
      <c r="I27" s="160">
        <v>0.18867924528301888</v>
      </c>
      <c r="J27" s="160">
        <v>0.17142857142857143</v>
      </c>
    </row>
    <row r="28" spans="2:13" x14ac:dyDescent="0.25">
      <c r="B28" s="158"/>
      <c r="C28" s="159"/>
      <c r="D28" s="158" t="s">
        <v>72</v>
      </c>
      <c r="E28" s="160">
        <v>3.8740920096852302E-2</v>
      </c>
      <c r="F28" s="160">
        <v>0.18886198547215496</v>
      </c>
      <c r="G28" s="160">
        <v>0.1937046004842615</v>
      </c>
      <c r="H28" s="160">
        <v>0.36561743341404357</v>
      </c>
      <c r="I28" s="160">
        <v>0.12832929782082325</v>
      </c>
      <c r="J28" s="160">
        <v>8.4745762711864403E-2</v>
      </c>
    </row>
    <row r="29" spans="2:13" ht="13.8" x14ac:dyDescent="0.25">
      <c r="B29" s="158" t="s">
        <v>110</v>
      </c>
      <c r="C29" s="159" t="s">
        <v>72</v>
      </c>
      <c r="D29" s="161"/>
      <c r="E29" s="161" t="s">
        <v>10</v>
      </c>
      <c r="F29" s="161" t="s">
        <v>11</v>
      </c>
      <c r="G29" s="161" t="s">
        <v>0</v>
      </c>
      <c r="H29" s="162" t="s">
        <v>1</v>
      </c>
      <c r="I29" s="162" t="s">
        <v>2</v>
      </c>
      <c r="J29" s="162" t="s">
        <v>3</v>
      </c>
    </row>
    <row r="30" spans="2:13" ht="13.8" x14ac:dyDescent="0.25">
      <c r="B30" s="160">
        <v>6.25E-2</v>
      </c>
      <c r="C30" s="160">
        <v>3.8740920096852302E-2</v>
      </c>
      <c r="D30" s="161" t="s">
        <v>10</v>
      </c>
      <c r="E30" s="163">
        <v>0</v>
      </c>
      <c r="F30" s="163">
        <f t="shared" ref="F30:J30" si="5">(F$27*$B30/F19)/(F$28*$C30/F19)</f>
        <v>1.2046575803336621</v>
      </c>
      <c r="G30" s="163">
        <f t="shared" si="5"/>
        <v>2.1862481689453124</v>
      </c>
      <c r="H30" s="163">
        <f t="shared" si="5"/>
        <v>2.0455226059164073</v>
      </c>
      <c r="I30" s="163">
        <f t="shared" si="5"/>
        <v>2.3719656683873267</v>
      </c>
      <c r="J30" s="163">
        <f t="shared" si="5"/>
        <v>3.2634374999999998</v>
      </c>
      <c r="L30" s="49" t="s">
        <v>94</v>
      </c>
      <c r="M30" s="157">
        <f>SUM(E30:J35)</f>
        <v>58.988106895134393</v>
      </c>
    </row>
    <row r="31" spans="2:13" ht="13.8" x14ac:dyDescent="0.25">
      <c r="B31" s="160">
        <v>0.14102564102564102</v>
      </c>
      <c r="C31" s="160">
        <v>0.18886198547215496</v>
      </c>
      <c r="D31" s="161" t="s">
        <v>11</v>
      </c>
      <c r="E31" s="163">
        <f>(E$27*$B31/E20)/(E$28*$C31/E20)</f>
        <v>1.2046575803336621</v>
      </c>
      <c r="F31" s="163">
        <v>0</v>
      </c>
      <c r="G31" s="163">
        <f t="shared" ref="G31:J31" si="6">(G$27*$B31/G20)/(G$28*$C31/G20)</f>
        <v>1.0119123674802761</v>
      </c>
      <c r="H31" s="163">
        <f t="shared" si="6"/>
        <v>0.94677706414539831</v>
      </c>
      <c r="I31" s="163">
        <f t="shared" si="6"/>
        <v>1.0978723409235227</v>
      </c>
      <c r="J31" s="163">
        <f t="shared" si="6"/>
        <v>1.5104930966469428</v>
      </c>
      <c r="L31" s="49" t="s">
        <v>114</v>
      </c>
      <c r="M31" s="157">
        <f>AVERAGE(E30:J35)</f>
        <v>1.6385585248648442</v>
      </c>
    </row>
    <row r="32" spans="2:13" ht="13.8" x14ac:dyDescent="0.25">
      <c r="B32" s="160">
        <v>0.26250000000000001</v>
      </c>
      <c r="C32" s="160">
        <v>0.1937046004842615</v>
      </c>
      <c r="D32" s="161" t="s">
        <v>0</v>
      </c>
      <c r="E32" s="163">
        <f t="shared" ref="E32:J32" si="7">(E$27*$B32/E21)/(E$28*$C32/E21)</f>
        <v>2.1862481689453124</v>
      </c>
      <c r="F32" s="163">
        <f t="shared" si="7"/>
        <v>1.0119123674802761</v>
      </c>
      <c r="G32" s="163">
        <v>0</v>
      </c>
      <c r="H32" s="163">
        <f t="shared" si="7"/>
        <v>1.7182389889697818</v>
      </c>
      <c r="I32" s="163">
        <f t="shared" si="7"/>
        <v>1.9924511614453544</v>
      </c>
      <c r="J32" s="163">
        <f t="shared" si="7"/>
        <v>2.7412875000000003</v>
      </c>
    </row>
    <row r="33" spans="2:13" ht="13.8" x14ac:dyDescent="0.25">
      <c r="B33" s="160">
        <v>0.46357615894039733</v>
      </c>
      <c r="C33" s="160">
        <v>0.36561743341404357</v>
      </c>
      <c r="D33" s="161" t="s">
        <v>1</v>
      </c>
      <c r="E33" s="163">
        <f t="shared" ref="E33:J33" si="8">(E$27*$B33/E22)/(E$28*$C33/E22)</f>
        <v>2.0455226059164073</v>
      </c>
      <c r="F33" s="163">
        <f t="shared" si="8"/>
        <v>0.94677706414539831</v>
      </c>
      <c r="G33" s="163">
        <f t="shared" si="8"/>
        <v>1.7182389889697818</v>
      </c>
      <c r="H33" s="163">
        <v>0</v>
      </c>
      <c r="I33" s="163">
        <f t="shared" si="8"/>
        <v>1.8642000253278757</v>
      </c>
      <c r="J33" s="163">
        <f t="shared" si="8"/>
        <v>2.5648348756633483</v>
      </c>
    </row>
    <row r="34" spans="2:13" ht="13.8" x14ac:dyDescent="0.25">
      <c r="B34" s="160">
        <v>0.18867924528301888</v>
      </c>
      <c r="C34" s="160">
        <v>0.12832929782082325</v>
      </c>
      <c r="D34" s="161" t="s">
        <v>2</v>
      </c>
      <c r="E34" s="163">
        <f t="shared" ref="E34:J34" si="9">(E$27*$B34/E23)/(E$28*$C34/E23)</f>
        <v>2.3719656683873267</v>
      </c>
      <c r="F34" s="163">
        <f t="shared" si="9"/>
        <v>1.0978723409235227</v>
      </c>
      <c r="G34" s="163">
        <f t="shared" si="9"/>
        <v>1.9924511614453544</v>
      </c>
      <c r="H34" s="163">
        <f t="shared" si="9"/>
        <v>1.8642000253278757</v>
      </c>
      <c r="I34" s="163">
        <v>0</v>
      </c>
      <c r="J34" s="163">
        <f t="shared" si="9"/>
        <v>2.9741545033819863</v>
      </c>
    </row>
    <row r="35" spans="2:13" ht="13.8" x14ac:dyDescent="0.3">
      <c r="B35" s="160">
        <v>0.17142857142857143</v>
      </c>
      <c r="C35" s="160">
        <v>8.4745762711864403E-2</v>
      </c>
      <c r="D35" s="164" t="s">
        <v>3</v>
      </c>
      <c r="E35" s="163">
        <f>(E$27*$B35/E24)/(E$28*$C35/E24)</f>
        <v>3.2634374999999998</v>
      </c>
      <c r="F35" s="163">
        <f t="shared" ref="F35:I35" si="10">(F$27*$B35/F24)/(F$28*$C35/F24)</f>
        <v>1.5104930966469428</v>
      </c>
      <c r="G35" s="163">
        <f t="shared" si="10"/>
        <v>2.7412875000000003</v>
      </c>
      <c r="H35" s="163">
        <f t="shared" si="10"/>
        <v>2.5648348756633483</v>
      </c>
      <c r="I35" s="163">
        <f t="shared" si="10"/>
        <v>2.9741545033819863</v>
      </c>
      <c r="J35" s="163">
        <v>0</v>
      </c>
    </row>
    <row r="38" spans="2:13" x14ac:dyDescent="0.25">
      <c r="B38" s="154" t="s">
        <v>117</v>
      </c>
      <c r="C38" s="147"/>
      <c r="D38" s="154" t="s">
        <v>110</v>
      </c>
      <c r="E38" s="155">
        <v>6.25E-2</v>
      </c>
      <c r="F38" s="155">
        <v>0.14102564102564102</v>
      </c>
      <c r="G38" s="155">
        <v>0.26250000000000001</v>
      </c>
      <c r="H38" s="155">
        <v>0.46357615894039733</v>
      </c>
      <c r="I38" s="155">
        <v>0.18867924528301888</v>
      </c>
      <c r="J38" s="155">
        <v>0.17142857142857143</v>
      </c>
    </row>
    <row r="39" spans="2:13" x14ac:dyDescent="0.25">
      <c r="B39" s="154"/>
      <c r="C39" s="147"/>
      <c r="D39" s="154" t="s">
        <v>72</v>
      </c>
      <c r="E39" s="155">
        <v>3.8740920096852302E-2</v>
      </c>
      <c r="F39" s="155">
        <v>0.18886198547215496</v>
      </c>
      <c r="G39" s="155">
        <v>0.1937046004842615</v>
      </c>
      <c r="H39" s="155">
        <v>0.36561743341404357</v>
      </c>
      <c r="I39" s="155">
        <v>0.12832929782082325</v>
      </c>
      <c r="J39" s="155">
        <v>8.4745762711864403E-2</v>
      </c>
    </row>
    <row r="40" spans="2:13" x14ac:dyDescent="0.25">
      <c r="B40" s="154" t="s">
        <v>110</v>
      </c>
      <c r="C40" s="147" t="s">
        <v>72</v>
      </c>
      <c r="D40" s="132"/>
      <c r="E40" s="132" t="s">
        <v>10</v>
      </c>
      <c r="F40" s="132" t="s">
        <v>11</v>
      </c>
      <c r="G40" s="132" t="s">
        <v>0</v>
      </c>
      <c r="H40" s="153" t="s">
        <v>1</v>
      </c>
      <c r="I40" s="153" t="s">
        <v>2</v>
      </c>
      <c r="J40" s="153" t="s">
        <v>3</v>
      </c>
    </row>
    <row r="41" spans="2:13" x14ac:dyDescent="0.25">
      <c r="B41" s="155">
        <v>6.25E-2</v>
      </c>
      <c r="C41" s="155">
        <v>3.8740920096852302E-2</v>
      </c>
      <c r="D41" s="132" t="s">
        <v>10</v>
      </c>
      <c r="E41" s="146">
        <v>0</v>
      </c>
      <c r="F41" s="146">
        <f t="shared" ref="F41:J41" si="11">(F$38*$B41/F19)</f>
        <v>1.1279565085433412E-2</v>
      </c>
      <c r="G41" s="146">
        <f t="shared" si="11"/>
        <v>4.0721483543990869E-2</v>
      </c>
      <c r="H41" s="146">
        <f t="shared" si="11"/>
        <v>6.7458287641971981E-2</v>
      </c>
      <c r="I41" s="146">
        <f t="shared" si="11"/>
        <v>2.1821182406919225E-2</v>
      </c>
      <c r="J41" s="146">
        <f t="shared" si="11"/>
        <v>1.952213357033377E-2</v>
      </c>
      <c r="L41" s="49" t="s">
        <v>94</v>
      </c>
      <c r="M41" s="157">
        <f>SUM(E41:J46)</f>
        <v>2.8000529093456525</v>
      </c>
    </row>
    <row r="42" spans="2:13" x14ac:dyDescent="0.25">
      <c r="B42" s="155">
        <v>0.14102564102564102</v>
      </c>
      <c r="C42" s="155">
        <v>0.18886198547215496</v>
      </c>
      <c r="D42" s="132" t="s">
        <v>11</v>
      </c>
      <c r="E42" s="146">
        <f>(E$38*$B42/E20)</f>
        <v>1.1279565085433412E-2</v>
      </c>
      <c r="F42" s="146">
        <v>0</v>
      </c>
      <c r="G42" s="146">
        <f t="shared" ref="G42:J42" si="12">(G$38*$B42/G20)</f>
        <v>4.3416948195691321E-2</v>
      </c>
      <c r="H42" s="146">
        <f t="shared" si="12"/>
        <v>0.12167165127927325</v>
      </c>
      <c r="I42" s="146">
        <f t="shared" si="12"/>
        <v>9.2149631362403103E-2</v>
      </c>
      <c r="J42" s="146">
        <f t="shared" si="12"/>
        <v>4.5868501956054963E-2</v>
      </c>
      <c r="L42" s="49" t="s">
        <v>114</v>
      </c>
      <c r="M42" s="157">
        <f>AVERAGE(E41:J46)</f>
        <v>7.7779247481823688E-2</v>
      </c>
    </row>
    <row r="43" spans="2:13" x14ac:dyDescent="0.25">
      <c r="B43" s="155">
        <v>0.26250000000000001</v>
      </c>
      <c r="C43" s="155">
        <v>0.1937046004842615</v>
      </c>
      <c r="D43" s="132" t="s">
        <v>0</v>
      </c>
      <c r="E43" s="146">
        <f t="shared" ref="E43:J43" si="13">(E$38*$B43/E21)</f>
        <v>4.0721483543990869E-2</v>
      </c>
      <c r="F43" s="146">
        <f t="shared" si="13"/>
        <v>4.3416948195691321E-2</v>
      </c>
      <c r="G43" s="146">
        <v>0</v>
      </c>
      <c r="H43" s="146">
        <f t="shared" si="13"/>
        <v>0.38257588159942924</v>
      </c>
      <c r="I43" s="146">
        <f t="shared" si="13"/>
        <v>6.809421753554612E-2</v>
      </c>
      <c r="J43" s="146">
        <f t="shared" si="13"/>
        <v>5.2427443040204517E-2</v>
      </c>
    </row>
    <row r="44" spans="2:13" x14ac:dyDescent="0.25">
      <c r="B44" s="155">
        <v>0.46357615894039733</v>
      </c>
      <c r="C44" s="155">
        <v>0.36561743341404357</v>
      </c>
      <c r="D44" s="132" t="s">
        <v>1</v>
      </c>
      <c r="E44" s="146">
        <f t="shared" ref="E44:J44" si="14">(E$38*$B44/E22)</f>
        <v>6.7458287641971981E-2</v>
      </c>
      <c r="F44" s="146">
        <f t="shared" si="14"/>
        <v>0.12167165127927325</v>
      </c>
      <c r="G44" s="146">
        <f t="shared" si="14"/>
        <v>0.38257588159942924</v>
      </c>
      <c r="H44" s="146">
        <v>0</v>
      </c>
      <c r="I44" s="146">
        <f t="shared" si="14"/>
        <v>0.19049767897723185</v>
      </c>
      <c r="J44" s="146">
        <f t="shared" si="14"/>
        <v>0.12102111700597017</v>
      </c>
    </row>
    <row r="45" spans="2:13" x14ac:dyDescent="0.25">
      <c r="B45" s="155">
        <v>0.18867924528301888</v>
      </c>
      <c r="C45" s="155">
        <v>0.12832929782082325</v>
      </c>
      <c r="D45" s="132" t="s">
        <v>2</v>
      </c>
      <c r="E45" s="146">
        <f t="shared" ref="E45:J45" si="15">(E$38*$B45/E23)</f>
        <v>2.1821182406919225E-2</v>
      </c>
      <c r="F45" s="146">
        <f t="shared" si="15"/>
        <v>9.2149631362403103E-2</v>
      </c>
      <c r="G45" s="146">
        <f t="shared" si="15"/>
        <v>6.809421753554612E-2</v>
      </c>
      <c r="H45" s="146">
        <f t="shared" si="15"/>
        <v>0.19049767897723185</v>
      </c>
      <c r="I45" s="146">
        <v>0</v>
      </c>
      <c r="J45" s="146">
        <f t="shared" si="15"/>
        <v>0.12150073147237243</v>
      </c>
    </row>
    <row r="46" spans="2:13" x14ac:dyDescent="0.25">
      <c r="B46" s="155">
        <v>0.17142857142857143</v>
      </c>
      <c r="C46" s="155">
        <v>8.4745762711864403E-2</v>
      </c>
      <c r="D46" s="156" t="s">
        <v>3</v>
      </c>
      <c r="E46" s="146">
        <f t="shared" ref="E46:I46" si="16">(E$38*$B46/E24)</f>
        <v>1.952213357033377E-2</v>
      </c>
      <c r="F46" s="146">
        <f t="shared" si="16"/>
        <v>4.5868501956054963E-2</v>
      </c>
      <c r="G46" s="146">
        <f t="shared" si="16"/>
        <v>5.2427443040204517E-2</v>
      </c>
      <c r="H46" s="146">
        <f t="shared" si="16"/>
        <v>0.12102111700597017</v>
      </c>
      <c r="I46" s="146">
        <f t="shared" si="16"/>
        <v>0.12150073147237243</v>
      </c>
      <c r="J46" s="146">
        <v>0</v>
      </c>
    </row>
    <row r="49" spans="2:13" x14ac:dyDescent="0.25">
      <c r="B49" s="154" t="s">
        <v>118</v>
      </c>
      <c r="C49" s="147"/>
      <c r="D49" s="154" t="s">
        <v>110</v>
      </c>
      <c r="E49" s="155">
        <v>6.25E-2</v>
      </c>
      <c r="F49" s="155">
        <v>0.14102564102564102</v>
      </c>
      <c r="G49" s="155">
        <v>0.26250000000000001</v>
      </c>
      <c r="H49" s="155">
        <v>0.46357615894039733</v>
      </c>
      <c r="I49" s="155">
        <v>0.18867924528301888</v>
      </c>
      <c r="J49" s="155">
        <v>0.17142857142857143</v>
      </c>
    </row>
    <row r="50" spans="2:13" x14ac:dyDescent="0.25">
      <c r="B50" s="154"/>
      <c r="C50" s="147"/>
      <c r="D50" s="154" t="s">
        <v>72</v>
      </c>
      <c r="E50" s="155">
        <v>3.8740920096852302E-2</v>
      </c>
      <c r="F50" s="155">
        <v>0.18886198547215496</v>
      </c>
      <c r="G50" s="155">
        <v>0.1937046004842615</v>
      </c>
      <c r="H50" s="155">
        <v>0.36561743341404357</v>
      </c>
      <c r="I50" s="155">
        <v>0.12832929782082325</v>
      </c>
      <c r="J50" s="155">
        <v>8.4745762711864403E-2</v>
      </c>
    </row>
    <row r="51" spans="2:13" x14ac:dyDescent="0.25">
      <c r="B51" s="154" t="s">
        <v>110</v>
      </c>
      <c r="C51" s="147" t="s">
        <v>72</v>
      </c>
      <c r="D51" s="132"/>
      <c r="E51" s="132" t="s">
        <v>10</v>
      </c>
      <c r="F51" s="132" t="s">
        <v>11</v>
      </c>
      <c r="G51" s="132" t="s">
        <v>0</v>
      </c>
      <c r="H51" s="153" t="s">
        <v>1</v>
      </c>
      <c r="I51" s="153" t="s">
        <v>2</v>
      </c>
      <c r="J51" s="153" t="s">
        <v>3</v>
      </c>
    </row>
    <row r="52" spans="2:13" x14ac:dyDescent="0.25">
      <c r="B52" s="155">
        <v>6.25E-2</v>
      </c>
      <c r="C52" s="155">
        <v>3.8740920096852302E-2</v>
      </c>
      <c r="D52" s="132" t="s">
        <v>10</v>
      </c>
      <c r="E52" s="146">
        <v>0</v>
      </c>
      <c r="F52" s="146">
        <f t="shared" ref="F52:J52" si="17">(F$50*$C52/F19)</f>
        <v>9.3632956531176561E-3</v>
      </c>
      <c r="G52" s="146">
        <f t="shared" si="17"/>
        <v>1.8626194465212832E-2</v>
      </c>
      <c r="H52" s="146">
        <f t="shared" si="17"/>
        <v>3.2978509964572224E-2</v>
      </c>
      <c r="I52" s="146">
        <f t="shared" si="17"/>
        <v>9.1996198333491094E-3</v>
      </c>
      <c r="J52" s="146">
        <f t="shared" si="17"/>
        <v>5.9820767428007343E-3</v>
      </c>
      <c r="L52" s="49" t="s">
        <v>94</v>
      </c>
      <c r="M52" s="157">
        <f>SUM(E52:J57)</f>
        <v>1.656099183946766</v>
      </c>
    </row>
    <row r="53" spans="2:13" x14ac:dyDescent="0.25">
      <c r="B53" s="155">
        <v>0.14102564102564102</v>
      </c>
      <c r="C53" s="155">
        <v>0.18886198547215496</v>
      </c>
      <c r="D53" s="132" t="s">
        <v>11</v>
      </c>
      <c r="E53" s="146">
        <f t="shared" ref="E53:J53" si="18">(E$50*$C53/E20)</f>
        <v>9.3632956531176561E-3</v>
      </c>
      <c r="F53" s="146">
        <v>0</v>
      </c>
      <c r="G53" s="146">
        <f t="shared" si="18"/>
        <v>4.2905838085369172E-2</v>
      </c>
      <c r="H53" s="146">
        <f t="shared" si="18"/>
        <v>0.12851140557476359</v>
      </c>
      <c r="I53" s="146">
        <f t="shared" si="18"/>
        <v>8.3934741706752053E-2</v>
      </c>
      <c r="J53" s="146">
        <f t="shared" si="18"/>
        <v>3.0366575032931848E-2</v>
      </c>
      <c r="L53" s="49" t="s">
        <v>114</v>
      </c>
      <c r="M53" s="157">
        <f>AVERAGE(E52:J57)</f>
        <v>4.6002755109632393E-2</v>
      </c>
    </row>
    <row r="54" spans="2:13" x14ac:dyDescent="0.25">
      <c r="B54" s="155">
        <v>0.26250000000000001</v>
      </c>
      <c r="C54" s="155">
        <v>0.1937046004842615</v>
      </c>
      <c r="D54" s="132" t="s">
        <v>0</v>
      </c>
      <c r="E54" s="146">
        <f t="shared" ref="E54:J54" si="19">(E$50*$C54/E21)</f>
        <v>1.8626194465212832E-2</v>
      </c>
      <c r="F54" s="146">
        <f t="shared" si="19"/>
        <v>4.2905838085369172E-2</v>
      </c>
      <c r="G54" s="146">
        <v>0</v>
      </c>
      <c r="H54" s="146">
        <f t="shared" si="19"/>
        <v>0.22265580286291448</v>
      </c>
      <c r="I54" s="146">
        <f t="shared" si="19"/>
        <v>3.4176103712449113E-2</v>
      </c>
      <c r="J54" s="146">
        <f t="shared" si="19"/>
        <v>1.9125116588538965E-2</v>
      </c>
    </row>
    <row r="55" spans="2:13" x14ac:dyDescent="0.25">
      <c r="B55" s="155">
        <v>0.46357615894039733</v>
      </c>
      <c r="C55" s="155">
        <v>0.36561743341404357</v>
      </c>
      <c r="D55" s="132" t="s">
        <v>1</v>
      </c>
      <c r="E55" s="146">
        <f t="shared" ref="E55:J55" si="20">(E$50*$C55/E22)</f>
        <v>3.2978509964572224E-2</v>
      </c>
      <c r="F55" s="146">
        <f t="shared" si="20"/>
        <v>0.12851140557476359</v>
      </c>
      <c r="G55" s="146">
        <f t="shared" si="20"/>
        <v>0.22265580286291448</v>
      </c>
      <c r="H55" s="146">
        <v>0</v>
      </c>
      <c r="I55" s="146">
        <f t="shared" si="20"/>
        <v>0.10218735993404308</v>
      </c>
      <c r="J55" s="146">
        <f t="shared" si="20"/>
        <v>4.7184759593800453E-2</v>
      </c>
    </row>
    <row r="56" spans="2:13" x14ac:dyDescent="0.25">
      <c r="B56" s="155">
        <v>0.18867924528301888</v>
      </c>
      <c r="C56" s="155">
        <v>0.12832929782082325</v>
      </c>
      <c r="D56" s="132" t="s">
        <v>2</v>
      </c>
      <c r="E56" s="146">
        <f t="shared" ref="E56:J56" si="21">(E$50*$C56/E23)</f>
        <v>9.1996198333491094E-3</v>
      </c>
      <c r="F56" s="146">
        <f t="shared" si="21"/>
        <v>8.3934741706752053E-2</v>
      </c>
      <c r="G56" s="146">
        <f t="shared" si="21"/>
        <v>3.4176103712449113E-2</v>
      </c>
      <c r="H56" s="146">
        <f t="shared" si="21"/>
        <v>0.10218735993404308</v>
      </c>
      <c r="I56" s="146">
        <v>0</v>
      </c>
      <c r="J56" s="146">
        <f t="shared" si="21"/>
        <v>4.0852192222768147E-2</v>
      </c>
      <c r="L56" s="49">
        <f>M42/M53</f>
        <v>1.6907519407579503</v>
      </c>
    </row>
    <row r="57" spans="2:13" x14ac:dyDescent="0.25">
      <c r="B57" s="155">
        <v>0.17142857142857143</v>
      </c>
      <c r="C57" s="155">
        <v>8.4745762711864403E-2</v>
      </c>
      <c r="D57" s="156" t="s">
        <v>3</v>
      </c>
      <c r="E57" s="146">
        <f t="shared" ref="E57:I57" si="22">(E$50*$C57/E24)</f>
        <v>5.9820767428007343E-3</v>
      </c>
      <c r="F57" s="146">
        <f t="shared" si="22"/>
        <v>3.0366575032931848E-2</v>
      </c>
      <c r="G57" s="146">
        <f t="shared" si="22"/>
        <v>1.9125116588538965E-2</v>
      </c>
      <c r="H57" s="146">
        <f t="shared" si="22"/>
        <v>4.7184759593800453E-2</v>
      </c>
      <c r="I57" s="146">
        <f t="shared" si="22"/>
        <v>4.0852192222768147E-2</v>
      </c>
      <c r="J57" s="146">
        <v>0</v>
      </c>
    </row>
    <row r="60" spans="2:13" x14ac:dyDescent="0.25">
      <c r="D60" s="49" t="s">
        <v>111</v>
      </c>
      <c r="E60" s="157">
        <f>SUM(E41:J46)</f>
        <v>2.8000529093456525</v>
      </c>
    </row>
    <row r="61" spans="2:13" x14ac:dyDescent="0.25">
      <c r="D61" s="49" t="s">
        <v>112</v>
      </c>
      <c r="E61" s="157">
        <f>SUM(E52:J57)</f>
        <v>1.656099183946766</v>
      </c>
    </row>
    <row r="63" spans="2:13" x14ac:dyDescent="0.25">
      <c r="D63" s="49" t="s">
        <v>113</v>
      </c>
      <c r="E63" s="225">
        <f>E60/E61</f>
        <v>1.6907519407579503</v>
      </c>
    </row>
    <row r="65" spans="2:10" x14ac:dyDescent="0.25">
      <c r="B65" s="49" t="s">
        <v>119</v>
      </c>
    </row>
    <row r="66" spans="2:10" x14ac:dyDescent="0.25">
      <c r="B66" s="154" t="s">
        <v>117</v>
      </c>
      <c r="C66" s="147"/>
      <c r="D66" s="154" t="s">
        <v>110</v>
      </c>
      <c r="E66" s="155">
        <v>6.25E-2</v>
      </c>
      <c r="F66" s="155">
        <v>0.14102564102564102</v>
      </c>
      <c r="G66" s="155">
        <v>0.26250000000000001</v>
      </c>
      <c r="H66" s="155">
        <v>0.46357615894039733</v>
      </c>
      <c r="I66" s="155">
        <v>0.18867924528301888</v>
      </c>
      <c r="J66" s="155">
        <v>0.17142857142857143</v>
      </c>
    </row>
    <row r="67" spans="2:10" x14ac:dyDescent="0.25">
      <c r="B67" s="154"/>
      <c r="C67" s="147"/>
      <c r="D67" s="154" t="s">
        <v>72</v>
      </c>
      <c r="E67" s="155">
        <v>3.8740920096852302E-2</v>
      </c>
      <c r="F67" s="155">
        <v>0.18886198547215496</v>
      </c>
      <c r="G67" s="155">
        <v>0.1937046004842615</v>
      </c>
      <c r="H67" s="155">
        <v>0.36561743341404357</v>
      </c>
      <c r="I67" s="155">
        <v>0.12832929782082325</v>
      </c>
      <c r="J67" s="155">
        <v>8.4745762711864403E-2</v>
      </c>
    </row>
    <row r="68" spans="2:10" x14ac:dyDescent="0.25">
      <c r="B68" s="154" t="s">
        <v>110</v>
      </c>
      <c r="C68" s="147" t="s">
        <v>72</v>
      </c>
      <c r="D68" s="132"/>
      <c r="E68" s="132" t="s">
        <v>10</v>
      </c>
      <c r="F68" s="132" t="s">
        <v>11</v>
      </c>
      <c r="G68" s="132" t="s">
        <v>0</v>
      </c>
      <c r="H68" s="153" t="s">
        <v>1</v>
      </c>
      <c r="I68" s="153" t="s">
        <v>2</v>
      </c>
      <c r="J68" s="153" t="s">
        <v>3</v>
      </c>
    </row>
    <row r="69" spans="2:10" x14ac:dyDescent="0.25">
      <c r="B69" s="155">
        <v>6.25E-2</v>
      </c>
      <c r="C69" s="155">
        <v>3.8740920096852302E-2</v>
      </c>
      <c r="D69" s="132" t="s">
        <v>10</v>
      </c>
      <c r="E69" s="146">
        <f>E$66*$B69</f>
        <v>3.90625E-3</v>
      </c>
      <c r="F69" s="146">
        <f t="shared" ref="F69:J74" si="23">F$66*$B69</f>
        <v>8.814102564102564E-3</v>
      </c>
      <c r="G69" s="146">
        <f t="shared" si="23"/>
        <v>1.6406250000000001E-2</v>
      </c>
      <c r="H69" s="146">
        <f t="shared" si="23"/>
        <v>2.8973509933774833E-2</v>
      </c>
      <c r="I69" s="146">
        <f t="shared" si="23"/>
        <v>1.179245283018868E-2</v>
      </c>
      <c r="J69" s="146">
        <f t="shared" si="23"/>
        <v>1.0714285714285714E-2</v>
      </c>
    </row>
    <row r="70" spans="2:10" x14ac:dyDescent="0.25">
      <c r="B70" s="155">
        <v>0.14102564102564102</v>
      </c>
      <c r="C70" s="155">
        <v>0.18886198547215496</v>
      </c>
      <c r="D70" s="132" t="s">
        <v>11</v>
      </c>
      <c r="E70" s="146">
        <f t="shared" ref="E70:E74" si="24">E$66*$B70</f>
        <v>8.814102564102564E-3</v>
      </c>
      <c r="F70" s="146">
        <f t="shared" si="23"/>
        <v>1.9888231426692965E-2</v>
      </c>
      <c r="G70" s="146">
        <f t="shared" si="23"/>
        <v>3.701923076923077E-2</v>
      </c>
      <c r="H70" s="146">
        <f t="shared" si="23"/>
        <v>6.5376124978773986E-2</v>
      </c>
      <c r="I70" s="146">
        <f t="shared" si="23"/>
        <v>2.6608611514271893E-2</v>
      </c>
      <c r="J70" s="146">
        <f t="shared" si="23"/>
        <v>2.4175824175824177E-2</v>
      </c>
    </row>
    <row r="71" spans="2:10" x14ac:dyDescent="0.25">
      <c r="B71" s="155">
        <v>0.26250000000000001</v>
      </c>
      <c r="C71" s="155">
        <v>0.1937046004842615</v>
      </c>
      <c r="D71" s="132" t="s">
        <v>0</v>
      </c>
      <c r="E71" s="146">
        <f t="shared" si="24"/>
        <v>1.6406250000000001E-2</v>
      </c>
      <c r="F71" s="146">
        <f t="shared" si="23"/>
        <v>3.701923076923077E-2</v>
      </c>
      <c r="G71" s="146">
        <f t="shared" si="23"/>
        <v>6.8906250000000002E-2</v>
      </c>
      <c r="H71" s="146">
        <f t="shared" si="23"/>
        <v>0.1216887417218543</v>
      </c>
      <c r="I71" s="146">
        <f t="shared" si="23"/>
        <v>4.9528301886792456E-2</v>
      </c>
      <c r="J71" s="146">
        <f t="shared" si="23"/>
        <v>4.5000000000000005E-2</v>
      </c>
    </row>
    <row r="72" spans="2:10" x14ac:dyDescent="0.25">
      <c r="B72" s="155">
        <v>0.46357615894039733</v>
      </c>
      <c r="C72" s="155">
        <v>0.36561743341404357</v>
      </c>
      <c r="D72" s="132" t="s">
        <v>1</v>
      </c>
      <c r="E72" s="146">
        <f t="shared" si="24"/>
        <v>2.8973509933774833E-2</v>
      </c>
      <c r="F72" s="146">
        <f t="shared" si="23"/>
        <v>6.5376124978773986E-2</v>
      </c>
      <c r="G72" s="146">
        <f t="shared" si="23"/>
        <v>0.1216887417218543</v>
      </c>
      <c r="H72" s="146">
        <f t="shared" si="23"/>
        <v>0.21490285513793253</v>
      </c>
      <c r="I72" s="146">
        <f t="shared" si="23"/>
        <v>8.7467199800074974E-2</v>
      </c>
      <c r="J72" s="146">
        <f t="shared" si="23"/>
        <v>7.9470198675496692E-2</v>
      </c>
    </row>
    <row r="73" spans="2:10" x14ac:dyDescent="0.25">
      <c r="B73" s="155">
        <v>0.18867924528301888</v>
      </c>
      <c r="C73" s="155">
        <v>0.12832929782082325</v>
      </c>
      <c r="D73" s="132" t="s">
        <v>2</v>
      </c>
      <c r="E73" s="146">
        <f t="shared" si="24"/>
        <v>1.179245283018868E-2</v>
      </c>
      <c r="F73" s="146">
        <f t="shared" si="23"/>
        <v>2.6608611514271893E-2</v>
      </c>
      <c r="G73" s="146">
        <f t="shared" si="23"/>
        <v>4.9528301886792456E-2</v>
      </c>
      <c r="H73" s="146">
        <f t="shared" si="23"/>
        <v>8.7467199800074974E-2</v>
      </c>
      <c r="I73" s="146">
        <f t="shared" si="23"/>
        <v>3.55998576005696E-2</v>
      </c>
      <c r="J73" s="146">
        <f t="shared" si="23"/>
        <v>3.2345013477088951E-2</v>
      </c>
    </row>
    <row r="74" spans="2:10" x14ac:dyDescent="0.25">
      <c r="B74" s="155">
        <v>0.17142857142857143</v>
      </c>
      <c r="C74" s="155">
        <v>8.4745762711864403E-2</v>
      </c>
      <c r="D74" s="156" t="s">
        <v>3</v>
      </c>
      <c r="E74" s="146">
        <f t="shared" si="24"/>
        <v>1.0714285714285714E-2</v>
      </c>
      <c r="F74" s="146">
        <f t="shared" si="23"/>
        <v>2.4175824175824177E-2</v>
      </c>
      <c r="G74" s="146">
        <f t="shared" si="23"/>
        <v>4.5000000000000005E-2</v>
      </c>
      <c r="H74" s="146">
        <f t="shared" si="23"/>
        <v>7.9470198675496692E-2</v>
      </c>
      <c r="I74" s="146">
        <f t="shared" si="23"/>
        <v>3.2345013477088951E-2</v>
      </c>
      <c r="J74" s="146">
        <f t="shared" si="23"/>
        <v>2.9387755102040818E-2</v>
      </c>
    </row>
    <row r="77" spans="2:10" x14ac:dyDescent="0.25">
      <c r="B77" s="154" t="s">
        <v>118</v>
      </c>
      <c r="C77" s="147"/>
      <c r="D77" s="154" t="s">
        <v>110</v>
      </c>
      <c r="E77" s="155">
        <v>6.25E-2</v>
      </c>
      <c r="F77" s="155">
        <v>0.14102564102564102</v>
      </c>
      <c r="G77" s="155">
        <v>0.26250000000000001</v>
      </c>
      <c r="H77" s="155">
        <v>0.46357615894039733</v>
      </c>
      <c r="I77" s="155">
        <v>0.18867924528301888</v>
      </c>
      <c r="J77" s="155">
        <v>0.17142857142857143</v>
      </c>
    </row>
    <row r="78" spans="2:10" x14ac:dyDescent="0.25">
      <c r="B78" s="154"/>
      <c r="C78" s="147"/>
      <c r="D78" s="154" t="s">
        <v>72</v>
      </c>
      <c r="E78" s="155">
        <v>3.8740920096852302E-2</v>
      </c>
      <c r="F78" s="155">
        <v>0.18886198547215496</v>
      </c>
      <c r="G78" s="155">
        <v>0.1937046004842615</v>
      </c>
      <c r="H78" s="155">
        <v>0.36561743341404357</v>
      </c>
      <c r="I78" s="155">
        <v>0.12832929782082325</v>
      </c>
      <c r="J78" s="155">
        <v>8.4745762711864403E-2</v>
      </c>
    </row>
    <row r="79" spans="2:10" x14ac:dyDescent="0.25">
      <c r="B79" s="154" t="s">
        <v>110</v>
      </c>
      <c r="C79" s="147" t="s">
        <v>72</v>
      </c>
      <c r="D79" s="132"/>
      <c r="E79" s="132" t="s">
        <v>10</v>
      </c>
      <c r="F79" s="132" t="s">
        <v>11</v>
      </c>
      <c r="G79" s="132" t="s">
        <v>0</v>
      </c>
      <c r="H79" s="153" t="s">
        <v>1</v>
      </c>
      <c r="I79" s="153" t="s">
        <v>2</v>
      </c>
      <c r="J79" s="153" t="s">
        <v>3</v>
      </c>
    </row>
    <row r="80" spans="2:10" x14ac:dyDescent="0.25">
      <c r="B80" s="155">
        <v>6.25E-2</v>
      </c>
      <c r="C80" s="155">
        <v>3.8740920096852302E-2</v>
      </c>
      <c r="D80" s="132" t="s">
        <v>10</v>
      </c>
      <c r="E80" s="146">
        <f>E$78*$C80</f>
        <v>1.5008588899506946E-3</v>
      </c>
      <c r="F80" s="146">
        <f t="shared" ref="F80:J85" si="25">F$78*$C80</f>
        <v>7.3166870885096359E-3</v>
      </c>
      <c r="G80" s="146">
        <f t="shared" si="25"/>
        <v>7.5042944497534722E-3</v>
      </c>
      <c r="H80" s="146">
        <f t="shared" si="25"/>
        <v>1.4164355773909679E-2</v>
      </c>
      <c r="I80" s="146">
        <f t="shared" si="25"/>
        <v>4.9715950729616754E-3</v>
      </c>
      <c r="J80" s="146">
        <f t="shared" si="25"/>
        <v>3.2831288217671441E-3</v>
      </c>
    </row>
    <row r="81" spans="2:10" x14ac:dyDescent="0.25">
      <c r="B81" s="155">
        <v>0.14102564102564102</v>
      </c>
      <c r="C81" s="155">
        <v>0.18886198547215496</v>
      </c>
      <c r="D81" s="132" t="s">
        <v>11</v>
      </c>
      <c r="E81" s="146">
        <f t="shared" ref="E81:E85" si="26">E$78*$C81</f>
        <v>7.3166870885096359E-3</v>
      </c>
      <c r="F81" s="146">
        <f t="shared" si="25"/>
        <v>3.5668849556484472E-2</v>
      </c>
      <c r="G81" s="146">
        <f t="shared" si="25"/>
        <v>3.6583435442548176E-2</v>
      </c>
      <c r="H81" s="146">
        <f t="shared" si="25"/>
        <v>6.9051234397809677E-2</v>
      </c>
      <c r="I81" s="146">
        <f t="shared" si="25"/>
        <v>2.4236525980688168E-2</v>
      </c>
      <c r="J81" s="146">
        <f t="shared" si="25"/>
        <v>1.6005253006114828E-2</v>
      </c>
    </row>
    <row r="82" spans="2:10" x14ac:dyDescent="0.25">
      <c r="B82" s="155">
        <v>0.26250000000000001</v>
      </c>
      <c r="C82" s="155">
        <v>0.1937046004842615</v>
      </c>
      <c r="D82" s="132" t="s">
        <v>0</v>
      </c>
      <c r="E82" s="146">
        <f t="shared" si="26"/>
        <v>7.5042944497534722E-3</v>
      </c>
      <c r="F82" s="146">
        <f t="shared" si="25"/>
        <v>3.6583435442548176E-2</v>
      </c>
      <c r="G82" s="146">
        <f t="shared" si="25"/>
        <v>3.7521472248767361E-2</v>
      </c>
      <c r="H82" s="146">
        <f t="shared" si="25"/>
        <v>7.0821778869548394E-2</v>
      </c>
      <c r="I82" s="146">
        <f t="shared" si="25"/>
        <v>2.4857975364808379E-2</v>
      </c>
      <c r="J82" s="146">
        <f t="shared" si="25"/>
        <v>1.6415644108835718E-2</v>
      </c>
    </row>
    <row r="83" spans="2:10" x14ac:dyDescent="0.25">
      <c r="B83" s="155">
        <v>0.46357615894039733</v>
      </c>
      <c r="C83" s="155">
        <v>0.36561743341404357</v>
      </c>
      <c r="D83" s="132" t="s">
        <v>1</v>
      </c>
      <c r="E83" s="146">
        <f t="shared" si="26"/>
        <v>1.4164355773909679E-2</v>
      </c>
      <c r="F83" s="146">
        <f t="shared" si="25"/>
        <v>6.9051234397809677E-2</v>
      </c>
      <c r="G83" s="146">
        <f t="shared" si="25"/>
        <v>7.0821778869548394E-2</v>
      </c>
      <c r="H83" s="146">
        <f t="shared" si="25"/>
        <v>0.13367610761627258</v>
      </c>
      <c r="I83" s="146">
        <f t="shared" si="25"/>
        <v>4.6919428501075812E-2</v>
      </c>
      <c r="J83" s="146">
        <f t="shared" si="25"/>
        <v>3.098452825542742E-2</v>
      </c>
    </row>
    <row r="84" spans="2:10" x14ac:dyDescent="0.25">
      <c r="B84" s="155">
        <v>0.18867924528301888</v>
      </c>
      <c r="C84" s="155">
        <v>0.12832929782082325</v>
      </c>
      <c r="D84" s="132" t="s">
        <v>2</v>
      </c>
      <c r="E84" s="146">
        <f t="shared" si="26"/>
        <v>4.9715950729616754E-3</v>
      </c>
      <c r="F84" s="146">
        <f t="shared" si="25"/>
        <v>2.4236525980688168E-2</v>
      </c>
      <c r="G84" s="146">
        <f t="shared" si="25"/>
        <v>2.4857975364808379E-2</v>
      </c>
      <c r="H84" s="146">
        <f t="shared" si="25"/>
        <v>4.6919428501075812E-2</v>
      </c>
      <c r="I84" s="146">
        <f t="shared" si="25"/>
        <v>1.6468408679185552E-2</v>
      </c>
      <c r="J84" s="146">
        <f t="shared" si="25"/>
        <v>1.0875364222103666E-2</v>
      </c>
    </row>
    <row r="85" spans="2:10" x14ac:dyDescent="0.25">
      <c r="B85" s="155">
        <v>0.17142857142857143</v>
      </c>
      <c r="C85" s="155">
        <v>8.4745762711864403E-2</v>
      </c>
      <c r="D85" s="156" t="s">
        <v>3</v>
      </c>
      <c r="E85" s="146">
        <f t="shared" si="26"/>
        <v>3.2831288217671441E-3</v>
      </c>
      <c r="F85" s="146">
        <f t="shared" si="25"/>
        <v>1.6005253006114828E-2</v>
      </c>
      <c r="G85" s="146">
        <f t="shared" si="25"/>
        <v>1.6415644108835718E-2</v>
      </c>
      <c r="H85" s="146">
        <f t="shared" si="25"/>
        <v>3.098452825542742E-2</v>
      </c>
      <c r="I85" s="146">
        <f t="shared" si="25"/>
        <v>1.0875364222103666E-2</v>
      </c>
      <c r="J85" s="146">
        <f t="shared" si="25"/>
        <v>7.1818442976156272E-3</v>
      </c>
    </row>
    <row r="88" spans="2:10" x14ac:dyDescent="0.25">
      <c r="D88" s="49" t="s">
        <v>111</v>
      </c>
      <c r="E88" s="157">
        <f>SUM(E69:J74)</f>
        <v>1.6633508953507552</v>
      </c>
    </row>
    <row r="89" spans="2:10" x14ac:dyDescent="0.25">
      <c r="D89" s="49" t="s">
        <v>112</v>
      </c>
      <c r="E89" s="157">
        <f>SUM(E80:J85)</f>
        <v>0.99999999999999989</v>
      </c>
    </row>
    <row r="91" spans="2:10" x14ac:dyDescent="0.25">
      <c r="D91" s="49" t="s">
        <v>113</v>
      </c>
      <c r="E91" s="225">
        <f>E88/E89</f>
        <v>1.6633508953507554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1"/>
  <sheetViews>
    <sheetView topLeftCell="A31" workbookViewId="0">
      <selection activeCell="P45" sqref="P45"/>
    </sheetView>
  </sheetViews>
  <sheetFormatPr defaultRowHeight="13.2" x14ac:dyDescent="0.25"/>
  <cols>
    <col min="1" max="4" width="8.88671875" style="49"/>
    <col min="5" max="5" width="9.33203125" style="49" bestFit="1" customWidth="1"/>
    <col min="6" max="16384" width="8.88671875" style="49"/>
  </cols>
  <sheetData>
    <row r="3" spans="3:10" x14ac:dyDescent="0.25">
      <c r="C3" s="233"/>
      <c r="D3" s="234" t="s">
        <v>10</v>
      </c>
      <c r="E3" s="234" t="s">
        <v>11</v>
      </c>
      <c r="F3" s="233" t="s">
        <v>0</v>
      </c>
      <c r="G3" s="232" t="s">
        <v>1</v>
      </c>
      <c r="H3" s="232" t="s">
        <v>2</v>
      </c>
      <c r="I3" s="232" t="s">
        <v>3</v>
      </c>
      <c r="J3" s="232" t="s">
        <v>4</v>
      </c>
    </row>
    <row r="4" spans="3:10" x14ac:dyDescent="0.25">
      <c r="C4" s="233" t="s">
        <v>5</v>
      </c>
      <c r="D4" s="51">
        <v>1</v>
      </c>
      <c r="E4" s="51">
        <v>11</v>
      </c>
      <c r="F4" s="51">
        <v>21</v>
      </c>
      <c r="G4" s="52">
        <v>70</v>
      </c>
      <c r="H4" s="52">
        <v>10</v>
      </c>
      <c r="I4" s="52">
        <v>6</v>
      </c>
      <c r="J4" s="53">
        <v>119</v>
      </c>
    </row>
    <row r="5" spans="3:10" x14ac:dyDescent="0.25">
      <c r="C5" s="233" t="s">
        <v>6</v>
      </c>
      <c r="D5" s="51">
        <v>1</v>
      </c>
      <c r="E5" s="51">
        <v>40</v>
      </c>
      <c r="F5" s="51">
        <v>24</v>
      </c>
      <c r="G5" s="52">
        <v>40</v>
      </c>
      <c r="H5" s="52">
        <v>5</v>
      </c>
      <c r="I5" s="52">
        <v>11</v>
      </c>
      <c r="J5" s="53">
        <v>121</v>
      </c>
    </row>
    <row r="6" spans="3:10" x14ac:dyDescent="0.25">
      <c r="C6" s="233" t="s">
        <v>7</v>
      </c>
      <c r="D6" s="51">
        <v>5</v>
      </c>
      <c r="E6" s="51">
        <v>13</v>
      </c>
      <c r="F6" s="51">
        <v>21</v>
      </c>
      <c r="G6" s="52">
        <v>30</v>
      </c>
      <c r="H6" s="52">
        <v>35</v>
      </c>
      <c r="I6" s="52">
        <v>1</v>
      </c>
      <c r="J6" s="53">
        <v>105</v>
      </c>
    </row>
    <row r="7" spans="3:10" x14ac:dyDescent="0.25">
      <c r="C7" s="233" t="s">
        <v>8</v>
      </c>
      <c r="D7" s="51">
        <v>9</v>
      </c>
      <c r="E7" s="51">
        <v>14</v>
      </c>
      <c r="F7" s="51">
        <v>14</v>
      </c>
      <c r="G7" s="52">
        <v>11</v>
      </c>
      <c r="H7" s="52">
        <v>3</v>
      </c>
      <c r="I7" s="52">
        <v>17</v>
      </c>
      <c r="J7" s="53">
        <v>68</v>
      </c>
    </row>
    <row r="8" spans="3:10" x14ac:dyDescent="0.25">
      <c r="C8" s="233" t="s">
        <v>4</v>
      </c>
      <c r="D8" s="54">
        <v>16</v>
      </c>
      <c r="E8" s="54">
        <v>78</v>
      </c>
      <c r="F8" s="54">
        <v>80</v>
      </c>
      <c r="G8" s="53">
        <v>151</v>
      </c>
      <c r="H8" s="53">
        <v>53</v>
      </c>
      <c r="I8" s="53">
        <v>35</v>
      </c>
      <c r="J8" s="53">
        <v>413</v>
      </c>
    </row>
    <row r="10" spans="3:10" ht="13.8" x14ac:dyDescent="0.25">
      <c r="C10" s="165" t="s">
        <v>120</v>
      </c>
      <c r="D10" s="234" t="s">
        <v>10</v>
      </c>
      <c r="E10" s="234" t="s">
        <v>11</v>
      </c>
      <c r="F10" s="233" t="s">
        <v>0</v>
      </c>
      <c r="G10" s="232" t="s">
        <v>1</v>
      </c>
      <c r="H10" s="232" t="s">
        <v>2</v>
      </c>
      <c r="I10" s="232" t="s">
        <v>3</v>
      </c>
      <c r="J10" s="232" t="s">
        <v>4</v>
      </c>
    </row>
    <row r="11" spans="3:10" x14ac:dyDescent="0.25">
      <c r="C11" s="233" t="s">
        <v>5</v>
      </c>
      <c r="D11" s="98">
        <f>D4/D$8</f>
        <v>6.25E-2</v>
      </c>
      <c r="E11" s="98">
        <f t="shared" ref="E11:I11" si="0">E4/E$8</f>
        <v>0.14102564102564102</v>
      </c>
      <c r="F11" s="98">
        <f t="shared" si="0"/>
        <v>0.26250000000000001</v>
      </c>
      <c r="G11" s="98">
        <f t="shared" si="0"/>
        <v>0.46357615894039733</v>
      </c>
      <c r="H11" s="98">
        <f t="shared" si="0"/>
        <v>0.18867924528301888</v>
      </c>
      <c r="I11" s="98">
        <f t="shared" si="0"/>
        <v>0.17142857142857143</v>
      </c>
      <c r="J11" s="53"/>
    </row>
    <row r="12" spans="3:10" x14ac:dyDescent="0.25">
      <c r="C12" s="233" t="s">
        <v>6</v>
      </c>
      <c r="D12" s="98">
        <f t="shared" ref="D12:I14" si="1">D5/D$8</f>
        <v>6.25E-2</v>
      </c>
      <c r="E12" s="98">
        <f t="shared" si="1"/>
        <v>0.51282051282051277</v>
      </c>
      <c r="F12" s="98">
        <f t="shared" si="1"/>
        <v>0.3</v>
      </c>
      <c r="G12" s="98">
        <f t="shared" si="1"/>
        <v>0.26490066225165565</v>
      </c>
      <c r="H12" s="98">
        <f t="shared" si="1"/>
        <v>9.4339622641509441E-2</v>
      </c>
      <c r="I12" s="98">
        <f t="shared" si="1"/>
        <v>0.31428571428571428</v>
      </c>
      <c r="J12" s="53"/>
    </row>
    <row r="13" spans="3:10" x14ac:dyDescent="0.25">
      <c r="C13" s="233" t="s">
        <v>7</v>
      </c>
      <c r="D13" s="98">
        <f t="shared" si="1"/>
        <v>0.3125</v>
      </c>
      <c r="E13" s="98">
        <f t="shared" si="1"/>
        <v>0.16666666666666666</v>
      </c>
      <c r="F13" s="98">
        <f t="shared" si="1"/>
        <v>0.26250000000000001</v>
      </c>
      <c r="G13" s="98">
        <f t="shared" si="1"/>
        <v>0.19867549668874171</v>
      </c>
      <c r="H13" s="98">
        <f t="shared" si="1"/>
        <v>0.660377358490566</v>
      </c>
      <c r="I13" s="98">
        <f t="shared" si="1"/>
        <v>2.8571428571428571E-2</v>
      </c>
      <c r="J13" s="53"/>
    </row>
    <row r="14" spans="3:10" x14ac:dyDescent="0.25">
      <c r="C14" s="233" t="s">
        <v>8</v>
      </c>
      <c r="D14" s="98">
        <f t="shared" si="1"/>
        <v>0.5625</v>
      </c>
      <c r="E14" s="98">
        <f t="shared" si="1"/>
        <v>0.17948717948717949</v>
      </c>
      <c r="F14" s="98">
        <f t="shared" si="1"/>
        <v>0.17499999999999999</v>
      </c>
      <c r="G14" s="98">
        <f t="shared" si="1"/>
        <v>7.2847682119205295E-2</v>
      </c>
      <c r="H14" s="98">
        <f t="shared" si="1"/>
        <v>5.6603773584905662E-2</v>
      </c>
      <c r="I14" s="98">
        <f t="shared" si="1"/>
        <v>0.48571428571428571</v>
      </c>
      <c r="J14" s="53"/>
    </row>
    <row r="15" spans="3:10" x14ac:dyDescent="0.25">
      <c r="C15" s="233" t="s">
        <v>4</v>
      </c>
      <c r="D15" s="152">
        <f>D8/$J$8</f>
        <v>3.8740920096852302E-2</v>
      </c>
      <c r="E15" s="152">
        <f t="shared" ref="E15:I15" si="2">E8/$J$8</f>
        <v>0.18886198547215496</v>
      </c>
      <c r="F15" s="152">
        <f t="shared" si="2"/>
        <v>0.1937046004842615</v>
      </c>
      <c r="G15" s="152">
        <f t="shared" si="2"/>
        <v>0.36561743341404357</v>
      </c>
      <c r="H15" s="152">
        <f t="shared" si="2"/>
        <v>0.12832929782082325</v>
      </c>
      <c r="I15" s="152">
        <f t="shared" si="2"/>
        <v>8.4745762711864403E-2</v>
      </c>
      <c r="J15" s="53"/>
    </row>
    <row r="18" spans="2:13" x14ac:dyDescent="0.25">
      <c r="D18" s="99" t="s">
        <v>115</v>
      </c>
      <c r="E18" s="99">
        <v>1</v>
      </c>
      <c r="F18" s="99">
        <v>2</v>
      </c>
      <c r="G18" s="99">
        <v>3</v>
      </c>
      <c r="H18" s="99">
        <v>4</v>
      </c>
      <c r="I18" s="99">
        <v>5</v>
      </c>
      <c r="J18" s="99">
        <v>6</v>
      </c>
    </row>
    <row r="19" spans="2:13" x14ac:dyDescent="0.25">
      <c r="D19" s="99">
        <v>1</v>
      </c>
      <c r="E19" s="143">
        <v>0</v>
      </c>
      <c r="F19" s="143">
        <v>0.78142219999999996</v>
      </c>
      <c r="G19" s="143">
        <v>0.40288930000000001</v>
      </c>
      <c r="H19" s="143">
        <v>0.42950260000000001</v>
      </c>
      <c r="I19" s="143">
        <v>0.54041309999999998</v>
      </c>
      <c r="J19" s="143">
        <v>0.54882759999999997</v>
      </c>
    </row>
    <row r="20" spans="2:13" x14ac:dyDescent="0.25">
      <c r="D20" s="99">
        <v>2</v>
      </c>
      <c r="E20" s="143">
        <v>0.78142219999999996</v>
      </c>
      <c r="F20" s="143">
        <v>0</v>
      </c>
      <c r="G20" s="143">
        <v>0.85264470000000003</v>
      </c>
      <c r="H20" s="143">
        <v>0.53731600000000002</v>
      </c>
      <c r="I20" s="143">
        <v>0.28875440000000002</v>
      </c>
      <c r="J20" s="143">
        <v>0.52706810000000004</v>
      </c>
    </row>
    <row r="21" spans="2:13" x14ac:dyDescent="0.25">
      <c r="D21" s="99">
        <v>3</v>
      </c>
      <c r="E21" s="143">
        <v>0.40288930000000001</v>
      </c>
      <c r="F21" s="143">
        <v>0.85264470000000003</v>
      </c>
      <c r="G21" s="143">
        <v>0</v>
      </c>
      <c r="H21" s="143">
        <v>0.31807740000000001</v>
      </c>
      <c r="I21" s="143">
        <v>0.72734960000000004</v>
      </c>
      <c r="J21" s="143">
        <v>0.85832909999999996</v>
      </c>
    </row>
    <row r="22" spans="2:13" x14ac:dyDescent="0.25">
      <c r="D22" s="99">
        <v>4</v>
      </c>
      <c r="E22" s="143">
        <v>0.42950260000000001</v>
      </c>
      <c r="F22" s="143">
        <v>0.53731600000000002</v>
      </c>
      <c r="G22" s="143">
        <v>0.31807740000000001</v>
      </c>
      <c r="H22" s="143">
        <v>0</v>
      </c>
      <c r="I22" s="143">
        <v>0.45915099999999998</v>
      </c>
      <c r="J22" s="143">
        <v>0.65666389999999997</v>
      </c>
    </row>
    <row r="23" spans="2:13" x14ac:dyDescent="0.25">
      <c r="D23" s="99">
        <v>5</v>
      </c>
      <c r="E23" s="143">
        <v>0.54041309999999998</v>
      </c>
      <c r="F23" s="143">
        <v>0.28875440000000002</v>
      </c>
      <c r="G23" s="143">
        <v>0.72734960000000004</v>
      </c>
      <c r="H23" s="143">
        <v>0.45915099999999998</v>
      </c>
      <c r="I23" s="143">
        <v>0</v>
      </c>
      <c r="J23" s="143">
        <v>0.26621250000000002</v>
      </c>
    </row>
    <row r="24" spans="2:13" x14ac:dyDescent="0.25">
      <c r="D24" s="99">
        <v>6</v>
      </c>
      <c r="E24" s="143">
        <v>0.54882759999999997</v>
      </c>
      <c r="F24" s="143">
        <v>0.52706810000000004</v>
      </c>
      <c r="G24" s="143">
        <v>0.85832909999999996</v>
      </c>
      <c r="H24" s="143">
        <v>0.65666389999999997</v>
      </c>
      <c r="I24" s="143">
        <v>0.26621250000000002</v>
      </c>
      <c r="J24" s="143">
        <v>0</v>
      </c>
    </row>
    <row r="27" spans="2:13" x14ac:dyDescent="0.25">
      <c r="B27" s="158" t="s">
        <v>116</v>
      </c>
      <c r="C27" s="159"/>
      <c r="D27" s="158" t="s">
        <v>110</v>
      </c>
      <c r="E27" s="160">
        <v>6.25E-2</v>
      </c>
      <c r="F27" s="160">
        <v>0.14102564102564102</v>
      </c>
      <c r="G27" s="160">
        <v>0.26250000000000001</v>
      </c>
      <c r="H27" s="160">
        <v>0.46357615894039733</v>
      </c>
      <c r="I27" s="160">
        <v>0.18867924528301888</v>
      </c>
      <c r="J27" s="160">
        <v>0.17142857142857143</v>
      </c>
    </row>
    <row r="28" spans="2:13" x14ac:dyDescent="0.25">
      <c r="B28" s="158"/>
      <c r="C28" s="159"/>
      <c r="D28" s="158" t="s">
        <v>72</v>
      </c>
      <c r="E28" s="160">
        <v>3.8740920096852302E-2</v>
      </c>
      <c r="F28" s="160">
        <v>0.18886198547215496</v>
      </c>
      <c r="G28" s="160">
        <v>0.1937046004842615</v>
      </c>
      <c r="H28" s="160">
        <v>0.36561743341404357</v>
      </c>
      <c r="I28" s="160">
        <v>0.12832929782082325</v>
      </c>
      <c r="J28" s="160">
        <v>8.4745762711864403E-2</v>
      </c>
    </row>
    <row r="29" spans="2:13" ht="13.8" x14ac:dyDescent="0.25">
      <c r="B29" s="158" t="s">
        <v>110</v>
      </c>
      <c r="C29" s="159" t="s">
        <v>72</v>
      </c>
      <c r="D29" s="161"/>
      <c r="E29" s="161" t="s">
        <v>10</v>
      </c>
      <c r="F29" s="161" t="s">
        <v>11</v>
      </c>
      <c r="G29" s="161" t="s">
        <v>0</v>
      </c>
      <c r="H29" s="162" t="s">
        <v>1</v>
      </c>
      <c r="I29" s="162" t="s">
        <v>2</v>
      </c>
      <c r="J29" s="162" t="s">
        <v>3</v>
      </c>
    </row>
    <row r="30" spans="2:13" ht="13.8" x14ac:dyDescent="0.25">
      <c r="B30" s="160">
        <v>6.25E-2</v>
      </c>
      <c r="C30" s="160">
        <v>3.8740920096852302E-2</v>
      </c>
      <c r="D30" s="161" t="s">
        <v>10</v>
      </c>
      <c r="E30" s="163">
        <v>0</v>
      </c>
      <c r="F30" s="163">
        <f t="shared" ref="F30:J31" si="3">(F$27*$B30/F19)/(F$28*$C30/F19)</f>
        <v>1.2046575803336621</v>
      </c>
      <c r="G30" s="163">
        <f t="shared" si="3"/>
        <v>2.1862481689453124</v>
      </c>
      <c r="H30" s="163">
        <f t="shared" si="3"/>
        <v>2.0455226059164073</v>
      </c>
      <c r="I30" s="163">
        <f t="shared" si="3"/>
        <v>2.3719656683873267</v>
      </c>
      <c r="J30" s="163">
        <f t="shared" si="3"/>
        <v>3.2634374999999998</v>
      </c>
      <c r="L30" s="49" t="s">
        <v>94</v>
      </c>
      <c r="M30" s="157">
        <f>SUM(E30:J35)</f>
        <v>58.988106895134393</v>
      </c>
    </row>
    <row r="31" spans="2:13" ht="13.8" x14ac:dyDescent="0.25">
      <c r="B31" s="160">
        <v>0.14102564102564102</v>
      </c>
      <c r="C31" s="160">
        <v>0.18886198547215496</v>
      </c>
      <c r="D31" s="161" t="s">
        <v>11</v>
      </c>
      <c r="E31" s="163">
        <f>(E$27*$B31/E20)/(E$28*$C31/E20)</f>
        <v>1.2046575803336621</v>
      </c>
      <c r="F31" s="163">
        <v>0</v>
      </c>
      <c r="G31" s="163">
        <f t="shared" si="3"/>
        <v>1.0119123674802761</v>
      </c>
      <c r="H31" s="163">
        <f t="shared" si="3"/>
        <v>0.94677706414539831</v>
      </c>
      <c r="I31" s="163">
        <f t="shared" si="3"/>
        <v>1.0978723409235227</v>
      </c>
      <c r="J31" s="163">
        <f t="shared" si="3"/>
        <v>1.5104930966469428</v>
      </c>
      <c r="L31" s="49" t="s">
        <v>114</v>
      </c>
      <c r="M31" s="157">
        <f>AVERAGE(E30:J35)</f>
        <v>1.6385585248648442</v>
      </c>
    </row>
    <row r="32" spans="2:13" ht="13.8" x14ac:dyDescent="0.25">
      <c r="B32" s="160">
        <v>0.26250000000000001</v>
      </c>
      <c r="C32" s="160">
        <v>0.1937046004842615</v>
      </c>
      <c r="D32" s="161" t="s">
        <v>0</v>
      </c>
      <c r="E32" s="163">
        <f t="shared" ref="E32:J35" si="4">(E$27*$B32/E21)/(E$28*$C32/E21)</f>
        <v>2.1862481689453124</v>
      </c>
      <c r="F32" s="163">
        <f t="shared" si="4"/>
        <v>1.0119123674802761</v>
      </c>
      <c r="G32" s="163">
        <v>0</v>
      </c>
      <c r="H32" s="163">
        <f t="shared" si="4"/>
        <v>1.7182389889697818</v>
      </c>
      <c r="I32" s="163">
        <f t="shared" si="4"/>
        <v>1.9924511614453544</v>
      </c>
      <c r="J32" s="163">
        <f t="shared" si="4"/>
        <v>2.7412875000000003</v>
      </c>
    </row>
    <row r="33" spans="2:13" ht="13.8" x14ac:dyDescent="0.25">
      <c r="B33" s="160">
        <v>0.46357615894039733</v>
      </c>
      <c r="C33" s="160">
        <v>0.36561743341404357</v>
      </c>
      <c r="D33" s="161" t="s">
        <v>1</v>
      </c>
      <c r="E33" s="163">
        <f t="shared" si="4"/>
        <v>2.0455226059164073</v>
      </c>
      <c r="F33" s="163">
        <f t="shared" si="4"/>
        <v>0.94677706414539831</v>
      </c>
      <c r="G33" s="163">
        <f t="shared" si="4"/>
        <v>1.7182389889697818</v>
      </c>
      <c r="H33" s="163">
        <v>0</v>
      </c>
      <c r="I33" s="163">
        <f t="shared" si="4"/>
        <v>1.8642000253278757</v>
      </c>
      <c r="J33" s="163">
        <f t="shared" si="4"/>
        <v>2.5648348756633483</v>
      </c>
    </row>
    <row r="34" spans="2:13" ht="13.8" x14ac:dyDescent="0.25">
      <c r="B34" s="160">
        <v>0.18867924528301888</v>
      </c>
      <c r="C34" s="160">
        <v>0.12832929782082325</v>
      </c>
      <c r="D34" s="161" t="s">
        <v>2</v>
      </c>
      <c r="E34" s="163">
        <f t="shared" si="4"/>
        <v>2.3719656683873267</v>
      </c>
      <c r="F34" s="163">
        <f t="shared" si="4"/>
        <v>1.0978723409235227</v>
      </c>
      <c r="G34" s="163">
        <f t="shared" si="4"/>
        <v>1.9924511614453544</v>
      </c>
      <c r="H34" s="163">
        <f t="shared" si="4"/>
        <v>1.8642000253278757</v>
      </c>
      <c r="I34" s="163">
        <v>0</v>
      </c>
      <c r="J34" s="163">
        <f t="shared" si="4"/>
        <v>2.9741545033819863</v>
      </c>
    </row>
    <row r="35" spans="2:13" ht="13.8" x14ac:dyDescent="0.3">
      <c r="B35" s="160">
        <v>0.17142857142857143</v>
      </c>
      <c r="C35" s="160">
        <v>8.4745762711864403E-2</v>
      </c>
      <c r="D35" s="164" t="s">
        <v>3</v>
      </c>
      <c r="E35" s="163">
        <f>(E$27*$B35/E24)/(E$28*$C35/E24)</f>
        <v>3.2634374999999998</v>
      </c>
      <c r="F35" s="163">
        <f t="shared" si="4"/>
        <v>1.5104930966469428</v>
      </c>
      <c r="G35" s="163">
        <f t="shared" si="4"/>
        <v>2.7412875000000003</v>
      </c>
      <c r="H35" s="163">
        <f t="shared" si="4"/>
        <v>2.5648348756633483</v>
      </c>
      <c r="I35" s="163">
        <f t="shared" si="4"/>
        <v>2.9741545033819863</v>
      </c>
      <c r="J35" s="163">
        <v>0</v>
      </c>
    </row>
    <row r="38" spans="2:13" x14ac:dyDescent="0.25">
      <c r="B38" s="154" t="s">
        <v>117</v>
      </c>
      <c r="C38" s="147"/>
      <c r="D38" s="154" t="s">
        <v>110</v>
      </c>
      <c r="E38" s="155">
        <f>B41</f>
        <v>0.5625</v>
      </c>
      <c r="F38" s="155">
        <f>B42</f>
        <v>0.17948717948717949</v>
      </c>
      <c r="G38" s="155">
        <f>B43</f>
        <v>0.17499999999999999</v>
      </c>
      <c r="H38" s="155">
        <f>B44</f>
        <v>7.2847682119205295E-2</v>
      </c>
      <c r="I38" s="155">
        <f>B45</f>
        <v>5.6603773584905662E-2</v>
      </c>
      <c r="J38" s="155">
        <f>B46</f>
        <v>0.48571428571428571</v>
      </c>
    </row>
    <row r="39" spans="2:13" x14ac:dyDescent="0.25">
      <c r="B39" s="154"/>
      <c r="C39" s="147"/>
      <c r="D39" s="154" t="s">
        <v>72</v>
      </c>
      <c r="E39" s="155">
        <f>C41</f>
        <v>3.8740920096852302E-2</v>
      </c>
      <c r="F39" s="155">
        <f>C42</f>
        <v>0.18886198547215496</v>
      </c>
      <c r="G39" s="155">
        <f>C43</f>
        <v>0.1937046004842615</v>
      </c>
      <c r="H39" s="155">
        <f>C44</f>
        <v>0.36561743341404357</v>
      </c>
      <c r="I39" s="155">
        <f>C45</f>
        <v>0.12832929782082325</v>
      </c>
      <c r="J39" s="155">
        <f>C46</f>
        <v>8.4745762711864403E-2</v>
      </c>
    </row>
    <row r="40" spans="2:13" x14ac:dyDescent="0.25">
      <c r="B40" s="154" t="s">
        <v>110</v>
      </c>
      <c r="C40" s="147" t="s">
        <v>72</v>
      </c>
      <c r="D40" s="132"/>
      <c r="E40" s="132" t="s">
        <v>10</v>
      </c>
      <c r="F40" s="132" t="s">
        <v>11</v>
      </c>
      <c r="G40" s="132" t="s">
        <v>0</v>
      </c>
      <c r="H40" s="153" t="s">
        <v>1</v>
      </c>
      <c r="I40" s="153" t="s">
        <v>2</v>
      </c>
      <c r="J40" s="153" t="s">
        <v>3</v>
      </c>
    </row>
    <row r="41" spans="2:13" x14ac:dyDescent="0.25">
      <c r="B41" s="242">
        <v>0.5625</v>
      </c>
      <c r="C41" s="243">
        <v>3.8740920096852302E-2</v>
      </c>
      <c r="D41" s="132" t="s">
        <v>10</v>
      </c>
      <c r="E41" s="146">
        <v>0</v>
      </c>
      <c r="F41" s="146">
        <f t="shared" ref="F41:J41" si="5">(F$38*$B41/F19)</f>
        <v>0.12920229097860089</v>
      </c>
      <c r="G41" s="146">
        <f t="shared" si="5"/>
        <v>0.24432890126394519</v>
      </c>
      <c r="H41" s="146">
        <f t="shared" si="5"/>
        <v>9.5405292522217508E-2</v>
      </c>
      <c r="I41" s="146">
        <f t="shared" si="5"/>
        <v>5.8917192498681908E-2</v>
      </c>
      <c r="J41" s="146">
        <f t="shared" si="5"/>
        <v>0.49781440604351113</v>
      </c>
      <c r="L41" s="49" t="s">
        <v>94</v>
      </c>
      <c r="M41" s="157">
        <f>SUM(E41:J46)</f>
        <v>3.2125946267737944</v>
      </c>
    </row>
    <row r="42" spans="2:13" x14ac:dyDescent="0.25">
      <c r="B42" s="242">
        <v>0.17948717948717949</v>
      </c>
      <c r="C42" s="243">
        <v>0.18886198547215496</v>
      </c>
      <c r="D42" s="132" t="s">
        <v>11</v>
      </c>
      <c r="E42" s="146">
        <f>(E$38*$B42/E20)</f>
        <v>0.12920229097860089</v>
      </c>
      <c r="F42" s="146">
        <v>0</v>
      </c>
      <c r="G42" s="146">
        <f t="shared" ref="E42:J46" si="6">(G$38*$B42/G20)</f>
        <v>3.6838622711495662E-2</v>
      </c>
      <c r="H42" s="146">
        <f t="shared" si="6"/>
        <v>2.4334330255854648E-2</v>
      </c>
      <c r="I42" s="146">
        <f t="shared" si="6"/>
        <v>3.5184404702008454E-2</v>
      </c>
      <c r="J42" s="146">
        <f t="shared" si="6"/>
        <v>0.16540459796274365</v>
      </c>
      <c r="L42" s="49" t="s">
        <v>114</v>
      </c>
      <c r="M42" s="157">
        <f>AVERAGE(E41:J46)</f>
        <v>8.9238739632605396E-2</v>
      </c>
    </row>
    <row r="43" spans="2:13" x14ac:dyDescent="0.25">
      <c r="B43" s="242">
        <v>0.17499999999999999</v>
      </c>
      <c r="C43" s="243">
        <v>0.1937046004842615</v>
      </c>
      <c r="D43" s="132" t="s">
        <v>0</v>
      </c>
      <c r="E43" s="146">
        <f t="shared" si="6"/>
        <v>0.24432890126394519</v>
      </c>
      <c r="F43" s="146">
        <f t="shared" si="6"/>
        <v>3.6838622711495662E-2</v>
      </c>
      <c r="G43" s="146">
        <v>0</v>
      </c>
      <c r="H43" s="146">
        <f t="shared" si="6"/>
        <v>4.0079378072321155E-2</v>
      </c>
      <c r="I43" s="146">
        <f t="shared" si="6"/>
        <v>1.3618843507109221E-2</v>
      </c>
      <c r="J43" s="146">
        <f t="shared" si="6"/>
        <v>9.9029614631497398E-2</v>
      </c>
    </row>
    <row r="44" spans="2:13" x14ac:dyDescent="0.25">
      <c r="B44" s="242">
        <v>7.2847682119205295E-2</v>
      </c>
      <c r="C44" s="243">
        <v>0.36561743341404357</v>
      </c>
      <c r="D44" s="132" t="s">
        <v>1</v>
      </c>
      <c r="E44" s="146">
        <f t="shared" si="6"/>
        <v>9.5405292522217508E-2</v>
      </c>
      <c r="F44" s="146">
        <f t="shared" si="6"/>
        <v>2.4334330255854648E-2</v>
      </c>
      <c r="G44" s="146">
        <f t="shared" si="6"/>
        <v>4.0079378072321155E-2</v>
      </c>
      <c r="H44" s="146">
        <v>0</v>
      </c>
      <c r="I44" s="146">
        <f t="shared" si="6"/>
        <v>8.9806048660695005E-3</v>
      </c>
      <c r="J44" s="146">
        <f t="shared" si="6"/>
        <v>5.3883211619324814E-2</v>
      </c>
    </row>
    <row r="45" spans="2:13" x14ac:dyDescent="0.25">
      <c r="B45" s="242">
        <v>5.6603773584905662E-2</v>
      </c>
      <c r="C45" s="243">
        <v>0.12832929782082325</v>
      </c>
      <c r="D45" s="132" t="s">
        <v>2</v>
      </c>
      <c r="E45" s="146">
        <f t="shared" si="6"/>
        <v>5.8917192498681908E-2</v>
      </c>
      <c r="F45" s="146">
        <f t="shared" si="6"/>
        <v>3.5184404702008454E-2</v>
      </c>
      <c r="G45" s="146">
        <f t="shared" si="6"/>
        <v>1.3618843507109221E-2</v>
      </c>
      <c r="H45" s="146">
        <f t="shared" si="6"/>
        <v>8.9806048660695005E-3</v>
      </c>
      <c r="I45" s="146">
        <v>0</v>
      </c>
      <c r="J45" s="146">
        <f t="shared" si="6"/>
        <v>0.10327562175151657</v>
      </c>
    </row>
    <row r="46" spans="2:13" x14ac:dyDescent="0.25">
      <c r="B46" s="242">
        <v>0.48571428571428571</v>
      </c>
      <c r="C46" s="243">
        <v>8.4745762711864403E-2</v>
      </c>
      <c r="D46" s="156" t="s">
        <v>3</v>
      </c>
      <c r="E46" s="146">
        <f t="shared" si="6"/>
        <v>0.49781440604351113</v>
      </c>
      <c r="F46" s="146">
        <f t="shared" si="6"/>
        <v>0.16540459796274365</v>
      </c>
      <c r="G46" s="146">
        <f t="shared" si="6"/>
        <v>9.9029614631497398E-2</v>
      </c>
      <c r="H46" s="146">
        <f t="shared" si="6"/>
        <v>5.3883211619324814E-2</v>
      </c>
      <c r="I46" s="146">
        <f t="shared" si="6"/>
        <v>0.10327562175151657</v>
      </c>
      <c r="J46" s="146">
        <v>0</v>
      </c>
    </row>
    <row r="49" spans="2:13" x14ac:dyDescent="0.25">
      <c r="B49" s="154" t="s">
        <v>118</v>
      </c>
      <c r="C49" s="147"/>
      <c r="D49" s="154" t="s">
        <v>110</v>
      </c>
      <c r="E49" s="155">
        <f>E38</f>
        <v>0.5625</v>
      </c>
      <c r="F49" s="155">
        <f t="shared" ref="F49:J49" si="7">F38</f>
        <v>0.17948717948717949</v>
      </c>
      <c r="G49" s="155">
        <f t="shared" si="7"/>
        <v>0.17499999999999999</v>
      </c>
      <c r="H49" s="155">
        <f t="shared" si="7"/>
        <v>7.2847682119205295E-2</v>
      </c>
      <c r="I49" s="155">
        <f t="shared" si="7"/>
        <v>5.6603773584905662E-2</v>
      </c>
      <c r="J49" s="155">
        <f t="shared" si="7"/>
        <v>0.48571428571428571</v>
      </c>
    </row>
    <row r="50" spans="2:13" x14ac:dyDescent="0.25">
      <c r="B50" s="154"/>
      <c r="C50" s="147"/>
      <c r="D50" s="154" t="s">
        <v>72</v>
      </c>
      <c r="E50" s="155">
        <f>E39</f>
        <v>3.8740920096852302E-2</v>
      </c>
      <c r="F50" s="155">
        <f t="shared" ref="F50:J50" si="8">F39</f>
        <v>0.18886198547215496</v>
      </c>
      <c r="G50" s="155">
        <f t="shared" si="8"/>
        <v>0.1937046004842615</v>
      </c>
      <c r="H50" s="155">
        <f t="shared" si="8"/>
        <v>0.36561743341404357</v>
      </c>
      <c r="I50" s="155">
        <f t="shared" si="8"/>
        <v>0.12832929782082325</v>
      </c>
      <c r="J50" s="155">
        <f t="shared" si="8"/>
        <v>8.4745762711864403E-2</v>
      </c>
    </row>
    <row r="51" spans="2:13" x14ac:dyDescent="0.25">
      <c r="B51" s="154" t="s">
        <v>110</v>
      </c>
      <c r="C51" s="147" t="s">
        <v>72</v>
      </c>
      <c r="D51" s="132"/>
      <c r="E51" s="132" t="s">
        <v>10</v>
      </c>
      <c r="F51" s="132" t="s">
        <v>11</v>
      </c>
      <c r="G51" s="132" t="s">
        <v>0</v>
      </c>
      <c r="H51" s="153" t="s">
        <v>1</v>
      </c>
      <c r="I51" s="153" t="s">
        <v>2</v>
      </c>
      <c r="J51" s="153" t="s">
        <v>3</v>
      </c>
    </row>
    <row r="52" spans="2:13" x14ac:dyDescent="0.25">
      <c r="B52" s="155">
        <f>B41</f>
        <v>0.5625</v>
      </c>
      <c r="C52" s="155">
        <f>C41</f>
        <v>3.8740920096852302E-2</v>
      </c>
      <c r="D52" s="132" t="s">
        <v>10</v>
      </c>
      <c r="E52" s="146">
        <v>0</v>
      </c>
      <c r="F52" s="146">
        <f t="shared" ref="F52:J52" si="9">(F$50*$C52/F19)</f>
        <v>9.3632956531176561E-3</v>
      </c>
      <c r="G52" s="146">
        <f t="shared" si="9"/>
        <v>1.8626194465212832E-2</v>
      </c>
      <c r="H52" s="146">
        <f t="shared" si="9"/>
        <v>3.2978509964572224E-2</v>
      </c>
      <c r="I52" s="146">
        <f t="shared" si="9"/>
        <v>9.1996198333491094E-3</v>
      </c>
      <c r="J52" s="146">
        <f t="shared" si="9"/>
        <v>5.9820767428007343E-3</v>
      </c>
      <c r="L52" s="49" t="s">
        <v>94</v>
      </c>
      <c r="M52" s="157">
        <f>SUM(E52:J57)</f>
        <v>1.656099183946766</v>
      </c>
    </row>
    <row r="53" spans="2:13" x14ac:dyDescent="0.25">
      <c r="B53" s="155">
        <f t="shared" ref="B53:C57" si="10">B42</f>
        <v>0.17948717948717949</v>
      </c>
      <c r="C53" s="155">
        <f t="shared" si="10"/>
        <v>0.18886198547215496</v>
      </c>
      <c r="D53" s="132" t="s">
        <v>11</v>
      </c>
      <c r="E53" s="146">
        <f t="shared" ref="E53:J57" si="11">(E$50*$C53/E20)</f>
        <v>9.3632956531176561E-3</v>
      </c>
      <c r="F53" s="146">
        <v>0</v>
      </c>
      <c r="G53" s="146">
        <f t="shared" si="11"/>
        <v>4.2905838085369172E-2</v>
      </c>
      <c r="H53" s="146">
        <f t="shared" si="11"/>
        <v>0.12851140557476359</v>
      </c>
      <c r="I53" s="146">
        <f t="shared" si="11"/>
        <v>8.3934741706752053E-2</v>
      </c>
      <c r="J53" s="146">
        <f t="shared" si="11"/>
        <v>3.0366575032931848E-2</v>
      </c>
      <c r="L53" s="49" t="s">
        <v>114</v>
      </c>
      <c r="M53" s="157">
        <f>AVERAGE(E52:J57)</f>
        <v>4.6002755109632393E-2</v>
      </c>
    </row>
    <row r="54" spans="2:13" x14ac:dyDescent="0.25">
      <c r="B54" s="155">
        <f t="shared" si="10"/>
        <v>0.17499999999999999</v>
      </c>
      <c r="C54" s="155">
        <f t="shared" si="10"/>
        <v>0.1937046004842615</v>
      </c>
      <c r="D54" s="132" t="s">
        <v>0</v>
      </c>
      <c r="E54" s="146">
        <f t="shared" si="11"/>
        <v>1.8626194465212832E-2</v>
      </c>
      <c r="F54" s="146">
        <f t="shared" si="11"/>
        <v>4.2905838085369172E-2</v>
      </c>
      <c r="G54" s="146">
        <v>0</v>
      </c>
      <c r="H54" s="146">
        <f t="shared" si="11"/>
        <v>0.22265580286291448</v>
      </c>
      <c r="I54" s="146">
        <f t="shared" si="11"/>
        <v>3.4176103712449113E-2</v>
      </c>
      <c r="J54" s="146">
        <f t="shared" si="11"/>
        <v>1.9125116588538965E-2</v>
      </c>
    </row>
    <row r="55" spans="2:13" x14ac:dyDescent="0.25">
      <c r="B55" s="155">
        <f t="shared" si="10"/>
        <v>7.2847682119205295E-2</v>
      </c>
      <c r="C55" s="155">
        <f t="shared" si="10"/>
        <v>0.36561743341404357</v>
      </c>
      <c r="D55" s="132" t="s">
        <v>1</v>
      </c>
      <c r="E55" s="146">
        <f t="shared" si="11"/>
        <v>3.2978509964572224E-2</v>
      </c>
      <c r="F55" s="146">
        <f t="shared" si="11"/>
        <v>0.12851140557476359</v>
      </c>
      <c r="G55" s="146">
        <f t="shared" si="11"/>
        <v>0.22265580286291448</v>
      </c>
      <c r="H55" s="146">
        <v>0</v>
      </c>
      <c r="I55" s="146">
        <f t="shared" si="11"/>
        <v>0.10218735993404308</v>
      </c>
      <c r="J55" s="146">
        <f t="shared" si="11"/>
        <v>4.7184759593800453E-2</v>
      </c>
    </row>
    <row r="56" spans="2:13" x14ac:dyDescent="0.25">
      <c r="B56" s="155">
        <f t="shared" si="10"/>
        <v>5.6603773584905662E-2</v>
      </c>
      <c r="C56" s="155">
        <f t="shared" si="10"/>
        <v>0.12832929782082325</v>
      </c>
      <c r="D56" s="132" t="s">
        <v>2</v>
      </c>
      <c r="E56" s="146">
        <f t="shared" si="11"/>
        <v>9.1996198333491094E-3</v>
      </c>
      <c r="F56" s="146">
        <f t="shared" si="11"/>
        <v>8.3934741706752053E-2</v>
      </c>
      <c r="G56" s="146">
        <f t="shared" si="11"/>
        <v>3.4176103712449113E-2</v>
      </c>
      <c r="H56" s="146">
        <f t="shared" si="11"/>
        <v>0.10218735993404308</v>
      </c>
      <c r="I56" s="146">
        <v>0</v>
      </c>
      <c r="J56" s="146">
        <f t="shared" si="11"/>
        <v>4.0852192222768147E-2</v>
      </c>
      <c r="L56" s="49">
        <f>M42/M53</f>
        <v>1.939856415554553</v>
      </c>
    </row>
    <row r="57" spans="2:13" x14ac:dyDescent="0.25">
      <c r="B57" s="155">
        <f t="shared" si="10"/>
        <v>0.48571428571428571</v>
      </c>
      <c r="C57" s="155">
        <f t="shared" si="10"/>
        <v>8.4745762711864403E-2</v>
      </c>
      <c r="D57" s="156" t="s">
        <v>3</v>
      </c>
      <c r="E57" s="146">
        <f t="shared" si="11"/>
        <v>5.9820767428007343E-3</v>
      </c>
      <c r="F57" s="146">
        <f t="shared" si="11"/>
        <v>3.0366575032931848E-2</v>
      </c>
      <c r="G57" s="146">
        <f t="shared" si="11"/>
        <v>1.9125116588538965E-2</v>
      </c>
      <c r="H57" s="146">
        <f t="shared" si="11"/>
        <v>4.7184759593800453E-2</v>
      </c>
      <c r="I57" s="146">
        <f t="shared" si="11"/>
        <v>4.0852192222768147E-2</v>
      </c>
      <c r="J57" s="146">
        <v>0</v>
      </c>
    </row>
    <row r="60" spans="2:13" x14ac:dyDescent="0.25">
      <c r="D60" s="49" t="s">
        <v>111</v>
      </c>
      <c r="E60" s="157">
        <f>SUM(E41:J46)</f>
        <v>3.2125946267737944</v>
      </c>
    </row>
    <row r="61" spans="2:13" x14ac:dyDescent="0.25">
      <c r="D61" s="49" t="s">
        <v>112</v>
      </c>
      <c r="E61" s="157">
        <f>SUM(E52:J57)</f>
        <v>1.656099183946766</v>
      </c>
    </row>
    <row r="63" spans="2:13" x14ac:dyDescent="0.25">
      <c r="D63" s="49" t="s">
        <v>113</v>
      </c>
      <c r="E63" s="225">
        <f>E60/E61</f>
        <v>1.9398564155545532</v>
      </c>
    </row>
    <row r="65" spans="2:10" x14ac:dyDescent="0.25">
      <c r="B65" s="49" t="s">
        <v>119</v>
      </c>
    </row>
    <row r="66" spans="2:10" x14ac:dyDescent="0.25">
      <c r="B66" s="154" t="s">
        <v>117</v>
      </c>
      <c r="C66" s="147"/>
      <c r="D66" s="154" t="s">
        <v>110</v>
      </c>
      <c r="E66" s="155">
        <f>E38</f>
        <v>0.5625</v>
      </c>
      <c r="F66" s="155">
        <f t="shared" ref="F66:J66" si="12">F38</f>
        <v>0.17948717948717949</v>
      </c>
      <c r="G66" s="155">
        <f t="shared" si="12"/>
        <v>0.17499999999999999</v>
      </c>
      <c r="H66" s="155">
        <f t="shared" si="12"/>
        <v>7.2847682119205295E-2</v>
      </c>
      <c r="I66" s="155">
        <f t="shared" si="12"/>
        <v>5.6603773584905662E-2</v>
      </c>
      <c r="J66" s="155">
        <f t="shared" si="12"/>
        <v>0.48571428571428571</v>
      </c>
    </row>
    <row r="67" spans="2:10" x14ac:dyDescent="0.25">
      <c r="B67" s="154"/>
      <c r="C67" s="147"/>
      <c r="D67" s="154" t="s">
        <v>72</v>
      </c>
      <c r="E67" s="155">
        <f>E39</f>
        <v>3.8740920096852302E-2</v>
      </c>
      <c r="F67" s="155">
        <f t="shared" ref="F67:J67" si="13">F39</f>
        <v>0.18886198547215496</v>
      </c>
      <c r="G67" s="155">
        <f t="shared" si="13"/>
        <v>0.1937046004842615</v>
      </c>
      <c r="H67" s="155">
        <f t="shared" si="13"/>
        <v>0.36561743341404357</v>
      </c>
      <c r="I67" s="155">
        <f t="shared" si="13"/>
        <v>0.12832929782082325</v>
      </c>
      <c r="J67" s="155">
        <f t="shared" si="13"/>
        <v>8.4745762711864403E-2</v>
      </c>
    </row>
    <row r="68" spans="2:10" x14ac:dyDescent="0.25">
      <c r="B68" s="154" t="s">
        <v>110</v>
      </c>
      <c r="C68" s="147" t="s">
        <v>72</v>
      </c>
      <c r="D68" s="132"/>
      <c r="E68" s="132" t="s">
        <v>10</v>
      </c>
      <c r="F68" s="132" t="s">
        <v>11</v>
      </c>
      <c r="G68" s="132" t="s">
        <v>0</v>
      </c>
      <c r="H68" s="153" t="s">
        <v>1</v>
      </c>
      <c r="I68" s="153" t="s">
        <v>2</v>
      </c>
      <c r="J68" s="153" t="s">
        <v>3</v>
      </c>
    </row>
    <row r="69" spans="2:10" x14ac:dyDescent="0.25">
      <c r="B69" s="155">
        <f>B41</f>
        <v>0.5625</v>
      </c>
      <c r="C69" s="155">
        <f>C41</f>
        <v>3.8740920096852302E-2</v>
      </c>
      <c r="D69" s="132" t="s">
        <v>10</v>
      </c>
      <c r="E69" s="146">
        <f>E$66*$B69</f>
        <v>0.31640625</v>
      </c>
      <c r="F69" s="146">
        <f t="shared" ref="F69:J74" si="14">F$66*$B69</f>
        <v>0.10096153846153846</v>
      </c>
      <c r="G69" s="146">
        <f t="shared" si="14"/>
        <v>9.8437499999999997E-2</v>
      </c>
      <c r="H69" s="146">
        <f t="shared" si="14"/>
        <v>4.0976821192052981E-2</v>
      </c>
      <c r="I69" s="146">
        <f t="shared" si="14"/>
        <v>3.1839622641509434E-2</v>
      </c>
      <c r="J69" s="146">
        <f t="shared" si="14"/>
        <v>0.27321428571428569</v>
      </c>
    </row>
    <row r="70" spans="2:10" x14ac:dyDescent="0.25">
      <c r="B70" s="155">
        <f t="shared" ref="B70:C74" si="15">B42</f>
        <v>0.17948717948717949</v>
      </c>
      <c r="C70" s="155">
        <f t="shared" si="15"/>
        <v>0.18886198547215496</v>
      </c>
      <c r="D70" s="132" t="s">
        <v>11</v>
      </c>
      <c r="E70" s="146">
        <f t="shared" ref="E70:E74" si="16">E$66*$B70</f>
        <v>0.10096153846153846</v>
      </c>
      <c r="F70" s="146">
        <f t="shared" si="14"/>
        <v>3.2215647600262985E-2</v>
      </c>
      <c r="G70" s="146">
        <f t="shared" si="14"/>
        <v>3.141025641025641E-2</v>
      </c>
      <c r="H70" s="146">
        <f t="shared" si="14"/>
        <v>1.3075224995754796E-2</v>
      </c>
      <c r="I70" s="146">
        <f t="shared" si="14"/>
        <v>1.0159651669085631E-2</v>
      </c>
      <c r="J70" s="146">
        <f t="shared" si="14"/>
        <v>8.7179487179487175E-2</v>
      </c>
    </row>
    <row r="71" spans="2:10" x14ac:dyDescent="0.25">
      <c r="B71" s="155">
        <f t="shared" si="15"/>
        <v>0.17499999999999999</v>
      </c>
      <c r="C71" s="155">
        <f t="shared" si="15"/>
        <v>0.1937046004842615</v>
      </c>
      <c r="D71" s="132" t="s">
        <v>0</v>
      </c>
      <c r="E71" s="146">
        <f t="shared" si="16"/>
        <v>9.8437499999999997E-2</v>
      </c>
      <c r="F71" s="146">
        <f t="shared" si="14"/>
        <v>3.141025641025641E-2</v>
      </c>
      <c r="G71" s="146">
        <f t="shared" si="14"/>
        <v>3.0624999999999996E-2</v>
      </c>
      <c r="H71" s="146">
        <f t="shared" si="14"/>
        <v>1.2748344370860925E-2</v>
      </c>
      <c r="I71" s="146">
        <f t="shared" si="14"/>
        <v>9.9056603773584901E-3</v>
      </c>
      <c r="J71" s="146">
        <f t="shared" si="14"/>
        <v>8.4999999999999992E-2</v>
      </c>
    </row>
    <row r="72" spans="2:10" x14ac:dyDescent="0.25">
      <c r="B72" s="155">
        <f t="shared" si="15"/>
        <v>7.2847682119205295E-2</v>
      </c>
      <c r="C72" s="155">
        <f t="shared" si="15"/>
        <v>0.36561743341404357</v>
      </c>
      <c r="D72" s="132" t="s">
        <v>1</v>
      </c>
      <c r="E72" s="146">
        <f t="shared" si="16"/>
        <v>4.0976821192052981E-2</v>
      </c>
      <c r="F72" s="146">
        <f t="shared" si="14"/>
        <v>1.3075224995754796E-2</v>
      </c>
      <c r="G72" s="146">
        <f t="shared" si="14"/>
        <v>1.2748344370860925E-2</v>
      </c>
      <c r="H72" s="146">
        <f t="shared" si="14"/>
        <v>5.3067847901407828E-3</v>
      </c>
      <c r="I72" s="146">
        <f t="shared" si="14"/>
        <v>4.1234537048606768E-3</v>
      </c>
      <c r="J72" s="146">
        <f t="shared" si="14"/>
        <v>3.5383159886471144E-2</v>
      </c>
    </row>
    <row r="73" spans="2:10" x14ac:dyDescent="0.25">
      <c r="B73" s="155">
        <f t="shared" si="15"/>
        <v>5.6603773584905662E-2</v>
      </c>
      <c r="C73" s="155">
        <f t="shared" si="15"/>
        <v>0.12832929782082325</v>
      </c>
      <c r="D73" s="132" t="s">
        <v>2</v>
      </c>
      <c r="E73" s="146">
        <f t="shared" si="16"/>
        <v>3.1839622641509434E-2</v>
      </c>
      <c r="F73" s="146">
        <f t="shared" si="14"/>
        <v>1.0159651669085631E-2</v>
      </c>
      <c r="G73" s="146">
        <f t="shared" si="14"/>
        <v>9.9056603773584901E-3</v>
      </c>
      <c r="H73" s="146">
        <f t="shared" si="14"/>
        <v>4.1234537048606768E-3</v>
      </c>
      <c r="I73" s="146">
        <f t="shared" si="14"/>
        <v>3.203987184051264E-3</v>
      </c>
      <c r="J73" s="146">
        <f t="shared" si="14"/>
        <v>2.7493261455525608E-2</v>
      </c>
    </row>
    <row r="74" spans="2:10" x14ac:dyDescent="0.25">
      <c r="B74" s="155">
        <f t="shared" si="15"/>
        <v>0.48571428571428571</v>
      </c>
      <c r="C74" s="155">
        <f t="shared" si="15"/>
        <v>8.4745762711864403E-2</v>
      </c>
      <c r="D74" s="156" t="s">
        <v>3</v>
      </c>
      <c r="E74" s="146">
        <f t="shared" si="16"/>
        <v>0.27321428571428569</v>
      </c>
      <c r="F74" s="146">
        <f t="shared" si="14"/>
        <v>8.7179487179487175E-2</v>
      </c>
      <c r="G74" s="146">
        <f t="shared" si="14"/>
        <v>8.4999999999999992E-2</v>
      </c>
      <c r="H74" s="146">
        <f t="shared" si="14"/>
        <v>3.5383159886471144E-2</v>
      </c>
      <c r="I74" s="146">
        <f t="shared" si="14"/>
        <v>2.7493261455525608E-2</v>
      </c>
      <c r="J74" s="146">
        <f t="shared" si="14"/>
        <v>0.23591836734693877</v>
      </c>
    </row>
    <row r="77" spans="2:10" x14ac:dyDescent="0.25">
      <c r="B77" s="154" t="s">
        <v>118</v>
      </c>
      <c r="C77" s="147"/>
      <c r="D77" s="154" t="s">
        <v>110</v>
      </c>
      <c r="E77" s="155">
        <f>E66</f>
        <v>0.5625</v>
      </c>
      <c r="F77" s="155">
        <f t="shared" ref="F77:J78" si="17">F66</f>
        <v>0.17948717948717949</v>
      </c>
      <c r="G77" s="155">
        <f t="shared" si="17"/>
        <v>0.17499999999999999</v>
      </c>
      <c r="H77" s="155">
        <f t="shared" si="17"/>
        <v>7.2847682119205295E-2</v>
      </c>
      <c r="I77" s="155">
        <f t="shared" si="17"/>
        <v>5.6603773584905662E-2</v>
      </c>
      <c r="J77" s="155">
        <f t="shared" si="17"/>
        <v>0.48571428571428571</v>
      </c>
    </row>
    <row r="78" spans="2:10" x14ac:dyDescent="0.25">
      <c r="B78" s="154"/>
      <c r="C78" s="147"/>
      <c r="D78" s="154" t="s">
        <v>72</v>
      </c>
      <c r="E78" s="155">
        <f>E67</f>
        <v>3.8740920096852302E-2</v>
      </c>
      <c r="F78" s="155">
        <f t="shared" si="17"/>
        <v>0.18886198547215496</v>
      </c>
      <c r="G78" s="155">
        <f t="shared" si="17"/>
        <v>0.1937046004842615</v>
      </c>
      <c r="H78" s="155">
        <f t="shared" si="17"/>
        <v>0.36561743341404357</v>
      </c>
      <c r="I78" s="155">
        <f t="shared" si="17"/>
        <v>0.12832929782082325</v>
      </c>
      <c r="J78" s="155">
        <f t="shared" si="17"/>
        <v>8.4745762711864403E-2</v>
      </c>
    </row>
    <row r="79" spans="2:10" x14ac:dyDescent="0.25">
      <c r="B79" s="154" t="s">
        <v>110</v>
      </c>
      <c r="C79" s="147" t="s">
        <v>72</v>
      </c>
      <c r="D79" s="132"/>
      <c r="E79" s="132" t="s">
        <v>10</v>
      </c>
      <c r="F79" s="132" t="s">
        <v>11</v>
      </c>
      <c r="G79" s="132" t="s">
        <v>0</v>
      </c>
      <c r="H79" s="153" t="s">
        <v>1</v>
      </c>
      <c r="I79" s="153" t="s">
        <v>2</v>
      </c>
      <c r="J79" s="153" t="s">
        <v>3</v>
      </c>
    </row>
    <row r="80" spans="2:10" x14ac:dyDescent="0.25">
      <c r="B80" s="155">
        <f>B69</f>
        <v>0.5625</v>
      </c>
      <c r="C80" s="155">
        <f>C69</f>
        <v>3.8740920096852302E-2</v>
      </c>
      <c r="D80" s="132" t="s">
        <v>10</v>
      </c>
      <c r="E80" s="146">
        <f>E$78*$C80</f>
        <v>1.5008588899506946E-3</v>
      </c>
      <c r="F80" s="146">
        <f t="shared" ref="F80:J85" si="18">F$78*$C80</f>
        <v>7.3166870885096359E-3</v>
      </c>
      <c r="G80" s="146">
        <f t="shared" si="18"/>
        <v>7.5042944497534722E-3</v>
      </c>
      <c r="H80" s="146">
        <f t="shared" si="18"/>
        <v>1.4164355773909679E-2</v>
      </c>
      <c r="I80" s="146">
        <f t="shared" si="18"/>
        <v>4.9715950729616754E-3</v>
      </c>
      <c r="J80" s="146">
        <f t="shared" si="18"/>
        <v>3.2831288217671441E-3</v>
      </c>
    </row>
    <row r="81" spans="2:10" x14ac:dyDescent="0.25">
      <c r="B81" s="155">
        <f t="shared" ref="B81:C81" si="19">B70</f>
        <v>0.17948717948717949</v>
      </c>
      <c r="C81" s="155">
        <f t="shared" si="19"/>
        <v>0.18886198547215496</v>
      </c>
      <c r="D81" s="132" t="s">
        <v>11</v>
      </c>
      <c r="E81" s="146">
        <f t="shared" ref="E81:E85" si="20">E$78*$C81</f>
        <v>7.3166870885096359E-3</v>
      </c>
      <c r="F81" s="146">
        <f t="shared" si="18"/>
        <v>3.5668849556484472E-2</v>
      </c>
      <c r="G81" s="146">
        <f t="shared" si="18"/>
        <v>3.6583435442548176E-2</v>
      </c>
      <c r="H81" s="146">
        <f t="shared" si="18"/>
        <v>6.9051234397809677E-2</v>
      </c>
      <c r="I81" s="146">
        <f t="shared" si="18"/>
        <v>2.4236525980688168E-2</v>
      </c>
      <c r="J81" s="146">
        <f t="shared" si="18"/>
        <v>1.6005253006114828E-2</v>
      </c>
    </row>
    <row r="82" spans="2:10" x14ac:dyDescent="0.25">
      <c r="B82" s="155">
        <f t="shared" ref="B82:C82" si="21">B71</f>
        <v>0.17499999999999999</v>
      </c>
      <c r="C82" s="155">
        <f t="shared" si="21"/>
        <v>0.1937046004842615</v>
      </c>
      <c r="D82" s="132" t="s">
        <v>0</v>
      </c>
      <c r="E82" s="146">
        <f t="shared" si="20"/>
        <v>7.5042944497534722E-3</v>
      </c>
      <c r="F82" s="146">
        <f t="shared" si="18"/>
        <v>3.6583435442548176E-2</v>
      </c>
      <c r="G82" s="146">
        <f t="shared" si="18"/>
        <v>3.7521472248767361E-2</v>
      </c>
      <c r="H82" s="146">
        <f t="shared" si="18"/>
        <v>7.0821778869548394E-2</v>
      </c>
      <c r="I82" s="146">
        <f t="shared" si="18"/>
        <v>2.4857975364808379E-2</v>
      </c>
      <c r="J82" s="146">
        <f t="shared" si="18"/>
        <v>1.6415644108835718E-2</v>
      </c>
    </row>
    <row r="83" spans="2:10" x14ac:dyDescent="0.25">
      <c r="B83" s="155">
        <f t="shared" ref="B83:C83" si="22">B72</f>
        <v>7.2847682119205295E-2</v>
      </c>
      <c r="C83" s="155">
        <f t="shared" si="22"/>
        <v>0.36561743341404357</v>
      </c>
      <c r="D83" s="132" t="s">
        <v>1</v>
      </c>
      <c r="E83" s="146">
        <f t="shared" si="20"/>
        <v>1.4164355773909679E-2</v>
      </c>
      <c r="F83" s="146">
        <f t="shared" si="18"/>
        <v>6.9051234397809677E-2</v>
      </c>
      <c r="G83" s="146">
        <f t="shared" si="18"/>
        <v>7.0821778869548394E-2</v>
      </c>
      <c r="H83" s="146">
        <f t="shared" si="18"/>
        <v>0.13367610761627258</v>
      </c>
      <c r="I83" s="146">
        <f t="shared" si="18"/>
        <v>4.6919428501075812E-2</v>
      </c>
      <c r="J83" s="146">
        <f t="shared" si="18"/>
        <v>3.098452825542742E-2</v>
      </c>
    </row>
    <row r="84" spans="2:10" x14ac:dyDescent="0.25">
      <c r="B84" s="155">
        <f t="shared" ref="B84:C84" si="23">B73</f>
        <v>5.6603773584905662E-2</v>
      </c>
      <c r="C84" s="155">
        <f t="shared" si="23"/>
        <v>0.12832929782082325</v>
      </c>
      <c r="D84" s="132" t="s">
        <v>2</v>
      </c>
      <c r="E84" s="146">
        <f t="shared" si="20"/>
        <v>4.9715950729616754E-3</v>
      </c>
      <c r="F84" s="146">
        <f t="shared" si="18"/>
        <v>2.4236525980688168E-2</v>
      </c>
      <c r="G84" s="146">
        <f t="shared" si="18"/>
        <v>2.4857975364808379E-2</v>
      </c>
      <c r="H84" s="146">
        <f t="shared" si="18"/>
        <v>4.6919428501075812E-2</v>
      </c>
      <c r="I84" s="146">
        <f t="shared" si="18"/>
        <v>1.6468408679185552E-2</v>
      </c>
      <c r="J84" s="146">
        <f t="shared" si="18"/>
        <v>1.0875364222103666E-2</v>
      </c>
    </row>
    <row r="85" spans="2:10" x14ac:dyDescent="0.25">
      <c r="B85" s="155">
        <f t="shared" ref="B85:C85" si="24">B74</f>
        <v>0.48571428571428571</v>
      </c>
      <c r="C85" s="155">
        <f t="shared" si="24"/>
        <v>8.4745762711864403E-2</v>
      </c>
      <c r="D85" s="156" t="s">
        <v>3</v>
      </c>
      <c r="E85" s="146">
        <f t="shared" si="20"/>
        <v>3.2831288217671441E-3</v>
      </c>
      <c r="F85" s="146">
        <f t="shared" si="18"/>
        <v>1.6005253006114828E-2</v>
      </c>
      <c r="G85" s="146">
        <f t="shared" si="18"/>
        <v>1.6415644108835718E-2</v>
      </c>
      <c r="H85" s="146">
        <f t="shared" si="18"/>
        <v>3.098452825542742E-2</v>
      </c>
      <c r="I85" s="146">
        <f t="shared" si="18"/>
        <v>1.0875364222103666E-2</v>
      </c>
      <c r="J85" s="146">
        <f t="shared" si="18"/>
        <v>7.1818442976156272E-3</v>
      </c>
    </row>
    <row r="88" spans="2:10" x14ac:dyDescent="0.25">
      <c r="D88" s="49" t="s">
        <v>111</v>
      </c>
      <c r="E88" s="157">
        <f>SUM(E69:J74)</f>
        <v>2.3474925730394882</v>
      </c>
    </row>
    <row r="89" spans="2:10" x14ac:dyDescent="0.25">
      <c r="D89" s="49" t="s">
        <v>112</v>
      </c>
      <c r="E89" s="157">
        <f>SUM(E80:J85)</f>
        <v>0.99999999999999989</v>
      </c>
    </row>
    <row r="91" spans="2:10" x14ac:dyDescent="0.25">
      <c r="D91" s="49" t="s">
        <v>113</v>
      </c>
      <c r="E91" s="225">
        <f>E88/E89</f>
        <v>2.3474925730394887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30</vt:i4>
      </vt:variant>
    </vt:vector>
  </HeadingPairs>
  <TitlesOfParts>
    <vt:vector size="30" baseType="lpstr">
      <vt:lpstr>start</vt:lpstr>
      <vt:lpstr>korelacje</vt:lpstr>
      <vt:lpstr>Zestawienie</vt:lpstr>
      <vt:lpstr>Gini</vt:lpstr>
      <vt:lpstr>locational Gini</vt:lpstr>
      <vt:lpstr>Guillain and LeGallo</vt:lpstr>
      <vt:lpstr>LQ</vt:lpstr>
      <vt:lpstr>cluster. index</vt:lpstr>
      <vt:lpstr>cluster2</vt:lpstr>
      <vt:lpstr>cluster3</vt:lpstr>
      <vt:lpstr>Ogive</vt:lpstr>
      <vt:lpstr>diversif.index</vt:lpstr>
      <vt:lpstr>Krugman</vt:lpstr>
      <vt:lpstr>Entropia</vt:lpstr>
      <vt:lpstr>KLD</vt:lpstr>
      <vt:lpstr>Hallet</vt:lpstr>
      <vt:lpstr>Lilien</vt:lpstr>
      <vt:lpstr>Geogr. concentr.</vt:lpstr>
      <vt:lpstr>Brulhart</vt:lpstr>
      <vt:lpstr>NAI</vt:lpstr>
      <vt:lpstr>Hachman</vt:lpstr>
      <vt:lpstr>Agglomeration V</vt:lpstr>
      <vt:lpstr>Arbia and Piras</vt:lpstr>
      <vt:lpstr>Herfindahl</vt:lpstr>
      <vt:lpstr>EG big firms</vt:lpstr>
      <vt:lpstr>EG small firms</vt:lpstr>
      <vt:lpstr>EG very small firms</vt:lpstr>
      <vt:lpstr>MS big firms</vt:lpstr>
      <vt:lpstr>MS small firms</vt:lpstr>
      <vt:lpstr>RDI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</dc:creator>
  <cp:lastModifiedBy>Kasia</cp:lastModifiedBy>
  <dcterms:created xsi:type="dcterms:W3CDTF">2016-03-03T11:26:17Z</dcterms:created>
  <dcterms:modified xsi:type="dcterms:W3CDTF">2016-10-22T21:32:25Z</dcterms:modified>
</cp:coreProperties>
</file>