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ea2797ffbf6ddd3/Documents/Personal Finance Projects/Valuation Instructions/"/>
    </mc:Choice>
  </mc:AlternateContent>
  <xr:revisionPtr revIDLastSave="1128" documentId="8_{45457E0E-1BC6-46C5-987A-4452E7EF3D25}" xr6:coauthVersionLast="47" xr6:coauthVersionMax="47" xr10:uidLastSave="{F85032B9-E912-4CDA-9E04-E6EC49F7715D}"/>
  <bookViews>
    <workbookView xWindow="-120" yWindow="-120" windowWidth="38640" windowHeight="21240" tabRatio="494" xr2:uid="{CA12F3F2-D6A9-4DA2-AA40-832091129DCC}"/>
  </bookViews>
  <sheets>
    <sheet name="Dell's_Financial_Statements" sheetId="1" r:id="rId1"/>
    <sheet name="Dell_Cost-of-Capital" sheetId="12" r:id="rId2"/>
    <sheet name="DCF_Dell" sheetId="11" r:id="rId3"/>
    <sheet name="Microsoft_Financial_Statements" sheetId="9" r:id="rId4"/>
    <sheet name="MSFT_Cost-of-Capital" sheetId="13" r:id="rId5"/>
    <sheet name="DCF_Microsoft"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3" l="1"/>
  <c r="C21" i="13"/>
  <c r="C20" i="13"/>
  <c r="C28" i="13"/>
  <c r="C19" i="13"/>
  <c r="C15" i="13"/>
  <c r="C14" i="13"/>
  <c r="C13" i="13"/>
  <c r="C10" i="13"/>
  <c r="C6" i="13"/>
  <c r="C19" i="12"/>
  <c r="C20" i="12" s="1"/>
  <c r="C15" i="12"/>
  <c r="C14" i="12"/>
  <c r="C13" i="12"/>
  <c r="C10" i="12"/>
  <c r="C6" i="12"/>
  <c r="B10" i="8"/>
  <c r="B26" i="8"/>
  <c r="B6" i="8"/>
  <c r="C37" i="11"/>
  <c r="B39" i="11"/>
  <c r="C16" i="13" l="1"/>
  <c r="C16" i="12"/>
  <c r="C21" i="12"/>
  <c r="C24" i="12" s="1"/>
  <c r="K68" i="9"/>
  <c r="L68" i="9"/>
  <c r="J68" i="9"/>
  <c r="K69" i="1"/>
  <c r="L69" i="1"/>
  <c r="J69" i="1"/>
  <c r="J68" i="1"/>
  <c r="I74" i="9"/>
  <c r="K64" i="9"/>
  <c r="L64" i="9"/>
  <c r="J64" i="9"/>
  <c r="K62" i="9"/>
  <c r="L62" i="9"/>
  <c r="J62" i="9"/>
  <c r="K60" i="9"/>
  <c r="L60" i="9"/>
  <c r="J60" i="9"/>
  <c r="K42" i="9"/>
  <c r="L42" i="9"/>
  <c r="J42" i="9"/>
  <c r="K40" i="9"/>
  <c r="L40" i="9"/>
  <c r="J40" i="9"/>
  <c r="K65" i="1"/>
  <c r="L65" i="1"/>
  <c r="J65" i="1"/>
  <c r="K63" i="1"/>
  <c r="L63" i="1"/>
  <c r="J63" i="1"/>
  <c r="J62" i="1"/>
  <c r="K61" i="1"/>
  <c r="L61" i="1"/>
  <c r="J61" i="1"/>
  <c r="J60" i="1"/>
  <c r="K43" i="1"/>
  <c r="L43" i="1"/>
  <c r="J43" i="1"/>
  <c r="K41" i="1"/>
  <c r="L41" i="1"/>
  <c r="J41" i="1"/>
  <c r="C22" i="11"/>
  <c r="I12" i="1"/>
  <c r="I10" i="1"/>
  <c r="C20" i="11"/>
  <c r="B14" i="11"/>
  <c r="J34" i="9"/>
  <c r="K34" i="9"/>
  <c r="L34" i="9"/>
  <c r="I34" i="9"/>
  <c r="J33" i="9"/>
  <c r="K33" i="9"/>
  <c r="L33" i="9"/>
  <c r="I33" i="9"/>
  <c r="J32" i="9"/>
  <c r="K32" i="9"/>
  <c r="L32" i="9"/>
  <c r="I32" i="9"/>
  <c r="J31" i="9"/>
  <c r="K31" i="9"/>
  <c r="L31" i="9"/>
  <c r="I31" i="9"/>
  <c r="J30" i="9"/>
  <c r="K30" i="9"/>
  <c r="L30" i="9"/>
  <c r="I30" i="9"/>
  <c r="C30" i="13" l="1"/>
  <c r="C30" i="12"/>
  <c r="C28" i="12"/>
  <c r="J35" i="1"/>
  <c r="K35" i="1"/>
  <c r="L35" i="1"/>
  <c r="I35" i="1"/>
  <c r="J34" i="1"/>
  <c r="K34" i="1"/>
  <c r="L34" i="1"/>
  <c r="I34" i="1"/>
  <c r="J33" i="1"/>
  <c r="K33" i="1"/>
  <c r="L33" i="1"/>
  <c r="I33" i="1"/>
  <c r="J32" i="1"/>
  <c r="K32" i="1"/>
  <c r="L32" i="1"/>
  <c r="I32" i="1"/>
  <c r="J31" i="1"/>
  <c r="K31" i="1"/>
  <c r="L31" i="1"/>
  <c r="I31" i="1"/>
  <c r="J52" i="1"/>
  <c r="I11" i="1"/>
  <c r="B14" i="8"/>
  <c r="C32" i="13" l="1"/>
  <c r="C32" i="12"/>
  <c r="C37" i="8"/>
  <c r="D26" i="8"/>
  <c r="D19" i="8"/>
  <c r="E19" i="8" s="1"/>
  <c r="E20" i="8" s="1"/>
  <c r="C19" i="8"/>
  <c r="C26" i="8" s="1"/>
  <c r="C20" i="8"/>
  <c r="B9" i="8"/>
  <c r="J70" i="1"/>
  <c r="K69" i="9"/>
  <c r="L69" i="9"/>
  <c r="J69" i="9"/>
  <c r="B8" i="8"/>
  <c r="B7" i="11"/>
  <c r="B7" i="8"/>
  <c r="J7" i="1"/>
  <c r="K7" i="1"/>
  <c r="L7" i="1"/>
  <c r="B37" i="11"/>
  <c r="B34" i="11"/>
  <c r="C32" i="11"/>
  <c r="C26" i="11"/>
  <c r="L70" i="1"/>
  <c r="K70" i="1"/>
  <c r="B6" i="11"/>
  <c r="B4" i="11"/>
  <c r="C21" i="11" s="1"/>
  <c r="C19" i="11"/>
  <c r="B10" i="11" s="1"/>
  <c r="B26" i="11" s="1"/>
  <c r="B35" i="11" s="1"/>
  <c r="B9" i="11"/>
  <c r="B8" i="11"/>
  <c r="I102" i="1"/>
  <c r="I91" i="9"/>
  <c r="L74" i="9"/>
  <c r="J75" i="1"/>
  <c r="I75" i="1"/>
  <c r="K75" i="1"/>
  <c r="L75" i="1"/>
  <c r="J74" i="9"/>
  <c r="K74" i="9"/>
  <c r="I85" i="9"/>
  <c r="J18" i="9"/>
  <c r="K18" i="9"/>
  <c r="L18" i="9"/>
  <c r="I18" i="9"/>
  <c r="I10" i="9" s="1"/>
  <c r="I15" i="9"/>
  <c r="I8" i="9"/>
  <c r="I9" i="9"/>
  <c r="I21" i="9"/>
  <c r="I4" i="9"/>
  <c r="I3" i="9"/>
  <c r="I100" i="9"/>
  <c r="L91" i="9"/>
  <c r="L99" i="9" s="1"/>
  <c r="K91" i="9"/>
  <c r="K99" i="9" s="1"/>
  <c r="J91" i="9"/>
  <c r="J99" i="9" s="1"/>
  <c r="I99" i="9"/>
  <c r="L84" i="9"/>
  <c r="K84" i="9"/>
  <c r="J84" i="9"/>
  <c r="I84" i="9"/>
  <c r="L83" i="9"/>
  <c r="K83" i="9"/>
  <c r="J83" i="9"/>
  <c r="I83" i="9"/>
  <c r="L82" i="9"/>
  <c r="K82" i="9"/>
  <c r="J82" i="9"/>
  <c r="I82" i="9"/>
  <c r="L81" i="9"/>
  <c r="K81" i="9"/>
  <c r="J81" i="9"/>
  <c r="I81" i="9"/>
  <c r="L80" i="9"/>
  <c r="K80" i="9"/>
  <c r="J80" i="9"/>
  <c r="I80" i="9"/>
  <c r="L79" i="9"/>
  <c r="K79" i="9"/>
  <c r="J79" i="9"/>
  <c r="I79" i="9"/>
  <c r="L78" i="9"/>
  <c r="K78" i="9"/>
  <c r="J78" i="9"/>
  <c r="I78" i="9"/>
  <c r="L77" i="9"/>
  <c r="K77" i="9"/>
  <c r="J77" i="9"/>
  <c r="I77" i="9"/>
  <c r="L76" i="9"/>
  <c r="K76" i="9"/>
  <c r="J76" i="9"/>
  <c r="I76" i="9"/>
  <c r="L75" i="9"/>
  <c r="K75" i="9"/>
  <c r="J75" i="9"/>
  <c r="I75" i="9"/>
  <c r="I98" i="9"/>
  <c r="L54" i="9"/>
  <c r="K54" i="9"/>
  <c r="J54" i="9"/>
  <c r="J53" i="9"/>
  <c r="L45" i="9"/>
  <c r="J44" i="9"/>
  <c r="L43" i="9"/>
  <c r="L44" i="9" s="1"/>
  <c r="K43" i="9"/>
  <c r="L53" i="9" s="1"/>
  <c r="J43" i="9"/>
  <c r="K53" i="9" s="1"/>
  <c r="I43" i="9"/>
  <c r="L41" i="9"/>
  <c r="K41" i="9"/>
  <c r="L52" i="9" s="1"/>
  <c r="J41" i="9"/>
  <c r="K52" i="9" s="1"/>
  <c r="I41" i="9"/>
  <c r="J52" i="9" s="1"/>
  <c r="L39" i="9"/>
  <c r="K39" i="9"/>
  <c r="K45" i="9" s="1"/>
  <c r="J39" i="9"/>
  <c r="K51" i="9" s="1"/>
  <c r="I39" i="9"/>
  <c r="I45" i="9" s="1"/>
  <c r="L22" i="9"/>
  <c r="K22" i="9"/>
  <c r="J22" i="9"/>
  <c r="I22" i="9"/>
  <c r="L21" i="9"/>
  <c r="K21" i="9"/>
  <c r="J21" i="9"/>
  <c r="L19" i="9"/>
  <c r="K19" i="9"/>
  <c r="J19" i="9"/>
  <c r="I19" i="9"/>
  <c r="L17" i="9"/>
  <c r="K17" i="9"/>
  <c r="J17" i="9"/>
  <c r="L16" i="9"/>
  <c r="K16" i="9"/>
  <c r="J16" i="9"/>
  <c r="I16" i="9"/>
  <c r="L15" i="9"/>
  <c r="K15" i="9"/>
  <c r="J15" i="9"/>
  <c r="L8" i="9"/>
  <c r="K8" i="9"/>
  <c r="K98" i="9" s="1"/>
  <c r="J8" i="9"/>
  <c r="L6" i="9"/>
  <c r="K6" i="9"/>
  <c r="J6" i="9"/>
  <c r="I6" i="9"/>
  <c r="K5" i="9"/>
  <c r="K27" i="9" s="1"/>
  <c r="L4" i="9"/>
  <c r="K4" i="9"/>
  <c r="K61" i="9" s="1"/>
  <c r="J4" i="9"/>
  <c r="L3" i="9"/>
  <c r="L66" i="9" s="1"/>
  <c r="K3" i="9"/>
  <c r="K59" i="9" s="1"/>
  <c r="J3" i="9"/>
  <c r="J5" i="9" s="1"/>
  <c r="I5" i="9"/>
  <c r="J101" i="1"/>
  <c r="K101" i="1"/>
  <c r="L101" i="1"/>
  <c r="I101" i="1"/>
  <c r="J100" i="1"/>
  <c r="K100" i="1"/>
  <c r="L100" i="1"/>
  <c r="I100" i="1"/>
  <c r="J99" i="1"/>
  <c r="K99" i="1"/>
  <c r="L99" i="1"/>
  <c r="I99" i="1"/>
  <c r="I98" i="1"/>
  <c r="J92" i="1"/>
  <c r="K92" i="1"/>
  <c r="L92" i="1"/>
  <c r="I92" i="1"/>
  <c r="I86" i="1"/>
  <c r="I91" i="1" s="1"/>
  <c r="I93" i="1" s="1"/>
  <c r="J85" i="1"/>
  <c r="K85" i="1"/>
  <c r="L85" i="1"/>
  <c r="J84" i="1"/>
  <c r="K84" i="1"/>
  <c r="L84" i="1"/>
  <c r="J83" i="1"/>
  <c r="K83" i="1"/>
  <c r="L83" i="1"/>
  <c r="J82" i="1"/>
  <c r="K82" i="1"/>
  <c r="L82" i="1"/>
  <c r="J81" i="1"/>
  <c r="K81" i="1"/>
  <c r="L81" i="1"/>
  <c r="J80" i="1"/>
  <c r="K80" i="1"/>
  <c r="L80" i="1"/>
  <c r="J79" i="1"/>
  <c r="K79" i="1"/>
  <c r="L79" i="1"/>
  <c r="J78" i="1"/>
  <c r="K78" i="1"/>
  <c r="L78" i="1"/>
  <c r="J77" i="1"/>
  <c r="K77" i="1"/>
  <c r="L77" i="1"/>
  <c r="I77" i="1"/>
  <c r="I78" i="1"/>
  <c r="I79" i="1"/>
  <c r="I80" i="1"/>
  <c r="I81" i="1"/>
  <c r="I82" i="1"/>
  <c r="I83" i="1"/>
  <c r="I84" i="1"/>
  <c r="I85" i="1"/>
  <c r="J76" i="1"/>
  <c r="K76" i="1"/>
  <c r="L76" i="1"/>
  <c r="I76" i="1"/>
  <c r="I74" i="1"/>
  <c r="J53" i="1"/>
  <c r="K67" i="1"/>
  <c r="L67" i="1"/>
  <c r="J67" i="1"/>
  <c r="K66" i="1"/>
  <c r="L66" i="1"/>
  <c r="J66" i="1"/>
  <c r="K64" i="1"/>
  <c r="L64" i="1"/>
  <c r="J64" i="1"/>
  <c r="K62" i="1"/>
  <c r="L62" i="1"/>
  <c r="K60" i="1"/>
  <c r="L60" i="1"/>
  <c r="K55" i="1"/>
  <c r="L55" i="1"/>
  <c r="J55" i="1"/>
  <c r="K54" i="1"/>
  <c r="L54" i="1"/>
  <c r="J54" i="1"/>
  <c r="K53" i="1"/>
  <c r="L53" i="1"/>
  <c r="K52" i="1"/>
  <c r="L52" i="1"/>
  <c r="C27" i="11" l="1"/>
  <c r="C33" i="11" s="1"/>
  <c r="D19" i="11"/>
  <c r="D26" i="11" s="1"/>
  <c r="D27" i="11" s="1"/>
  <c r="C27" i="8"/>
  <c r="D20" i="8"/>
  <c r="J98" i="9"/>
  <c r="L98" i="9"/>
  <c r="J7" i="9"/>
  <c r="J27" i="9"/>
  <c r="J61" i="9"/>
  <c r="L46" i="9"/>
  <c r="L100" i="9" s="1"/>
  <c r="K65" i="9"/>
  <c r="L61" i="9"/>
  <c r="K46" i="9"/>
  <c r="K100" i="9" s="1"/>
  <c r="L63" i="9"/>
  <c r="I27" i="9"/>
  <c r="I7" i="9"/>
  <c r="L5" i="9"/>
  <c r="K44" i="9"/>
  <c r="J51" i="9"/>
  <c r="J63" i="9"/>
  <c r="K7" i="9"/>
  <c r="K63" i="9"/>
  <c r="J66" i="9"/>
  <c r="J45" i="9"/>
  <c r="J46" i="9" s="1"/>
  <c r="J100" i="9" s="1"/>
  <c r="L51" i="9"/>
  <c r="K66" i="9"/>
  <c r="L65" i="9" l="1"/>
  <c r="L59" i="9"/>
  <c r="J28" i="9"/>
  <c r="J9" i="9"/>
  <c r="L27" i="9"/>
  <c r="L7" i="9"/>
  <c r="J59" i="9"/>
  <c r="J65" i="9"/>
  <c r="K28" i="9"/>
  <c r="K9" i="9"/>
  <c r="I28" i="9"/>
  <c r="L28" i="9" l="1"/>
  <c r="L9" i="9"/>
  <c r="J29" i="9"/>
  <c r="J14" i="9"/>
  <c r="I29" i="9"/>
  <c r="I14" i="9"/>
  <c r="K29" i="9"/>
  <c r="K14" i="9"/>
  <c r="J20" i="9" l="1"/>
  <c r="J10" i="9"/>
  <c r="J11" i="9" s="1"/>
  <c r="J97" i="9" s="1"/>
  <c r="J101" i="9" s="1"/>
  <c r="I20" i="9"/>
  <c r="I11" i="9"/>
  <c r="I97" i="9" s="1"/>
  <c r="I101" i="9" s="1"/>
  <c r="K20" i="9"/>
  <c r="K10" i="9"/>
  <c r="K11" i="9" s="1"/>
  <c r="K97" i="9" s="1"/>
  <c r="K101" i="9" s="1"/>
  <c r="L29" i="9"/>
  <c r="L14" i="9"/>
  <c r="L20" i="9" l="1"/>
  <c r="L10" i="9"/>
  <c r="L11" i="9" s="1"/>
  <c r="L97" i="9" s="1"/>
  <c r="L101" i="9" s="1"/>
  <c r="I73" i="9"/>
  <c r="I90" i="9" s="1"/>
  <c r="I92" i="9" s="1"/>
  <c r="I23" i="9"/>
  <c r="J23" i="9"/>
  <c r="J67" i="9" s="1"/>
  <c r="J73" i="9"/>
  <c r="J85" i="9" s="1"/>
  <c r="J90" i="9" s="1"/>
  <c r="J92" i="9" s="1"/>
  <c r="K73" i="9"/>
  <c r="K85" i="9" s="1"/>
  <c r="K90" i="9" s="1"/>
  <c r="K92" i="9" s="1"/>
  <c r="K23" i="9"/>
  <c r="K67" i="9" l="1"/>
  <c r="L73" i="9"/>
  <c r="L85" i="9" s="1"/>
  <c r="L90" i="9" s="1"/>
  <c r="L92" i="9" s="1"/>
  <c r="L23" i="9"/>
  <c r="L67" i="9" l="1"/>
  <c r="K45" i="1" l="1"/>
  <c r="L45" i="1"/>
  <c r="J45" i="1"/>
  <c r="I24" i="1"/>
  <c r="J23" i="1"/>
  <c r="K23" i="1"/>
  <c r="L23" i="1"/>
  <c r="I23" i="1"/>
  <c r="J22" i="1"/>
  <c r="K22" i="1"/>
  <c r="L22" i="1"/>
  <c r="I22" i="1"/>
  <c r="I21" i="1"/>
  <c r="K47" i="1"/>
  <c r="L47" i="1"/>
  <c r="J47" i="1"/>
  <c r="J46" i="1"/>
  <c r="K46" i="1"/>
  <c r="L46" i="1"/>
  <c r="I46" i="1"/>
  <c r="J44" i="1"/>
  <c r="K44" i="1"/>
  <c r="L44" i="1"/>
  <c r="I44" i="1"/>
  <c r="J42" i="1"/>
  <c r="K42" i="1"/>
  <c r="L42" i="1"/>
  <c r="I42" i="1"/>
  <c r="J40" i="1"/>
  <c r="K40" i="1"/>
  <c r="L40" i="1"/>
  <c r="I40" i="1"/>
  <c r="I30" i="1"/>
  <c r="I29" i="1"/>
  <c r="J28" i="1"/>
  <c r="K28" i="1"/>
  <c r="L28" i="1"/>
  <c r="I28" i="1"/>
  <c r="I19" i="1" l="1"/>
  <c r="J20" i="1"/>
  <c r="K20" i="1"/>
  <c r="L20" i="1"/>
  <c r="I20" i="1"/>
  <c r="J18" i="1"/>
  <c r="K18" i="1"/>
  <c r="L18" i="1"/>
  <c r="I18" i="1"/>
  <c r="J17" i="1"/>
  <c r="K17" i="1"/>
  <c r="L17" i="1"/>
  <c r="I17" i="1"/>
  <c r="J16" i="1"/>
  <c r="K16" i="1"/>
  <c r="L16" i="1"/>
  <c r="I16" i="1"/>
  <c r="I15" i="1"/>
  <c r="J9" i="1"/>
  <c r="K9" i="1"/>
  <c r="L9" i="1"/>
  <c r="I9" i="1"/>
  <c r="J8" i="1"/>
  <c r="J29" i="1" s="1"/>
  <c r="K8" i="1"/>
  <c r="K29" i="1" s="1"/>
  <c r="L8" i="1"/>
  <c r="L29" i="1" s="1"/>
  <c r="I8" i="1"/>
  <c r="I7" i="1"/>
  <c r="J6" i="1"/>
  <c r="K6" i="1"/>
  <c r="L6" i="1"/>
  <c r="I6" i="1"/>
  <c r="J5" i="1"/>
  <c r="K5" i="1"/>
  <c r="L5" i="1"/>
  <c r="I5" i="1"/>
  <c r="J4" i="1"/>
  <c r="K4" i="1"/>
  <c r="L4" i="1"/>
  <c r="I4" i="1"/>
  <c r="K10" i="1" l="1"/>
  <c r="J10" i="1"/>
  <c r="C23" i="11"/>
  <c r="C31" i="11" s="1"/>
  <c r="L10" i="1"/>
  <c r="B37" i="8"/>
  <c r="C35" i="11" l="1"/>
  <c r="C38" i="11" s="1"/>
  <c r="L30" i="1"/>
  <c r="L15" i="1"/>
  <c r="L19" i="1" s="1"/>
  <c r="J30" i="1"/>
  <c r="J15" i="1"/>
  <c r="J19" i="1" s="1"/>
  <c r="K30" i="1"/>
  <c r="K15" i="1"/>
  <c r="K19" i="1" s="1"/>
  <c r="D37" i="8"/>
  <c r="E37" i="8"/>
  <c r="F37" i="8"/>
  <c r="G37" i="8"/>
  <c r="B34" i="8"/>
  <c r="C21" i="8"/>
  <c r="D37" i="11"/>
  <c r="E37" i="11"/>
  <c r="F37" i="11"/>
  <c r="G37" i="11"/>
  <c r="D21" i="11"/>
  <c r="D32" i="11" s="1"/>
  <c r="E21" i="11"/>
  <c r="E32" i="11" s="1"/>
  <c r="F21" i="11"/>
  <c r="F32" i="11" s="1"/>
  <c r="G21" i="11"/>
  <c r="G32" i="11" s="1"/>
  <c r="C23" i="8" l="1"/>
  <c r="C22" i="8"/>
  <c r="J21" i="1"/>
  <c r="J11" i="1"/>
  <c r="J12" i="1" s="1"/>
  <c r="J98" i="1" s="1"/>
  <c r="J102" i="1" s="1"/>
  <c r="L21" i="1"/>
  <c r="L11" i="1"/>
  <c r="L12" i="1" s="1"/>
  <c r="L98" i="1" s="1"/>
  <c r="L102" i="1" s="1"/>
  <c r="K21" i="1"/>
  <c r="K11" i="1"/>
  <c r="K12" i="1" s="1"/>
  <c r="K98" i="1" s="1"/>
  <c r="K102" i="1" s="1"/>
  <c r="B35" i="8"/>
  <c r="B38" i="8" s="1"/>
  <c r="D20" i="11"/>
  <c r="D22" i="11" s="1"/>
  <c r="C32" i="8"/>
  <c r="D21" i="8"/>
  <c r="D22" i="8" s="1"/>
  <c r="B17" i="8"/>
  <c r="C17" i="8"/>
  <c r="D17" i="8"/>
  <c r="E17" i="8"/>
  <c r="F17" i="8"/>
  <c r="G17" i="8"/>
  <c r="C17" i="11"/>
  <c r="D17" i="11"/>
  <c r="E17" i="11"/>
  <c r="F17" i="11"/>
  <c r="G17" i="11"/>
  <c r="L74" i="1" l="1"/>
  <c r="L86" i="1" s="1"/>
  <c r="L91" i="1" s="1"/>
  <c r="L93" i="1" s="1"/>
  <c r="L24" i="1"/>
  <c r="K74" i="1"/>
  <c r="K86" i="1" s="1"/>
  <c r="K91" i="1" s="1"/>
  <c r="K93" i="1" s="1"/>
  <c r="K24" i="1"/>
  <c r="J74" i="1"/>
  <c r="J86" i="1" s="1"/>
  <c r="J91" i="1" s="1"/>
  <c r="J93" i="1" s="1"/>
  <c r="J24" i="1"/>
  <c r="D27" i="8"/>
  <c r="D31" i="8"/>
  <c r="C31" i="8"/>
  <c r="C33" i="8"/>
  <c r="C28" i="8"/>
  <c r="E19" i="11"/>
  <c r="B38" i="11"/>
  <c r="E21" i="8"/>
  <c r="E22" i="8" s="1"/>
  <c r="D32" i="8"/>
  <c r="E20" i="11" l="1"/>
  <c r="E22" i="11" s="1"/>
  <c r="E26" i="11"/>
  <c r="E27" i="11" s="1"/>
  <c r="C35" i="8"/>
  <c r="C38" i="8" s="1"/>
  <c r="K68" i="1"/>
  <c r="L68" i="1"/>
  <c r="D23" i="8"/>
  <c r="C28" i="11"/>
  <c r="F19" i="8"/>
  <c r="F20" i="8" s="1"/>
  <c r="E23" i="8"/>
  <c r="E26" i="8"/>
  <c r="E27" i="8" s="1"/>
  <c r="D33" i="8"/>
  <c r="D35" i="8" s="1"/>
  <c r="D28" i="8"/>
  <c r="F19" i="11"/>
  <c r="D33" i="11"/>
  <c r="D28" i="11"/>
  <c r="D23" i="11"/>
  <c r="D31" i="11" s="1"/>
  <c r="F21" i="8"/>
  <c r="E32" i="8"/>
  <c r="F22" i="8" l="1"/>
  <c r="F20" i="11"/>
  <c r="F22" i="11" s="1"/>
  <c r="F26" i="11"/>
  <c r="E31" i="8"/>
  <c r="E28" i="8"/>
  <c r="E33" i="8"/>
  <c r="G19" i="8"/>
  <c r="G20" i="8" s="1"/>
  <c r="F26" i="8"/>
  <c r="G27" i="8" s="1"/>
  <c r="E33" i="11"/>
  <c r="E28" i="11"/>
  <c r="E23" i="11"/>
  <c r="E31" i="11" s="1"/>
  <c r="D35" i="11"/>
  <c r="D38" i="11" s="1"/>
  <c r="G19" i="11"/>
  <c r="G20" i="11" s="1"/>
  <c r="G22" i="11" s="1"/>
  <c r="D38" i="8"/>
  <c r="G21" i="8"/>
  <c r="F32" i="8"/>
  <c r="F27" i="11" l="1"/>
  <c r="G27" i="11"/>
  <c r="G23" i="8"/>
  <c r="G22" i="8"/>
  <c r="F23" i="8"/>
  <c r="E35" i="8"/>
  <c r="E38" i="8" s="1"/>
  <c r="E35" i="11"/>
  <c r="E38" i="11" s="1"/>
  <c r="F31" i="8"/>
  <c r="F27" i="8"/>
  <c r="F23" i="11"/>
  <c r="F31" i="11" s="1"/>
  <c r="G23" i="11"/>
  <c r="G31" i="11" s="1"/>
  <c r="G31" i="8"/>
  <c r="G32" i="8"/>
  <c r="G33" i="8" l="1"/>
  <c r="G35" i="8" s="1"/>
  <c r="G38" i="8" s="1"/>
  <c r="G28" i="8"/>
  <c r="F28" i="8"/>
  <c r="F33" i="8"/>
  <c r="F35" i="8" s="1"/>
  <c r="F38" i="8" s="1"/>
  <c r="G28" i="11"/>
  <c r="G33" i="11"/>
  <c r="G35" i="11" s="1"/>
  <c r="F28" i="11"/>
  <c r="F33" i="11"/>
  <c r="F35" i="11" s="1"/>
  <c r="G38" i="11" l="1"/>
  <c r="F38" i="11"/>
  <c r="B39" i="8"/>
</calcChain>
</file>

<file path=xl/sharedStrings.xml><?xml version="1.0" encoding="utf-8"?>
<sst xmlns="http://schemas.openxmlformats.org/spreadsheetml/2006/main" count="1356" uniqueCount="443">
  <si>
    <t>Financial Statement for: DELL TECHNOLOGIES INC</t>
  </si>
  <si>
    <t>BALANCE SHEET</t>
  </si>
  <si>
    <t>Initial Capital Expenditure (Year 0)</t>
  </si>
  <si>
    <t>Annual Depreciation</t>
  </si>
  <si>
    <t>Initial Net Working Capital (Year 0)</t>
  </si>
  <si>
    <t>Tax Rate</t>
  </si>
  <si>
    <t>Cost of Capital</t>
  </si>
  <si>
    <t>Year</t>
  </si>
  <si>
    <t>Unlevered Income Statements</t>
  </si>
  <si>
    <t>Unlevered Net Income</t>
  </si>
  <si>
    <t>Working Capital Calculations</t>
  </si>
  <si>
    <t>NWC Level</t>
  </si>
  <si>
    <t>Change in NWC</t>
  </si>
  <si>
    <t>CF from Change in NWC</t>
  </si>
  <si>
    <t>Free Cash Flow</t>
  </si>
  <si>
    <t>Discount Factor (1/(1+r)^n)</t>
  </si>
  <si>
    <t>PV(FCF)</t>
  </si>
  <si>
    <t>NPV</t>
  </si>
  <si>
    <t>NPV for Dell's New Tablet Computer</t>
  </si>
  <si>
    <t>EBITDA/Sales profit margin</t>
  </si>
  <si>
    <t>Useful Life of Assets (in year)</t>
  </si>
  <si>
    <t>Assumptions (Amounts in Millions Unless Otherwise Indicated)</t>
  </si>
  <si>
    <t>&lt;-- 5-year</t>
  </si>
  <si>
    <t>&lt;-- The EBITDA/Sales profit margin in the last year = Operating Income Before Depreciation/Sales (Net)</t>
  </si>
  <si>
    <t>&lt;--  Annual depreciation = (Purchase value -Salvage value)/useful life, where purchase value equals the initial capital expenditure, and salvage value = 0</t>
  </si>
  <si>
    <t>EBITDA</t>
  </si>
  <si>
    <t>Depreciation</t>
  </si>
  <si>
    <t>Tax</t>
  </si>
  <si>
    <t>Net working capital in the last year</t>
  </si>
  <si>
    <t>Net working capital/Sales (Net) in the last year</t>
  </si>
  <si>
    <t>&lt;-- accounts receivable +  inventory - accounts payable = "Receivables" +  "Inventories - Total" - "Accounts Payable"</t>
  </si>
  <si>
    <t xml:space="preserve">&lt;-- Net working capital/Sales (Net) </t>
  </si>
  <si>
    <t>Revenues</t>
  </si>
  <si>
    <t>Revenues in Year 1</t>
  </si>
  <si>
    <t>Net Working Capital in Year 5</t>
  </si>
  <si>
    <t>Revenue Growth Rate per Year</t>
  </si>
  <si>
    <t>&lt;-- At the end of the project life (Year 5), you recover all the net working capital for the project. (E.g., sell all inventory, collect receivable, and pay the accounts payable.) Thus, The NWC level in Year 5 equals zero.</t>
  </si>
  <si>
    <t>Calculating Free Cash Flows</t>
  </si>
  <si>
    <t>&lt;-- 6% of Gross PPE at the end of last fiscal year = 6%*"P.P.&amp; E.- Total (Gross)"</t>
  </si>
  <si>
    <t>Subtract Change in NWC</t>
  </si>
  <si>
    <t>Subtract Capital Expenditure</t>
  </si>
  <si>
    <t>Add Back Depreciation</t>
  </si>
  <si>
    <t>&lt;-- 1% of project sales in Year 1</t>
  </si>
  <si>
    <t>&lt;-- 6% of the company's total revenue in the last fiscal year = 6%* Sales (Net)</t>
  </si>
  <si>
    <t>Fiscal Years: 2021 to 2024</t>
  </si>
  <si>
    <t>ASSETS</t>
  </si>
  <si>
    <t>Cash and Short-Term Investments</t>
  </si>
  <si>
    <t xml:space="preserve">            Cash</t>
  </si>
  <si>
    <t xml:space="preserve">            Short-Term Investments</t>
  </si>
  <si>
    <t>Receivables</t>
  </si>
  <si>
    <t xml:space="preserve">            Receivables - Trade</t>
  </si>
  <si>
    <t xml:space="preserve">            Income Tax Refund</t>
  </si>
  <si>
    <t xml:space="preserve">            Current Receivables - Other</t>
  </si>
  <si>
    <t>Inventories - Total</t>
  </si>
  <si>
    <t xml:space="preserve">            Inventories - Raw Materials</t>
  </si>
  <si>
    <t xml:space="preserve">            Inventories - Work in Process</t>
  </si>
  <si>
    <t xml:space="preserve">            Inventories - Finished Goods</t>
  </si>
  <si>
    <t xml:space="preserve">            Inventories - Other</t>
  </si>
  <si>
    <t>Current Assets - Other</t>
  </si>
  <si>
    <t xml:space="preserve">            Prepaid Expense</t>
  </si>
  <si>
    <t xml:space="preserve">            Other Curr.Asst, Excl.Ppd.Exp.</t>
  </si>
  <si>
    <t>Current Assets - Total</t>
  </si>
  <si>
    <t>Prop.Plant &amp; Equip.- Total (Net)</t>
  </si>
  <si>
    <t xml:space="preserve">            P.P.&amp; E.- Total (Gross)</t>
  </si>
  <si>
    <t xml:space="preserve">            Deprec.Depl.&amp; Amort.</t>
  </si>
  <si>
    <t>Invest. &amp; Advances - Eq.Meth.</t>
  </si>
  <si>
    <t>Invest. &amp; Advances - Other</t>
  </si>
  <si>
    <t>Intangibles</t>
  </si>
  <si>
    <t>Assets - Other</t>
  </si>
  <si>
    <t xml:space="preserve">            Deferred Charges</t>
  </si>
  <si>
    <t>.</t>
  </si>
  <si>
    <t xml:space="preserve">            Other Asst., Excl.Def.Chg.</t>
  </si>
  <si>
    <t>Assets - Total</t>
  </si>
  <si>
    <t>LIABILITIES</t>
  </si>
  <si>
    <t>Debt in Current Liabilities</t>
  </si>
  <si>
    <t xml:space="preserve">            Notes Payable</t>
  </si>
  <si>
    <t xml:space="preserve">            Debt - Due in One Year</t>
  </si>
  <si>
    <t>Accounts Payable</t>
  </si>
  <si>
    <t>Income Taxes Payable</t>
  </si>
  <si>
    <t>Current Liabilities - Other</t>
  </si>
  <si>
    <t xml:space="preserve">            Accrued Expense</t>
  </si>
  <si>
    <t xml:space="preserve">            Other Curr.Liab., Excl.Accr.Exp.</t>
  </si>
  <si>
    <t>Current Liabilities - Total</t>
  </si>
  <si>
    <t>Long-Term Debt - Total</t>
  </si>
  <si>
    <t xml:space="preserve">            Debt - Convertible (Total)</t>
  </si>
  <si>
    <t xml:space="preserve">            Debt - Subordinated Convertible</t>
  </si>
  <si>
    <t xml:space="preserve">            Debt - Senior Convertible</t>
  </si>
  <si>
    <t xml:space="preserve">            Debt - Subordinated</t>
  </si>
  <si>
    <t xml:space="preserve">            Debt - Notes</t>
  </si>
  <si>
    <t xml:space="preserve">            Debt - Debentures</t>
  </si>
  <si>
    <t xml:space="preserve">            Long-Term Debt - Other</t>
  </si>
  <si>
    <t xml:space="preserve">            Debt - Cap. Lease Oblig.</t>
  </si>
  <si>
    <t>Liabilities - Other</t>
  </si>
  <si>
    <t>Def. Taxes and Invest.Tax Cred.</t>
  </si>
  <si>
    <t xml:space="preserve">            Deferred Taxes</t>
  </si>
  <si>
    <t xml:space="preserve">            Investment Tax Credit</t>
  </si>
  <si>
    <t>Noncontrolling Interest - Redeemable</t>
  </si>
  <si>
    <t>Liabilities - Total</t>
  </si>
  <si>
    <t>SHAREHOLDERS' EQUITY</t>
  </si>
  <si>
    <t>Preferred Stock - Carrying Value</t>
  </si>
  <si>
    <t xml:space="preserve">            Pref. Stock - Redeemable</t>
  </si>
  <si>
    <t xml:space="preserve">            Pref. Stock - Nonredeemable</t>
  </si>
  <si>
    <t>Common Equity - Total</t>
  </si>
  <si>
    <t xml:space="preserve">            Common Stock</t>
  </si>
  <si>
    <t xml:space="preserve">            Capital Surplus</t>
  </si>
  <si>
    <t xml:space="preserve">            Retained Earnings</t>
  </si>
  <si>
    <t xml:space="preserve">            Less: Treas.Stock - Total $ Amt.</t>
  </si>
  <si>
    <t>Shareholders Equity - Parent</t>
  </si>
  <si>
    <t>Noncontrolling Interest - Nonredeemable</t>
  </si>
  <si>
    <t>Shareholders Equity - Total</t>
  </si>
  <si>
    <t>Total Liabilities and Shareholders Equity</t>
  </si>
  <si>
    <t>Sales (Net)</t>
  </si>
  <si>
    <t>Cost of Goods Sold</t>
  </si>
  <si>
    <t>Selling, General, and Administrative Expense</t>
  </si>
  <si>
    <t>Operating Income Before Depreciation</t>
  </si>
  <si>
    <t>Depreciation and Amortization</t>
  </si>
  <si>
    <t xml:space="preserve">            Amortization of Intangibles</t>
  </si>
  <si>
    <t xml:space="preserve">            Depreciation Expense (Schedule VI)</t>
  </si>
  <si>
    <t xml:space="preserve">            Depletion Expense (Schedule VI)</t>
  </si>
  <si>
    <t>Operating Income After Depreciation</t>
  </si>
  <si>
    <t>Interest Expense</t>
  </si>
  <si>
    <t>Nonoperating Income (Expense)</t>
  </si>
  <si>
    <t xml:space="preserve">            Nonoperating Income (Expense) - Excluding Interest Income</t>
  </si>
  <si>
    <t xml:space="preserve">            Interest Income</t>
  </si>
  <si>
    <t>Special Items</t>
  </si>
  <si>
    <t>Pretax Income</t>
  </si>
  <si>
    <t xml:space="preserve">            Pretax Income - Domestic</t>
  </si>
  <si>
    <t xml:space="preserve">            Pretax Income - Foreign</t>
  </si>
  <si>
    <t>Income Taxes - Total</t>
  </si>
  <si>
    <t xml:space="preserve">            Deferred Taxes (Income Account)</t>
  </si>
  <si>
    <t xml:space="preserve">                        Deferred Taxes - Federal</t>
  </si>
  <si>
    <t xml:space="preserve">                        Deferred Taxes - Foreign</t>
  </si>
  <si>
    <t xml:space="preserve">                        Deferred Taxes - State</t>
  </si>
  <si>
    <t xml:space="preserve">            Income Taxes - Federal</t>
  </si>
  <si>
    <t xml:space="preserve">            Income Taxes - Foreign</t>
  </si>
  <si>
    <t xml:space="preserve">            Income Taxes - State</t>
  </si>
  <si>
    <t xml:space="preserve">            Income Taxes - Other</t>
  </si>
  <si>
    <t>Minority Interest</t>
  </si>
  <si>
    <t>Income Before Extraordinary Items</t>
  </si>
  <si>
    <t>Dividends - Preferred</t>
  </si>
  <si>
    <t>Income Before Extraordinary Items - Available for Common</t>
  </si>
  <si>
    <t>Common Stock Equivalents - Dollar Savings</t>
  </si>
  <si>
    <t>Income Before Extraordinary Items - Adjusted for Common Stock Equivalents</t>
  </si>
  <si>
    <t>Extraordinary Items and Discontinued Operations</t>
  </si>
  <si>
    <t xml:space="preserve">            Extraordinary Items</t>
  </si>
  <si>
    <t xml:space="preserve">            Discounted Operations</t>
  </si>
  <si>
    <t>Net Income Adjusted for Common Stock Equivalents</t>
  </si>
  <si>
    <t>Net Income (Loss)</t>
  </si>
  <si>
    <t>INDIRECT OPERATING ACTIVITIES</t>
  </si>
  <si>
    <t>Deferred Taxes</t>
  </si>
  <si>
    <t>Equity in Net Loss (Earnings)</t>
  </si>
  <si>
    <t>Sale of Property, Plant, and Equipment and Sale of Investments - Loss (Gain)</t>
  </si>
  <si>
    <t>Funds from Operations - Other</t>
  </si>
  <si>
    <t>Accounts Receivable - Decrease (Increase)</t>
  </si>
  <si>
    <t>Inventory - Decrease (Increase)</t>
  </si>
  <si>
    <t>Accounts Payable and Accrued Liabilities - Increase (Decrease)</t>
  </si>
  <si>
    <t>Income Taxes - Accrued - Increase (Decrease)</t>
  </si>
  <si>
    <t>Assets and Liablities - Other (Net Change)</t>
  </si>
  <si>
    <t>Operating Activities - Net Cash Flow</t>
  </si>
  <si>
    <t>INVESTING ACTIVITIES</t>
  </si>
  <si>
    <t>Increase in Investments</t>
  </si>
  <si>
    <t>Sale of Investments</t>
  </si>
  <si>
    <t>Short-Term Investments - Change</t>
  </si>
  <si>
    <t>Capital Expenditures</t>
  </si>
  <si>
    <t>Sale of Property, Plant, and Equipment</t>
  </si>
  <si>
    <t>Acquisitions</t>
  </si>
  <si>
    <t>Investing Activities - Other</t>
  </si>
  <si>
    <t>Investing Activities - Net Cash Flow</t>
  </si>
  <si>
    <t>FINANCING ACTIVITIES</t>
  </si>
  <si>
    <t>Sale of Common and Preferred Stock</t>
  </si>
  <si>
    <t>Purchase of Common and Preferred Stock</t>
  </si>
  <si>
    <t>Cash Dividends</t>
  </si>
  <si>
    <t>Long Term Debt - Issuance</t>
  </si>
  <si>
    <t>Long Term Debt - Reduction</t>
  </si>
  <si>
    <t>Changes in Current Debt</t>
  </si>
  <si>
    <t>Financing Activities - Other</t>
  </si>
  <si>
    <t>Financing Activities - Net Cash Flow</t>
  </si>
  <si>
    <t>Exchange Rate Effect</t>
  </si>
  <si>
    <t>Cash and Cash Equivalents - Increase (Decrease)</t>
  </si>
  <si>
    <t>DIRECT OPERATING ACTIVITIES</t>
  </si>
  <si>
    <t>Interest Paid Net</t>
  </si>
  <si>
    <t>Income Taxes Paid</t>
  </si>
  <si>
    <t>Acquisitions - Income Contribution</t>
  </si>
  <si>
    <t>Acquisitions - Sales Contribution</t>
  </si>
  <si>
    <t>Adjustmnet Factor-Cum, Ex-Date</t>
  </si>
  <si>
    <t>Advertising Expense</t>
  </si>
  <si>
    <t>Average Short Term Borrowing Rate</t>
  </si>
  <si>
    <t>Average Short term Borrowing</t>
  </si>
  <si>
    <t>Common Shareholders (# of)</t>
  </si>
  <si>
    <t>Common Shares Traded (Calendar Yr)</t>
  </si>
  <si>
    <t>Compensating Balance</t>
  </si>
  <si>
    <t>Convertible Debt and Preferred Stock</t>
  </si>
  <si>
    <t>Debt (Long Term) Maturing Due in 2 Years</t>
  </si>
  <si>
    <t>Debt (Long Term) Maturing Due in 3 Years</t>
  </si>
  <si>
    <t>Debt (Long Term) Maturing Due in 4 Years Years</t>
  </si>
  <si>
    <t>Debt (Long Term) Maturing Due in 5 Years</t>
  </si>
  <si>
    <t>Debt - Long-Term Debt - Tied to Prime</t>
  </si>
  <si>
    <t>Debt - Mortgages and Other Securities</t>
  </si>
  <si>
    <t>Debt - Unamortized Debt Discount and Other</t>
  </si>
  <si>
    <t>Dividends (Cash)per Share Ex-Date</t>
  </si>
  <si>
    <t>Dividends (Cash) - Common</t>
  </si>
  <si>
    <t>Dividends (Cash) - Preferred</t>
  </si>
  <si>
    <t>Employees (# of)</t>
  </si>
  <si>
    <t>Equity in Earnings - Unconsolidated Subs</t>
  </si>
  <si>
    <t>Foreign Currency Translation Adj - Bal. Sheet</t>
  </si>
  <si>
    <t>Foreign Currency Translation Adj - Inc. Stmnt.</t>
  </si>
  <si>
    <t>Interest Capitalized (in fiscal yr)</t>
  </si>
  <si>
    <t>Interest Capitalized - Net Income Effect</t>
  </si>
  <si>
    <t>Interest Expense on Long Term Debt</t>
  </si>
  <si>
    <t>Investment Tax Credit</t>
  </si>
  <si>
    <t>Labor Related Expenses</t>
  </si>
  <si>
    <t>LIFO Reserve</t>
  </si>
  <si>
    <t>Order Backlog</t>
  </si>
  <si>
    <t>Preferred Stock - Dividends In Arrears</t>
  </si>
  <si>
    <t>Preferred Stock - Liquidation Value</t>
  </si>
  <si>
    <t>Preferred Stock - Redemption Value</t>
  </si>
  <si>
    <t>Present Value - Noncapitalized Leases</t>
  </si>
  <si>
    <t>Price - Calendar Year Close</t>
  </si>
  <si>
    <t>Price - Calendar Year High</t>
  </si>
  <si>
    <t>Price - Calendar Year Low</t>
  </si>
  <si>
    <t>Price - Fiscal Year Close</t>
  </si>
  <si>
    <t>Receivables - Estimated Doubtful</t>
  </si>
  <si>
    <t>Rental Commitments - Minimum Year+1</t>
  </si>
  <si>
    <t>Rental Commitments - Minimum Year+2</t>
  </si>
  <si>
    <t>Rental Commitments - Minimum Year+3</t>
  </si>
  <si>
    <t>Rental Commitments - Minimum Year+4</t>
  </si>
  <si>
    <t>Rental Commitments - Minimum Year+5</t>
  </si>
  <si>
    <t>Rental Expense</t>
  </si>
  <si>
    <t>Rental Income</t>
  </si>
  <si>
    <t>Research and Development Expense</t>
  </si>
  <si>
    <t>Tax Loss Carry Forward</t>
  </si>
  <si>
    <t>Treasury Stock ($) - Common</t>
  </si>
  <si>
    <t>Treasury Stock ($) - Preferred</t>
  </si>
  <si>
    <t>Treasury Stock - # Shares</t>
  </si>
  <si>
    <t>Receivables - Trade</t>
  </si>
  <si>
    <t>Income Tax Refund</t>
  </si>
  <si>
    <t>Receivables - Other - Current</t>
  </si>
  <si>
    <t>Receivables - Total (Net)</t>
  </si>
  <si>
    <t>Inventories - Raw Materials</t>
  </si>
  <si>
    <t>Inventories - Work In Process</t>
  </si>
  <si>
    <t>Inventories - Finished Goods</t>
  </si>
  <si>
    <t>Inventories - Other</t>
  </si>
  <si>
    <t>LESS: Debt (Long Term) Due In One Year</t>
  </si>
  <si>
    <t>Debt - Convertible Subordinated</t>
  </si>
  <si>
    <t>Debt - Senior Convertible</t>
  </si>
  <si>
    <t>Debt - Subordinated</t>
  </si>
  <si>
    <t>Debt - Notes</t>
  </si>
  <si>
    <t>Debt - Debentures</t>
  </si>
  <si>
    <t>Debt - Long Term - Other</t>
  </si>
  <si>
    <t>Debt - Capitalized Lease Obligations</t>
  </si>
  <si>
    <t>Long Term Debt Total</t>
  </si>
  <si>
    <t>PROPERTY, PLANT AND EQUIPMENT (COST)</t>
  </si>
  <si>
    <t>Beginning Balance</t>
  </si>
  <si>
    <t>Retirements</t>
  </si>
  <si>
    <t>Other Changes</t>
  </si>
  <si>
    <t>Ending Balance</t>
  </si>
  <si>
    <t>ACCUMULATED DEPRECIATION ON PPE</t>
  </si>
  <si>
    <t>Depreciation Expense</t>
  </si>
  <si>
    <t>Depletion Expense</t>
  </si>
  <si>
    <t>Deferred Taxes - Federal</t>
  </si>
  <si>
    <t>Deferred Taxes - Foreign</t>
  </si>
  <si>
    <t>Deferred Taxes - State</t>
  </si>
  <si>
    <t>Income Taxes - Federal</t>
  </si>
  <si>
    <t>Income Taxes - Foreign</t>
  </si>
  <si>
    <t>Income Taxes - State</t>
  </si>
  <si>
    <t>Income Taxes - Other</t>
  </si>
  <si>
    <t>COMMON SHARES RESERVED FOR CONVERSION</t>
  </si>
  <si>
    <t>Convertible Debt</t>
  </si>
  <si>
    <t>Preferred Stock</t>
  </si>
  <si>
    <t>Stock Options</t>
  </si>
  <si>
    <t>Warrants and Other</t>
  </si>
  <si>
    <t>Total</t>
  </si>
  <si>
    <t>Cash &amp; Equivalents</t>
  </si>
  <si>
    <t>Prepaid Expenses</t>
  </si>
  <si>
    <t>Plant, Property &amp; Equip (Gross)</t>
  </si>
  <si>
    <t>Accumulated Depreciation</t>
  </si>
  <si>
    <t>Plant, Property &amp; Equip (Net)</t>
  </si>
  <si>
    <t>Investments at Equity</t>
  </si>
  <si>
    <t>Investments and Advances - Other</t>
  </si>
  <si>
    <t>Deferred Charges</t>
  </si>
  <si>
    <t>TOTAL ASSETS</t>
  </si>
  <si>
    <t>Notes Payable</t>
  </si>
  <si>
    <t>Accrued Expenses</t>
  </si>
  <si>
    <t>Taxes Payable</t>
  </si>
  <si>
    <t>Debt (Long-Term) Due In One Year</t>
  </si>
  <si>
    <t>Other Current Liabilities</t>
  </si>
  <si>
    <t>Total Current Liabilities</t>
  </si>
  <si>
    <t>Long Term Debt</t>
  </si>
  <si>
    <t>Deferred Taxes (Balance Sheet)</t>
  </si>
  <si>
    <t>TOTAL LIABILITIES</t>
  </si>
  <si>
    <t>Common Stock</t>
  </si>
  <si>
    <t>Capital Surplus</t>
  </si>
  <si>
    <t>Retained Earnings (Net Other)</t>
  </si>
  <si>
    <t>Less: Treasury Stock</t>
  </si>
  <si>
    <t>TOTAL SHAREHOLDERS EQUITY</t>
  </si>
  <si>
    <t>Gross Profit</t>
  </si>
  <si>
    <t>Selling, General, &amp; Admin Expenses</t>
  </si>
  <si>
    <t>Depreciation, Depletion, &amp; Amortization</t>
  </si>
  <si>
    <t>Non-Operating Income/Expense</t>
  </si>
  <si>
    <t>INCOME BEFORE EI&amp;DO</t>
  </si>
  <si>
    <t>Extraordinary Items</t>
  </si>
  <si>
    <t>Discontinued Operations</t>
  </si>
  <si>
    <t>Preferred Dividends</t>
  </si>
  <si>
    <t>EPS - Primary - Excluding EI&amp;DO</t>
  </si>
  <si>
    <t>EPS - Primary - Including EI&amp;DO</t>
  </si>
  <si>
    <t>EPS - Fully Diluted - Excluding EI&amp;DO</t>
  </si>
  <si>
    <t>EPS - Fully Diluted - Including EI&amp;DO</t>
  </si>
  <si>
    <t>SHARES - for Primary EPS Calculation</t>
  </si>
  <si>
    <t>STATEMENT OF CASH FLOWS</t>
  </si>
  <si>
    <t>SHARES - for Fully Diluted EPS Calculation</t>
  </si>
  <si>
    <t>SHARES - Outstanding at Fiscal Year End</t>
  </si>
  <si>
    <t>Sale of Property Plant and Equipment</t>
  </si>
  <si>
    <t>Investing Activites - Net Cash Flow</t>
  </si>
  <si>
    <t>CASH STATEMENT - SOURCE &amp; USE</t>
  </si>
  <si>
    <t>Interest Paid - Net</t>
  </si>
  <si>
    <t>Funds From Operations - Total</t>
  </si>
  <si>
    <t>Current Debt - Changes</t>
  </si>
  <si>
    <t>Working Capital Changes - Other - Inc(Dec)</t>
  </si>
  <si>
    <t>INPUTS INTO FINANCIAL STATEMENT</t>
  </si>
  <si>
    <t>ADDITIONAL DATA</t>
  </si>
  <si>
    <t>ADDITIONAL SCHEDULES</t>
  </si>
  <si>
    <t>INCOME STATEMENT</t>
  </si>
  <si>
    <t xml:space="preserve">Revenues </t>
  </si>
  <si>
    <t>Operating Cash Flow</t>
  </si>
  <si>
    <t>( - ) Accounts Receivables</t>
  </si>
  <si>
    <t>( - ) Inventory</t>
  </si>
  <si>
    <t>( + ) Accounts Payable</t>
  </si>
  <si>
    <t>Financial Statement for: MICROSOFT CORP</t>
  </si>
  <si>
    <t>- COGS</t>
  </si>
  <si>
    <t>= Gross Profit</t>
  </si>
  <si>
    <t>- SG&amp;A</t>
  </si>
  <si>
    <t xml:space="preserve">- Depreciation &amp; Amortization </t>
  </si>
  <si>
    <t>= EBIT/ Operating Income</t>
  </si>
  <si>
    <t>= NOPAT</t>
  </si>
  <si>
    <t>∆ Cash from A/R</t>
  </si>
  <si>
    <t>∆ Cash from Inventory</t>
  </si>
  <si>
    <t>∆ Cash from A/P</t>
  </si>
  <si>
    <t>Working Capital Accounts</t>
  </si>
  <si>
    <t>- Capital Expenditures (CapEx)</t>
  </si>
  <si>
    <t>= Free Cash Flow</t>
  </si>
  <si>
    <t>Unleavered Free Cash Flow (FCFF)</t>
  </si>
  <si>
    <t>+ Depreciation &amp; Amortization</t>
  </si>
  <si>
    <t>- Change in NWC</t>
  </si>
  <si>
    <t>= Unlevered Free Cash Flow</t>
  </si>
  <si>
    <t>Income Statement</t>
  </si>
  <si>
    <t>= EBITDA / Operating Income before D&amp;A</t>
  </si>
  <si>
    <t>Balance Sheet</t>
  </si>
  <si>
    <t xml:space="preserve"> </t>
  </si>
  <si>
    <t>EBIT/ Operating Income</t>
  </si>
  <si>
    <t>- Interest Expense</t>
  </si>
  <si>
    <t>+/- Nonoperating Income (Expense)</t>
  </si>
  <si>
    <t>+/- Special Items</t>
  </si>
  <si>
    <t>=Pretax Income</t>
  </si>
  <si>
    <t>- Income Taxes</t>
  </si>
  <si>
    <t>= Income Before Extradoniary Items</t>
  </si>
  <si>
    <t>= Net Income</t>
  </si>
  <si>
    <t>+/-Discontinued Operations</t>
  </si>
  <si>
    <t>Income Statement Metrics</t>
  </si>
  <si>
    <t>Operating Margin (EBIT Margin)</t>
  </si>
  <si>
    <t>Pretax Margin</t>
  </si>
  <si>
    <t>Net Profit Margin</t>
  </si>
  <si>
    <t>Effective Tax Rate</t>
  </si>
  <si>
    <t>Interest Coverage Ratio</t>
  </si>
  <si>
    <t>Gross Profit Margin</t>
  </si>
  <si>
    <t>Operating Margin Before D&amp;A (EBITDA Margin)</t>
  </si>
  <si>
    <t>EFF Tax Rate</t>
  </si>
  <si>
    <t>NWC = A/R + Inventory - A/P</t>
  </si>
  <si>
    <t>-Minority Interest</t>
  </si>
  <si>
    <t>Balance Sheet Averages</t>
  </si>
  <si>
    <t>Average A/R</t>
  </si>
  <si>
    <t>Average Inventory</t>
  </si>
  <si>
    <t>Average A/P</t>
  </si>
  <si>
    <t>Average Total Assets</t>
  </si>
  <si>
    <t>Balance Sheet &amp; Working Captial Metrics</t>
  </si>
  <si>
    <t>A/R Turnover</t>
  </si>
  <si>
    <t>Day Sales Outstanding (DSO)</t>
  </si>
  <si>
    <t>Inventory Turnover</t>
  </si>
  <si>
    <t>Days Inventory Outstanding (DIO)</t>
  </si>
  <si>
    <t>A/P Turnover</t>
  </si>
  <si>
    <t>Days Payable Outstanding (DPO)</t>
  </si>
  <si>
    <t>Cash Conversion Cycle (CCC)</t>
  </si>
  <si>
    <t>Total Asset Turnover</t>
  </si>
  <si>
    <t>Return on Assets (ROA)</t>
  </si>
  <si>
    <r>
      <rPr>
        <sz val="10"/>
        <rFont val="Aptos Narrow"/>
        <family val="2"/>
      </rPr>
      <t>∆</t>
    </r>
    <r>
      <rPr>
        <sz val="10"/>
        <rFont val="Arial"/>
        <family val="2"/>
      </rPr>
      <t>NWC</t>
    </r>
  </si>
  <si>
    <t>ROA ≈ Net Profit Margin * Total Asset Turnover</t>
  </si>
  <si>
    <t>Income Before Extradoniary Items</t>
  </si>
  <si>
    <t>+ Extradoniary Items / Discontinued Operations</t>
  </si>
  <si>
    <t>+/- Deferred Taxes</t>
  </si>
  <si>
    <t>+/- Equity in Net Loss (Earnings)</t>
  </si>
  <si>
    <t>+/- Loss (Gain) on PP&amp;E / Investments</t>
  </si>
  <si>
    <t>+/- Funds from Operations - Other</t>
  </si>
  <si>
    <t xml:space="preserve">+/- Accounts Receivable </t>
  </si>
  <si>
    <t>+/- Inventory</t>
  </si>
  <si>
    <t>+/- Accounts Payable &amp; Accured Liabilities</t>
  </si>
  <si>
    <t>+/- Income Taxes Accured</t>
  </si>
  <si>
    <t>+/- Assets &amp; Liabilites - Other</t>
  </si>
  <si>
    <t>Operating Activities - Net Cash Flow (CFO)</t>
  </si>
  <si>
    <t>= Operating Activities - Net Cash Flow (CFO)</t>
  </si>
  <si>
    <t>NOPAT</t>
  </si>
  <si>
    <t>Statement of Cash Flows</t>
  </si>
  <si>
    <t>NWC Margin</t>
  </si>
  <si>
    <t>NPV for Microsoft's Project</t>
  </si>
  <si>
    <t>- EFF Tax Rate</t>
  </si>
  <si>
    <t>= Operating Activities / Net Cash Flow (CFO)</t>
  </si>
  <si>
    <t>Operating Activities / Net Cash Flow (CFO)</t>
  </si>
  <si>
    <t>= EBIT/ Operating Income After D&amp;A</t>
  </si>
  <si>
    <t>EBIT/ Operating Income After D&amp;A</t>
  </si>
  <si>
    <t>Operating Margin After D&amp;A (EBIT Margin)</t>
  </si>
  <si>
    <t>NOPAT Margin</t>
  </si>
  <si>
    <t xml:space="preserve">Based on research that was conducted and real-world analogs, a total project cost of ≈ $14 billion </t>
  </si>
  <si>
    <t>2024 Fiscal Year</t>
  </si>
  <si>
    <t>Step 1</t>
  </si>
  <si>
    <t>i</t>
  </si>
  <si>
    <t>risk free rate (5-year Treasury Yield</t>
  </si>
  <si>
    <t>ii</t>
  </si>
  <si>
    <t>equity beta</t>
  </si>
  <si>
    <t>iii</t>
  </si>
  <si>
    <t>expected market risk premium</t>
  </si>
  <si>
    <t>cost of equity rE</t>
  </si>
  <si>
    <t>Required return demanded by common shareholders given market conditions and the stock’s systematic risk.</t>
  </si>
  <si>
    <t>Step 2</t>
  </si>
  <si>
    <t xml:space="preserve">S&amp;P's Credit Rating </t>
  </si>
  <si>
    <t>BBB</t>
  </si>
  <si>
    <t>debt beta</t>
  </si>
  <si>
    <t>cost of debt rD</t>
  </si>
  <si>
    <t>Required return demanded by lenders given market conditions and the company’s debt risk.</t>
  </si>
  <si>
    <t>Step 3.1</t>
  </si>
  <si>
    <t>USD million</t>
  </si>
  <si>
    <t xml:space="preserve">Debt in Current Liabilities </t>
  </si>
  <si>
    <t>Net Debt</t>
  </si>
  <si>
    <t>Step 3.2</t>
  </si>
  <si>
    <t>Stock Price</t>
  </si>
  <si>
    <t>Shares Outstanding</t>
  </si>
  <si>
    <t>millions</t>
  </si>
  <si>
    <t>Market Value of Equity</t>
  </si>
  <si>
    <t>Step 3.3</t>
  </si>
  <si>
    <t>Enterprise Value</t>
  </si>
  <si>
    <t>Step 4</t>
  </si>
  <si>
    <t>Tax rate</t>
  </si>
  <si>
    <t>WACC</t>
  </si>
  <si>
    <t>rE weight</t>
  </si>
  <si>
    <t>rD weight</t>
  </si>
  <si>
    <t>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</si>
</sst>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4" formatCode="_(&quot;$&quot;* #,##0.00_);_(&quot;$&quot;* \(#,##0.00\);_(&quot;$&quot;* &quot;-&quot;??_);_(@_)"/>
    <numFmt numFmtId="164" formatCode="###,###,##0.000"/>
    <numFmt numFmtId="165" formatCode="General_)"/>
    <numFmt numFmtId="166" formatCode="#,##0.000"/>
    <numFmt numFmtId="167" formatCode="0.000"/>
    <numFmt numFmtId="168" formatCode="###,###,##0.00"/>
    <numFmt numFmtId="169" formatCode="&quot;$&quot;#,##0"/>
    <numFmt numFmtId="170" formatCode="&quot;$&quot;#,##0.0"/>
  </numFmts>
  <fonts count="2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FF"/>
      <name val="Calibri"/>
      <family val="2"/>
      <scheme val="minor"/>
    </font>
    <font>
      <b/>
      <sz val="11"/>
      <color rgb="FFFF0000"/>
      <name val="Calibri"/>
      <family val="2"/>
      <scheme val="minor"/>
    </font>
    <font>
      <b/>
      <u/>
      <sz val="11"/>
      <name val="Calibri"/>
      <family val="2"/>
      <scheme val="minor"/>
    </font>
    <font>
      <b/>
      <sz val="10"/>
      <name val="Arial"/>
      <family val="2"/>
    </font>
    <font>
      <sz val="10"/>
      <name val="Arial"/>
      <family val="2"/>
    </font>
    <font>
      <sz val="8"/>
      <name val="Arial"/>
      <family val="2"/>
    </font>
    <font>
      <sz val="10"/>
      <name val="Aptos Narrow"/>
      <family val="2"/>
    </font>
    <font>
      <sz val="11"/>
      <color rgb="FF0070C0"/>
      <name val="Calibri"/>
      <family val="2"/>
      <scheme val="minor"/>
    </font>
    <font>
      <sz val="10"/>
      <name val="Arial"/>
      <family val="2"/>
    </font>
    <font>
      <sz val="11"/>
      <color rgb="FF008000"/>
      <name val="Calibri"/>
      <family val="2"/>
      <scheme val="minor"/>
    </font>
  </fonts>
  <fills count="6">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8" tint="0.79998168889431442"/>
        <bgColor indexed="65"/>
      </patternFill>
    </fill>
    <fill>
      <patternFill patternType="solid">
        <fgColor theme="8" tint="0.59999389629810485"/>
        <bgColor indexed="65"/>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applyNumberFormat="0" applyFill="0" applyBorder="0" applyAlignment="0" applyProtection="0"/>
    <xf numFmtId="0" fontId="6" fillId="0" borderId="0"/>
    <xf numFmtId="9" fontId="4" fillId="0" borderId="0" applyFont="0" applyFill="0" applyBorder="0" applyAlignment="0" applyProtection="0"/>
    <xf numFmtId="44" fontId="18"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46">
    <xf numFmtId="0" fontId="0" fillId="0" borderId="0" xfId="0"/>
    <xf numFmtId="0" fontId="5" fillId="0" borderId="0" xfId="0" applyFont="1" applyFill="1" applyBorder="1" applyAlignment="1" applyProtection="1"/>
    <xf numFmtId="0" fontId="8" fillId="0" borderId="0" xfId="0" applyFont="1"/>
    <xf numFmtId="0" fontId="9" fillId="0" borderId="0" xfId="0" applyFont="1"/>
    <xf numFmtId="37" fontId="7" fillId="0" borderId="1" xfId="0" applyNumberFormat="1" applyFont="1" applyBorder="1" applyProtection="1"/>
    <xf numFmtId="37" fontId="9" fillId="0" borderId="1" xfId="0" applyNumberFormat="1" applyFont="1" applyBorder="1" applyProtection="1"/>
    <xf numFmtId="0" fontId="9" fillId="0" borderId="0" xfId="0" applyFont="1" applyBorder="1" applyProtection="1"/>
    <xf numFmtId="0" fontId="9" fillId="0" borderId="0" xfId="0" applyFont="1" applyProtection="1"/>
    <xf numFmtId="37" fontId="9" fillId="0" borderId="2" xfId="0" applyNumberFormat="1" applyFont="1" applyBorder="1" applyProtection="1"/>
    <xf numFmtId="0" fontId="9" fillId="0" borderId="0" xfId="0" applyFont="1" applyBorder="1"/>
    <xf numFmtId="37" fontId="9" fillId="0" borderId="0" xfId="0" applyNumberFormat="1" applyFont="1" applyBorder="1" applyProtection="1"/>
    <xf numFmtId="37" fontId="9" fillId="0" borderId="0" xfId="0" applyNumberFormat="1" applyFont="1" applyFill="1" applyBorder="1" applyProtection="1"/>
    <xf numFmtId="0" fontId="10" fillId="0" borderId="0" xfId="0" applyNumberFormat="1" applyFont="1" applyBorder="1" applyProtection="1"/>
    <xf numFmtId="9" fontId="9" fillId="0" borderId="0" xfId="0" applyNumberFormat="1" applyFont="1" applyFill="1" applyBorder="1" applyProtection="1"/>
    <xf numFmtId="10" fontId="9" fillId="0" borderId="0" xfId="0" applyNumberFormat="1" applyFont="1" applyBorder="1" applyProtection="1"/>
    <xf numFmtId="0" fontId="6" fillId="0" borderId="0" xfId="0" applyNumberFormat="1" applyFont="1" applyBorder="1" applyProtection="1"/>
    <xf numFmtId="37" fontId="9" fillId="0" borderId="0" xfId="0" applyNumberFormat="1" applyFont="1" applyProtection="1"/>
    <xf numFmtId="9" fontId="9" fillId="0" borderId="0" xfId="0" applyNumberFormat="1" applyFont="1"/>
    <xf numFmtId="9" fontId="9" fillId="0" borderId="0" xfId="0" applyNumberFormat="1" applyFont="1" applyProtection="1"/>
    <xf numFmtId="0" fontId="11" fillId="0" borderId="0" xfId="0" applyFont="1" applyBorder="1" applyAlignment="1">
      <alignment vertical="top"/>
    </xf>
    <xf numFmtId="9" fontId="9" fillId="0" borderId="0" xfId="0" applyNumberFormat="1" applyFont="1" applyBorder="1" applyProtection="1"/>
    <xf numFmtId="165" fontId="9" fillId="0" borderId="0" xfId="1" applyNumberFormat="1" applyFont="1" applyAlignment="1">
      <alignment horizontal="left" vertical="top"/>
    </xf>
    <xf numFmtId="9" fontId="9" fillId="0" borderId="0" xfId="0" applyNumberFormat="1" applyFont="1" applyBorder="1"/>
    <xf numFmtId="0" fontId="8" fillId="0" borderId="0" xfId="0" applyFont="1" applyAlignment="1" applyProtection="1">
      <alignment horizontal="right"/>
    </xf>
    <xf numFmtId="0" fontId="8" fillId="0" borderId="1" xfId="0" applyFont="1" applyBorder="1" applyProtection="1"/>
    <xf numFmtId="37" fontId="8" fillId="0" borderId="1" xfId="0" applyNumberFormat="1" applyFont="1" applyBorder="1" applyAlignment="1">
      <alignment horizontal="right"/>
    </xf>
    <xf numFmtId="37" fontId="8" fillId="0" borderId="1" xfId="0" applyNumberFormat="1" applyFont="1" applyBorder="1" applyAlignment="1" applyProtection="1">
      <alignment horizontal="right"/>
    </xf>
    <xf numFmtId="3" fontId="9" fillId="0" borderId="2" xfId="0" applyNumberFormat="1" applyFont="1" applyBorder="1" applyAlignment="1">
      <alignment horizontal="right" vertical="top"/>
    </xf>
    <xf numFmtId="3" fontId="9" fillId="0" borderId="2" xfId="0" applyNumberFormat="1" applyFont="1" applyBorder="1" applyAlignment="1" applyProtection="1">
      <alignment horizontal="right" vertical="top"/>
    </xf>
    <xf numFmtId="3" fontId="9" fillId="0" borderId="0" xfId="0" applyNumberFormat="1" applyFont="1" applyBorder="1" applyAlignment="1">
      <alignment horizontal="right" vertical="top"/>
    </xf>
    <xf numFmtId="3" fontId="9" fillId="0" borderId="0" xfId="0" applyNumberFormat="1" applyFont="1" applyBorder="1" applyAlignment="1" applyProtection="1">
      <alignment horizontal="right" vertical="top"/>
    </xf>
    <xf numFmtId="3" fontId="9" fillId="0" borderId="0" xfId="0" applyNumberFormat="1" applyFont="1" applyAlignment="1" applyProtection="1">
      <alignment horizontal="right" vertical="top"/>
    </xf>
    <xf numFmtId="37" fontId="12" fillId="0" borderId="0" xfId="0" applyNumberFormat="1" applyFont="1" applyBorder="1" applyAlignment="1" applyProtection="1">
      <alignment horizontal="left"/>
    </xf>
    <xf numFmtId="0" fontId="12" fillId="0" borderId="0" xfId="0" applyFont="1" applyBorder="1" applyProtection="1"/>
    <xf numFmtId="0" fontId="8" fillId="0" borderId="0" xfId="0" applyFont="1" applyBorder="1" applyProtection="1"/>
    <xf numFmtId="166" fontId="9" fillId="0" borderId="0" xfId="0" applyNumberFormat="1" applyFont="1" applyBorder="1" applyAlignment="1" applyProtection="1">
      <alignment horizontal="right" vertical="top"/>
    </xf>
    <xf numFmtId="0" fontId="8" fillId="0" borderId="0" xfId="0" applyFont="1" applyProtection="1"/>
    <xf numFmtId="3" fontId="8" fillId="3" borderId="3" xfId="0" applyNumberFormat="1" applyFont="1" applyFill="1" applyBorder="1" applyAlignment="1" applyProtection="1">
      <alignment horizontal="right" vertical="top"/>
    </xf>
    <xf numFmtId="3" fontId="9" fillId="0" borderId="0" xfId="0" applyNumberFormat="1" applyFont="1" applyAlignment="1">
      <alignment horizontal="right" vertical="top"/>
    </xf>
    <xf numFmtId="3" fontId="9" fillId="0" borderId="0" xfId="0" applyNumberFormat="1" applyFont="1"/>
    <xf numFmtId="3" fontId="9" fillId="0" borderId="0" xfId="0" applyNumberFormat="1" applyFont="1" applyProtection="1"/>
    <xf numFmtId="39" fontId="9" fillId="0" borderId="0" xfId="0" applyNumberFormat="1" applyFont="1" applyProtection="1"/>
    <xf numFmtId="0" fontId="8" fillId="0" borderId="0" xfId="0" applyFont="1" applyBorder="1" applyAlignment="1" applyProtection="1"/>
    <xf numFmtId="10" fontId="8" fillId="0" borderId="0" xfId="0" applyNumberFormat="1" applyFont="1" applyBorder="1" applyProtection="1"/>
    <xf numFmtId="166" fontId="0" fillId="0" borderId="0" xfId="0" applyNumberFormat="1"/>
    <xf numFmtId="165" fontId="9" fillId="0" borderId="0" xfId="1" applyNumberFormat="1" applyFont="1" applyAlignment="1">
      <alignment horizontal="left" vertical="center"/>
    </xf>
    <xf numFmtId="10" fontId="10" fillId="0" borderId="0" xfId="0" applyNumberFormat="1" applyFont="1" applyBorder="1"/>
    <xf numFmtId="0" fontId="6" fillId="0" borderId="0" xfId="0" applyFont="1" applyBorder="1"/>
    <xf numFmtId="10" fontId="6" fillId="0" borderId="0" xfId="0" applyNumberFormat="1" applyFont="1" applyBorder="1" applyAlignment="1" applyProtection="1"/>
    <xf numFmtId="9" fontId="10" fillId="0" borderId="0" xfId="0" applyNumberFormat="1" applyFont="1" applyBorder="1" applyProtection="1"/>
    <xf numFmtId="9" fontId="10" fillId="0" borderId="0" xfId="0" applyNumberFormat="1" applyFont="1" applyBorder="1"/>
    <xf numFmtId="3" fontId="10" fillId="0" borderId="0" xfId="0" applyNumberFormat="1" applyFont="1" applyFill="1" applyBorder="1" applyProtection="1"/>
    <xf numFmtId="41" fontId="9" fillId="0" borderId="0" xfId="0" applyNumberFormat="1" applyFont="1" applyBorder="1" applyAlignment="1" applyProtection="1">
      <alignment horizontal="right" vertical="top"/>
    </xf>
    <xf numFmtId="0" fontId="5" fillId="2" borderId="0" xfId="0" applyFont="1" applyFill="1" applyBorder="1" applyAlignment="1" applyProtection="1"/>
    <xf numFmtId="0" fontId="4" fillId="0" borderId="0" xfId="0" applyFont="1" applyFill="1" applyBorder="1" applyAlignment="1" applyProtection="1"/>
    <xf numFmtId="164" fontId="4" fillId="0" borderId="0" xfId="0" applyNumberFormat="1" applyFont="1" applyFill="1" applyBorder="1" applyAlignment="1" applyProtection="1"/>
    <xf numFmtId="0" fontId="14" fillId="0" borderId="0" xfId="0" applyFont="1"/>
    <xf numFmtId="10" fontId="0" fillId="0" borderId="0" xfId="2" applyNumberFormat="1" applyFont="1"/>
    <xf numFmtId="0" fontId="16" fillId="0" borderId="1" xfId="0" applyFont="1" applyBorder="1"/>
    <xf numFmtId="164" fontId="4" fillId="0" borderId="1" xfId="0" applyNumberFormat="1" applyFont="1" applyFill="1" applyBorder="1" applyAlignment="1" applyProtection="1"/>
    <xf numFmtId="0" fontId="14" fillId="0" borderId="1" xfId="0" applyFont="1" applyBorder="1"/>
    <xf numFmtId="0" fontId="0" fillId="0" borderId="1" xfId="0" applyBorder="1"/>
    <xf numFmtId="166" fontId="0" fillId="0" borderId="1" xfId="0" applyNumberFormat="1" applyBorder="1"/>
    <xf numFmtId="164" fontId="0" fillId="0" borderId="0" xfId="0" applyNumberFormat="1"/>
    <xf numFmtId="0" fontId="13" fillId="0" borderId="1" xfId="0" applyFont="1" applyBorder="1" applyAlignment="1">
      <alignment horizontal="center"/>
    </xf>
    <xf numFmtId="0" fontId="5" fillId="0" borderId="1" xfId="0" applyFont="1" applyFill="1" applyBorder="1" applyAlignment="1" applyProtection="1"/>
    <xf numFmtId="4" fontId="10" fillId="0" borderId="0" xfId="0" applyNumberFormat="1" applyFont="1" applyFill="1" applyBorder="1" applyProtection="1"/>
    <xf numFmtId="4" fontId="6" fillId="0" borderId="0" xfId="0" applyNumberFormat="1" applyFont="1" applyBorder="1" applyProtection="1"/>
    <xf numFmtId="4" fontId="9" fillId="0" borderId="2" xfId="0" applyNumberFormat="1" applyFont="1" applyBorder="1" applyAlignment="1" applyProtection="1">
      <alignment horizontal="right" vertical="top"/>
    </xf>
    <xf numFmtId="4" fontId="9" fillId="0" borderId="0" xfId="0" applyNumberFormat="1" applyFont="1" applyBorder="1" applyAlignment="1" applyProtection="1">
      <alignment horizontal="right" vertical="top"/>
    </xf>
    <xf numFmtId="4" fontId="8" fillId="3" borderId="3" xfId="0" applyNumberFormat="1" applyFont="1" applyFill="1" applyBorder="1" applyAlignment="1" applyProtection="1">
      <alignment horizontal="right" vertical="top"/>
    </xf>
    <xf numFmtId="0" fontId="13" fillId="0" borderId="0" xfId="0" applyFont="1" applyFill="1" applyBorder="1" applyAlignment="1" applyProtection="1"/>
    <xf numFmtId="0" fontId="13" fillId="2" borderId="0" xfId="0" applyFont="1" applyFill="1" applyBorder="1" applyAlignment="1" applyProtection="1"/>
    <xf numFmtId="0" fontId="14" fillId="0" borderId="0" xfId="0" applyFont="1" applyFill="1" applyBorder="1" applyAlignment="1" applyProtection="1"/>
    <xf numFmtId="164" fontId="14" fillId="0" borderId="0" xfId="0" applyNumberFormat="1" applyFont="1" applyFill="1" applyBorder="1" applyAlignment="1" applyProtection="1"/>
    <xf numFmtId="0" fontId="13" fillId="0" borderId="1" xfId="0" applyFont="1" applyBorder="1" applyAlignment="1"/>
    <xf numFmtId="10" fontId="10" fillId="0" borderId="0" xfId="0" applyNumberFormat="1" applyFont="1" applyBorder="1" applyProtection="1"/>
    <xf numFmtId="0" fontId="0" fillId="0" borderId="0" xfId="0" applyBorder="1"/>
    <xf numFmtId="0" fontId="4" fillId="0" borderId="0" xfId="0" applyFont="1"/>
    <xf numFmtId="0" fontId="4" fillId="0" borderId="0" xfId="0" quotePrefix="1" applyFont="1"/>
    <xf numFmtId="0" fontId="5" fillId="0" borderId="0" xfId="0" quotePrefix="1" applyFont="1"/>
    <xf numFmtId="0" fontId="4" fillId="0" borderId="1" xfId="0" applyFont="1" applyBorder="1"/>
    <xf numFmtId="0" fontId="0" fillId="0" borderId="2" xfId="0" applyBorder="1"/>
    <xf numFmtId="0" fontId="5" fillId="0" borderId="1" xfId="0" applyFont="1" applyBorder="1" applyAlignment="1">
      <alignment horizontal="center"/>
    </xf>
    <xf numFmtId="0" fontId="13" fillId="0" borderId="0" xfId="0" applyFont="1" applyBorder="1" applyAlignment="1">
      <alignment horizontal="center"/>
    </xf>
    <xf numFmtId="0" fontId="5" fillId="0" borderId="1" xfId="0" applyFont="1" applyBorder="1"/>
    <xf numFmtId="164" fontId="5" fillId="0" borderId="0" xfId="0" applyNumberFormat="1" applyFont="1" applyFill="1" applyBorder="1" applyAlignment="1" applyProtection="1"/>
    <xf numFmtId="164" fontId="14" fillId="0" borderId="0" xfId="0" applyNumberFormat="1" applyFont="1"/>
    <xf numFmtId="10" fontId="0" fillId="0" borderId="0" xfId="0" applyNumberFormat="1"/>
    <xf numFmtId="167" fontId="0" fillId="0" borderId="0" xfId="0" applyNumberFormat="1"/>
    <xf numFmtId="166" fontId="5" fillId="0" borderId="0" xfId="0" applyNumberFormat="1" applyFont="1"/>
    <xf numFmtId="167" fontId="5" fillId="0" borderId="0" xfId="0" applyNumberFormat="1" applyFont="1"/>
    <xf numFmtId="0" fontId="5" fillId="0" borderId="0" xfId="0" applyFont="1"/>
    <xf numFmtId="0" fontId="5" fillId="0" borderId="2" xfId="0" quotePrefix="1" applyFont="1" applyBorder="1"/>
    <xf numFmtId="164" fontId="5" fillId="0" borderId="2" xfId="0" applyNumberFormat="1" applyFont="1" applyFill="1" applyBorder="1" applyAlignment="1" applyProtection="1"/>
    <xf numFmtId="166" fontId="5" fillId="0" borderId="2" xfId="0" applyNumberFormat="1" applyFont="1" applyBorder="1"/>
    <xf numFmtId="167" fontId="5" fillId="0" borderId="2" xfId="0" applyNumberFormat="1" applyFont="1" applyBorder="1"/>
    <xf numFmtId="0" fontId="13" fillId="0" borderId="0" xfId="0" applyFont="1" applyAlignment="1"/>
    <xf numFmtId="164" fontId="5" fillId="0" borderId="1" xfId="0" applyNumberFormat="1" applyFont="1" applyFill="1" applyBorder="1" applyAlignment="1" applyProtection="1">
      <alignment horizontal="center"/>
    </xf>
    <xf numFmtId="0" fontId="4" fillId="0" borderId="0" xfId="0" quotePrefix="1" applyFont="1" applyFill="1" applyBorder="1" applyAlignment="1" applyProtection="1">
      <alignment wrapText="1"/>
    </xf>
    <xf numFmtId="0" fontId="4" fillId="0" borderId="0" xfId="0" quotePrefix="1" applyFont="1" applyBorder="1"/>
    <xf numFmtId="164" fontId="5" fillId="0" borderId="2" xfId="0" applyNumberFormat="1" applyFont="1" applyBorder="1"/>
    <xf numFmtId="10" fontId="4" fillId="0" borderId="0" xfId="0" applyNumberFormat="1" applyFont="1" applyFill="1" applyBorder="1" applyAlignment="1" applyProtection="1"/>
    <xf numFmtId="2" fontId="0" fillId="0" borderId="0" xfId="0" applyNumberFormat="1"/>
    <xf numFmtId="0" fontId="5" fillId="0" borderId="2" xfId="0" applyFont="1" applyBorder="1" applyAlignment="1">
      <alignment horizontal="center"/>
    </xf>
    <xf numFmtId="166" fontId="4" fillId="0" borderId="0" xfId="0" applyNumberFormat="1" applyFont="1" applyBorder="1"/>
    <xf numFmtId="0" fontId="4" fillId="0" borderId="0" xfId="0" applyFont="1" applyBorder="1" applyAlignment="1">
      <alignment horizontal="center"/>
    </xf>
    <xf numFmtId="2" fontId="5" fillId="0" borderId="1" xfId="0" applyNumberFormat="1" applyFont="1" applyBorder="1"/>
    <xf numFmtId="0" fontId="0" fillId="0" borderId="0" xfId="0" quotePrefix="1"/>
    <xf numFmtId="0" fontId="4" fillId="0" borderId="0" xfId="0" quotePrefix="1" applyFont="1" applyFill="1" applyBorder="1" applyAlignment="1" applyProtection="1"/>
    <xf numFmtId="164" fontId="4" fillId="0" borderId="0" xfId="0" applyNumberFormat="1" applyFont="1" applyBorder="1" applyAlignment="1">
      <alignment horizontal="right"/>
    </xf>
    <xf numFmtId="0" fontId="5" fillId="0" borderId="0" xfId="0" quotePrefix="1" applyFont="1" applyBorder="1"/>
    <xf numFmtId="0" fontId="3" fillId="0" borderId="0" xfId="0" applyNumberFormat="1" applyFont="1" applyBorder="1" applyProtection="1"/>
    <xf numFmtId="0" fontId="17" fillId="0" borderId="0" xfId="0" applyNumberFormat="1" applyFont="1" applyBorder="1" applyProtection="1"/>
    <xf numFmtId="4" fontId="9" fillId="0" borderId="0" xfId="0" applyNumberFormat="1" applyFont="1" applyFill="1" applyBorder="1" applyProtection="1"/>
    <xf numFmtId="3" fontId="9" fillId="0" borderId="0" xfId="0" applyNumberFormat="1" applyFont="1" applyFill="1" applyBorder="1" applyProtection="1"/>
    <xf numFmtId="2" fontId="4" fillId="0" borderId="0" xfId="2" applyNumberFormat="1" applyFont="1" applyFill="1" applyBorder="1" applyAlignment="1" applyProtection="1"/>
    <xf numFmtId="168" fontId="4" fillId="0" borderId="0" xfId="0" applyNumberFormat="1" applyFont="1" applyFill="1" applyBorder="1" applyAlignment="1" applyProtection="1"/>
    <xf numFmtId="0" fontId="2" fillId="0" borderId="0" xfId="0" applyNumberFormat="1" applyFont="1" applyBorder="1" applyProtection="1"/>
    <xf numFmtId="0" fontId="7" fillId="0" borderId="0" xfId="0" applyFont="1"/>
    <xf numFmtId="169" fontId="0" fillId="0" borderId="0" xfId="0" applyNumberFormat="1"/>
    <xf numFmtId="170" fontId="0" fillId="0" borderId="0" xfId="0" applyNumberFormat="1"/>
    <xf numFmtId="10" fontId="10" fillId="0" borderId="0" xfId="2" applyNumberFormat="1" applyFont="1"/>
    <xf numFmtId="0" fontId="10" fillId="0" borderId="0" xfId="0" applyFont="1"/>
    <xf numFmtId="0" fontId="10" fillId="0" borderId="0" xfId="0" applyFont="1" applyAlignment="1">
      <alignment horizontal="right"/>
    </xf>
    <xf numFmtId="2" fontId="10" fillId="0" borderId="0" xfId="0" applyNumberFormat="1" applyFont="1"/>
    <xf numFmtId="170" fontId="10" fillId="0" borderId="0" xfId="3" applyNumberFormat="1" applyFont="1"/>
    <xf numFmtId="9" fontId="10" fillId="0" borderId="0" xfId="2" applyFont="1"/>
    <xf numFmtId="169" fontId="19" fillId="0" borderId="0" xfId="0" applyNumberFormat="1" applyFont="1"/>
    <xf numFmtId="169" fontId="19" fillId="0" borderId="0" xfId="3" applyNumberFormat="1" applyFont="1" applyAlignment="1"/>
    <xf numFmtId="0" fontId="19" fillId="0" borderId="0" xfId="0" applyFont="1"/>
    <xf numFmtId="10" fontId="19" fillId="0" borderId="0" xfId="0" applyNumberFormat="1" applyFont="1" applyBorder="1"/>
    <xf numFmtId="167" fontId="19" fillId="0" borderId="0" xfId="0" applyNumberFormat="1" applyFont="1" applyFill="1" applyBorder="1" applyProtection="1"/>
    <xf numFmtId="10" fontId="19" fillId="0" borderId="0" xfId="0" applyNumberFormat="1" applyFont="1" applyFill="1" applyBorder="1" applyProtection="1"/>
    <xf numFmtId="4" fontId="19" fillId="0" borderId="0" xfId="0" applyNumberFormat="1" applyFont="1" applyFill="1" applyBorder="1" applyProtection="1"/>
    <xf numFmtId="0" fontId="19" fillId="0" borderId="0" xfId="0" applyNumberFormat="1" applyFont="1" applyFill="1" applyBorder="1" applyProtection="1"/>
    <xf numFmtId="10" fontId="19" fillId="0" borderId="0" xfId="2" applyNumberFormat="1" applyFont="1" applyFill="1" applyBorder="1" applyProtection="1"/>
    <xf numFmtId="3" fontId="19" fillId="0" borderId="0" xfId="0" applyNumberFormat="1" applyFont="1" applyFill="1" applyBorder="1" applyProtection="1"/>
    <xf numFmtId="3" fontId="19" fillId="0" borderId="0" xfId="0" applyNumberFormat="1" applyFont="1"/>
    <xf numFmtId="0" fontId="7" fillId="4" borderId="0" xfId="4" applyFont="1"/>
    <xf numFmtId="0" fontId="7" fillId="4" borderId="0" xfId="4" applyFont="1" applyAlignment="1">
      <alignment horizontal="right"/>
    </xf>
    <xf numFmtId="0" fontId="7" fillId="5" borderId="0" xfId="5" applyFont="1"/>
    <xf numFmtId="0" fontId="7" fillId="5" borderId="0" xfId="5" applyFont="1" applyAlignment="1">
      <alignment horizontal="right"/>
    </xf>
    <xf numFmtId="0" fontId="5" fillId="0" borderId="1" xfId="0" applyFont="1" applyBorder="1" applyAlignment="1">
      <alignment horizontal="center"/>
    </xf>
    <xf numFmtId="164" fontId="5" fillId="0" borderId="1" xfId="0" applyNumberFormat="1" applyFont="1" applyFill="1" applyBorder="1" applyAlignment="1" applyProtection="1">
      <alignment horizontal="center"/>
    </xf>
    <xf numFmtId="0" fontId="7" fillId="0" borderId="0" xfId="0" applyFont="1" applyAlignment="1">
      <alignment horizontal="center"/>
    </xf>
  </cellXfs>
  <cellStyles count="6">
    <cellStyle name="20% - Accent5" xfId="4" builtinId="46"/>
    <cellStyle name="40% - Accent5" xfId="5" builtinId="47"/>
    <cellStyle name="Currency" xfId="3" builtinId="4"/>
    <cellStyle name="Normal" xfId="0" builtinId="0"/>
    <cellStyle name="Normal 2" xfId="1" xr:uid="{6455FFEC-96A4-421B-9E11-2BD5E16CB63B}"/>
    <cellStyle name="Percent" xfId="2" builtinId="5"/>
  </cellStyles>
  <dxfs count="0"/>
  <tableStyles count="0" defaultTableStyle="TableStyleMedium2" defaultPivotStyle="PivotStyleLight16"/>
  <colors>
    <mruColors>
      <color rgb="FF008000"/>
      <color rgb="FF0000FF"/>
      <color rgb="FF196EEB"/>
      <color rgb="FF00F22E"/>
      <color rgb="FF1DFF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12</xdr:col>
      <xdr:colOff>246063</xdr:colOff>
      <xdr:row>15</xdr:row>
      <xdr:rowOff>23020</xdr:rowOff>
    </xdr:from>
    <xdr:to>
      <xdr:col>17</xdr:col>
      <xdr:colOff>444500</xdr:colOff>
      <xdr:row>23</xdr:row>
      <xdr:rowOff>111126</xdr:rowOff>
    </xdr:to>
    <xdr:sp macro="" textlink="">
      <xdr:nvSpPr>
        <xdr:cNvPr id="2" name="TextBox 1">
          <a:extLst>
            <a:ext uri="{FF2B5EF4-FFF2-40B4-BE49-F238E27FC236}">
              <a16:creationId xmlns:a16="http://schemas.microsoft.com/office/drawing/2014/main" id="{F5187765-B095-E00A-B0C1-3BB29921503D}"/>
            </a:ext>
          </a:extLst>
        </xdr:cNvPr>
        <xdr:cNvSpPr txBox="1"/>
      </xdr:nvSpPr>
      <xdr:spPr>
        <a:xfrm>
          <a:off x="15779751" y="2404270"/>
          <a:ext cx="3254374" cy="1358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Accounting Reconciliation:</a:t>
          </a:r>
          <a:r>
            <a:rPr lang="en-US" baseline="0"/>
            <a:t> Reflects</a:t>
          </a:r>
          <a:r>
            <a:rPr lang="en-US"/>
            <a:t> operating results to net income by incorporating financing, taxes, and ownership allocations.</a:t>
          </a:r>
        </a:p>
        <a:p>
          <a:endParaRPr lang="en-US"/>
        </a:p>
        <a:p>
          <a:r>
            <a:rPr lang="en-US"/>
            <a:t>Net Income is how much profit belongs to shareholders after financing, taxes, and other accounting items.</a:t>
          </a:r>
          <a:endParaRPr lang="en-US" sz="1100"/>
        </a:p>
      </xdr:txBody>
    </xdr:sp>
    <xdr:clientData/>
  </xdr:twoCellAnchor>
  <xdr:twoCellAnchor>
    <xdr:from>
      <xdr:col>12</xdr:col>
      <xdr:colOff>288924</xdr:colOff>
      <xdr:row>4</xdr:row>
      <xdr:rowOff>1</xdr:rowOff>
    </xdr:from>
    <xdr:to>
      <xdr:col>17</xdr:col>
      <xdr:colOff>428625</xdr:colOff>
      <xdr:row>10</xdr:row>
      <xdr:rowOff>79375</xdr:rowOff>
    </xdr:to>
    <xdr:sp macro="" textlink="">
      <xdr:nvSpPr>
        <xdr:cNvPr id="3" name="TextBox 2">
          <a:extLst>
            <a:ext uri="{FF2B5EF4-FFF2-40B4-BE49-F238E27FC236}">
              <a16:creationId xmlns:a16="http://schemas.microsoft.com/office/drawing/2014/main" id="{AD022FC2-0BF5-B606-2FC6-D31E59F69BEB}"/>
            </a:ext>
          </a:extLst>
        </xdr:cNvPr>
        <xdr:cNvSpPr txBox="1"/>
      </xdr:nvSpPr>
      <xdr:spPr>
        <a:xfrm>
          <a:off x="15822612" y="635001"/>
          <a:ext cx="3195638" cy="1031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Analysis: Measures the profitability of</a:t>
          </a:r>
          <a:r>
            <a:rPr lang="en-US" baseline="0"/>
            <a:t> the company's </a:t>
          </a:r>
          <a:r>
            <a:rPr lang="en-US"/>
            <a:t> core operations, independent of financing decisions.</a:t>
          </a:r>
        </a:p>
        <a:p>
          <a:endParaRPr lang="en-US"/>
        </a:p>
        <a:p>
          <a:r>
            <a:rPr lang="en-US"/>
            <a:t>NOPAT reflects after-tax operating profit.</a:t>
          </a:r>
          <a:endParaRPr lang="en-US" sz="1100"/>
        </a:p>
      </xdr:txBody>
    </xdr:sp>
    <xdr:clientData/>
  </xdr:twoCellAnchor>
  <xdr:twoCellAnchor>
    <xdr:from>
      <xdr:col>12</xdr:col>
      <xdr:colOff>238125</xdr:colOff>
      <xdr:row>38</xdr:row>
      <xdr:rowOff>134937</xdr:rowOff>
    </xdr:from>
    <xdr:to>
      <xdr:col>17</xdr:col>
      <xdr:colOff>182563</xdr:colOff>
      <xdr:row>48</xdr:row>
      <xdr:rowOff>0</xdr:rowOff>
    </xdr:to>
    <xdr:sp macro="" textlink="">
      <xdr:nvSpPr>
        <xdr:cNvPr id="4" name="TextBox 3">
          <a:extLst>
            <a:ext uri="{FF2B5EF4-FFF2-40B4-BE49-F238E27FC236}">
              <a16:creationId xmlns:a16="http://schemas.microsoft.com/office/drawing/2014/main" id="{0211A26A-DB00-C3D7-3963-C3C1AE76EB44}"/>
            </a:ext>
          </a:extLst>
        </xdr:cNvPr>
        <xdr:cNvSpPr txBox="1"/>
      </xdr:nvSpPr>
      <xdr:spPr>
        <a:xfrm>
          <a:off x="15771813" y="6167437"/>
          <a:ext cx="3000375" cy="1500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Working capital reflects the short-term operating accounts used in the day-to-day operations of the business. Accounts receivable and inventory represent cash tied up in operations, while accounts payable represents cash the company has not yet paid to suppliers. Changes in these accounts show whether working capital is using or providing cash.</a:t>
          </a:r>
          <a:endParaRPr lang="en-US" sz="1100"/>
        </a:p>
      </xdr:txBody>
    </xdr:sp>
    <xdr:clientData/>
  </xdr:twoCellAnchor>
  <xdr:twoCellAnchor>
    <xdr:from>
      <xdr:col>12</xdr:col>
      <xdr:colOff>182562</xdr:colOff>
      <xdr:row>74</xdr:row>
      <xdr:rowOff>47625</xdr:rowOff>
    </xdr:from>
    <xdr:to>
      <xdr:col>17</xdr:col>
      <xdr:colOff>23812</xdr:colOff>
      <xdr:row>82</xdr:row>
      <xdr:rowOff>119062</xdr:rowOff>
    </xdr:to>
    <xdr:sp macro="" textlink="">
      <xdr:nvSpPr>
        <xdr:cNvPr id="5" name="TextBox 4">
          <a:extLst>
            <a:ext uri="{FF2B5EF4-FFF2-40B4-BE49-F238E27FC236}">
              <a16:creationId xmlns:a16="http://schemas.microsoft.com/office/drawing/2014/main" id="{01A6450F-3DAA-5597-726C-C73A4CCC10BD}"/>
            </a:ext>
          </a:extLst>
        </xdr:cNvPr>
        <xdr:cNvSpPr txBox="1"/>
      </xdr:nvSpPr>
      <xdr:spPr>
        <a:xfrm>
          <a:off x="15716250" y="11842750"/>
          <a:ext cx="2897187" cy="134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cash flow reflects the cash generated or used by a company’s core business operations. Under the indirect method, it begins with income and adjusts for non-cash expenses, working capital changes, and other operating items to convert accounting profit into actual operating cash flow.</a:t>
          </a:r>
          <a:endParaRPr lang="en-US" sz="1100"/>
        </a:p>
      </xdr:txBody>
    </xdr:sp>
    <xdr:clientData/>
  </xdr:twoCellAnchor>
  <xdr:twoCellAnchor>
    <xdr:from>
      <xdr:col>12</xdr:col>
      <xdr:colOff>190499</xdr:colOff>
      <xdr:row>90</xdr:row>
      <xdr:rowOff>87313</xdr:rowOff>
    </xdr:from>
    <xdr:to>
      <xdr:col>18</xdr:col>
      <xdr:colOff>31750</xdr:colOff>
      <xdr:row>96</xdr:row>
      <xdr:rowOff>111125</xdr:rowOff>
    </xdr:to>
    <xdr:sp macro="" textlink="">
      <xdr:nvSpPr>
        <xdr:cNvPr id="6" name="TextBox 5">
          <a:extLst>
            <a:ext uri="{FF2B5EF4-FFF2-40B4-BE49-F238E27FC236}">
              <a16:creationId xmlns:a16="http://schemas.microsoft.com/office/drawing/2014/main" id="{8F7C9658-06F7-7031-6130-B37C9C27E275}"/>
            </a:ext>
          </a:extLst>
        </xdr:cNvPr>
        <xdr:cNvSpPr txBox="1"/>
      </xdr:nvSpPr>
      <xdr:spPr>
        <a:xfrm>
          <a:off x="15724187" y="14422438"/>
          <a:ext cx="3508376" cy="976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Free cash flow reflects the cash remaining after a company generates cash from its operations and pays for the capital expenditures needed to maintain and invest in the business. It represents cash available after funding the company’s operating and capital needs.</a:t>
          </a:r>
          <a:endParaRPr lang="en-US" sz="1100"/>
        </a:p>
      </xdr:txBody>
    </xdr:sp>
    <xdr:clientData/>
  </xdr:twoCellAnchor>
  <xdr:twoCellAnchor>
    <xdr:from>
      <xdr:col>12</xdr:col>
      <xdr:colOff>190500</xdr:colOff>
      <xdr:row>98</xdr:row>
      <xdr:rowOff>7938</xdr:rowOff>
    </xdr:from>
    <xdr:to>
      <xdr:col>18</xdr:col>
      <xdr:colOff>7938</xdr:colOff>
      <xdr:row>103</xdr:row>
      <xdr:rowOff>95250</xdr:rowOff>
    </xdr:to>
    <xdr:sp macro="" textlink="">
      <xdr:nvSpPr>
        <xdr:cNvPr id="7" name="TextBox 6">
          <a:extLst>
            <a:ext uri="{FF2B5EF4-FFF2-40B4-BE49-F238E27FC236}">
              <a16:creationId xmlns:a16="http://schemas.microsoft.com/office/drawing/2014/main" id="{C55DA3B9-E8B6-739C-5C46-3722870512BB}"/>
            </a:ext>
          </a:extLst>
        </xdr:cNvPr>
        <xdr:cNvSpPr txBox="1"/>
      </xdr:nvSpPr>
      <xdr:spPr>
        <a:xfrm>
          <a:off x="15724188" y="15613063"/>
          <a:ext cx="3484563" cy="881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Unlevered free cash flow reflects cash generated by the company’s operations independent of its financing structure. It begins with NOPAT, adds back non-cash D&amp;A, and subtracts investments in CapEx and working capital.</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247651</xdr:colOff>
      <xdr:row>11</xdr:row>
      <xdr:rowOff>28576</xdr:rowOff>
    </xdr:from>
    <xdr:to>
      <xdr:col>16</xdr:col>
      <xdr:colOff>133351</xdr:colOff>
      <xdr:row>35</xdr:row>
      <xdr:rowOff>93726</xdr:rowOff>
    </xdr:to>
    <xdr:pic>
      <xdr:nvPicPr>
        <xdr:cNvPr id="2" name="Picture 1">
          <a:extLst>
            <a:ext uri="{FF2B5EF4-FFF2-40B4-BE49-F238E27FC236}">
              <a16:creationId xmlns:a16="http://schemas.microsoft.com/office/drawing/2014/main" id="{8E20E981-301B-4819-9380-E634890D9A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43451" y="2124076"/>
          <a:ext cx="7200900" cy="395135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373674</xdr:colOff>
      <xdr:row>18</xdr:row>
      <xdr:rowOff>175846</xdr:rowOff>
    </xdr:from>
    <xdr:to>
      <xdr:col>16</xdr:col>
      <xdr:colOff>374428</xdr:colOff>
      <xdr:row>37</xdr:row>
      <xdr:rowOff>65942</xdr:rowOff>
    </xdr:to>
    <xdr:pic>
      <xdr:nvPicPr>
        <xdr:cNvPr id="4" name="Picture 3">
          <a:extLst>
            <a:ext uri="{FF2B5EF4-FFF2-40B4-BE49-F238E27FC236}">
              <a16:creationId xmlns:a16="http://schemas.microsoft.com/office/drawing/2014/main" id="{F3A2901C-FCFE-7D2F-70E4-501B545EF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8212" y="3604846"/>
          <a:ext cx="6235966" cy="350959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246063</xdr:colOff>
      <xdr:row>14</xdr:row>
      <xdr:rowOff>23020</xdr:rowOff>
    </xdr:from>
    <xdr:to>
      <xdr:col>17</xdr:col>
      <xdr:colOff>444500</xdr:colOff>
      <xdr:row>22</xdr:row>
      <xdr:rowOff>111126</xdr:rowOff>
    </xdr:to>
    <xdr:sp macro="" textlink="">
      <xdr:nvSpPr>
        <xdr:cNvPr id="6" name="TextBox 5">
          <a:extLst>
            <a:ext uri="{FF2B5EF4-FFF2-40B4-BE49-F238E27FC236}">
              <a16:creationId xmlns:a16="http://schemas.microsoft.com/office/drawing/2014/main" id="{E5593C7F-BE89-450C-B7A4-55EC89777BBE}"/>
            </a:ext>
          </a:extLst>
        </xdr:cNvPr>
        <xdr:cNvSpPr txBox="1"/>
      </xdr:nvSpPr>
      <xdr:spPr>
        <a:xfrm>
          <a:off x="15781338" y="2451895"/>
          <a:ext cx="3246437" cy="1383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Accounting Reconciliation:</a:t>
          </a:r>
          <a:r>
            <a:rPr lang="en-US" baseline="0"/>
            <a:t> Reflects</a:t>
          </a:r>
          <a:r>
            <a:rPr lang="en-US"/>
            <a:t> operating results to net income by incorporating financing, taxes, and ownership allocations.</a:t>
          </a:r>
        </a:p>
        <a:p>
          <a:endParaRPr lang="en-US"/>
        </a:p>
        <a:p>
          <a:r>
            <a:rPr lang="en-US"/>
            <a:t>Net Income is how much profit belongs to shareholders after financing, taxes, and other accounting items.</a:t>
          </a:r>
          <a:endParaRPr lang="en-US" sz="1100"/>
        </a:p>
      </xdr:txBody>
    </xdr:sp>
    <xdr:clientData/>
  </xdr:twoCellAnchor>
  <xdr:twoCellAnchor>
    <xdr:from>
      <xdr:col>12</xdr:col>
      <xdr:colOff>288924</xdr:colOff>
      <xdr:row>3</xdr:row>
      <xdr:rowOff>1</xdr:rowOff>
    </xdr:from>
    <xdr:to>
      <xdr:col>17</xdr:col>
      <xdr:colOff>428625</xdr:colOff>
      <xdr:row>9</xdr:row>
      <xdr:rowOff>79375</xdr:rowOff>
    </xdr:to>
    <xdr:sp macro="" textlink="">
      <xdr:nvSpPr>
        <xdr:cNvPr id="7" name="TextBox 6">
          <a:extLst>
            <a:ext uri="{FF2B5EF4-FFF2-40B4-BE49-F238E27FC236}">
              <a16:creationId xmlns:a16="http://schemas.microsoft.com/office/drawing/2014/main" id="{C638B8E2-53C7-4792-920C-A7107C3DBF4A}"/>
            </a:ext>
          </a:extLst>
        </xdr:cNvPr>
        <xdr:cNvSpPr txBox="1"/>
      </xdr:nvSpPr>
      <xdr:spPr>
        <a:xfrm>
          <a:off x="15824199" y="647701"/>
          <a:ext cx="3187701" cy="1050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Analysis: Measures the profitability of</a:t>
          </a:r>
          <a:r>
            <a:rPr lang="en-US" baseline="0"/>
            <a:t> the company's </a:t>
          </a:r>
          <a:r>
            <a:rPr lang="en-US"/>
            <a:t> core operations, independent of financing decisions.</a:t>
          </a:r>
        </a:p>
        <a:p>
          <a:endParaRPr lang="en-US"/>
        </a:p>
        <a:p>
          <a:r>
            <a:rPr lang="en-US"/>
            <a:t>NOPAT reflects after-tax operating profit.</a:t>
          </a:r>
          <a:endParaRPr lang="en-US" sz="1100"/>
        </a:p>
      </xdr:txBody>
    </xdr:sp>
    <xdr:clientData/>
  </xdr:twoCellAnchor>
  <xdr:twoCellAnchor>
    <xdr:from>
      <xdr:col>12</xdr:col>
      <xdr:colOff>238125</xdr:colOff>
      <xdr:row>37</xdr:row>
      <xdr:rowOff>134937</xdr:rowOff>
    </xdr:from>
    <xdr:to>
      <xdr:col>17</xdr:col>
      <xdr:colOff>182563</xdr:colOff>
      <xdr:row>47</xdr:row>
      <xdr:rowOff>0</xdr:rowOff>
    </xdr:to>
    <xdr:sp macro="" textlink="">
      <xdr:nvSpPr>
        <xdr:cNvPr id="8" name="TextBox 7">
          <a:extLst>
            <a:ext uri="{FF2B5EF4-FFF2-40B4-BE49-F238E27FC236}">
              <a16:creationId xmlns:a16="http://schemas.microsoft.com/office/drawing/2014/main" id="{6152DB79-94D8-4F4E-A6AC-593870837D15}"/>
            </a:ext>
          </a:extLst>
        </xdr:cNvPr>
        <xdr:cNvSpPr txBox="1"/>
      </xdr:nvSpPr>
      <xdr:spPr>
        <a:xfrm>
          <a:off x="15773400" y="6288087"/>
          <a:ext cx="2992438" cy="1512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Working capital reflects the short-term operating accounts used in the day-to-day operations of the business. Accounts receivable and inventory represent cash tied up in operations, while accounts payable represents cash the company has not yet paid to suppliers. Changes in these accounts show whether working capital is using or providing cash.</a:t>
          </a:r>
          <a:endParaRPr lang="en-US" sz="1100"/>
        </a:p>
      </xdr:txBody>
    </xdr:sp>
    <xdr:clientData/>
  </xdr:twoCellAnchor>
  <xdr:twoCellAnchor>
    <xdr:from>
      <xdr:col>12</xdr:col>
      <xdr:colOff>182562</xdr:colOff>
      <xdr:row>73</xdr:row>
      <xdr:rowOff>47625</xdr:rowOff>
    </xdr:from>
    <xdr:to>
      <xdr:col>17</xdr:col>
      <xdr:colOff>23812</xdr:colOff>
      <xdr:row>81</xdr:row>
      <xdr:rowOff>119062</xdr:rowOff>
    </xdr:to>
    <xdr:sp macro="" textlink="">
      <xdr:nvSpPr>
        <xdr:cNvPr id="9" name="TextBox 8">
          <a:extLst>
            <a:ext uri="{FF2B5EF4-FFF2-40B4-BE49-F238E27FC236}">
              <a16:creationId xmlns:a16="http://schemas.microsoft.com/office/drawing/2014/main" id="{61AEEEF2-1281-46CB-9EA1-E34BE06C9651}"/>
            </a:ext>
          </a:extLst>
        </xdr:cNvPr>
        <xdr:cNvSpPr txBox="1"/>
      </xdr:nvSpPr>
      <xdr:spPr>
        <a:xfrm>
          <a:off x="15717837" y="12058650"/>
          <a:ext cx="2889250" cy="1366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Operating cash flow reflects the cash generated or used by a company’s core business operations. Under the indirect method, it begins with income and adjusts for non-cash expenses, working capital changes, and other operating items to convert accounting profit into actual operating cash flow.</a:t>
          </a:r>
          <a:endParaRPr lang="en-US" sz="1100"/>
        </a:p>
      </xdr:txBody>
    </xdr:sp>
    <xdr:clientData/>
  </xdr:twoCellAnchor>
  <xdr:twoCellAnchor>
    <xdr:from>
      <xdr:col>12</xdr:col>
      <xdr:colOff>190499</xdr:colOff>
      <xdr:row>89</xdr:row>
      <xdr:rowOff>87313</xdr:rowOff>
    </xdr:from>
    <xdr:to>
      <xdr:col>18</xdr:col>
      <xdr:colOff>31750</xdr:colOff>
      <xdr:row>95</xdr:row>
      <xdr:rowOff>111125</xdr:rowOff>
    </xdr:to>
    <xdr:sp macro="" textlink="">
      <xdr:nvSpPr>
        <xdr:cNvPr id="10" name="TextBox 9">
          <a:extLst>
            <a:ext uri="{FF2B5EF4-FFF2-40B4-BE49-F238E27FC236}">
              <a16:creationId xmlns:a16="http://schemas.microsoft.com/office/drawing/2014/main" id="{C11B34EB-4110-4A54-9A19-4B1B35148CC3}"/>
            </a:ext>
          </a:extLst>
        </xdr:cNvPr>
        <xdr:cNvSpPr txBox="1"/>
      </xdr:nvSpPr>
      <xdr:spPr>
        <a:xfrm>
          <a:off x="15725774" y="14689138"/>
          <a:ext cx="3498851" cy="995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Free cash flow reflects the cash remaining after a company generates cash from its operations and pays for the capital expenditures needed to maintain and invest in the business. It represents cash available after funding the company’s operating and capital needs.</a:t>
          </a:r>
          <a:endParaRPr lang="en-US" sz="1100"/>
        </a:p>
      </xdr:txBody>
    </xdr:sp>
    <xdr:clientData/>
  </xdr:twoCellAnchor>
  <xdr:twoCellAnchor>
    <xdr:from>
      <xdr:col>12</xdr:col>
      <xdr:colOff>190500</xdr:colOff>
      <xdr:row>97</xdr:row>
      <xdr:rowOff>7938</xdr:rowOff>
    </xdr:from>
    <xdr:to>
      <xdr:col>18</xdr:col>
      <xdr:colOff>7938</xdr:colOff>
      <xdr:row>102</xdr:row>
      <xdr:rowOff>95250</xdr:rowOff>
    </xdr:to>
    <xdr:sp macro="" textlink="">
      <xdr:nvSpPr>
        <xdr:cNvPr id="11" name="TextBox 10">
          <a:extLst>
            <a:ext uri="{FF2B5EF4-FFF2-40B4-BE49-F238E27FC236}">
              <a16:creationId xmlns:a16="http://schemas.microsoft.com/office/drawing/2014/main" id="{D78BBEA5-5ADE-42B3-901C-827CD5FC6275}"/>
            </a:ext>
          </a:extLst>
        </xdr:cNvPr>
        <xdr:cNvSpPr txBox="1"/>
      </xdr:nvSpPr>
      <xdr:spPr>
        <a:xfrm>
          <a:off x="15725775" y="15905163"/>
          <a:ext cx="3475038" cy="896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Unlevered free cash flow reflects cash generated by the company’s operations independent of its financing structure. It begins with NOPAT, adds back non-cash D&amp;A, and subtracts investments in CapEx and working capital.</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342901</xdr:colOff>
      <xdr:row>11</xdr:row>
      <xdr:rowOff>66676</xdr:rowOff>
    </xdr:from>
    <xdr:to>
      <xdr:col>16</xdr:col>
      <xdr:colOff>228601</xdr:colOff>
      <xdr:row>35</xdr:row>
      <xdr:rowOff>131826</xdr:rowOff>
    </xdr:to>
    <xdr:pic>
      <xdr:nvPicPr>
        <xdr:cNvPr id="3" name="Picture 2">
          <a:extLst>
            <a:ext uri="{FF2B5EF4-FFF2-40B4-BE49-F238E27FC236}">
              <a16:creationId xmlns:a16="http://schemas.microsoft.com/office/drawing/2014/main" id="{2E89491E-64A1-45A3-B7B5-02B3904F1F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3951" y="2162176"/>
          <a:ext cx="7200900" cy="395135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337039</xdr:colOff>
      <xdr:row>18</xdr:row>
      <xdr:rowOff>161192</xdr:rowOff>
    </xdr:from>
    <xdr:to>
      <xdr:col>16</xdr:col>
      <xdr:colOff>337793</xdr:colOff>
      <xdr:row>37</xdr:row>
      <xdr:rowOff>51288</xdr:rowOff>
    </xdr:to>
    <xdr:pic>
      <xdr:nvPicPr>
        <xdr:cNvPr id="2" name="Picture 1">
          <a:extLst>
            <a:ext uri="{FF2B5EF4-FFF2-40B4-BE49-F238E27FC236}">
              <a16:creationId xmlns:a16="http://schemas.microsoft.com/office/drawing/2014/main" id="{DD69A9C1-A378-4A3A-9877-87F5E598D7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8712" y="3590192"/>
          <a:ext cx="6235966" cy="350959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5FE7-AC99-4934-BC09-D6ECD0C88287}">
  <sheetPr>
    <outlinePr summaryBelow="0" summaryRight="0"/>
  </sheetPr>
  <dimension ref="A1:Q338"/>
  <sheetViews>
    <sheetView tabSelected="1" zoomScale="120" zoomScaleNormal="120" workbookViewId="0">
      <pane ySplit="1" topLeftCell="A2" activePane="bottomLeft" state="frozen"/>
      <selection pane="bottomLeft"/>
    </sheetView>
  </sheetViews>
  <sheetFormatPr defaultRowHeight="12.75" x14ac:dyDescent="0.2"/>
  <cols>
    <col min="1" max="1" width="59.42578125" customWidth="1"/>
    <col min="2" max="5" width="15" customWidth="1"/>
    <col min="8" max="8" width="42.28515625" customWidth="1"/>
    <col min="9" max="9" width="17.42578125" customWidth="1"/>
    <col min="10" max="10" width="13.42578125" bestFit="1" customWidth="1"/>
    <col min="11" max="11" width="10.85546875" customWidth="1"/>
    <col min="12" max="12" width="11.28515625" customWidth="1"/>
  </cols>
  <sheetData>
    <row r="1" spans="1:15" x14ac:dyDescent="0.2">
      <c r="A1" s="1" t="s">
        <v>0</v>
      </c>
      <c r="B1" s="92">
        <v>2021</v>
      </c>
      <c r="C1" s="92">
        <v>2022</v>
      </c>
      <c r="D1" s="92">
        <v>2023</v>
      </c>
      <c r="E1" s="92">
        <v>2024</v>
      </c>
      <c r="I1" s="97">
        <v>2021</v>
      </c>
      <c r="J1" s="97">
        <v>2022</v>
      </c>
      <c r="K1" s="97">
        <v>2023</v>
      </c>
      <c r="L1" s="97">
        <v>2024</v>
      </c>
      <c r="M1" s="97"/>
      <c r="N1" s="97"/>
      <c r="O1" s="80"/>
    </row>
    <row r="2" spans="1:15" x14ac:dyDescent="0.2">
      <c r="A2" s="1" t="s">
        <v>44</v>
      </c>
    </row>
    <row r="3" spans="1:15" x14ac:dyDescent="0.2">
      <c r="A3" s="1"/>
      <c r="B3" s="1"/>
      <c r="C3" s="1"/>
      <c r="D3" s="1"/>
      <c r="E3" s="1"/>
      <c r="H3" s="85" t="s">
        <v>344</v>
      </c>
      <c r="I3" s="65"/>
      <c r="J3" s="65"/>
      <c r="K3" s="65"/>
      <c r="L3" s="65"/>
      <c r="M3" s="61"/>
      <c r="N3" s="61"/>
    </row>
    <row r="4" spans="1:15" x14ac:dyDescent="0.2">
      <c r="A4" s="1"/>
      <c r="B4" s="1"/>
      <c r="C4" s="1"/>
      <c r="D4" s="1"/>
      <c r="E4" s="1"/>
      <c r="H4" t="s">
        <v>322</v>
      </c>
      <c r="I4" s="55">
        <f>B74</f>
        <v>101197</v>
      </c>
      <c r="J4" s="55">
        <f t="shared" ref="J4:L4" si="0">C74</f>
        <v>102301</v>
      </c>
      <c r="K4" s="55">
        <f t="shared" si="0"/>
        <v>88425</v>
      </c>
      <c r="L4" s="55">
        <f t="shared" si="0"/>
        <v>95567</v>
      </c>
      <c r="M4" s="77"/>
      <c r="N4" s="77"/>
    </row>
    <row r="5" spans="1:15" x14ac:dyDescent="0.2">
      <c r="A5" s="1"/>
      <c r="H5" s="79" t="s">
        <v>328</v>
      </c>
      <c r="I5" s="55">
        <f>B75</f>
        <v>76802</v>
      </c>
      <c r="J5" s="55">
        <f t="shared" ref="J5:L5" si="1">C75</f>
        <v>76907</v>
      </c>
      <c r="K5" s="55">
        <f t="shared" si="1"/>
        <v>64655</v>
      </c>
      <c r="L5" s="55">
        <f t="shared" si="1"/>
        <v>71468</v>
      </c>
    </row>
    <row r="6" spans="1:15" x14ac:dyDescent="0.2">
      <c r="A6" s="53" t="s">
        <v>1</v>
      </c>
      <c r="H6" s="93" t="s">
        <v>329</v>
      </c>
      <c r="I6" s="94">
        <f>I4-I5</f>
        <v>24395</v>
      </c>
      <c r="J6" s="94">
        <f t="shared" ref="J6:L6" si="2">J4-J5</f>
        <v>25394</v>
      </c>
      <c r="K6" s="94">
        <f t="shared" si="2"/>
        <v>23770</v>
      </c>
      <c r="L6" s="94">
        <f t="shared" si="2"/>
        <v>24099</v>
      </c>
    </row>
    <row r="7" spans="1:15" x14ac:dyDescent="0.2">
      <c r="A7" s="1" t="s">
        <v>45</v>
      </c>
      <c r="H7" s="79" t="s">
        <v>330</v>
      </c>
      <c r="I7" s="55">
        <f>B76</f>
        <v>15916</v>
      </c>
      <c r="J7" s="55">
        <f t="shared" ref="J7:L7" si="3">C76</f>
        <v>15918</v>
      </c>
      <c r="K7" s="55">
        <f t="shared" si="3"/>
        <v>14596</v>
      </c>
      <c r="L7" s="55">
        <f t="shared" si="3"/>
        <v>14046</v>
      </c>
    </row>
    <row r="8" spans="1:15" x14ac:dyDescent="0.2">
      <c r="A8" s="54" t="s">
        <v>46</v>
      </c>
      <c r="B8" s="55">
        <v>10011</v>
      </c>
      <c r="C8" s="55">
        <v>8879</v>
      </c>
      <c r="D8" s="55">
        <v>7502</v>
      </c>
      <c r="E8" s="55">
        <v>3756</v>
      </c>
      <c r="G8" s="56"/>
      <c r="H8" s="93" t="s">
        <v>345</v>
      </c>
      <c r="I8" s="94">
        <f>I6-I7</f>
        <v>8479</v>
      </c>
      <c r="J8" s="94">
        <f t="shared" ref="J8:L8" si="4">J6-J7</f>
        <v>9476</v>
      </c>
      <c r="K8" s="94">
        <f t="shared" si="4"/>
        <v>9174</v>
      </c>
      <c r="L8" s="94">
        <f t="shared" si="4"/>
        <v>10053</v>
      </c>
    </row>
    <row r="9" spans="1:15" x14ac:dyDescent="0.2">
      <c r="A9" s="54" t="s">
        <v>47</v>
      </c>
      <c r="B9" s="55">
        <v>9477</v>
      </c>
      <c r="C9" s="55">
        <v>8607</v>
      </c>
      <c r="D9" s="55">
        <v>7366</v>
      </c>
      <c r="E9" s="55">
        <v>3633</v>
      </c>
      <c r="H9" s="79" t="s">
        <v>331</v>
      </c>
      <c r="I9" s="87">
        <f>B78</f>
        <v>3547</v>
      </c>
      <c r="J9" s="87">
        <f t="shared" ref="J9:L9" si="5">C78</f>
        <v>3156</v>
      </c>
      <c r="K9" s="87">
        <f t="shared" si="5"/>
        <v>3303</v>
      </c>
      <c r="L9" s="87">
        <f t="shared" si="5"/>
        <v>3123</v>
      </c>
    </row>
    <row r="10" spans="1:15" x14ac:dyDescent="0.2">
      <c r="A10" s="54" t="s">
        <v>48</v>
      </c>
      <c r="B10" s="55">
        <v>534</v>
      </c>
      <c r="C10" s="55">
        <v>272</v>
      </c>
      <c r="D10" s="55">
        <v>136</v>
      </c>
      <c r="E10" s="55">
        <v>123</v>
      </c>
      <c r="H10" s="93" t="s">
        <v>405</v>
      </c>
      <c r="I10" s="95">
        <f>I8-I9</f>
        <v>4932</v>
      </c>
      <c r="J10" s="95">
        <f t="shared" ref="J10:L10" si="6">J8-J9</f>
        <v>6320</v>
      </c>
      <c r="K10" s="95">
        <f t="shared" si="6"/>
        <v>5871</v>
      </c>
      <c r="L10" s="95">
        <f t="shared" si="6"/>
        <v>6930</v>
      </c>
    </row>
    <row r="11" spans="1:15" x14ac:dyDescent="0.2">
      <c r="A11" s="54" t="s">
        <v>49</v>
      </c>
      <c r="B11" s="55">
        <v>18132</v>
      </c>
      <c r="C11" s="55">
        <v>18141</v>
      </c>
      <c r="D11" s="55">
        <v>13986</v>
      </c>
      <c r="E11" s="55">
        <v>15602</v>
      </c>
      <c r="H11" s="79" t="s">
        <v>402</v>
      </c>
      <c r="I11" s="88">
        <f>I20/I19</f>
        <v>0.16562552760425461</v>
      </c>
      <c r="J11" s="88">
        <f t="shared" ref="J11:L11" si="7">J20/J19</f>
        <v>0.2489922480620155</v>
      </c>
      <c r="K11" s="88">
        <f t="shared" si="7"/>
        <v>0.17802932853100079</v>
      </c>
      <c r="L11" s="88">
        <f t="shared" si="7"/>
        <v>9.3502377179080817E-2</v>
      </c>
    </row>
    <row r="12" spans="1:15" x14ac:dyDescent="0.2">
      <c r="A12" s="54" t="s">
        <v>50</v>
      </c>
      <c r="B12" s="55">
        <v>18001</v>
      </c>
      <c r="C12" s="55">
        <v>17763</v>
      </c>
      <c r="D12" s="55">
        <v>13986</v>
      </c>
      <c r="E12" s="55">
        <v>15602</v>
      </c>
      <c r="H12" s="93" t="s">
        <v>333</v>
      </c>
      <c r="I12" s="96">
        <f>I10*(1-I11)</f>
        <v>4115.1348978558162</v>
      </c>
      <c r="J12" s="96">
        <f t="shared" ref="J12:L12" si="8">J10*(1-J11)</f>
        <v>4746.3689922480626</v>
      </c>
      <c r="K12" s="96">
        <f t="shared" si="8"/>
        <v>4825.7898121944945</v>
      </c>
      <c r="L12" s="96">
        <f t="shared" si="8"/>
        <v>6282.0285261489698</v>
      </c>
    </row>
    <row r="13" spans="1:15" x14ac:dyDescent="0.2">
      <c r="A13" s="54" t="s">
        <v>51</v>
      </c>
      <c r="B13" s="55">
        <v>0</v>
      </c>
      <c r="C13" s="55">
        <v>0</v>
      </c>
      <c r="D13" s="55">
        <v>0</v>
      </c>
      <c r="E13" s="55">
        <v>0</v>
      </c>
      <c r="H13" s="56"/>
      <c r="I13" s="55"/>
      <c r="J13" s="55"/>
      <c r="K13" s="55"/>
      <c r="L13" s="55"/>
    </row>
    <row r="14" spans="1:15" x14ac:dyDescent="0.2">
      <c r="A14" s="54" t="s">
        <v>52</v>
      </c>
      <c r="B14" s="55">
        <v>131</v>
      </c>
      <c r="C14" s="55">
        <v>378</v>
      </c>
      <c r="D14" s="55">
        <v>0</v>
      </c>
      <c r="E14" s="55">
        <v>0</v>
      </c>
      <c r="O14" s="78" t="s">
        <v>347</v>
      </c>
    </row>
    <row r="15" spans="1:15" x14ac:dyDescent="0.2">
      <c r="A15" s="54" t="s">
        <v>53</v>
      </c>
      <c r="B15" s="55">
        <v>5898</v>
      </c>
      <c r="C15" s="55">
        <v>4776</v>
      </c>
      <c r="D15" s="55">
        <v>3622</v>
      </c>
      <c r="E15" s="55">
        <v>6716</v>
      </c>
      <c r="H15" s="111" t="s">
        <v>406</v>
      </c>
      <c r="I15" s="86">
        <f>I10</f>
        <v>4932</v>
      </c>
      <c r="J15" s="86">
        <f t="shared" ref="J15:L15" si="9">J10</f>
        <v>6320</v>
      </c>
      <c r="K15" s="86">
        <f t="shared" si="9"/>
        <v>5871</v>
      </c>
      <c r="L15" s="86">
        <f t="shared" si="9"/>
        <v>6930</v>
      </c>
    </row>
    <row r="16" spans="1:15" x14ac:dyDescent="0.2">
      <c r="A16" s="54" t="s">
        <v>54</v>
      </c>
      <c r="B16" s="55">
        <v>3653</v>
      </c>
      <c r="C16" s="55">
        <v>3225</v>
      </c>
      <c r="D16" s="55">
        <v>2321</v>
      </c>
      <c r="E16" s="55">
        <v>4432</v>
      </c>
      <c r="H16" s="99" t="s">
        <v>349</v>
      </c>
      <c r="I16" s="63">
        <f>B83</f>
        <v>1542</v>
      </c>
      <c r="J16" s="63">
        <f t="shared" ref="J16:L16" si="10">C83</f>
        <v>1222</v>
      </c>
      <c r="K16" s="63">
        <f t="shared" si="10"/>
        <v>1501</v>
      </c>
      <c r="L16" s="63">
        <f t="shared" si="10"/>
        <v>1394</v>
      </c>
    </row>
    <row r="17" spans="1:14" x14ac:dyDescent="0.2">
      <c r="A17" s="54" t="s">
        <v>55</v>
      </c>
      <c r="B17" s="55">
        <v>855</v>
      </c>
      <c r="C17" s="55">
        <v>708</v>
      </c>
      <c r="D17" s="55">
        <v>607</v>
      </c>
      <c r="E17" s="55">
        <v>1128</v>
      </c>
      <c r="H17" s="79" t="s">
        <v>350</v>
      </c>
      <c r="I17" s="63">
        <f>B84</f>
        <v>410</v>
      </c>
      <c r="J17" s="63">
        <f t="shared" ref="J17:L17" si="11">C84</f>
        <v>-259</v>
      </c>
      <c r="K17" s="63">
        <f t="shared" si="11"/>
        <v>109</v>
      </c>
      <c r="L17" s="63">
        <f t="shared" si="11"/>
        <v>205</v>
      </c>
    </row>
    <row r="18" spans="1:14" x14ac:dyDescent="0.2">
      <c r="A18" s="54" t="s">
        <v>56</v>
      </c>
      <c r="B18" s="55">
        <v>1390</v>
      </c>
      <c r="C18" s="55">
        <v>843</v>
      </c>
      <c r="D18" s="55">
        <v>694</v>
      </c>
      <c r="E18" s="55">
        <v>1156</v>
      </c>
      <c r="H18" s="79" t="s">
        <v>351</v>
      </c>
      <c r="I18" s="63">
        <f>B87</f>
        <v>2123</v>
      </c>
      <c r="J18" s="63">
        <f t="shared" ref="J18:L18" si="12">C87</f>
        <v>-1614</v>
      </c>
      <c r="K18" s="63">
        <f t="shared" si="12"/>
        <v>-592</v>
      </c>
      <c r="L18" s="63">
        <f t="shared" si="12"/>
        <v>-693</v>
      </c>
    </row>
    <row r="19" spans="1:14" x14ac:dyDescent="0.2">
      <c r="A19" s="54" t="s">
        <v>57</v>
      </c>
      <c r="B19" s="55">
        <v>0</v>
      </c>
      <c r="C19" s="55">
        <v>0</v>
      </c>
      <c r="D19" s="55">
        <v>0</v>
      </c>
      <c r="E19" s="55">
        <v>0</v>
      </c>
      <c r="H19" s="93" t="s">
        <v>352</v>
      </c>
      <c r="I19" s="101">
        <f>I15-I16+I17+I18</f>
        <v>5923</v>
      </c>
      <c r="J19" s="101">
        <f t="shared" ref="J19:L19" si="13">J15-J16+J17+J18</f>
        <v>3225</v>
      </c>
      <c r="K19" s="101">
        <f t="shared" si="13"/>
        <v>3887</v>
      </c>
      <c r="L19" s="101">
        <f t="shared" si="13"/>
        <v>5048</v>
      </c>
    </row>
    <row r="20" spans="1:14" x14ac:dyDescent="0.2">
      <c r="A20" s="54" t="s">
        <v>58</v>
      </c>
      <c r="B20" s="55">
        <v>10992</v>
      </c>
      <c r="C20" s="55">
        <v>10555</v>
      </c>
      <c r="D20" s="55">
        <v>10837</v>
      </c>
      <c r="E20" s="55">
        <v>10155</v>
      </c>
      <c r="H20" s="79" t="s">
        <v>353</v>
      </c>
      <c r="I20" s="63">
        <f>B91</f>
        <v>981</v>
      </c>
      <c r="J20" s="63">
        <f t="shared" ref="J20:L20" si="14">C91</f>
        <v>803</v>
      </c>
      <c r="K20" s="63">
        <f t="shared" si="14"/>
        <v>692</v>
      </c>
      <c r="L20" s="63">
        <f t="shared" si="14"/>
        <v>472</v>
      </c>
    </row>
    <row r="21" spans="1:14" x14ac:dyDescent="0.2">
      <c r="A21" s="54" t="s">
        <v>59</v>
      </c>
      <c r="B21" s="55">
        <v>886</v>
      </c>
      <c r="C21" s="55">
        <v>641</v>
      </c>
      <c r="D21" s="55">
        <v>589</v>
      </c>
      <c r="E21" s="55">
        <v>564</v>
      </c>
      <c r="H21" s="93" t="s">
        <v>354</v>
      </c>
      <c r="I21" s="101">
        <f>I19-I20</f>
        <v>4942</v>
      </c>
      <c r="J21" s="101">
        <f t="shared" ref="J21:L21" si="15">J19-J20</f>
        <v>2422</v>
      </c>
      <c r="K21" s="101">
        <f t="shared" si="15"/>
        <v>3195</v>
      </c>
      <c r="L21" s="101">
        <f t="shared" si="15"/>
        <v>4576</v>
      </c>
    </row>
    <row r="22" spans="1:14" x14ac:dyDescent="0.2">
      <c r="A22" s="54" t="s">
        <v>60</v>
      </c>
      <c r="B22" s="55">
        <v>10106</v>
      </c>
      <c r="C22" s="55">
        <v>9914</v>
      </c>
      <c r="D22" s="55">
        <v>10248</v>
      </c>
      <c r="E22" s="55">
        <v>9591</v>
      </c>
      <c r="H22" s="100" t="s">
        <v>367</v>
      </c>
      <c r="I22" s="105">
        <f>B100</f>
        <v>-6</v>
      </c>
      <c r="J22" s="105">
        <f t="shared" ref="J22:L22" si="16">C100</f>
        <v>-20</v>
      </c>
      <c r="K22" s="105">
        <f t="shared" si="16"/>
        <v>-16</v>
      </c>
      <c r="L22" s="105">
        <f t="shared" si="16"/>
        <v>-16</v>
      </c>
    </row>
    <row r="23" spans="1:14" x14ac:dyDescent="0.2">
      <c r="A23" s="54" t="s">
        <v>61</v>
      </c>
      <c r="B23" s="55">
        <v>45033</v>
      </c>
      <c r="C23" s="55">
        <v>42351</v>
      </c>
      <c r="D23" s="55">
        <v>35947</v>
      </c>
      <c r="E23" s="55">
        <v>36229</v>
      </c>
      <c r="H23" s="79" t="s">
        <v>356</v>
      </c>
      <c r="I23" s="63">
        <f>B108</f>
        <v>615</v>
      </c>
      <c r="J23" s="63">
        <f t="shared" ref="J23:L23" si="17">C108</f>
        <v>0</v>
      </c>
      <c r="K23" s="63">
        <f t="shared" si="17"/>
        <v>0</v>
      </c>
      <c r="L23" s="63">
        <f t="shared" si="17"/>
        <v>0</v>
      </c>
    </row>
    <row r="24" spans="1:14" x14ac:dyDescent="0.2">
      <c r="A24" s="54" t="s">
        <v>62</v>
      </c>
      <c r="B24" s="55">
        <v>6286</v>
      </c>
      <c r="C24" s="55">
        <v>6934</v>
      </c>
      <c r="D24" s="55">
        <v>7139</v>
      </c>
      <c r="E24" s="55">
        <v>6996</v>
      </c>
      <c r="H24" s="93" t="s">
        <v>355</v>
      </c>
      <c r="I24" s="95">
        <f>I21-I22+I23</f>
        <v>5563</v>
      </c>
      <c r="J24" s="95">
        <f t="shared" ref="J24:L24" si="18">J21-J22+J23</f>
        <v>2442</v>
      </c>
      <c r="K24" s="95">
        <f t="shared" si="18"/>
        <v>3211</v>
      </c>
      <c r="L24" s="95">
        <f t="shared" si="18"/>
        <v>4592</v>
      </c>
    </row>
    <row r="25" spans="1:14" x14ac:dyDescent="0.2">
      <c r="A25" s="54" t="s">
        <v>63</v>
      </c>
      <c r="B25" s="55">
        <v>13177</v>
      </c>
      <c r="C25" s="55">
        <v>13817</v>
      </c>
      <c r="D25" s="55">
        <v>14324</v>
      </c>
      <c r="E25" s="55">
        <v>14756</v>
      </c>
      <c r="G25" s="44"/>
    </row>
    <row r="26" spans="1:14" x14ac:dyDescent="0.2">
      <c r="A26" s="54" t="s">
        <v>64</v>
      </c>
      <c r="B26" s="55">
        <v>6891</v>
      </c>
      <c r="C26" s="55">
        <v>6883</v>
      </c>
      <c r="D26" s="55">
        <v>7185</v>
      </c>
      <c r="E26" s="55">
        <v>7760</v>
      </c>
      <c r="H26" s="56"/>
      <c r="I26" s="55"/>
      <c r="J26" s="55"/>
      <c r="K26" s="55"/>
      <c r="L26" s="55"/>
    </row>
    <row r="27" spans="1:14" x14ac:dyDescent="0.2">
      <c r="A27" s="54" t="s">
        <v>65</v>
      </c>
      <c r="B27" s="55">
        <v>0</v>
      </c>
      <c r="C27" s="55">
        <v>0</v>
      </c>
      <c r="D27" s="55">
        <v>0</v>
      </c>
      <c r="E27" s="55">
        <v>0</v>
      </c>
      <c r="H27" s="85" t="s">
        <v>357</v>
      </c>
      <c r="I27" s="61"/>
      <c r="J27" s="61"/>
      <c r="K27" s="61"/>
      <c r="L27" s="61"/>
      <c r="M27" s="61"/>
      <c r="N27" s="61"/>
    </row>
    <row r="28" spans="1:14" x14ac:dyDescent="0.2">
      <c r="A28" s="54" t="s">
        <v>66</v>
      </c>
      <c r="B28" s="55">
        <v>8071</v>
      </c>
      <c r="C28" s="55">
        <v>7596</v>
      </c>
      <c r="D28" s="55">
        <v>7193</v>
      </c>
      <c r="E28" s="55">
        <v>7423</v>
      </c>
      <c r="H28" s="78" t="s">
        <v>363</v>
      </c>
      <c r="I28" s="88">
        <f>I6/I4</f>
        <v>0.24106445843256222</v>
      </c>
      <c r="J28" s="88">
        <f t="shared" ref="J28:L28" si="19">J6/J4</f>
        <v>0.24822826756336694</v>
      </c>
      <c r="K28" s="88">
        <f t="shared" si="19"/>
        <v>0.26881538026576196</v>
      </c>
      <c r="L28" s="88">
        <f t="shared" si="19"/>
        <v>0.25216863561689706</v>
      </c>
    </row>
    <row r="29" spans="1:14" x14ac:dyDescent="0.2">
      <c r="A29" s="54" t="s">
        <v>67</v>
      </c>
      <c r="B29" s="55">
        <v>27903</v>
      </c>
      <c r="C29" s="55">
        <v>26817</v>
      </c>
      <c r="D29" s="55">
        <v>26047</v>
      </c>
      <c r="E29" s="55">
        <v>24731</v>
      </c>
      <c r="H29" s="78" t="s">
        <v>364</v>
      </c>
      <c r="I29" s="88">
        <f>I8/I4</f>
        <v>8.3787068786624105E-2</v>
      </c>
      <c r="J29" s="88">
        <f t="shared" ref="J29:L29" si="20">J8/J4</f>
        <v>9.2628615556055172E-2</v>
      </c>
      <c r="K29" s="88">
        <f t="shared" si="20"/>
        <v>0.10374893977947414</v>
      </c>
      <c r="L29" s="88">
        <f t="shared" si="20"/>
        <v>0.10519321523119905</v>
      </c>
    </row>
    <row r="30" spans="1:14" x14ac:dyDescent="0.2">
      <c r="A30" s="54" t="s">
        <v>68</v>
      </c>
      <c r="B30" s="55">
        <v>5442</v>
      </c>
      <c r="C30" s="55">
        <v>5913</v>
      </c>
      <c r="D30" s="55">
        <v>5763</v>
      </c>
      <c r="E30" s="55">
        <v>4367</v>
      </c>
      <c r="H30" s="78" t="s">
        <v>407</v>
      </c>
      <c r="I30" s="88">
        <f>I10/I4</f>
        <v>4.8736622627152976E-2</v>
      </c>
      <c r="J30" s="88">
        <f t="shared" ref="J30:L30" si="21">J10/J4</f>
        <v>6.1778477238736668E-2</v>
      </c>
      <c r="K30" s="88">
        <f t="shared" si="21"/>
        <v>6.6395250212044107E-2</v>
      </c>
      <c r="L30" s="88">
        <f t="shared" si="21"/>
        <v>7.2514570929295682E-2</v>
      </c>
    </row>
    <row r="31" spans="1:14" x14ac:dyDescent="0.2">
      <c r="A31" s="54" t="s">
        <v>69</v>
      </c>
      <c r="B31" s="54" t="s">
        <v>70</v>
      </c>
      <c r="C31" s="54" t="s">
        <v>70</v>
      </c>
      <c r="D31" s="54" t="s">
        <v>70</v>
      </c>
      <c r="E31" s="54" t="s">
        <v>70</v>
      </c>
      <c r="H31" s="78" t="s">
        <v>408</v>
      </c>
      <c r="I31" s="88">
        <f>I12/I4</f>
        <v>4.0664593790881311E-2</v>
      </c>
      <c r="J31" s="88">
        <f t="shared" ref="J31:L31" si="22">J12/J4</f>
        <v>4.6396115309215578E-2</v>
      </c>
      <c r="K31" s="88">
        <f t="shared" si="22"/>
        <v>5.457494839914611E-2</v>
      </c>
      <c r="L31" s="88">
        <f t="shared" si="22"/>
        <v>6.5734286167285466E-2</v>
      </c>
    </row>
    <row r="32" spans="1:14" x14ac:dyDescent="0.2">
      <c r="A32" s="54" t="s">
        <v>71</v>
      </c>
      <c r="B32" s="55">
        <v>5442</v>
      </c>
      <c r="C32" s="55">
        <v>5913</v>
      </c>
      <c r="D32" s="55">
        <v>5763</v>
      </c>
      <c r="E32" s="55">
        <v>4367</v>
      </c>
      <c r="H32" s="78" t="s">
        <v>359</v>
      </c>
      <c r="I32" s="102">
        <f>I19/I4</f>
        <v>5.8529403045544826E-2</v>
      </c>
      <c r="J32" s="102">
        <f t="shared" ref="J32:L32" si="23">J19/J4</f>
        <v>3.1524618527678128E-2</v>
      </c>
      <c r="K32" s="102">
        <f t="shared" si="23"/>
        <v>4.3958156629912357E-2</v>
      </c>
      <c r="L32" s="102">
        <f t="shared" si="23"/>
        <v>5.2821580671152175E-2</v>
      </c>
    </row>
    <row r="33" spans="1:14" x14ac:dyDescent="0.2">
      <c r="A33" s="54" t="s">
        <v>72</v>
      </c>
      <c r="B33" s="55">
        <v>92735</v>
      </c>
      <c r="C33" s="55">
        <v>89611</v>
      </c>
      <c r="D33" s="55">
        <v>82089</v>
      </c>
      <c r="E33" s="55">
        <v>79746</v>
      </c>
      <c r="H33" s="78" t="s">
        <v>360</v>
      </c>
      <c r="I33" s="57">
        <f>I24/I4</f>
        <v>5.4971985335533664E-2</v>
      </c>
      <c r="J33" s="57">
        <f t="shared" ref="J33:L33" si="24">J24/J4</f>
        <v>2.387073440142325E-2</v>
      </c>
      <c r="K33" s="57">
        <f t="shared" si="24"/>
        <v>3.6313259824710203E-2</v>
      </c>
      <c r="L33" s="57">
        <f t="shared" si="24"/>
        <v>4.805005912082623E-2</v>
      </c>
    </row>
    <row r="34" spans="1:14" x14ac:dyDescent="0.2">
      <c r="A34" s="1" t="s">
        <v>73</v>
      </c>
      <c r="H34" s="78" t="s">
        <v>361</v>
      </c>
      <c r="I34" s="57">
        <f>I11</f>
        <v>0.16562552760425461</v>
      </c>
      <c r="J34" s="57">
        <f t="shared" ref="J34:L34" si="25">J11</f>
        <v>0.2489922480620155</v>
      </c>
      <c r="K34" s="57">
        <f t="shared" si="25"/>
        <v>0.17802932853100079</v>
      </c>
      <c r="L34" s="57">
        <f t="shared" si="25"/>
        <v>9.3502377179080817E-2</v>
      </c>
    </row>
    <row r="35" spans="1:14" x14ac:dyDescent="0.2">
      <c r="A35" s="54" t="s">
        <v>74</v>
      </c>
      <c r="B35" s="55">
        <v>6110</v>
      </c>
      <c r="C35" s="55">
        <v>6833</v>
      </c>
      <c r="D35" s="55">
        <v>7235</v>
      </c>
      <c r="E35" s="55">
        <v>5440</v>
      </c>
      <c r="H35" s="78" t="s">
        <v>362</v>
      </c>
      <c r="I35" s="116">
        <f>I15/I16</f>
        <v>3.1984435797665371</v>
      </c>
      <c r="J35" s="116">
        <f t="shared" ref="J35:L35" si="26">J15/J16</f>
        <v>5.171849427168576</v>
      </c>
      <c r="K35" s="116">
        <f t="shared" si="26"/>
        <v>3.9113924050632911</v>
      </c>
      <c r="L35" s="116">
        <f t="shared" si="26"/>
        <v>4.9713055954088956</v>
      </c>
    </row>
    <row r="36" spans="1:14" x14ac:dyDescent="0.2">
      <c r="A36" s="54" t="s">
        <v>75</v>
      </c>
      <c r="B36" s="55">
        <v>0</v>
      </c>
      <c r="C36" s="55">
        <v>0</v>
      </c>
      <c r="D36" s="55">
        <v>0</v>
      </c>
      <c r="E36" s="55">
        <v>0</v>
      </c>
    </row>
    <row r="37" spans="1:14" x14ac:dyDescent="0.2">
      <c r="A37" s="54" t="s">
        <v>76</v>
      </c>
      <c r="B37" s="55">
        <v>6110</v>
      </c>
      <c r="C37" s="55">
        <v>6833</v>
      </c>
      <c r="D37" s="55">
        <v>7235</v>
      </c>
      <c r="E37" s="55">
        <v>5440</v>
      </c>
      <c r="H37" s="56"/>
    </row>
    <row r="38" spans="1:14" x14ac:dyDescent="0.2">
      <c r="A38" s="54" t="s">
        <v>77</v>
      </c>
      <c r="B38" s="55">
        <v>27143</v>
      </c>
      <c r="C38" s="55">
        <v>18598</v>
      </c>
      <c r="D38" s="55">
        <v>19389</v>
      </c>
      <c r="E38" s="55">
        <v>20832</v>
      </c>
      <c r="H38" s="85" t="s">
        <v>346</v>
      </c>
      <c r="I38" s="143" t="s">
        <v>337</v>
      </c>
      <c r="J38" s="143"/>
      <c r="K38" s="143"/>
      <c r="L38" s="64"/>
      <c r="M38" s="75"/>
      <c r="N38" s="75"/>
    </row>
    <row r="39" spans="1:14" x14ac:dyDescent="0.2">
      <c r="A39" s="54" t="s">
        <v>78</v>
      </c>
      <c r="B39" s="54" t="s">
        <v>70</v>
      </c>
      <c r="C39" s="54" t="s">
        <v>70</v>
      </c>
      <c r="D39" s="54" t="s">
        <v>70</v>
      </c>
      <c r="E39" s="54" t="s">
        <v>70</v>
      </c>
      <c r="H39" s="56"/>
    </row>
    <row r="40" spans="1:14" x14ac:dyDescent="0.2">
      <c r="A40" s="54" t="s">
        <v>79</v>
      </c>
      <c r="B40" s="55">
        <v>22966</v>
      </c>
      <c r="C40" s="55">
        <v>26223</v>
      </c>
      <c r="D40" s="55">
        <v>21870</v>
      </c>
      <c r="E40" s="55">
        <v>20255</v>
      </c>
      <c r="H40" s="92" t="s">
        <v>324</v>
      </c>
      <c r="I40" s="86">
        <f>B11</f>
        <v>18132</v>
      </c>
      <c r="J40" s="86">
        <f t="shared" ref="J40:L40" si="27">C11</f>
        <v>18141</v>
      </c>
      <c r="K40" s="86">
        <f t="shared" si="27"/>
        <v>13986</v>
      </c>
      <c r="L40" s="86">
        <f t="shared" si="27"/>
        <v>15602</v>
      </c>
    </row>
    <row r="41" spans="1:14" ht="13.5" x14ac:dyDescent="0.25">
      <c r="A41" s="54" t="s">
        <v>80</v>
      </c>
      <c r="B41" s="54" t="s">
        <v>70</v>
      </c>
      <c r="C41" s="54" t="s">
        <v>70</v>
      </c>
      <c r="D41" s="54" t="s">
        <v>70</v>
      </c>
      <c r="E41" s="54" t="s">
        <v>70</v>
      </c>
      <c r="H41" s="58" t="s">
        <v>334</v>
      </c>
      <c r="I41" s="59"/>
      <c r="J41" s="59">
        <f>I40-J40</f>
        <v>-9</v>
      </c>
      <c r="K41" s="59">
        <f t="shared" ref="K41:L41" si="28">J40-K40</f>
        <v>4155</v>
      </c>
      <c r="L41" s="59">
        <f t="shared" si="28"/>
        <v>-1616</v>
      </c>
    </row>
    <row r="42" spans="1:14" x14ac:dyDescent="0.2">
      <c r="A42" s="54" t="s">
        <v>81</v>
      </c>
      <c r="B42" s="55">
        <v>22966</v>
      </c>
      <c r="C42" s="55">
        <v>26223</v>
      </c>
      <c r="D42" s="55">
        <v>21870</v>
      </c>
      <c r="E42" s="55">
        <v>20255</v>
      </c>
      <c r="H42" s="92" t="s">
        <v>325</v>
      </c>
      <c r="I42" s="86">
        <f>B15</f>
        <v>5898</v>
      </c>
      <c r="J42" s="86">
        <f t="shared" ref="J42:L42" si="29">C15</f>
        <v>4776</v>
      </c>
      <c r="K42" s="86">
        <f t="shared" si="29"/>
        <v>3622</v>
      </c>
      <c r="L42" s="86">
        <f t="shared" si="29"/>
        <v>6716</v>
      </c>
    </row>
    <row r="43" spans="1:14" x14ac:dyDescent="0.2">
      <c r="A43" s="54" t="s">
        <v>82</v>
      </c>
      <c r="B43" s="55">
        <v>56219</v>
      </c>
      <c r="C43" s="55">
        <v>51654</v>
      </c>
      <c r="D43" s="55">
        <v>48494</v>
      </c>
      <c r="E43" s="55">
        <v>46527</v>
      </c>
      <c r="H43" s="81" t="s">
        <v>335</v>
      </c>
      <c r="I43" s="61"/>
      <c r="J43" s="62">
        <f>I42-J42</f>
        <v>1122</v>
      </c>
      <c r="K43" s="62">
        <f t="shared" ref="K43:L43" si="30">J42-K42</f>
        <v>1154</v>
      </c>
      <c r="L43" s="62">
        <f t="shared" si="30"/>
        <v>-3094</v>
      </c>
    </row>
    <row r="44" spans="1:14" x14ac:dyDescent="0.2">
      <c r="A44" s="54" t="s">
        <v>83</v>
      </c>
      <c r="B44" s="55">
        <v>21851</v>
      </c>
      <c r="C44" s="55">
        <v>23645</v>
      </c>
      <c r="D44" s="55">
        <v>19588</v>
      </c>
      <c r="E44" s="55">
        <v>19885</v>
      </c>
      <c r="H44" s="92" t="s">
        <v>326</v>
      </c>
      <c r="I44" s="86">
        <f>B38</f>
        <v>27143</v>
      </c>
      <c r="J44" s="86">
        <f t="shared" ref="J44:L44" si="31">C38</f>
        <v>18598</v>
      </c>
      <c r="K44" s="86">
        <f t="shared" si="31"/>
        <v>19389</v>
      </c>
      <c r="L44" s="86">
        <f t="shared" si="31"/>
        <v>20832</v>
      </c>
    </row>
    <row r="45" spans="1:14" ht="13.5" x14ac:dyDescent="0.25">
      <c r="A45" s="54" t="s">
        <v>84</v>
      </c>
      <c r="B45" s="55">
        <v>0</v>
      </c>
      <c r="C45" s="55">
        <v>0</v>
      </c>
      <c r="D45" s="55">
        <v>0</v>
      </c>
      <c r="E45" s="55">
        <v>0</v>
      </c>
      <c r="H45" s="58" t="s">
        <v>336</v>
      </c>
      <c r="I45" s="61"/>
      <c r="J45" s="62">
        <f>(J44-I44)</f>
        <v>-8545</v>
      </c>
      <c r="K45" s="62">
        <f t="shared" ref="K45:L45" si="32">(K44-J44)</f>
        <v>791</v>
      </c>
      <c r="L45" s="62">
        <f t="shared" si="32"/>
        <v>1443</v>
      </c>
    </row>
    <row r="46" spans="1:14" x14ac:dyDescent="0.2">
      <c r="A46" s="54" t="s">
        <v>85</v>
      </c>
      <c r="B46" s="55">
        <v>0</v>
      </c>
      <c r="C46" s="55">
        <v>0</v>
      </c>
      <c r="D46" s="55">
        <v>0</v>
      </c>
      <c r="E46" s="55">
        <v>0</v>
      </c>
      <c r="H46" s="104" t="s">
        <v>366</v>
      </c>
      <c r="I46" s="90">
        <f>I40+I42-I44</f>
        <v>-3113</v>
      </c>
      <c r="J46" s="90">
        <f t="shared" ref="J46:L46" si="33">J40+J42-J44</f>
        <v>4319</v>
      </c>
      <c r="K46" s="90">
        <f t="shared" si="33"/>
        <v>-1781</v>
      </c>
      <c r="L46" s="90">
        <f t="shared" si="33"/>
        <v>1486</v>
      </c>
    </row>
    <row r="47" spans="1:14" ht="13.5" x14ac:dyDescent="0.25">
      <c r="A47" s="54" t="s">
        <v>86</v>
      </c>
      <c r="B47" s="55">
        <v>0</v>
      </c>
      <c r="C47" s="55">
        <v>0</v>
      </c>
      <c r="D47" s="55">
        <v>0</v>
      </c>
      <c r="E47" s="55">
        <v>0</v>
      </c>
      <c r="H47" s="106" t="s">
        <v>383</v>
      </c>
      <c r="J47" s="44">
        <f>J46-I46</f>
        <v>7432</v>
      </c>
      <c r="K47" s="44">
        <f t="shared" ref="K47:L47" si="34">K46-J46</f>
        <v>-6100</v>
      </c>
      <c r="L47" s="44">
        <f t="shared" si="34"/>
        <v>3267</v>
      </c>
    </row>
    <row r="48" spans="1:14" x14ac:dyDescent="0.2">
      <c r="A48" s="54" t="s">
        <v>87</v>
      </c>
      <c r="B48" s="55">
        <v>0</v>
      </c>
      <c r="C48" s="55">
        <v>0</v>
      </c>
      <c r="D48" s="55">
        <v>0</v>
      </c>
      <c r="E48" s="55">
        <v>0</v>
      </c>
    </row>
    <row r="49" spans="1:17" x14ac:dyDescent="0.2">
      <c r="A49" s="54" t="s">
        <v>88</v>
      </c>
      <c r="B49" s="55">
        <v>17252</v>
      </c>
      <c r="C49" s="55">
        <v>19252</v>
      </c>
      <c r="D49" s="55">
        <v>16559</v>
      </c>
      <c r="E49" s="55">
        <v>16025</v>
      </c>
    </row>
    <row r="50" spans="1:17" x14ac:dyDescent="0.2">
      <c r="A50" s="54" t="s">
        <v>89</v>
      </c>
      <c r="B50" s="54" t="s">
        <v>70</v>
      </c>
      <c r="C50" s="54" t="s">
        <v>70</v>
      </c>
      <c r="D50" s="54" t="s">
        <v>70</v>
      </c>
      <c r="E50" s="54" t="s">
        <v>70</v>
      </c>
      <c r="H50" s="77"/>
      <c r="I50" s="77"/>
      <c r="J50" s="77"/>
      <c r="K50" s="77"/>
      <c r="L50" s="77"/>
    </row>
    <row r="51" spans="1:17" x14ac:dyDescent="0.2">
      <c r="A51" s="54" t="s">
        <v>90</v>
      </c>
      <c r="B51" s="55">
        <v>10990</v>
      </c>
      <c r="C51" s="55">
        <v>11505</v>
      </c>
      <c r="D51" s="55">
        <v>10492</v>
      </c>
      <c r="E51" s="55">
        <v>9521</v>
      </c>
      <c r="H51" s="85" t="s">
        <v>368</v>
      </c>
      <c r="I51" s="61"/>
      <c r="J51" s="61"/>
      <c r="K51" s="61"/>
      <c r="L51" s="61"/>
      <c r="M51" s="61"/>
      <c r="N51" s="61"/>
    </row>
    <row r="52" spans="1:17" x14ac:dyDescent="0.2">
      <c r="A52" s="54" t="s">
        <v>91</v>
      </c>
      <c r="B52" s="55">
        <v>0</v>
      </c>
      <c r="C52" s="55">
        <v>0</v>
      </c>
      <c r="D52" s="55">
        <v>0</v>
      </c>
      <c r="E52" s="55">
        <v>0</v>
      </c>
      <c r="H52" s="78" t="s">
        <v>369</v>
      </c>
      <c r="J52" s="103">
        <f>(I40+J40)/2</f>
        <v>18136.5</v>
      </c>
      <c r="K52" s="103">
        <f>(J40+K40)/2</f>
        <v>16063.5</v>
      </c>
      <c r="L52" s="103">
        <f>(K40+L40)/2</f>
        <v>14794</v>
      </c>
    </row>
    <row r="53" spans="1:17" x14ac:dyDescent="0.2">
      <c r="A53" s="54" t="s">
        <v>92</v>
      </c>
      <c r="B53" s="55">
        <v>16245</v>
      </c>
      <c r="C53" s="55">
        <v>17337</v>
      </c>
      <c r="D53" s="55">
        <v>16316</v>
      </c>
      <c r="E53" s="55">
        <v>14721</v>
      </c>
      <c r="H53" s="78" t="s">
        <v>370</v>
      </c>
      <c r="J53" s="103">
        <f>(I42+J42)/2</f>
        <v>5337</v>
      </c>
      <c r="K53" s="103">
        <f t="shared" ref="K53:L53" si="35">(J42+K42)/2</f>
        <v>4199</v>
      </c>
      <c r="L53" s="103">
        <f t="shared" si="35"/>
        <v>5169</v>
      </c>
      <c r="Q53" s="44"/>
    </row>
    <row r="54" spans="1:17" x14ac:dyDescent="0.2">
      <c r="A54" s="54" t="s">
        <v>93</v>
      </c>
      <c r="B54" s="54" t="s">
        <v>70</v>
      </c>
      <c r="C54" s="54" t="s">
        <v>70</v>
      </c>
      <c r="D54" s="54" t="s">
        <v>70</v>
      </c>
      <c r="E54" s="54" t="s">
        <v>70</v>
      </c>
      <c r="H54" s="78" t="s">
        <v>371</v>
      </c>
      <c r="J54" s="103">
        <f>(I44+J44)/2</f>
        <v>22870.5</v>
      </c>
      <c r="K54" s="103">
        <f t="shared" ref="K54:L54" si="36">(J44+K44)/2</f>
        <v>18993.5</v>
      </c>
      <c r="L54" s="103">
        <f t="shared" si="36"/>
        <v>20110.5</v>
      </c>
    </row>
    <row r="55" spans="1:17" x14ac:dyDescent="0.2">
      <c r="A55" s="54" t="s">
        <v>94</v>
      </c>
      <c r="B55" s="54" t="s">
        <v>70</v>
      </c>
      <c r="C55" s="54" t="s">
        <v>70</v>
      </c>
      <c r="D55" s="54" t="s">
        <v>70</v>
      </c>
      <c r="E55" s="54" t="s">
        <v>70</v>
      </c>
      <c r="H55" s="78" t="s">
        <v>372</v>
      </c>
      <c r="J55" s="103">
        <f>(B33+C33)/2</f>
        <v>91173</v>
      </c>
      <c r="K55" s="103">
        <f t="shared" ref="K55:L55" si="37">(C33+D33)/2</f>
        <v>85850</v>
      </c>
      <c r="L55" s="103">
        <f t="shared" si="37"/>
        <v>80917.5</v>
      </c>
    </row>
    <row r="56" spans="1:17" x14ac:dyDescent="0.2">
      <c r="A56" s="54" t="s">
        <v>95</v>
      </c>
      <c r="B56" s="55">
        <v>0</v>
      </c>
      <c r="C56" s="55">
        <v>0</v>
      </c>
      <c r="D56" s="55">
        <v>0</v>
      </c>
      <c r="E56" s="55">
        <v>0</v>
      </c>
    </row>
    <row r="57" spans="1:17" x14ac:dyDescent="0.2">
      <c r="A57" s="54" t="s">
        <v>96</v>
      </c>
      <c r="B57" s="55">
        <v>0</v>
      </c>
      <c r="C57" s="55">
        <v>0</v>
      </c>
      <c r="D57" s="55">
        <v>0</v>
      </c>
      <c r="E57" s="55">
        <v>0</v>
      </c>
    </row>
    <row r="58" spans="1:17" x14ac:dyDescent="0.2">
      <c r="A58" s="54" t="s">
        <v>97</v>
      </c>
      <c r="B58" s="54" t="s">
        <v>70</v>
      </c>
      <c r="C58" s="54" t="s">
        <v>70</v>
      </c>
      <c r="D58" s="54" t="s">
        <v>70</v>
      </c>
      <c r="E58" s="54" t="s">
        <v>70</v>
      </c>
    </row>
    <row r="59" spans="1:17" x14ac:dyDescent="0.2">
      <c r="A59" s="1" t="s">
        <v>98</v>
      </c>
      <c r="H59" s="85" t="s">
        <v>373</v>
      </c>
      <c r="I59" s="61"/>
      <c r="J59" s="61"/>
      <c r="K59" s="61"/>
      <c r="L59" s="61"/>
      <c r="M59" s="61"/>
      <c r="N59" s="61"/>
    </row>
    <row r="60" spans="1:17" x14ac:dyDescent="0.2">
      <c r="A60" s="54" t="s">
        <v>99</v>
      </c>
      <c r="B60" s="55">
        <v>0</v>
      </c>
      <c r="C60" s="55">
        <v>0</v>
      </c>
      <c r="D60" s="55">
        <v>0</v>
      </c>
      <c r="E60" s="55">
        <v>0</v>
      </c>
      <c r="H60" s="78" t="s">
        <v>374</v>
      </c>
      <c r="J60" s="103">
        <f>J4/J52</f>
        <v>5.6406142309706944</v>
      </c>
      <c r="K60" s="103">
        <f t="shared" ref="K60:L60" si="38">K4/K52</f>
        <v>5.5047156597254645</v>
      </c>
      <c r="L60" s="103">
        <f t="shared" si="38"/>
        <v>6.4598485872651077</v>
      </c>
    </row>
    <row r="61" spans="1:17" x14ac:dyDescent="0.2">
      <c r="A61" s="54" t="s">
        <v>100</v>
      </c>
      <c r="B61" s="55">
        <v>0</v>
      </c>
      <c r="C61" s="55">
        <v>0</v>
      </c>
      <c r="D61" s="55">
        <v>0</v>
      </c>
      <c r="E61" s="55">
        <v>0</v>
      </c>
      <c r="H61" s="85" t="s">
        <v>375</v>
      </c>
      <c r="I61" s="85"/>
      <c r="J61" s="107">
        <f>365/J60</f>
        <v>64.709264816570709</v>
      </c>
      <c r="K61" s="107">
        <f t="shared" ref="K61:L61" si="39">365/K60</f>
        <v>66.306785411365567</v>
      </c>
      <c r="L61" s="107">
        <f t="shared" si="39"/>
        <v>56.502872330406937</v>
      </c>
      <c r="O61" s="103"/>
    </row>
    <row r="62" spans="1:17" x14ac:dyDescent="0.2">
      <c r="A62" s="54" t="s">
        <v>101</v>
      </c>
      <c r="B62" s="55">
        <v>0</v>
      </c>
      <c r="C62" s="55">
        <v>0</v>
      </c>
      <c r="D62" s="55">
        <v>0</v>
      </c>
      <c r="E62" s="55">
        <v>0</v>
      </c>
      <c r="H62" s="78" t="s">
        <v>376</v>
      </c>
      <c r="J62" s="103">
        <f>J5/J53</f>
        <v>14.41015551808132</v>
      </c>
      <c r="K62" s="103">
        <f t="shared" ref="K62:L62" si="40">K5/K53</f>
        <v>15.397713741366992</v>
      </c>
      <c r="L62" s="103">
        <f t="shared" si="40"/>
        <v>13.826272006190752</v>
      </c>
    </row>
    <row r="63" spans="1:17" x14ac:dyDescent="0.2">
      <c r="A63" s="54" t="s">
        <v>102</v>
      </c>
      <c r="B63" s="55">
        <v>-1685</v>
      </c>
      <c r="C63" s="55">
        <v>-3122</v>
      </c>
      <c r="D63" s="55">
        <v>-2404</v>
      </c>
      <c r="E63" s="55">
        <v>-1482</v>
      </c>
      <c r="H63" s="85" t="s">
        <v>377</v>
      </c>
      <c r="I63" s="85"/>
      <c r="J63" s="107">
        <f>365/J62</f>
        <v>25.329358835996722</v>
      </c>
      <c r="K63" s="107">
        <f t="shared" ref="K63:L63" si="41">365/K62</f>
        <v>23.704817879514344</v>
      </c>
      <c r="L63" s="107">
        <f t="shared" si="41"/>
        <v>26.399017742206304</v>
      </c>
    </row>
    <row r="64" spans="1:17" x14ac:dyDescent="0.2">
      <c r="A64" s="54" t="s">
        <v>103</v>
      </c>
      <c r="B64" s="55">
        <v>8</v>
      </c>
      <c r="C64" s="55">
        <v>8</v>
      </c>
      <c r="D64" s="55">
        <v>8</v>
      </c>
      <c r="E64" s="55">
        <v>8</v>
      </c>
      <c r="H64" s="78" t="s">
        <v>378</v>
      </c>
      <c r="J64" s="103">
        <f>J5/J54</f>
        <v>3.3627161627423976</v>
      </c>
      <c r="K64" s="103">
        <f t="shared" ref="K64:L64" si="42">K5/K54</f>
        <v>3.404059283439071</v>
      </c>
      <c r="L64" s="103">
        <f t="shared" si="42"/>
        <v>3.5537654459113397</v>
      </c>
    </row>
    <row r="65" spans="1:14" x14ac:dyDescent="0.2">
      <c r="A65" s="54" t="s">
        <v>104</v>
      </c>
      <c r="B65" s="55">
        <v>7890</v>
      </c>
      <c r="C65" s="55">
        <v>8416</v>
      </c>
      <c r="D65" s="55">
        <v>8918</v>
      </c>
      <c r="E65" s="55">
        <v>9111</v>
      </c>
      <c r="H65" s="85" t="s">
        <v>379</v>
      </c>
      <c r="I65" s="85"/>
      <c r="J65" s="107">
        <f>365/J64</f>
        <v>108.54320803047837</v>
      </c>
      <c r="K65" s="107">
        <f t="shared" ref="K65:L65" si="43">365/K64</f>
        <v>107.22492459979894</v>
      </c>
      <c r="L65" s="107">
        <f t="shared" si="43"/>
        <v>102.70796020596632</v>
      </c>
    </row>
    <row r="66" spans="1:14" x14ac:dyDescent="0.2">
      <c r="A66" s="54" t="s">
        <v>105</v>
      </c>
      <c r="B66" s="55">
        <v>-8619</v>
      </c>
      <c r="C66" s="55">
        <v>-7733</v>
      </c>
      <c r="D66" s="55">
        <v>-5430</v>
      </c>
      <c r="E66" s="55">
        <v>-2099</v>
      </c>
      <c r="H66" s="78" t="s">
        <v>380</v>
      </c>
      <c r="J66" s="103">
        <f>J61+J63-J65</f>
        <v>-18.504584377910945</v>
      </c>
      <c r="K66" s="103">
        <f t="shared" ref="K66:L66" si="44">K61+K63-K65</f>
        <v>-17.213321308919021</v>
      </c>
      <c r="L66" s="103">
        <f t="shared" si="44"/>
        <v>-19.806070133353074</v>
      </c>
    </row>
    <row r="67" spans="1:14" x14ac:dyDescent="0.2">
      <c r="A67" s="54" t="s">
        <v>106</v>
      </c>
      <c r="B67" s="55">
        <v>964</v>
      </c>
      <c r="C67" s="55">
        <v>3813</v>
      </c>
      <c r="D67" s="55">
        <v>5900</v>
      </c>
      <c r="E67" s="55">
        <v>8502</v>
      </c>
      <c r="H67" s="78" t="s">
        <v>381</v>
      </c>
      <c r="J67" s="103">
        <f>J4/J55</f>
        <v>1.1220536781722659</v>
      </c>
      <c r="K67" s="103">
        <f t="shared" ref="K67:L67" si="45">K4/K55</f>
        <v>1.029994175888177</v>
      </c>
      <c r="L67" s="103">
        <f t="shared" si="45"/>
        <v>1.1810424197485092</v>
      </c>
    </row>
    <row r="68" spans="1:14" x14ac:dyDescent="0.2">
      <c r="A68" s="54" t="s">
        <v>107</v>
      </c>
      <c r="B68" s="55">
        <v>-1685</v>
      </c>
      <c r="C68" s="55">
        <v>-3122</v>
      </c>
      <c r="D68" s="55">
        <v>-2404</v>
      </c>
      <c r="E68" s="55">
        <v>-1482</v>
      </c>
      <c r="H68" s="78" t="s">
        <v>382</v>
      </c>
      <c r="J68" s="57">
        <f>J24/J55</f>
        <v>2.6784245335790199E-2</v>
      </c>
      <c r="K68" s="57">
        <f t="shared" ref="K68:L68" si="46">K24/K55</f>
        <v>3.7402446126965638E-2</v>
      </c>
      <c r="L68" s="57">
        <f t="shared" si="46"/>
        <v>5.6749158093119534E-2</v>
      </c>
    </row>
    <row r="69" spans="1:14" x14ac:dyDescent="0.2">
      <c r="A69" s="54" t="s">
        <v>108</v>
      </c>
      <c r="B69" s="55">
        <v>105</v>
      </c>
      <c r="C69" s="55">
        <v>97</v>
      </c>
      <c r="D69" s="55">
        <v>95</v>
      </c>
      <c r="E69" s="55">
        <v>95</v>
      </c>
      <c r="H69" s="78" t="s">
        <v>384</v>
      </c>
      <c r="J69" s="57">
        <f>J33*J67</f>
        <v>2.6784245335790199E-2</v>
      </c>
      <c r="K69" s="57">
        <f t="shared" ref="K69:L69" si="47">K33*K67</f>
        <v>3.7402446126965631E-2</v>
      </c>
      <c r="L69" s="57">
        <f t="shared" si="47"/>
        <v>5.6749158093119534E-2</v>
      </c>
    </row>
    <row r="70" spans="1:14" x14ac:dyDescent="0.2">
      <c r="A70" s="54" t="s">
        <v>109</v>
      </c>
      <c r="B70" s="55">
        <v>-1580</v>
      </c>
      <c r="C70" s="55">
        <v>-3025</v>
      </c>
      <c r="D70" s="55">
        <v>-2309</v>
      </c>
      <c r="E70" s="55">
        <v>-1387</v>
      </c>
      <c r="H70" s="78" t="s">
        <v>400</v>
      </c>
      <c r="J70" s="57">
        <f>J46/J4</f>
        <v>4.2218551138307546E-2</v>
      </c>
      <c r="K70" s="57">
        <f t="shared" ref="K70" si="48">K46/K4</f>
        <v>-2.0141362736782586E-2</v>
      </c>
      <c r="L70" s="57">
        <f>L46/L4</f>
        <v>1.5549300490755176E-2</v>
      </c>
    </row>
    <row r="71" spans="1:14" x14ac:dyDescent="0.2">
      <c r="A71" s="54" t="s">
        <v>110</v>
      </c>
      <c r="B71" s="55">
        <v>92735</v>
      </c>
      <c r="C71" s="55">
        <v>89611</v>
      </c>
      <c r="D71" s="55">
        <v>82089</v>
      </c>
      <c r="E71" s="55">
        <v>79746</v>
      </c>
      <c r="H71" s="79"/>
    </row>
    <row r="72" spans="1:14" x14ac:dyDescent="0.2">
      <c r="A72" s="1"/>
    </row>
    <row r="73" spans="1:14" x14ac:dyDescent="0.2">
      <c r="A73" s="53" t="s">
        <v>321</v>
      </c>
      <c r="H73" s="85" t="s">
        <v>399</v>
      </c>
      <c r="I73" s="144" t="s">
        <v>323</v>
      </c>
      <c r="J73" s="144"/>
      <c r="K73" s="144"/>
      <c r="L73" s="98"/>
    </row>
    <row r="74" spans="1:14" x14ac:dyDescent="0.2">
      <c r="A74" s="54" t="s">
        <v>111</v>
      </c>
      <c r="B74" s="55">
        <v>101197</v>
      </c>
      <c r="C74" s="55">
        <v>102301</v>
      </c>
      <c r="D74" s="55">
        <v>88425</v>
      </c>
      <c r="E74" s="55">
        <v>95567</v>
      </c>
      <c r="H74" s="92" t="s">
        <v>385</v>
      </c>
      <c r="I74" s="95">
        <f>I21</f>
        <v>4942</v>
      </c>
      <c r="J74" s="95">
        <f t="shared" ref="J74:L74" si="49">J21</f>
        <v>2422</v>
      </c>
      <c r="K74" s="95">
        <f t="shared" si="49"/>
        <v>3195</v>
      </c>
      <c r="L74" s="95">
        <f t="shared" si="49"/>
        <v>4576</v>
      </c>
      <c r="M74" s="82"/>
      <c r="N74" s="82"/>
    </row>
    <row r="75" spans="1:14" x14ac:dyDescent="0.2">
      <c r="A75" s="54" t="s">
        <v>112</v>
      </c>
      <c r="B75" s="55">
        <v>76802</v>
      </c>
      <c r="C75" s="55">
        <v>76907</v>
      </c>
      <c r="D75" s="55">
        <v>64655</v>
      </c>
      <c r="E75" s="55">
        <v>71468</v>
      </c>
      <c r="H75" s="100" t="s">
        <v>341</v>
      </c>
      <c r="I75" s="110">
        <f>B115</f>
        <v>3547</v>
      </c>
      <c r="J75" s="110">
        <f>C115</f>
        <v>3156</v>
      </c>
      <c r="K75" s="110">
        <f t="shared" ref="K75:L75" si="50">D115</f>
        <v>3303</v>
      </c>
      <c r="L75" s="110">
        <f t="shared" si="50"/>
        <v>3123</v>
      </c>
      <c r="M75" s="84"/>
      <c r="N75" s="84"/>
    </row>
    <row r="76" spans="1:14" x14ac:dyDescent="0.2">
      <c r="A76" s="54" t="s">
        <v>113</v>
      </c>
      <c r="B76" s="55">
        <v>15916</v>
      </c>
      <c r="C76" s="55">
        <v>15918</v>
      </c>
      <c r="D76" s="55">
        <v>14596</v>
      </c>
      <c r="E76" s="55">
        <v>14046</v>
      </c>
      <c r="H76" s="79" t="s">
        <v>386</v>
      </c>
      <c r="I76" s="63">
        <f>B116</f>
        <v>1769</v>
      </c>
      <c r="J76" s="63">
        <f t="shared" ref="J76:L85" si="51">C116</f>
        <v>0</v>
      </c>
      <c r="K76" s="63">
        <f t="shared" si="51"/>
        <v>0</v>
      </c>
      <c r="L76" s="63">
        <f t="shared" si="51"/>
        <v>0</v>
      </c>
    </row>
    <row r="77" spans="1:14" x14ac:dyDescent="0.2">
      <c r="A77" s="54" t="s">
        <v>114</v>
      </c>
      <c r="B77" s="55">
        <v>8479</v>
      </c>
      <c r="C77" s="55">
        <v>9476</v>
      </c>
      <c r="D77" s="55">
        <v>9174</v>
      </c>
      <c r="E77" s="55">
        <v>10053</v>
      </c>
      <c r="H77" s="108" t="s">
        <v>387</v>
      </c>
      <c r="I77" s="63">
        <f t="shared" ref="I77:I85" si="52">B117</f>
        <v>-365</v>
      </c>
      <c r="J77" s="63">
        <f t="shared" si="51"/>
        <v>-717</v>
      </c>
      <c r="K77" s="63">
        <f t="shared" si="51"/>
        <v>-91</v>
      </c>
      <c r="L77" s="63">
        <f t="shared" si="51"/>
        <v>-208</v>
      </c>
    </row>
    <row r="78" spans="1:14" x14ac:dyDescent="0.2">
      <c r="A78" s="54" t="s">
        <v>115</v>
      </c>
      <c r="B78" s="55">
        <v>3547</v>
      </c>
      <c r="C78" s="55">
        <v>3156</v>
      </c>
      <c r="D78" s="55">
        <v>3303</v>
      </c>
      <c r="E78" s="55">
        <v>3123</v>
      </c>
      <c r="H78" s="108" t="s">
        <v>388</v>
      </c>
      <c r="I78" s="63">
        <f t="shared" si="52"/>
        <v>0</v>
      </c>
      <c r="J78" s="63">
        <f t="shared" si="51"/>
        <v>0</v>
      </c>
      <c r="K78" s="63">
        <f t="shared" si="51"/>
        <v>0</v>
      </c>
      <c r="L78" s="63">
        <f t="shared" si="51"/>
        <v>0</v>
      </c>
    </row>
    <row r="79" spans="1:14" x14ac:dyDescent="0.2">
      <c r="A79" s="54" t="s">
        <v>116</v>
      </c>
      <c r="B79" s="55">
        <v>1863</v>
      </c>
      <c r="C79" s="55">
        <v>1287</v>
      </c>
      <c r="D79" s="55">
        <v>1235</v>
      </c>
      <c r="E79" s="55">
        <v>992</v>
      </c>
      <c r="H79" s="108" t="s">
        <v>389</v>
      </c>
      <c r="I79" s="63" t="str">
        <f t="shared" si="52"/>
        <v>.</v>
      </c>
      <c r="J79" s="63">
        <f t="shared" si="51"/>
        <v>0</v>
      </c>
      <c r="K79" s="63">
        <f t="shared" si="51"/>
        <v>0</v>
      </c>
      <c r="L79" s="63">
        <f t="shared" si="51"/>
        <v>0</v>
      </c>
    </row>
    <row r="80" spans="1:14" x14ac:dyDescent="0.2">
      <c r="A80" s="54" t="s">
        <v>117</v>
      </c>
      <c r="B80" s="54" t="s">
        <v>70</v>
      </c>
      <c r="C80" s="54" t="s">
        <v>70</v>
      </c>
      <c r="D80" s="54" t="s">
        <v>70</v>
      </c>
      <c r="E80" s="54" t="s">
        <v>70</v>
      </c>
      <c r="H80" s="109" t="s">
        <v>390</v>
      </c>
      <c r="I80" s="63">
        <f t="shared" si="52"/>
        <v>-1508</v>
      </c>
      <c r="J80" s="63">
        <f t="shared" si="51"/>
        <v>1892</v>
      </c>
      <c r="K80" s="63">
        <f t="shared" si="51"/>
        <v>1487</v>
      </c>
      <c r="L80" s="63">
        <f t="shared" si="51"/>
        <v>1238</v>
      </c>
    </row>
    <row r="81" spans="1:14" x14ac:dyDescent="0.2">
      <c r="A81" s="54" t="s">
        <v>118</v>
      </c>
      <c r="B81" s="54" t="s">
        <v>70</v>
      </c>
      <c r="C81" s="54" t="s">
        <v>70</v>
      </c>
      <c r="D81" s="54" t="s">
        <v>70</v>
      </c>
      <c r="E81" s="54" t="s">
        <v>70</v>
      </c>
      <c r="H81" s="109" t="s">
        <v>391</v>
      </c>
      <c r="I81" s="63">
        <f t="shared" si="52"/>
        <v>-2434</v>
      </c>
      <c r="J81" s="63">
        <f t="shared" si="51"/>
        <v>-348</v>
      </c>
      <c r="K81" s="63" t="str">
        <f t="shared" si="51"/>
        <v>.</v>
      </c>
      <c r="L81" s="63">
        <f t="shared" si="51"/>
        <v>-2246</v>
      </c>
    </row>
    <row r="82" spans="1:14" x14ac:dyDescent="0.2">
      <c r="A82" s="54" t="s">
        <v>119</v>
      </c>
      <c r="B82" s="55">
        <v>4932</v>
      </c>
      <c r="C82" s="55">
        <v>6320</v>
      </c>
      <c r="D82" s="55">
        <v>5871</v>
      </c>
      <c r="E82" s="55">
        <v>6930</v>
      </c>
      <c r="H82" s="108" t="s">
        <v>392</v>
      </c>
      <c r="I82" s="63">
        <f t="shared" si="52"/>
        <v>-2514</v>
      </c>
      <c r="J82" s="63">
        <f t="shared" si="51"/>
        <v>875</v>
      </c>
      <c r="K82" s="63">
        <f t="shared" si="51"/>
        <v>975</v>
      </c>
      <c r="L82" s="63">
        <f t="shared" si="51"/>
        <v>-3515</v>
      </c>
    </row>
    <row r="83" spans="1:14" x14ac:dyDescent="0.2">
      <c r="A83" s="54" t="s">
        <v>120</v>
      </c>
      <c r="B83" s="55">
        <v>1542</v>
      </c>
      <c r="C83" s="55">
        <v>1222</v>
      </c>
      <c r="D83" s="55">
        <v>1501</v>
      </c>
      <c r="E83" s="55">
        <v>1394</v>
      </c>
      <c r="H83" s="79" t="s">
        <v>393</v>
      </c>
      <c r="I83" s="63">
        <f t="shared" si="52"/>
        <v>5742</v>
      </c>
      <c r="J83" s="63">
        <f t="shared" si="51"/>
        <v>-8546</v>
      </c>
      <c r="K83" s="63">
        <f t="shared" si="51"/>
        <v>-335</v>
      </c>
      <c r="L83" s="63">
        <f t="shared" si="51"/>
        <v>1703</v>
      </c>
    </row>
    <row r="84" spans="1:14" x14ac:dyDescent="0.2">
      <c r="A84" s="54" t="s">
        <v>121</v>
      </c>
      <c r="B84" s="55">
        <v>410</v>
      </c>
      <c r="C84" s="55">
        <v>-259</v>
      </c>
      <c r="D84" s="55">
        <v>109</v>
      </c>
      <c r="E84" s="55">
        <v>205</v>
      </c>
      <c r="H84" s="79" t="s">
        <v>394</v>
      </c>
      <c r="I84" s="63" t="str">
        <f t="shared" si="52"/>
        <v>.</v>
      </c>
      <c r="J84" s="63" t="str">
        <f t="shared" si="51"/>
        <v>.</v>
      </c>
      <c r="K84" s="63" t="str">
        <f t="shared" si="51"/>
        <v>.</v>
      </c>
      <c r="L84" s="63" t="str">
        <f t="shared" si="51"/>
        <v>.</v>
      </c>
    </row>
    <row r="85" spans="1:14" x14ac:dyDescent="0.2">
      <c r="A85" s="54" t="s">
        <v>122</v>
      </c>
      <c r="B85" s="55">
        <v>410</v>
      </c>
      <c r="C85" s="55">
        <v>-259</v>
      </c>
      <c r="D85" s="55">
        <v>109</v>
      </c>
      <c r="E85" s="55">
        <v>205</v>
      </c>
      <c r="H85" s="79" t="s">
        <v>395</v>
      </c>
      <c r="I85" s="63">
        <f t="shared" si="52"/>
        <v>1128</v>
      </c>
      <c r="J85" s="63">
        <f t="shared" si="51"/>
        <v>4831</v>
      </c>
      <c r="K85" s="63">
        <f t="shared" si="51"/>
        <v>142</v>
      </c>
      <c r="L85" s="63">
        <f t="shared" si="51"/>
        <v>-150</v>
      </c>
    </row>
    <row r="86" spans="1:14" x14ac:dyDescent="0.2">
      <c r="A86" s="54" t="s">
        <v>123</v>
      </c>
      <c r="B86" s="54" t="s">
        <v>70</v>
      </c>
      <c r="C86" s="54" t="s">
        <v>70</v>
      </c>
      <c r="D86" s="54" t="s">
        <v>70</v>
      </c>
      <c r="E86" s="54" t="s">
        <v>70</v>
      </c>
      <c r="H86" s="93" t="s">
        <v>403</v>
      </c>
      <c r="I86" s="95">
        <f>SUM(I74:I85)</f>
        <v>10307</v>
      </c>
      <c r="J86" s="95">
        <f t="shared" ref="J86:L86" si="53">SUM(J74:J85)</f>
        <v>3565</v>
      </c>
      <c r="K86" s="95">
        <f t="shared" si="53"/>
        <v>8676</v>
      </c>
      <c r="L86" s="95">
        <f t="shared" si="53"/>
        <v>4521</v>
      </c>
    </row>
    <row r="87" spans="1:14" x14ac:dyDescent="0.2">
      <c r="A87" s="54" t="s">
        <v>124</v>
      </c>
      <c r="B87" s="55">
        <v>2123</v>
      </c>
      <c r="C87" s="55">
        <v>-1614</v>
      </c>
      <c r="D87" s="55">
        <v>-592</v>
      </c>
      <c r="E87" s="55">
        <v>-693</v>
      </c>
      <c r="H87" s="77"/>
      <c r="I87" s="77"/>
      <c r="J87" s="77"/>
      <c r="K87" s="77"/>
      <c r="L87" s="77"/>
      <c r="M87" s="77"/>
      <c r="N87" s="77"/>
    </row>
    <row r="88" spans="1:14" x14ac:dyDescent="0.2">
      <c r="A88" s="54" t="s">
        <v>125</v>
      </c>
      <c r="B88" s="55">
        <v>5923</v>
      </c>
      <c r="C88" s="55">
        <v>3225</v>
      </c>
      <c r="D88" s="55">
        <v>3887</v>
      </c>
      <c r="E88" s="55">
        <v>5048</v>
      </c>
      <c r="H88" s="77"/>
    </row>
    <row r="89" spans="1:14" x14ac:dyDescent="0.2">
      <c r="A89" s="54" t="s">
        <v>126</v>
      </c>
      <c r="B89" s="55">
        <v>1414</v>
      </c>
      <c r="C89" s="55">
        <v>-1316</v>
      </c>
      <c r="D89" s="55">
        <v>-52</v>
      </c>
      <c r="E89" s="55">
        <v>-73</v>
      </c>
      <c r="H89" s="100"/>
    </row>
    <row r="90" spans="1:14" x14ac:dyDescent="0.2">
      <c r="A90" s="54" t="s">
        <v>127</v>
      </c>
      <c r="B90" s="55">
        <v>4509</v>
      </c>
      <c r="C90" s="55">
        <v>4541</v>
      </c>
      <c r="D90" s="55">
        <v>3939</v>
      </c>
      <c r="E90" s="55">
        <v>5121</v>
      </c>
      <c r="H90" s="84"/>
      <c r="I90" s="143" t="s">
        <v>14</v>
      </c>
      <c r="J90" s="143"/>
      <c r="K90" s="143"/>
      <c r="L90" s="83"/>
      <c r="M90" s="64"/>
      <c r="N90" s="64"/>
    </row>
    <row r="91" spans="1:14" x14ac:dyDescent="0.2">
      <c r="A91" s="54" t="s">
        <v>128</v>
      </c>
      <c r="B91" s="55">
        <v>981</v>
      </c>
      <c r="C91" s="55">
        <v>803</v>
      </c>
      <c r="D91" s="55">
        <v>692</v>
      </c>
      <c r="E91" s="55">
        <v>472</v>
      </c>
      <c r="H91" s="93" t="s">
        <v>404</v>
      </c>
      <c r="I91" s="90">
        <f>I86</f>
        <v>10307</v>
      </c>
      <c r="J91" s="90">
        <f t="shared" ref="J91:L91" si="54">J86</f>
        <v>3565</v>
      </c>
      <c r="K91" s="90">
        <f t="shared" si="54"/>
        <v>8676</v>
      </c>
      <c r="L91" s="90">
        <f t="shared" si="54"/>
        <v>4521</v>
      </c>
    </row>
    <row r="92" spans="1:14" x14ac:dyDescent="0.2">
      <c r="A92" s="54" t="s">
        <v>129</v>
      </c>
      <c r="B92" s="55">
        <v>-221</v>
      </c>
      <c r="C92" s="55">
        <v>-717</v>
      </c>
      <c r="D92" s="55">
        <v>-91</v>
      </c>
      <c r="E92" s="55">
        <v>-208</v>
      </c>
      <c r="H92" s="79" t="s">
        <v>338</v>
      </c>
      <c r="I92" s="63">
        <f>B131</f>
        <v>2796</v>
      </c>
      <c r="J92" s="63">
        <f t="shared" ref="J92:L92" si="55">C131</f>
        <v>3003</v>
      </c>
      <c r="K92" s="63">
        <f t="shared" si="55"/>
        <v>2756</v>
      </c>
      <c r="L92" s="63">
        <f t="shared" si="55"/>
        <v>2652</v>
      </c>
    </row>
    <row r="93" spans="1:14" x14ac:dyDescent="0.2">
      <c r="A93" s="54" t="s">
        <v>130</v>
      </c>
      <c r="B93" s="55">
        <v>-54</v>
      </c>
      <c r="C93" s="55">
        <v>-483</v>
      </c>
      <c r="D93" s="55">
        <v>-106</v>
      </c>
      <c r="E93" s="55">
        <v>-220</v>
      </c>
      <c r="H93" s="93" t="s">
        <v>339</v>
      </c>
      <c r="I93" s="95">
        <f>I91-I92</f>
        <v>7511</v>
      </c>
      <c r="J93" s="95">
        <f t="shared" ref="J93:L93" si="56">J91-J92</f>
        <v>562</v>
      </c>
      <c r="K93" s="95">
        <f t="shared" si="56"/>
        <v>5920</v>
      </c>
      <c r="L93" s="95">
        <f t="shared" si="56"/>
        <v>1869</v>
      </c>
    </row>
    <row r="94" spans="1:14" x14ac:dyDescent="0.2">
      <c r="A94" s="54" t="s">
        <v>131</v>
      </c>
      <c r="B94" s="55">
        <v>-167</v>
      </c>
      <c r="C94" s="55">
        <v>-131</v>
      </c>
      <c r="D94" s="55">
        <v>57</v>
      </c>
      <c r="E94" s="55">
        <v>24</v>
      </c>
    </row>
    <row r="95" spans="1:14" x14ac:dyDescent="0.2">
      <c r="A95" s="54" t="s">
        <v>132</v>
      </c>
      <c r="B95" s="55">
        <v>0</v>
      </c>
      <c r="C95" s="55">
        <v>-103</v>
      </c>
      <c r="D95" s="55">
        <v>-42</v>
      </c>
      <c r="E95" s="55">
        <v>-12</v>
      </c>
    </row>
    <row r="96" spans="1:14" x14ac:dyDescent="0.2">
      <c r="A96" s="54" t="s">
        <v>133</v>
      </c>
      <c r="B96" s="55">
        <v>166</v>
      </c>
      <c r="C96" s="55">
        <v>605</v>
      </c>
      <c r="D96" s="55">
        <v>149</v>
      </c>
      <c r="E96" s="55">
        <v>-84</v>
      </c>
      <c r="H96" s="77"/>
      <c r="I96" s="77"/>
      <c r="J96" s="77"/>
      <c r="K96" s="77"/>
      <c r="L96" s="77"/>
      <c r="M96" s="77"/>
      <c r="N96" s="77"/>
    </row>
    <row r="97" spans="1:14" x14ac:dyDescent="0.2">
      <c r="A97" s="54" t="s">
        <v>134</v>
      </c>
      <c r="B97" s="55">
        <v>960</v>
      </c>
      <c r="C97" s="55">
        <v>739</v>
      </c>
      <c r="D97" s="55">
        <v>601</v>
      </c>
      <c r="E97" s="55">
        <v>785</v>
      </c>
      <c r="H97" s="61"/>
      <c r="I97" s="143" t="s">
        <v>340</v>
      </c>
      <c r="J97" s="143"/>
      <c r="K97" s="143"/>
      <c r="L97" s="83"/>
      <c r="M97" s="61"/>
      <c r="N97" s="61"/>
    </row>
    <row r="98" spans="1:14" x14ac:dyDescent="0.2">
      <c r="A98" s="54" t="s">
        <v>135</v>
      </c>
      <c r="B98" s="55">
        <v>76</v>
      </c>
      <c r="C98" s="55">
        <v>176</v>
      </c>
      <c r="D98" s="55">
        <v>33</v>
      </c>
      <c r="E98" s="55">
        <v>-21</v>
      </c>
      <c r="H98" s="92" t="s">
        <v>398</v>
      </c>
      <c r="I98" s="91">
        <f>I12</f>
        <v>4115.1348978558162</v>
      </c>
      <c r="J98" s="91">
        <f t="shared" ref="J98:L98" si="57">J12</f>
        <v>4746.3689922480626</v>
      </c>
      <c r="K98" s="91">
        <f t="shared" si="57"/>
        <v>4825.7898121944945</v>
      </c>
      <c r="L98" s="91">
        <f t="shared" si="57"/>
        <v>6282.0285261489698</v>
      </c>
    </row>
    <row r="99" spans="1:14" x14ac:dyDescent="0.2">
      <c r="A99" s="54" t="s">
        <v>136</v>
      </c>
      <c r="B99" s="55">
        <v>0</v>
      </c>
      <c r="C99" s="55">
        <v>0</v>
      </c>
      <c r="D99" s="55">
        <v>0</v>
      </c>
      <c r="E99" s="55">
        <v>0</v>
      </c>
      <c r="H99" s="79" t="s">
        <v>341</v>
      </c>
      <c r="I99" s="63">
        <f>I75</f>
        <v>3547</v>
      </c>
      <c r="J99" s="63">
        <f t="shared" ref="J99:L99" si="58">J75</f>
        <v>3156</v>
      </c>
      <c r="K99" s="63">
        <f t="shared" si="58"/>
        <v>3303</v>
      </c>
      <c r="L99" s="63">
        <f t="shared" si="58"/>
        <v>3123</v>
      </c>
    </row>
    <row r="100" spans="1:14" x14ac:dyDescent="0.2">
      <c r="A100" s="54" t="s">
        <v>137</v>
      </c>
      <c r="B100" s="55">
        <v>-6</v>
      </c>
      <c r="C100" s="55">
        <v>-20</v>
      </c>
      <c r="D100" s="55">
        <v>-16</v>
      </c>
      <c r="E100" s="55">
        <v>-16</v>
      </c>
      <c r="H100" s="79" t="s">
        <v>338</v>
      </c>
      <c r="I100" s="63">
        <f>I92</f>
        <v>2796</v>
      </c>
      <c r="J100" s="63">
        <f t="shared" ref="J100:L100" si="59">J92</f>
        <v>3003</v>
      </c>
      <c r="K100" s="63">
        <f t="shared" si="59"/>
        <v>2756</v>
      </c>
      <c r="L100" s="63">
        <f t="shared" si="59"/>
        <v>2652</v>
      </c>
    </row>
    <row r="101" spans="1:14" x14ac:dyDescent="0.2">
      <c r="A101" s="54" t="s">
        <v>138</v>
      </c>
      <c r="B101" s="55">
        <v>4948</v>
      </c>
      <c r="C101" s="55">
        <v>2442</v>
      </c>
      <c r="D101" s="55">
        <v>3211</v>
      </c>
      <c r="E101" s="55">
        <v>4592</v>
      </c>
      <c r="H101" s="79" t="s">
        <v>342</v>
      </c>
      <c r="I101" s="89">
        <f>I47</f>
        <v>0</v>
      </c>
      <c r="J101" s="89">
        <f t="shared" ref="J101:L101" si="60">J47</f>
        <v>7432</v>
      </c>
      <c r="K101" s="89">
        <f t="shared" si="60"/>
        <v>-6100</v>
      </c>
      <c r="L101" s="89">
        <f t="shared" si="60"/>
        <v>3267</v>
      </c>
    </row>
    <row r="102" spans="1:14" x14ac:dyDescent="0.2">
      <c r="A102" s="54" t="s">
        <v>139</v>
      </c>
      <c r="B102" s="55">
        <v>0</v>
      </c>
      <c r="C102" s="55">
        <v>0</v>
      </c>
      <c r="D102" s="55">
        <v>0</v>
      </c>
      <c r="E102" s="55">
        <v>0</v>
      </c>
      <c r="H102" s="93" t="s">
        <v>343</v>
      </c>
      <c r="I102" s="96">
        <f>I98+I99-I100-I101</f>
        <v>4866.1348978558162</v>
      </c>
      <c r="J102" s="96">
        <f t="shared" ref="J102:L102" si="61">J98+J99-J100-J101</f>
        <v>-2532.6310077519374</v>
      </c>
      <c r="K102" s="96">
        <f t="shared" si="61"/>
        <v>11472.789812194495</v>
      </c>
      <c r="L102" s="96">
        <f t="shared" si="61"/>
        <v>3486.0285261489698</v>
      </c>
    </row>
    <row r="103" spans="1:14" x14ac:dyDescent="0.2">
      <c r="A103" s="54" t="s">
        <v>140</v>
      </c>
      <c r="B103" s="55">
        <v>4948</v>
      </c>
      <c r="C103" s="55">
        <v>2442</v>
      </c>
      <c r="D103" s="55">
        <v>3211</v>
      </c>
      <c r="E103" s="55">
        <v>4592</v>
      </c>
    </row>
    <row r="104" spans="1:14" x14ac:dyDescent="0.2">
      <c r="A104" s="54" t="s">
        <v>141</v>
      </c>
      <c r="B104" s="55">
        <v>0</v>
      </c>
      <c r="C104" s="55">
        <v>0</v>
      </c>
      <c r="D104" s="55">
        <v>0</v>
      </c>
      <c r="E104" s="55">
        <v>0</v>
      </c>
    </row>
    <row r="105" spans="1:14" x14ac:dyDescent="0.2">
      <c r="A105" s="54" t="s">
        <v>142</v>
      </c>
      <c r="B105" s="55">
        <v>4948</v>
      </c>
      <c r="C105" s="55">
        <v>2442</v>
      </c>
      <c r="D105" s="55">
        <v>3211</v>
      </c>
      <c r="E105" s="55">
        <v>4592</v>
      </c>
    </row>
    <row r="106" spans="1:14" x14ac:dyDescent="0.2">
      <c r="A106" s="54" t="s">
        <v>143</v>
      </c>
      <c r="B106" s="55">
        <v>615</v>
      </c>
      <c r="C106" s="55">
        <v>0</v>
      </c>
      <c r="D106" s="55">
        <v>0</v>
      </c>
      <c r="E106" s="55">
        <v>0</v>
      </c>
    </row>
    <row r="107" spans="1:14" x14ac:dyDescent="0.2">
      <c r="A107" s="54" t="s">
        <v>144</v>
      </c>
      <c r="B107" s="55">
        <v>0</v>
      </c>
      <c r="C107" s="55">
        <v>0</v>
      </c>
      <c r="D107" s="55">
        <v>0</v>
      </c>
      <c r="E107" s="55">
        <v>0</v>
      </c>
    </row>
    <row r="108" spans="1:14" x14ac:dyDescent="0.2">
      <c r="A108" s="54" t="s">
        <v>145</v>
      </c>
      <c r="B108" s="55">
        <v>615</v>
      </c>
      <c r="C108" s="55">
        <v>0</v>
      </c>
      <c r="D108" s="55">
        <v>0</v>
      </c>
      <c r="E108" s="55">
        <v>0</v>
      </c>
    </row>
    <row r="109" spans="1:14" x14ac:dyDescent="0.2">
      <c r="A109" s="54" t="s">
        <v>146</v>
      </c>
      <c r="B109" s="55">
        <v>5563</v>
      </c>
      <c r="C109" s="55">
        <v>2442</v>
      </c>
      <c r="D109" s="55">
        <v>3211</v>
      </c>
      <c r="E109" s="55">
        <v>4592</v>
      </c>
    </row>
    <row r="110" spans="1:14" x14ac:dyDescent="0.2">
      <c r="A110" s="54" t="s">
        <v>147</v>
      </c>
      <c r="B110" s="55">
        <v>5563</v>
      </c>
      <c r="C110" s="55">
        <v>2442</v>
      </c>
      <c r="D110" s="55">
        <v>3211</v>
      </c>
      <c r="E110" s="55">
        <v>4592</v>
      </c>
    </row>
    <row r="111" spans="1:14" x14ac:dyDescent="0.2">
      <c r="A111" s="1"/>
    </row>
    <row r="112" spans="1:14" x14ac:dyDescent="0.2">
      <c r="A112" s="53" t="s">
        <v>308</v>
      </c>
    </row>
    <row r="113" spans="1:5" x14ac:dyDescent="0.2">
      <c r="A113" s="1" t="s">
        <v>148</v>
      </c>
    </row>
    <row r="114" spans="1:5" x14ac:dyDescent="0.2">
      <c r="A114" s="54" t="s">
        <v>138</v>
      </c>
      <c r="B114" s="55">
        <v>4942</v>
      </c>
      <c r="C114" s="55">
        <v>2422</v>
      </c>
      <c r="D114" s="55">
        <v>3195</v>
      </c>
      <c r="E114" s="55">
        <v>4576</v>
      </c>
    </row>
    <row r="115" spans="1:5" x14ac:dyDescent="0.2">
      <c r="A115" s="54" t="s">
        <v>115</v>
      </c>
      <c r="B115" s="55">
        <v>3547</v>
      </c>
      <c r="C115" s="55">
        <v>3156</v>
      </c>
      <c r="D115" s="55">
        <v>3303</v>
      </c>
      <c r="E115" s="55">
        <v>3123</v>
      </c>
    </row>
    <row r="116" spans="1:5" x14ac:dyDescent="0.2">
      <c r="A116" s="54" t="s">
        <v>143</v>
      </c>
      <c r="B116" s="55">
        <v>1769</v>
      </c>
      <c r="C116" s="55">
        <v>0</v>
      </c>
      <c r="D116" s="55">
        <v>0</v>
      </c>
      <c r="E116" s="55">
        <v>0</v>
      </c>
    </row>
    <row r="117" spans="1:5" x14ac:dyDescent="0.2">
      <c r="A117" s="54" t="s">
        <v>149</v>
      </c>
      <c r="B117" s="55">
        <v>-365</v>
      </c>
      <c r="C117" s="55">
        <v>-717</v>
      </c>
      <c r="D117" s="55">
        <v>-91</v>
      </c>
      <c r="E117" s="55">
        <v>-208</v>
      </c>
    </row>
    <row r="118" spans="1:5" x14ac:dyDescent="0.2">
      <c r="A118" s="54" t="s">
        <v>150</v>
      </c>
      <c r="B118" s="55">
        <v>0</v>
      </c>
      <c r="C118" s="55">
        <v>0</v>
      </c>
      <c r="D118" s="55">
        <v>0</v>
      </c>
      <c r="E118" s="55">
        <v>0</v>
      </c>
    </row>
    <row r="119" spans="1:5" x14ac:dyDescent="0.2">
      <c r="A119" s="54" t="s">
        <v>151</v>
      </c>
      <c r="B119" s="54" t="s">
        <v>70</v>
      </c>
      <c r="C119" s="55">
        <v>0</v>
      </c>
      <c r="D119" s="55">
        <v>0</v>
      </c>
      <c r="E119" s="55">
        <v>0</v>
      </c>
    </row>
    <row r="120" spans="1:5" x14ac:dyDescent="0.2">
      <c r="A120" s="54" t="s">
        <v>152</v>
      </c>
      <c r="B120" s="55">
        <v>-1508</v>
      </c>
      <c r="C120" s="55">
        <v>1892</v>
      </c>
      <c r="D120" s="55">
        <v>1487</v>
      </c>
      <c r="E120" s="55">
        <v>1238</v>
      </c>
    </row>
    <row r="121" spans="1:5" x14ac:dyDescent="0.2">
      <c r="A121" s="54" t="s">
        <v>153</v>
      </c>
      <c r="B121" s="55">
        <v>-2434</v>
      </c>
      <c r="C121" s="55">
        <v>-348</v>
      </c>
      <c r="D121" s="54" t="s">
        <v>70</v>
      </c>
      <c r="E121" s="55">
        <v>-2246</v>
      </c>
    </row>
    <row r="122" spans="1:5" x14ac:dyDescent="0.2">
      <c r="A122" s="54" t="s">
        <v>154</v>
      </c>
      <c r="B122" s="55">
        <v>-2514</v>
      </c>
      <c r="C122" s="55">
        <v>875</v>
      </c>
      <c r="D122" s="55">
        <v>975</v>
      </c>
      <c r="E122" s="55">
        <v>-3515</v>
      </c>
    </row>
    <row r="123" spans="1:5" x14ac:dyDescent="0.2">
      <c r="A123" s="54" t="s">
        <v>155</v>
      </c>
      <c r="B123" s="55">
        <v>5742</v>
      </c>
      <c r="C123" s="55">
        <v>-8546</v>
      </c>
      <c r="D123" s="55">
        <v>-335</v>
      </c>
      <c r="E123" s="55">
        <v>1703</v>
      </c>
    </row>
    <row r="124" spans="1:5" x14ac:dyDescent="0.2">
      <c r="A124" s="54" t="s">
        <v>156</v>
      </c>
      <c r="B124" s="54" t="s">
        <v>70</v>
      </c>
      <c r="C124" s="54" t="s">
        <v>70</v>
      </c>
      <c r="D124" s="54" t="s">
        <v>70</v>
      </c>
      <c r="E124" s="54" t="s">
        <v>70</v>
      </c>
    </row>
    <row r="125" spans="1:5" x14ac:dyDescent="0.2">
      <c r="A125" s="54" t="s">
        <v>157</v>
      </c>
      <c r="B125" s="55">
        <v>1128</v>
      </c>
      <c r="C125" s="55">
        <v>4831</v>
      </c>
      <c r="D125" s="55">
        <v>142</v>
      </c>
      <c r="E125" s="55">
        <v>-150</v>
      </c>
    </row>
    <row r="126" spans="1:5" x14ac:dyDescent="0.2">
      <c r="A126" s="54" t="s">
        <v>158</v>
      </c>
      <c r="B126" s="55">
        <v>10307</v>
      </c>
      <c r="C126" s="55">
        <v>3565</v>
      </c>
      <c r="D126" s="55">
        <v>8676</v>
      </c>
      <c r="E126" s="55">
        <v>4521</v>
      </c>
    </row>
    <row r="127" spans="1:5" x14ac:dyDescent="0.2">
      <c r="A127" s="1" t="s">
        <v>159</v>
      </c>
    </row>
    <row r="128" spans="1:5" x14ac:dyDescent="0.2">
      <c r="A128" s="54" t="s">
        <v>160</v>
      </c>
      <c r="B128" s="55">
        <v>414</v>
      </c>
      <c r="C128" s="55">
        <v>108</v>
      </c>
      <c r="D128" s="55">
        <v>172</v>
      </c>
      <c r="E128" s="55">
        <v>125</v>
      </c>
    </row>
    <row r="129" spans="1:5" x14ac:dyDescent="0.2">
      <c r="A129" s="54" t="s">
        <v>161</v>
      </c>
      <c r="B129" s="55">
        <v>513</v>
      </c>
      <c r="C129" s="55">
        <v>116</v>
      </c>
      <c r="D129" s="55">
        <v>226</v>
      </c>
      <c r="E129" s="55">
        <v>382</v>
      </c>
    </row>
    <row r="130" spans="1:5" x14ac:dyDescent="0.2">
      <c r="A130" s="54" t="s">
        <v>162</v>
      </c>
      <c r="B130" s="54" t="s">
        <v>70</v>
      </c>
      <c r="C130" s="54" t="s">
        <v>70</v>
      </c>
      <c r="D130" s="54" t="s">
        <v>70</v>
      </c>
      <c r="E130" s="54" t="s">
        <v>70</v>
      </c>
    </row>
    <row r="131" spans="1:5" x14ac:dyDescent="0.2">
      <c r="A131" s="54" t="s">
        <v>163</v>
      </c>
      <c r="B131" s="55">
        <v>2796</v>
      </c>
      <c r="C131" s="55">
        <v>3003</v>
      </c>
      <c r="D131" s="55">
        <v>2756</v>
      </c>
      <c r="E131" s="55">
        <v>2652</v>
      </c>
    </row>
    <row r="132" spans="1:5" x14ac:dyDescent="0.2">
      <c r="A132" s="54" t="s">
        <v>164</v>
      </c>
      <c r="B132" s="54" t="s">
        <v>70</v>
      </c>
      <c r="C132" s="54" t="s">
        <v>70</v>
      </c>
      <c r="D132" s="55">
        <v>0</v>
      </c>
      <c r="E132" s="55">
        <v>0</v>
      </c>
    </row>
    <row r="133" spans="1:5" x14ac:dyDescent="0.2">
      <c r="A133" s="54" t="s">
        <v>165</v>
      </c>
      <c r="B133" s="55">
        <v>16</v>
      </c>
      <c r="C133" s="55">
        <v>70</v>
      </c>
      <c r="D133" s="54" t="s">
        <v>70</v>
      </c>
      <c r="E133" s="55">
        <v>0</v>
      </c>
    </row>
    <row r="134" spans="1:5" x14ac:dyDescent="0.2">
      <c r="A134" s="54" t="s">
        <v>166</v>
      </c>
      <c r="B134" s="55">
        <v>4019</v>
      </c>
      <c r="C134" s="55">
        <v>41</v>
      </c>
      <c r="D134" s="55">
        <v>-81</v>
      </c>
      <c r="E134" s="55">
        <v>180</v>
      </c>
    </row>
    <row r="135" spans="1:5" x14ac:dyDescent="0.2">
      <c r="A135" s="54" t="s">
        <v>167</v>
      </c>
      <c r="B135" s="55">
        <v>1306</v>
      </c>
      <c r="C135" s="55">
        <v>-3024</v>
      </c>
      <c r="D135" s="55">
        <v>-2783</v>
      </c>
      <c r="E135" s="55">
        <v>-2215</v>
      </c>
    </row>
    <row r="136" spans="1:5" x14ac:dyDescent="0.2">
      <c r="A136" s="1" t="s">
        <v>168</v>
      </c>
    </row>
    <row r="137" spans="1:5" x14ac:dyDescent="0.2">
      <c r="A137" s="54" t="s">
        <v>169</v>
      </c>
      <c r="B137" s="55">
        <v>334</v>
      </c>
      <c r="C137" s="55">
        <v>5</v>
      </c>
      <c r="D137" s="55">
        <v>10</v>
      </c>
      <c r="E137" s="55">
        <v>1</v>
      </c>
    </row>
    <row r="138" spans="1:5" x14ac:dyDescent="0.2">
      <c r="A138" s="54" t="s">
        <v>170</v>
      </c>
      <c r="B138" s="55">
        <v>663</v>
      </c>
      <c r="C138" s="55">
        <v>3272</v>
      </c>
      <c r="D138" s="55">
        <v>2452</v>
      </c>
      <c r="E138" s="55">
        <v>3165</v>
      </c>
    </row>
    <row r="139" spans="1:5" x14ac:dyDescent="0.2">
      <c r="A139" s="54" t="s">
        <v>171</v>
      </c>
      <c r="B139" s="55">
        <v>0</v>
      </c>
      <c r="C139" s="55">
        <v>964</v>
      </c>
      <c r="D139" s="55">
        <v>1072</v>
      </c>
      <c r="E139" s="55">
        <v>1275</v>
      </c>
    </row>
    <row r="140" spans="1:5" x14ac:dyDescent="0.2">
      <c r="A140" s="54" t="s">
        <v>172</v>
      </c>
      <c r="B140" s="55">
        <v>20425</v>
      </c>
      <c r="C140" s="55">
        <v>12479</v>
      </c>
      <c r="D140" s="55">
        <v>7775</v>
      </c>
      <c r="E140" s="55">
        <v>9258</v>
      </c>
    </row>
    <row r="141" spans="1:5" x14ac:dyDescent="0.2">
      <c r="A141" s="54" t="s">
        <v>173</v>
      </c>
      <c r="B141" s="55">
        <v>26723</v>
      </c>
      <c r="C141" s="55">
        <v>9825</v>
      </c>
      <c r="D141" s="55">
        <v>11246</v>
      </c>
      <c r="E141" s="55">
        <v>10570</v>
      </c>
    </row>
    <row r="142" spans="1:5" x14ac:dyDescent="0.2">
      <c r="A142" s="54" t="s">
        <v>174</v>
      </c>
      <c r="B142" s="54" t="s">
        <v>70</v>
      </c>
      <c r="C142" s="54" t="s">
        <v>70</v>
      </c>
      <c r="D142" s="54" t="s">
        <v>70</v>
      </c>
      <c r="E142" s="54" t="s">
        <v>70</v>
      </c>
    </row>
    <row r="143" spans="1:5" x14ac:dyDescent="0.2">
      <c r="A143" s="54" t="s">
        <v>175</v>
      </c>
      <c r="B143" s="55">
        <v>-9982</v>
      </c>
      <c r="C143" s="55">
        <v>-48</v>
      </c>
      <c r="D143" s="55">
        <v>-109</v>
      </c>
      <c r="E143" s="55">
        <v>-64</v>
      </c>
    </row>
    <row r="144" spans="1:5" x14ac:dyDescent="0.2">
      <c r="A144" s="54" t="s">
        <v>176</v>
      </c>
      <c r="B144" s="55">
        <v>-16609</v>
      </c>
      <c r="C144" s="55">
        <v>-1625</v>
      </c>
      <c r="D144" s="55">
        <v>-7094</v>
      </c>
      <c r="E144" s="55">
        <v>-5815</v>
      </c>
    </row>
    <row r="145" spans="1:5" x14ac:dyDescent="0.2">
      <c r="A145" s="54" t="s">
        <v>177</v>
      </c>
      <c r="B145" s="55">
        <v>-106</v>
      </c>
      <c r="C145" s="55">
        <v>-104</v>
      </c>
      <c r="D145" s="55">
        <v>-186</v>
      </c>
      <c r="E145" s="55">
        <v>-179</v>
      </c>
    </row>
    <row r="146" spans="1:5" x14ac:dyDescent="0.2">
      <c r="A146" s="54" t="s">
        <v>178</v>
      </c>
      <c r="B146" s="55">
        <v>-5102</v>
      </c>
      <c r="C146" s="55">
        <v>-1188</v>
      </c>
      <c r="D146" s="55">
        <v>-1387</v>
      </c>
      <c r="E146" s="55">
        <v>-3688</v>
      </c>
    </row>
    <row r="147" spans="1:5" x14ac:dyDescent="0.2">
      <c r="A147" s="1" t="s">
        <v>179</v>
      </c>
    </row>
    <row r="148" spans="1:5" x14ac:dyDescent="0.2">
      <c r="A148" s="54" t="s">
        <v>180</v>
      </c>
      <c r="B148" s="55">
        <v>1825</v>
      </c>
      <c r="C148" s="55">
        <v>1169</v>
      </c>
      <c r="D148" s="55">
        <v>1438</v>
      </c>
      <c r="E148" s="55">
        <v>1304</v>
      </c>
    </row>
    <row r="149" spans="1:5" x14ac:dyDescent="0.2">
      <c r="A149" s="54" t="s">
        <v>181</v>
      </c>
      <c r="B149" s="55">
        <v>1257</v>
      </c>
      <c r="C149" s="55">
        <v>1208</v>
      </c>
      <c r="D149" s="55">
        <v>1379</v>
      </c>
      <c r="E149" s="55">
        <v>555</v>
      </c>
    </row>
    <row r="150" spans="1:5" x14ac:dyDescent="0.2">
      <c r="A150" s="1"/>
    </row>
    <row r="151" spans="1:5" x14ac:dyDescent="0.2">
      <c r="A151" s="53" t="s">
        <v>320</v>
      </c>
    </row>
    <row r="152" spans="1:5" x14ac:dyDescent="0.2">
      <c r="A152" s="54" t="s">
        <v>182</v>
      </c>
      <c r="B152" s="54" t="s">
        <v>70</v>
      </c>
      <c r="C152" s="54" t="s">
        <v>70</v>
      </c>
      <c r="D152" s="54" t="s">
        <v>70</v>
      </c>
      <c r="E152" s="54" t="s">
        <v>70</v>
      </c>
    </row>
    <row r="153" spans="1:5" x14ac:dyDescent="0.2">
      <c r="A153" s="54" t="s">
        <v>183</v>
      </c>
      <c r="B153" s="54" t="s">
        <v>70</v>
      </c>
      <c r="C153" s="54" t="s">
        <v>70</v>
      </c>
      <c r="D153" s="54" t="s">
        <v>70</v>
      </c>
      <c r="E153" s="54" t="s">
        <v>70</v>
      </c>
    </row>
    <row r="154" spans="1:5" x14ac:dyDescent="0.2">
      <c r="A154" s="54" t="s">
        <v>184</v>
      </c>
      <c r="B154" s="55">
        <v>1</v>
      </c>
      <c r="C154" s="55">
        <v>1</v>
      </c>
      <c r="D154" s="55">
        <v>1</v>
      </c>
      <c r="E154" s="55">
        <v>1</v>
      </c>
    </row>
    <row r="155" spans="1:5" x14ac:dyDescent="0.2">
      <c r="A155" s="54" t="s">
        <v>185</v>
      </c>
      <c r="B155" s="55">
        <v>1300</v>
      </c>
      <c r="C155" s="55">
        <v>1100</v>
      </c>
      <c r="D155" s="55">
        <v>900</v>
      </c>
      <c r="E155" s="55">
        <v>800</v>
      </c>
    </row>
    <row r="156" spans="1:5" x14ac:dyDescent="0.2">
      <c r="A156" s="54" t="s">
        <v>186</v>
      </c>
      <c r="B156" s="54" t="s">
        <v>70</v>
      </c>
      <c r="C156" s="54" t="s">
        <v>70</v>
      </c>
      <c r="D156" s="54" t="s">
        <v>70</v>
      </c>
      <c r="E156" s="54" t="s">
        <v>70</v>
      </c>
    </row>
    <row r="157" spans="1:5" x14ac:dyDescent="0.2">
      <c r="A157" s="54" t="s">
        <v>187</v>
      </c>
      <c r="B157" s="54" t="s">
        <v>70</v>
      </c>
      <c r="C157" s="54" t="s">
        <v>70</v>
      </c>
      <c r="D157" s="54" t="s">
        <v>70</v>
      </c>
      <c r="E157" s="54" t="s">
        <v>70</v>
      </c>
    </row>
    <row r="158" spans="1:5" x14ac:dyDescent="0.2">
      <c r="A158" s="54" t="s">
        <v>188</v>
      </c>
      <c r="B158" s="55">
        <v>4.3810000000000002</v>
      </c>
      <c r="C158" s="55">
        <v>3.9940000000000002</v>
      </c>
      <c r="D158" s="55">
        <v>3.8650000000000002</v>
      </c>
      <c r="E158" s="55">
        <v>3.7250000000000001</v>
      </c>
    </row>
    <row r="159" spans="1:5" x14ac:dyDescent="0.2">
      <c r="A159" s="54" t="s">
        <v>189</v>
      </c>
      <c r="B159" s="55">
        <v>729762072</v>
      </c>
      <c r="C159" s="55">
        <v>958156518</v>
      </c>
      <c r="D159" s="55">
        <v>1116826029</v>
      </c>
      <c r="E159" s="55">
        <v>2480395312</v>
      </c>
    </row>
    <row r="160" spans="1:5" x14ac:dyDescent="0.2">
      <c r="A160" s="54" t="s">
        <v>190</v>
      </c>
      <c r="B160" s="54" t="s">
        <v>70</v>
      </c>
      <c r="C160" s="54" t="s">
        <v>70</v>
      </c>
      <c r="D160" s="54" t="s">
        <v>70</v>
      </c>
      <c r="E160" s="54" t="s">
        <v>70</v>
      </c>
    </row>
    <row r="161" spans="1:5" x14ac:dyDescent="0.2">
      <c r="A161" s="54" t="s">
        <v>191</v>
      </c>
      <c r="B161" s="55">
        <v>0</v>
      </c>
      <c r="C161" s="55">
        <v>0</v>
      </c>
      <c r="D161" s="55">
        <v>0</v>
      </c>
      <c r="E161" s="55">
        <v>0</v>
      </c>
    </row>
    <row r="162" spans="1:5" x14ac:dyDescent="0.2">
      <c r="A162" s="54" t="s">
        <v>192</v>
      </c>
      <c r="B162" s="55">
        <v>3362</v>
      </c>
      <c r="C162" s="55">
        <v>4550</v>
      </c>
      <c r="D162" s="55">
        <v>3158</v>
      </c>
      <c r="E162" s="55">
        <v>6384</v>
      </c>
    </row>
    <row r="163" spans="1:5" x14ac:dyDescent="0.2">
      <c r="A163" s="54" t="s">
        <v>193</v>
      </c>
      <c r="B163" s="55">
        <v>2107</v>
      </c>
      <c r="C163" s="55">
        <v>1327</v>
      </c>
      <c r="D163" s="55">
        <v>6136</v>
      </c>
      <c r="E163" s="55">
        <v>1315</v>
      </c>
    </row>
    <row r="164" spans="1:5" x14ac:dyDescent="0.2">
      <c r="A164" s="54" t="s">
        <v>194</v>
      </c>
      <c r="B164" s="55">
        <v>1097</v>
      </c>
      <c r="C164" s="55">
        <v>6796</v>
      </c>
      <c r="D164" s="55">
        <v>1124</v>
      </c>
      <c r="E164" s="55">
        <v>1372</v>
      </c>
    </row>
    <row r="165" spans="1:5" x14ac:dyDescent="0.2">
      <c r="A165" s="54" t="s">
        <v>195</v>
      </c>
      <c r="B165" s="55">
        <v>6755</v>
      </c>
      <c r="C165" s="55">
        <v>1046</v>
      </c>
      <c r="D165" s="55">
        <v>1307</v>
      </c>
      <c r="E165" s="55">
        <v>2984</v>
      </c>
    </row>
    <row r="166" spans="1:5" x14ac:dyDescent="0.2">
      <c r="A166" s="54" t="s">
        <v>196</v>
      </c>
      <c r="B166" s="55">
        <v>900</v>
      </c>
      <c r="C166" s="54" t="s">
        <v>70</v>
      </c>
      <c r="D166" s="54" t="s">
        <v>70</v>
      </c>
      <c r="E166" s="54" t="s">
        <v>70</v>
      </c>
    </row>
    <row r="167" spans="1:5" x14ac:dyDescent="0.2">
      <c r="A167" s="54" t="s">
        <v>197</v>
      </c>
      <c r="B167" s="55">
        <v>0</v>
      </c>
      <c r="C167" s="55">
        <v>0</v>
      </c>
      <c r="D167" s="55">
        <v>0</v>
      </c>
      <c r="E167" s="55">
        <v>0</v>
      </c>
    </row>
    <row r="168" spans="1:5" x14ac:dyDescent="0.2">
      <c r="A168" s="54" t="s">
        <v>198</v>
      </c>
      <c r="B168" s="55">
        <v>-281</v>
      </c>
      <c r="C168" s="55">
        <v>-279</v>
      </c>
      <c r="D168" s="55">
        <v>-228</v>
      </c>
      <c r="E168" s="55">
        <v>-221</v>
      </c>
    </row>
    <row r="169" spans="1:5" x14ac:dyDescent="0.2">
      <c r="A169" s="54" t="s">
        <v>199</v>
      </c>
      <c r="B169" s="55">
        <v>0</v>
      </c>
      <c r="C169" s="55">
        <v>1.32</v>
      </c>
      <c r="D169" s="55">
        <v>1.48</v>
      </c>
      <c r="E169" s="55">
        <v>1.78</v>
      </c>
    </row>
    <row r="170" spans="1:5" x14ac:dyDescent="0.2">
      <c r="A170" s="54" t="s">
        <v>200</v>
      </c>
      <c r="B170" s="55">
        <v>0</v>
      </c>
      <c r="C170" s="55">
        <v>986</v>
      </c>
      <c r="D170" s="55">
        <v>1109</v>
      </c>
      <c r="E170" s="55">
        <v>1299</v>
      </c>
    </row>
    <row r="171" spans="1:5" x14ac:dyDescent="0.2">
      <c r="A171" s="54" t="s">
        <v>201</v>
      </c>
      <c r="B171" s="55">
        <v>0</v>
      </c>
      <c r="C171" s="55">
        <v>0</v>
      </c>
      <c r="D171" s="55">
        <v>0</v>
      </c>
      <c r="E171" s="55">
        <v>0</v>
      </c>
    </row>
    <row r="172" spans="1:5" x14ac:dyDescent="0.2">
      <c r="A172" s="54" t="s">
        <v>202</v>
      </c>
      <c r="B172" s="55">
        <v>133</v>
      </c>
      <c r="C172" s="55">
        <v>133</v>
      </c>
      <c r="D172" s="55">
        <v>120</v>
      </c>
      <c r="E172" s="55">
        <v>108</v>
      </c>
    </row>
    <row r="173" spans="1:5" x14ac:dyDescent="0.2">
      <c r="A173" s="54" t="s">
        <v>203</v>
      </c>
      <c r="B173" s="55">
        <v>92735</v>
      </c>
      <c r="C173" s="55">
        <v>89611</v>
      </c>
      <c r="D173" s="55">
        <v>82089</v>
      </c>
      <c r="E173" s="55">
        <v>79746</v>
      </c>
    </row>
    <row r="174" spans="1:5" x14ac:dyDescent="0.2">
      <c r="A174" s="54" t="s">
        <v>204</v>
      </c>
      <c r="B174" s="55">
        <v>-526</v>
      </c>
      <c r="C174" s="55">
        <v>-747</v>
      </c>
      <c r="D174" s="55">
        <v>-755</v>
      </c>
      <c r="E174" s="55">
        <v>-1023</v>
      </c>
    </row>
    <row r="175" spans="1:5" x14ac:dyDescent="0.2">
      <c r="A175" s="54" t="s">
        <v>205</v>
      </c>
      <c r="B175" s="55">
        <v>-221</v>
      </c>
      <c r="C175" s="55">
        <v>-265</v>
      </c>
      <c r="D175" s="55">
        <v>-199</v>
      </c>
      <c r="E175" s="55">
        <v>-112</v>
      </c>
    </row>
    <row r="176" spans="1:5" x14ac:dyDescent="0.2">
      <c r="A176" s="54" t="s">
        <v>206</v>
      </c>
      <c r="B176" s="55">
        <v>0</v>
      </c>
      <c r="C176" s="55">
        <v>0</v>
      </c>
      <c r="D176" s="55">
        <v>0</v>
      </c>
      <c r="E176" s="55">
        <v>0</v>
      </c>
    </row>
    <row r="177" spans="1:5" x14ac:dyDescent="0.2">
      <c r="A177" s="54" t="s">
        <v>207</v>
      </c>
      <c r="B177" s="54" t="s">
        <v>70</v>
      </c>
      <c r="C177" s="54" t="s">
        <v>70</v>
      </c>
      <c r="D177" s="54" t="s">
        <v>70</v>
      </c>
      <c r="E177" s="54" t="s">
        <v>70</v>
      </c>
    </row>
    <row r="178" spans="1:5" x14ac:dyDescent="0.2">
      <c r="A178" s="54" t="s">
        <v>208</v>
      </c>
      <c r="B178" s="54" t="s">
        <v>70</v>
      </c>
      <c r="C178" s="54" t="s">
        <v>70</v>
      </c>
      <c r="D178" s="54" t="s">
        <v>70</v>
      </c>
      <c r="E178" s="54" t="s">
        <v>70</v>
      </c>
    </row>
    <row r="179" spans="1:5" x14ac:dyDescent="0.2">
      <c r="A179" s="54" t="s">
        <v>209</v>
      </c>
      <c r="B179" s="55">
        <v>0</v>
      </c>
      <c r="C179" s="55">
        <v>0</v>
      </c>
      <c r="D179" s="55">
        <v>0</v>
      </c>
      <c r="E179" s="55">
        <v>0</v>
      </c>
    </row>
    <row r="180" spans="1:5" x14ac:dyDescent="0.2">
      <c r="A180" s="54" t="s">
        <v>210</v>
      </c>
      <c r="B180" s="54" t="s">
        <v>70</v>
      </c>
      <c r="C180" s="54" t="s">
        <v>70</v>
      </c>
      <c r="D180" s="54" t="s">
        <v>70</v>
      </c>
      <c r="E180" s="54" t="s">
        <v>70</v>
      </c>
    </row>
    <row r="181" spans="1:5" x14ac:dyDescent="0.2">
      <c r="A181" s="54" t="s">
        <v>211</v>
      </c>
      <c r="B181" s="55">
        <v>0</v>
      </c>
      <c r="C181" s="55">
        <v>0</v>
      </c>
      <c r="D181" s="55">
        <v>0</v>
      </c>
      <c r="E181" s="55">
        <v>0</v>
      </c>
    </row>
    <row r="182" spans="1:5" x14ac:dyDescent="0.2">
      <c r="A182" s="54" t="s">
        <v>212</v>
      </c>
      <c r="B182" s="54" t="s">
        <v>70</v>
      </c>
      <c r="C182" s="54" t="s">
        <v>70</v>
      </c>
      <c r="D182" s="54" t="s">
        <v>70</v>
      </c>
      <c r="E182" s="54" t="s">
        <v>70</v>
      </c>
    </row>
    <row r="183" spans="1:5" x14ac:dyDescent="0.2">
      <c r="A183" s="54" t="s">
        <v>213</v>
      </c>
      <c r="B183" s="55">
        <v>0</v>
      </c>
      <c r="C183" s="55">
        <v>0</v>
      </c>
      <c r="D183" s="55">
        <v>0</v>
      </c>
      <c r="E183" s="55">
        <v>0</v>
      </c>
    </row>
    <row r="184" spans="1:5" x14ac:dyDescent="0.2">
      <c r="A184" s="54" t="s">
        <v>214</v>
      </c>
      <c r="B184" s="55">
        <v>0</v>
      </c>
      <c r="C184" s="55">
        <v>0</v>
      </c>
      <c r="D184" s="55">
        <v>0</v>
      </c>
      <c r="E184" s="55">
        <v>0</v>
      </c>
    </row>
    <row r="185" spans="1:5" x14ac:dyDescent="0.2">
      <c r="A185" s="54" t="s">
        <v>215</v>
      </c>
      <c r="B185" s="55">
        <v>0</v>
      </c>
      <c r="C185" s="55">
        <v>0</v>
      </c>
      <c r="D185" s="55">
        <v>0</v>
      </c>
      <c r="E185" s="55">
        <v>0</v>
      </c>
    </row>
    <row r="186" spans="1:5" x14ac:dyDescent="0.2">
      <c r="A186" s="54" t="s">
        <v>216</v>
      </c>
      <c r="B186" s="55">
        <v>871</v>
      </c>
      <c r="C186" s="55">
        <v>725</v>
      </c>
      <c r="D186" s="54" t="s">
        <v>70</v>
      </c>
      <c r="E186" s="54" t="s">
        <v>70</v>
      </c>
    </row>
    <row r="187" spans="1:5" x14ac:dyDescent="0.2">
      <c r="A187" s="54" t="s">
        <v>217</v>
      </c>
      <c r="B187" s="55">
        <v>56.17</v>
      </c>
      <c r="C187" s="55">
        <v>40.22</v>
      </c>
      <c r="D187" s="55">
        <v>76.5</v>
      </c>
      <c r="E187" s="55">
        <v>115.24</v>
      </c>
    </row>
    <row r="188" spans="1:5" x14ac:dyDescent="0.2">
      <c r="A188" s="54" t="s">
        <v>218</v>
      </c>
      <c r="B188" s="55">
        <v>115</v>
      </c>
      <c r="C188" s="55">
        <v>61.54</v>
      </c>
      <c r="D188" s="55">
        <v>77.45</v>
      </c>
      <c r="E188" s="55">
        <v>179.7</v>
      </c>
    </row>
    <row r="189" spans="1:5" x14ac:dyDescent="0.2">
      <c r="A189" s="54" t="s">
        <v>219</v>
      </c>
      <c r="B189" s="55">
        <v>53.01</v>
      </c>
      <c r="C189" s="55">
        <v>32.895000000000003</v>
      </c>
      <c r="D189" s="55">
        <v>35.96</v>
      </c>
      <c r="E189" s="55">
        <v>74.319999999999993</v>
      </c>
    </row>
    <row r="190" spans="1:5" x14ac:dyDescent="0.2">
      <c r="A190" s="54" t="s">
        <v>220</v>
      </c>
      <c r="B190" s="55">
        <v>56.81</v>
      </c>
      <c r="C190" s="55">
        <v>40.619999999999997</v>
      </c>
      <c r="D190" s="55">
        <v>82.88</v>
      </c>
      <c r="E190" s="55">
        <v>103.6</v>
      </c>
    </row>
    <row r="191" spans="1:5" x14ac:dyDescent="0.2">
      <c r="A191" s="54" t="s">
        <v>221</v>
      </c>
      <c r="B191" s="55">
        <v>279</v>
      </c>
      <c r="C191" s="55">
        <v>279</v>
      </c>
      <c r="D191" s="55">
        <v>150</v>
      </c>
      <c r="E191" s="55">
        <v>141</v>
      </c>
    </row>
    <row r="192" spans="1:5" x14ac:dyDescent="0.2">
      <c r="A192" s="54" t="s">
        <v>222</v>
      </c>
      <c r="B192" s="55">
        <v>286</v>
      </c>
      <c r="C192" s="55">
        <v>260</v>
      </c>
      <c r="D192" s="55">
        <v>254</v>
      </c>
      <c r="E192" s="55">
        <v>233</v>
      </c>
    </row>
    <row r="193" spans="1:5" x14ac:dyDescent="0.2">
      <c r="A193" s="54" t="s">
        <v>223</v>
      </c>
      <c r="B193" s="55">
        <v>219</v>
      </c>
      <c r="C193" s="55">
        <v>200</v>
      </c>
      <c r="D193" s="55">
        <v>207</v>
      </c>
      <c r="E193" s="55">
        <v>200</v>
      </c>
    </row>
    <row r="194" spans="1:5" x14ac:dyDescent="0.2">
      <c r="A194" s="54" t="s">
        <v>224</v>
      </c>
      <c r="B194" s="55">
        <v>154</v>
      </c>
      <c r="C194" s="55">
        <v>162</v>
      </c>
      <c r="D194" s="55">
        <v>168</v>
      </c>
      <c r="E194" s="55">
        <v>157</v>
      </c>
    </row>
    <row r="195" spans="1:5" x14ac:dyDescent="0.2">
      <c r="A195" s="54" t="s">
        <v>225</v>
      </c>
      <c r="B195" s="55">
        <v>120</v>
      </c>
      <c r="C195" s="55">
        <v>121</v>
      </c>
      <c r="D195" s="55">
        <v>120</v>
      </c>
      <c r="E195" s="55">
        <v>105</v>
      </c>
    </row>
    <row r="196" spans="1:5" x14ac:dyDescent="0.2">
      <c r="A196" s="54" t="s">
        <v>226</v>
      </c>
      <c r="B196" s="55">
        <v>97</v>
      </c>
      <c r="C196" s="55">
        <v>85</v>
      </c>
      <c r="D196" s="55">
        <v>77</v>
      </c>
      <c r="E196" s="55">
        <v>77</v>
      </c>
    </row>
    <row r="197" spans="1:5" x14ac:dyDescent="0.2">
      <c r="A197" s="54" t="s">
        <v>227</v>
      </c>
      <c r="B197" s="55">
        <v>431</v>
      </c>
      <c r="C197" s="55">
        <v>396</v>
      </c>
      <c r="D197" s="55">
        <v>371</v>
      </c>
      <c r="E197" s="55">
        <v>355</v>
      </c>
    </row>
    <row r="198" spans="1:5" x14ac:dyDescent="0.2">
      <c r="A198" s="54" t="s">
        <v>228</v>
      </c>
      <c r="B198" s="54" t="s">
        <v>70</v>
      </c>
      <c r="C198" s="54" t="s">
        <v>70</v>
      </c>
      <c r="D198" s="54" t="s">
        <v>70</v>
      </c>
      <c r="E198" s="54" t="s">
        <v>70</v>
      </c>
    </row>
    <row r="199" spans="1:5" x14ac:dyDescent="0.2">
      <c r="A199" s="54" t="s">
        <v>229</v>
      </c>
      <c r="B199" s="55">
        <v>2577</v>
      </c>
      <c r="C199" s="55">
        <v>2779</v>
      </c>
      <c r="D199" s="55">
        <v>2801</v>
      </c>
      <c r="E199" s="55">
        <v>3061</v>
      </c>
    </row>
    <row r="200" spans="1:5" x14ac:dyDescent="0.2">
      <c r="A200" s="54" t="s">
        <v>230</v>
      </c>
      <c r="B200" s="54" t="s">
        <v>70</v>
      </c>
      <c r="C200" s="54" t="s">
        <v>70</v>
      </c>
      <c r="D200" s="54" t="s">
        <v>70</v>
      </c>
      <c r="E200" s="54" t="s">
        <v>70</v>
      </c>
    </row>
    <row r="201" spans="1:5" x14ac:dyDescent="0.2">
      <c r="A201" s="54" t="s">
        <v>231</v>
      </c>
      <c r="B201" s="55">
        <v>964</v>
      </c>
      <c r="C201" s="55">
        <v>3813</v>
      </c>
      <c r="D201" s="55">
        <v>5900</v>
      </c>
      <c r="E201" s="55">
        <v>8502</v>
      </c>
    </row>
    <row r="202" spans="1:5" x14ac:dyDescent="0.2">
      <c r="A202" s="54" t="s">
        <v>232</v>
      </c>
      <c r="B202" s="55">
        <v>0</v>
      </c>
      <c r="C202" s="55">
        <v>0</v>
      </c>
      <c r="D202" s="55">
        <v>0</v>
      </c>
      <c r="E202" s="55">
        <v>0</v>
      </c>
    </row>
    <row r="203" spans="1:5" x14ac:dyDescent="0.2">
      <c r="A203" s="54" t="s">
        <v>233</v>
      </c>
      <c r="B203" s="55">
        <v>20</v>
      </c>
      <c r="C203" s="55">
        <v>82</v>
      </c>
      <c r="D203" s="55">
        <v>116</v>
      </c>
      <c r="E203" s="55">
        <v>138</v>
      </c>
    </row>
    <row r="204" spans="1:5" x14ac:dyDescent="0.2">
      <c r="A204" s="1"/>
    </row>
    <row r="205" spans="1:5" x14ac:dyDescent="0.2">
      <c r="A205" s="53" t="s">
        <v>319</v>
      </c>
    </row>
    <row r="206" spans="1:5" x14ac:dyDescent="0.2">
      <c r="A206" s="54" t="s">
        <v>234</v>
      </c>
      <c r="B206" s="55">
        <v>18001</v>
      </c>
      <c r="C206" s="55">
        <v>17763</v>
      </c>
      <c r="D206" s="55">
        <v>13986</v>
      </c>
      <c r="E206" s="55">
        <v>15602</v>
      </c>
    </row>
    <row r="207" spans="1:5" x14ac:dyDescent="0.2">
      <c r="A207" s="54" t="s">
        <v>235</v>
      </c>
      <c r="B207" s="55">
        <v>0</v>
      </c>
      <c r="C207" s="55">
        <v>0</v>
      </c>
      <c r="D207" s="55">
        <v>0</v>
      </c>
      <c r="E207" s="55">
        <v>0</v>
      </c>
    </row>
    <row r="208" spans="1:5" x14ac:dyDescent="0.2">
      <c r="A208" s="54" t="s">
        <v>236</v>
      </c>
      <c r="B208" s="55">
        <v>131</v>
      </c>
      <c r="C208" s="55">
        <v>378</v>
      </c>
      <c r="D208" s="55">
        <v>0</v>
      </c>
      <c r="E208" s="55">
        <v>0</v>
      </c>
    </row>
    <row r="209" spans="1:5" x14ac:dyDescent="0.2">
      <c r="A209" s="54" t="s">
        <v>237</v>
      </c>
      <c r="B209" s="55">
        <v>18132</v>
      </c>
      <c r="C209" s="55">
        <v>18141</v>
      </c>
      <c r="D209" s="55">
        <v>13986</v>
      </c>
      <c r="E209" s="55">
        <v>15602</v>
      </c>
    </row>
    <row r="210" spans="1:5" x14ac:dyDescent="0.2">
      <c r="A210" s="54" t="s">
        <v>238</v>
      </c>
      <c r="B210" s="55">
        <v>3653</v>
      </c>
      <c r="C210" s="55">
        <v>3225</v>
      </c>
      <c r="D210" s="55">
        <v>2321</v>
      </c>
      <c r="E210" s="55">
        <v>4432</v>
      </c>
    </row>
    <row r="211" spans="1:5" x14ac:dyDescent="0.2">
      <c r="A211" s="54" t="s">
        <v>239</v>
      </c>
      <c r="B211" s="55">
        <v>855</v>
      </c>
      <c r="C211" s="55">
        <v>708</v>
      </c>
      <c r="D211" s="55">
        <v>607</v>
      </c>
      <c r="E211" s="55">
        <v>1128</v>
      </c>
    </row>
    <row r="212" spans="1:5" x14ac:dyDescent="0.2">
      <c r="A212" s="54" t="s">
        <v>240</v>
      </c>
      <c r="B212" s="55">
        <v>1390</v>
      </c>
      <c r="C212" s="55">
        <v>843</v>
      </c>
      <c r="D212" s="55">
        <v>694</v>
      </c>
      <c r="E212" s="55">
        <v>1156</v>
      </c>
    </row>
    <row r="213" spans="1:5" x14ac:dyDescent="0.2">
      <c r="A213" s="54" t="s">
        <v>241</v>
      </c>
      <c r="B213" s="55">
        <v>0</v>
      </c>
      <c r="C213" s="55">
        <v>0</v>
      </c>
      <c r="D213" s="55">
        <v>0</v>
      </c>
      <c r="E213" s="55">
        <v>0</v>
      </c>
    </row>
    <row r="214" spans="1:5" x14ac:dyDescent="0.2">
      <c r="A214" s="54" t="s">
        <v>53</v>
      </c>
      <c r="B214" s="55">
        <v>5898</v>
      </c>
      <c r="C214" s="55">
        <v>4776</v>
      </c>
      <c r="D214" s="55">
        <v>3622</v>
      </c>
      <c r="E214" s="55">
        <v>6716</v>
      </c>
    </row>
    <row r="215" spans="1:5" x14ac:dyDescent="0.2">
      <c r="A215" s="54" t="s">
        <v>242</v>
      </c>
      <c r="B215" s="55">
        <v>0</v>
      </c>
      <c r="C215" s="55">
        <v>0</v>
      </c>
      <c r="D215" s="55">
        <v>0</v>
      </c>
      <c r="E215" s="55">
        <v>0</v>
      </c>
    </row>
    <row r="216" spans="1:5" x14ac:dyDescent="0.2">
      <c r="A216" s="54" t="s">
        <v>243</v>
      </c>
      <c r="B216" s="55">
        <v>0</v>
      </c>
      <c r="C216" s="55">
        <v>0</v>
      </c>
      <c r="D216" s="55">
        <v>0</v>
      </c>
      <c r="E216" s="55">
        <v>0</v>
      </c>
    </row>
    <row r="217" spans="1:5" x14ac:dyDescent="0.2">
      <c r="A217" s="54" t="s">
        <v>244</v>
      </c>
      <c r="B217" s="55">
        <v>0</v>
      </c>
      <c r="C217" s="55">
        <v>0</v>
      </c>
      <c r="D217" s="55">
        <v>0</v>
      </c>
      <c r="E217" s="55">
        <v>0</v>
      </c>
    </row>
    <row r="218" spans="1:5" x14ac:dyDescent="0.2">
      <c r="A218" s="54" t="s">
        <v>245</v>
      </c>
      <c r="B218" s="55">
        <v>0</v>
      </c>
      <c r="C218" s="55">
        <v>0</v>
      </c>
      <c r="D218" s="55">
        <v>0</v>
      </c>
      <c r="E218" s="55">
        <v>0</v>
      </c>
    </row>
    <row r="219" spans="1:5" x14ac:dyDescent="0.2">
      <c r="A219" s="54" t="s">
        <v>246</v>
      </c>
      <c r="B219" s="55">
        <v>17252</v>
      </c>
      <c r="C219" s="55">
        <v>19252</v>
      </c>
      <c r="D219" s="55">
        <v>16559</v>
      </c>
      <c r="E219" s="55">
        <v>16025</v>
      </c>
    </row>
    <row r="220" spans="1:5" x14ac:dyDescent="0.2">
      <c r="A220" s="54" t="s">
        <v>247</v>
      </c>
      <c r="B220" s="54" t="s">
        <v>70</v>
      </c>
      <c r="C220" s="54" t="s">
        <v>70</v>
      </c>
      <c r="D220" s="54" t="s">
        <v>70</v>
      </c>
      <c r="E220" s="54" t="s">
        <v>70</v>
      </c>
    </row>
    <row r="221" spans="1:5" x14ac:dyDescent="0.2">
      <c r="A221" s="54" t="s">
        <v>248</v>
      </c>
      <c r="B221" s="55">
        <v>10990</v>
      </c>
      <c r="C221" s="55">
        <v>11505</v>
      </c>
      <c r="D221" s="55">
        <v>10492</v>
      </c>
      <c r="E221" s="55">
        <v>9521</v>
      </c>
    </row>
    <row r="222" spans="1:5" x14ac:dyDescent="0.2">
      <c r="A222" s="54" t="s">
        <v>249</v>
      </c>
      <c r="B222" s="55">
        <v>0</v>
      </c>
      <c r="C222" s="55">
        <v>0</v>
      </c>
      <c r="D222" s="55">
        <v>0</v>
      </c>
      <c r="E222" s="55">
        <v>0</v>
      </c>
    </row>
    <row r="223" spans="1:5" x14ac:dyDescent="0.2">
      <c r="A223" s="54" t="s">
        <v>250</v>
      </c>
      <c r="B223" s="55">
        <v>21851</v>
      </c>
      <c r="C223" s="55">
        <v>23645</v>
      </c>
      <c r="D223" s="55">
        <v>19588</v>
      </c>
      <c r="E223" s="55">
        <v>19885</v>
      </c>
    </row>
    <row r="224" spans="1:5" x14ac:dyDescent="0.2">
      <c r="A224" s="1" t="s">
        <v>251</v>
      </c>
    </row>
    <row r="225" spans="1:5" x14ac:dyDescent="0.2">
      <c r="A225" s="54" t="s">
        <v>252</v>
      </c>
      <c r="B225" s="54" t="s">
        <v>70</v>
      </c>
      <c r="C225" s="54" t="s">
        <v>70</v>
      </c>
      <c r="D225" s="54" t="s">
        <v>70</v>
      </c>
      <c r="E225" s="54" t="s">
        <v>70</v>
      </c>
    </row>
    <row r="226" spans="1:5" x14ac:dyDescent="0.2">
      <c r="A226" s="54" t="s">
        <v>163</v>
      </c>
      <c r="B226" s="55">
        <v>2796</v>
      </c>
      <c r="C226" s="55">
        <v>3003</v>
      </c>
      <c r="D226" s="55">
        <v>2756</v>
      </c>
      <c r="E226" s="55">
        <v>2652</v>
      </c>
    </row>
    <row r="227" spans="1:5" x14ac:dyDescent="0.2">
      <c r="A227" s="54" t="s">
        <v>253</v>
      </c>
      <c r="B227" s="54" t="s">
        <v>70</v>
      </c>
      <c r="C227" s="54" t="s">
        <v>70</v>
      </c>
      <c r="D227" s="54" t="s">
        <v>70</v>
      </c>
      <c r="E227" s="54" t="s">
        <v>70</v>
      </c>
    </row>
    <row r="228" spans="1:5" x14ac:dyDescent="0.2">
      <c r="A228" s="54" t="s">
        <v>254</v>
      </c>
      <c r="B228" s="54" t="s">
        <v>70</v>
      </c>
      <c r="C228" s="54" t="s">
        <v>70</v>
      </c>
      <c r="D228" s="54" t="s">
        <v>70</v>
      </c>
      <c r="E228" s="54" t="s">
        <v>70</v>
      </c>
    </row>
    <row r="229" spans="1:5" x14ac:dyDescent="0.2">
      <c r="A229" s="54" t="s">
        <v>255</v>
      </c>
      <c r="B229" s="55">
        <v>13177</v>
      </c>
      <c r="C229" s="55">
        <v>13817</v>
      </c>
      <c r="D229" s="55">
        <v>14324</v>
      </c>
      <c r="E229" s="55">
        <v>14756</v>
      </c>
    </row>
    <row r="230" spans="1:5" x14ac:dyDescent="0.2">
      <c r="A230" s="1" t="s">
        <v>256</v>
      </c>
    </row>
    <row r="231" spans="1:5" x14ac:dyDescent="0.2">
      <c r="A231" s="54" t="s">
        <v>252</v>
      </c>
      <c r="B231" s="54" t="s">
        <v>70</v>
      </c>
      <c r="C231" s="54" t="s">
        <v>70</v>
      </c>
      <c r="D231" s="54" t="s">
        <v>70</v>
      </c>
      <c r="E231" s="54" t="s">
        <v>70</v>
      </c>
    </row>
    <row r="232" spans="1:5" x14ac:dyDescent="0.2">
      <c r="A232" s="54" t="s">
        <v>257</v>
      </c>
      <c r="B232" s="54" t="s">
        <v>70</v>
      </c>
      <c r="C232" s="54" t="s">
        <v>70</v>
      </c>
      <c r="D232" s="54" t="s">
        <v>70</v>
      </c>
      <c r="E232" s="54" t="s">
        <v>70</v>
      </c>
    </row>
    <row r="233" spans="1:5" x14ac:dyDescent="0.2">
      <c r="A233" s="54" t="s">
        <v>258</v>
      </c>
      <c r="B233" s="54" t="s">
        <v>70</v>
      </c>
      <c r="C233" s="54" t="s">
        <v>70</v>
      </c>
      <c r="D233" s="54" t="s">
        <v>70</v>
      </c>
      <c r="E233" s="54" t="s">
        <v>70</v>
      </c>
    </row>
    <row r="234" spans="1:5" x14ac:dyDescent="0.2">
      <c r="A234" s="54" t="s">
        <v>253</v>
      </c>
      <c r="B234" s="54" t="s">
        <v>70</v>
      </c>
      <c r="C234" s="54" t="s">
        <v>70</v>
      </c>
      <c r="D234" s="54" t="s">
        <v>70</v>
      </c>
      <c r="E234" s="54" t="s">
        <v>70</v>
      </c>
    </row>
    <row r="235" spans="1:5" x14ac:dyDescent="0.2">
      <c r="A235" s="54" t="s">
        <v>254</v>
      </c>
      <c r="B235" s="54" t="s">
        <v>70</v>
      </c>
      <c r="C235" s="54" t="s">
        <v>70</v>
      </c>
      <c r="D235" s="54" t="s">
        <v>70</v>
      </c>
      <c r="E235" s="54" t="s">
        <v>70</v>
      </c>
    </row>
    <row r="236" spans="1:5" x14ac:dyDescent="0.2">
      <c r="A236" s="54" t="s">
        <v>255</v>
      </c>
      <c r="B236" s="55">
        <v>6891</v>
      </c>
      <c r="C236" s="55">
        <v>6883</v>
      </c>
      <c r="D236" s="55">
        <v>7185</v>
      </c>
      <c r="E236" s="55">
        <v>7760</v>
      </c>
    </row>
    <row r="237" spans="1:5" x14ac:dyDescent="0.2">
      <c r="A237" s="54" t="s">
        <v>259</v>
      </c>
      <c r="B237" s="55">
        <v>-54</v>
      </c>
      <c r="C237" s="55">
        <v>-483</v>
      </c>
      <c r="D237" s="55">
        <v>-106</v>
      </c>
      <c r="E237" s="55">
        <v>-220</v>
      </c>
    </row>
    <row r="238" spans="1:5" x14ac:dyDescent="0.2">
      <c r="A238" s="54" t="s">
        <v>260</v>
      </c>
      <c r="B238" s="55">
        <v>-167</v>
      </c>
      <c r="C238" s="55">
        <v>-131</v>
      </c>
      <c r="D238" s="55">
        <v>57</v>
      </c>
      <c r="E238" s="55">
        <v>24</v>
      </c>
    </row>
    <row r="239" spans="1:5" x14ac:dyDescent="0.2">
      <c r="A239" s="54" t="s">
        <v>261</v>
      </c>
      <c r="B239" s="55">
        <v>0</v>
      </c>
      <c r="C239" s="55">
        <v>-103</v>
      </c>
      <c r="D239" s="55">
        <v>-42</v>
      </c>
      <c r="E239" s="55">
        <v>-12</v>
      </c>
    </row>
    <row r="240" spans="1:5" x14ac:dyDescent="0.2">
      <c r="A240" s="54" t="s">
        <v>262</v>
      </c>
      <c r="B240" s="55">
        <v>166</v>
      </c>
      <c r="C240" s="55">
        <v>605</v>
      </c>
      <c r="D240" s="55">
        <v>149</v>
      </c>
      <c r="E240" s="55">
        <v>-84</v>
      </c>
    </row>
    <row r="241" spans="1:5" x14ac:dyDescent="0.2">
      <c r="A241" s="54" t="s">
        <v>263</v>
      </c>
      <c r="B241" s="55">
        <v>960</v>
      </c>
      <c r="C241" s="55">
        <v>739</v>
      </c>
      <c r="D241" s="55">
        <v>601</v>
      </c>
      <c r="E241" s="55">
        <v>785</v>
      </c>
    </row>
    <row r="242" spans="1:5" x14ac:dyDescent="0.2">
      <c r="A242" s="54" t="s">
        <v>264</v>
      </c>
      <c r="B242" s="55">
        <v>76</v>
      </c>
      <c r="C242" s="55">
        <v>176</v>
      </c>
      <c r="D242" s="55">
        <v>33</v>
      </c>
      <c r="E242" s="55">
        <v>-21</v>
      </c>
    </row>
    <row r="243" spans="1:5" x14ac:dyDescent="0.2">
      <c r="A243" s="54" t="s">
        <v>265</v>
      </c>
      <c r="B243" s="55">
        <v>0</v>
      </c>
      <c r="C243" s="55">
        <v>0</v>
      </c>
      <c r="D243" s="55">
        <v>0</v>
      </c>
      <c r="E243" s="55">
        <v>0</v>
      </c>
    </row>
    <row r="244" spans="1:5" x14ac:dyDescent="0.2">
      <c r="A244" s="54" t="s">
        <v>128</v>
      </c>
      <c r="B244" s="55">
        <v>981</v>
      </c>
      <c r="C244" s="55">
        <v>803</v>
      </c>
      <c r="D244" s="55">
        <v>692</v>
      </c>
      <c r="E244" s="55">
        <v>472</v>
      </c>
    </row>
    <row r="245" spans="1:5" x14ac:dyDescent="0.2">
      <c r="A245" s="1" t="s">
        <v>266</v>
      </c>
    </row>
    <row r="246" spans="1:5" x14ac:dyDescent="0.2">
      <c r="A246" s="54" t="s">
        <v>267</v>
      </c>
      <c r="B246" s="54" t="s">
        <v>70</v>
      </c>
      <c r="C246" s="54" t="s">
        <v>70</v>
      </c>
      <c r="D246" s="54" t="s">
        <v>70</v>
      </c>
      <c r="E246" s="54" t="s">
        <v>70</v>
      </c>
    </row>
    <row r="247" spans="1:5" x14ac:dyDescent="0.2">
      <c r="A247" s="54" t="s">
        <v>268</v>
      </c>
      <c r="B247" s="54" t="s">
        <v>70</v>
      </c>
      <c r="C247" s="54" t="s">
        <v>70</v>
      </c>
      <c r="D247" s="54" t="s">
        <v>70</v>
      </c>
      <c r="E247" s="54" t="s">
        <v>70</v>
      </c>
    </row>
    <row r="248" spans="1:5" x14ac:dyDescent="0.2">
      <c r="A248" s="54" t="s">
        <v>269</v>
      </c>
      <c r="B248" s="54" t="s">
        <v>70</v>
      </c>
      <c r="C248" s="54" t="s">
        <v>70</v>
      </c>
      <c r="D248" s="54" t="s">
        <v>70</v>
      </c>
      <c r="E248" s="54" t="s">
        <v>70</v>
      </c>
    </row>
    <row r="249" spans="1:5" x14ac:dyDescent="0.2">
      <c r="A249" s="54" t="s">
        <v>270</v>
      </c>
      <c r="B249" s="54" t="s">
        <v>70</v>
      </c>
      <c r="C249" s="54" t="s">
        <v>70</v>
      </c>
      <c r="D249" s="54" t="s">
        <v>70</v>
      </c>
      <c r="E249" s="54" t="s">
        <v>70</v>
      </c>
    </row>
    <row r="250" spans="1:5" x14ac:dyDescent="0.2">
      <c r="A250" s="54" t="s">
        <v>271</v>
      </c>
      <c r="B250" s="54" t="s">
        <v>70</v>
      </c>
      <c r="C250" s="54" t="s">
        <v>70</v>
      </c>
      <c r="D250" s="54" t="s">
        <v>70</v>
      </c>
      <c r="E250" s="54" t="s">
        <v>70</v>
      </c>
    </row>
    <row r="251" spans="1:5" x14ac:dyDescent="0.2">
      <c r="A251" s="1"/>
    </row>
    <row r="252" spans="1:5" x14ac:dyDescent="0.2">
      <c r="A252" s="53" t="s">
        <v>318</v>
      </c>
    </row>
    <row r="253" spans="1:5" x14ac:dyDescent="0.2">
      <c r="A253" s="54" t="s">
        <v>272</v>
      </c>
      <c r="B253" s="55">
        <v>10011</v>
      </c>
      <c r="C253" s="55">
        <v>8879</v>
      </c>
      <c r="D253" s="55">
        <v>7502</v>
      </c>
      <c r="E253" s="55">
        <v>3756</v>
      </c>
    </row>
    <row r="254" spans="1:5" x14ac:dyDescent="0.2">
      <c r="A254" s="54" t="s">
        <v>237</v>
      </c>
      <c r="B254" s="55">
        <v>18132</v>
      </c>
      <c r="C254" s="55">
        <v>18141</v>
      </c>
      <c r="D254" s="55">
        <v>13986</v>
      </c>
      <c r="E254" s="55">
        <v>15602</v>
      </c>
    </row>
    <row r="255" spans="1:5" x14ac:dyDescent="0.2">
      <c r="A255" s="54" t="s">
        <v>53</v>
      </c>
      <c r="B255" s="55">
        <v>5898</v>
      </c>
      <c r="C255" s="55">
        <v>4776</v>
      </c>
      <c r="D255" s="55">
        <v>3622</v>
      </c>
      <c r="E255" s="55">
        <v>6716</v>
      </c>
    </row>
    <row r="256" spans="1:5" x14ac:dyDescent="0.2">
      <c r="A256" s="54" t="s">
        <v>273</v>
      </c>
      <c r="B256" s="55">
        <v>886</v>
      </c>
      <c r="C256" s="55">
        <v>641</v>
      </c>
      <c r="D256" s="55">
        <v>589</v>
      </c>
      <c r="E256" s="55">
        <v>564</v>
      </c>
    </row>
    <row r="257" spans="1:5" x14ac:dyDescent="0.2">
      <c r="A257" s="54" t="s">
        <v>58</v>
      </c>
      <c r="B257" s="55">
        <v>10106</v>
      </c>
      <c r="C257" s="55">
        <v>9914</v>
      </c>
      <c r="D257" s="55">
        <v>10248</v>
      </c>
      <c r="E257" s="55">
        <v>9591</v>
      </c>
    </row>
    <row r="258" spans="1:5" x14ac:dyDescent="0.2">
      <c r="A258" s="54" t="s">
        <v>61</v>
      </c>
      <c r="B258" s="55">
        <v>45033</v>
      </c>
      <c r="C258" s="55">
        <v>42351</v>
      </c>
      <c r="D258" s="55">
        <v>35947</v>
      </c>
      <c r="E258" s="55">
        <v>36229</v>
      </c>
    </row>
    <row r="259" spans="1:5" x14ac:dyDescent="0.2">
      <c r="A259" s="54" t="s">
        <v>274</v>
      </c>
      <c r="B259" s="55">
        <v>13177</v>
      </c>
      <c r="C259" s="55">
        <v>13817</v>
      </c>
      <c r="D259" s="55">
        <v>14324</v>
      </c>
      <c r="E259" s="55">
        <v>14756</v>
      </c>
    </row>
    <row r="260" spans="1:5" x14ac:dyDescent="0.2">
      <c r="A260" s="54" t="s">
        <v>275</v>
      </c>
      <c r="B260" s="55">
        <v>6891</v>
      </c>
      <c r="C260" s="55">
        <v>6883</v>
      </c>
      <c r="D260" s="55">
        <v>7185</v>
      </c>
      <c r="E260" s="55">
        <v>7760</v>
      </c>
    </row>
    <row r="261" spans="1:5" x14ac:dyDescent="0.2">
      <c r="A261" s="54" t="s">
        <v>276</v>
      </c>
      <c r="B261" s="55">
        <v>6286</v>
      </c>
      <c r="C261" s="55">
        <v>6934</v>
      </c>
      <c r="D261" s="55">
        <v>7139</v>
      </c>
      <c r="E261" s="55">
        <v>6996</v>
      </c>
    </row>
    <row r="262" spans="1:5" x14ac:dyDescent="0.2">
      <c r="A262" s="54" t="s">
        <v>277</v>
      </c>
      <c r="B262" s="55">
        <v>0</v>
      </c>
      <c r="C262" s="55">
        <v>0</v>
      </c>
      <c r="D262" s="55">
        <v>0</v>
      </c>
      <c r="E262" s="55">
        <v>0</v>
      </c>
    </row>
    <row r="263" spans="1:5" x14ac:dyDescent="0.2">
      <c r="A263" s="54" t="s">
        <v>278</v>
      </c>
      <c r="B263" s="55">
        <v>8071</v>
      </c>
      <c r="C263" s="55">
        <v>7596</v>
      </c>
      <c r="D263" s="55">
        <v>7193</v>
      </c>
      <c r="E263" s="55">
        <v>7423</v>
      </c>
    </row>
    <row r="264" spans="1:5" x14ac:dyDescent="0.2">
      <c r="A264" s="54" t="s">
        <v>67</v>
      </c>
      <c r="B264" s="55">
        <v>27903</v>
      </c>
      <c r="C264" s="55">
        <v>26817</v>
      </c>
      <c r="D264" s="55">
        <v>26047</v>
      </c>
      <c r="E264" s="55">
        <v>24731</v>
      </c>
    </row>
    <row r="265" spans="1:5" x14ac:dyDescent="0.2">
      <c r="A265" s="54" t="s">
        <v>279</v>
      </c>
      <c r="B265" s="54" t="s">
        <v>70</v>
      </c>
      <c r="C265" s="54" t="s">
        <v>70</v>
      </c>
      <c r="D265" s="54" t="s">
        <v>70</v>
      </c>
      <c r="E265" s="54" t="s">
        <v>70</v>
      </c>
    </row>
    <row r="266" spans="1:5" x14ac:dyDescent="0.2">
      <c r="A266" s="54" t="s">
        <v>68</v>
      </c>
      <c r="B266" s="55">
        <v>5442</v>
      </c>
      <c r="C266" s="55">
        <v>5913</v>
      </c>
      <c r="D266" s="55">
        <v>5763</v>
      </c>
      <c r="E266" s="55">
        <v>4367</v>
      </c>
    </row>
    <row r="267" spans="1:5" x14ac:dyDescent="0.2">
      <c r="A267" s="54" t="s">
        <v>280</v>
      </c>
      <c r="B267" s="55">
        <v>92735</v>
      </c>
      <c r="C267" s="55">
        <v>89611</v>
      </c>
      <c r="D267" s="55">
        <v>82089</v>
      </c>
      <c r="E267" s="55">
        <v>79746</v>
      </c>
    </row>
    <row r="268" spans="1:5" x14ac:dyDescent="0.2">
      <c r="A268" s="54" t="s">
        <v>77</v>
      </c>
      <c r="B268" s="55">
        <v>27143</v>
      </c>
      <c r="C268" s="55">
        <v>18598</v>
      </c>
      <c r="D268" s="55">
        <v>19389</v>
      </c>
      <c r="E268" s="55">
        <v>20832</v>
      </c>
    </row>
    <row r="269" spans="1:5" x14ac:dyDescent="0.2">
      <c r="A269" s="54" t="s">
        <v>281</v>
      </c>
      <c r="B269" s="55">
        <v>0</v>
      </c>
      <c r="C269" s="55">
        <v>0</v>
      </c>
      <c r="D269" s="55">
        <v>0</v>
      </c>
      <c r="E269" s="55">
        <v>0</v>
      </c>
    </row>
    <row r="270" spans="1:5" x14ac:dyDescent="0.2">
      <c r="A270" s="54" t="s">
        <v>282</v>
      </c>
      <c r="B270" s="54" t="s">
        <v>70</v>
      </c>
      <c r="C270" s="54" t="s">
        <v>70</v>
      </c>
      <c r="D270" s="54" t="s">
        <v>70</v>
      </c>
      <c r="E270" s="54" t="s">
        <v>70</v>
      </c>
    </row>
    <row r="271" spans="1:5" x14ac:dyDescent="0.2">
      <c r="A271" s="54" t="s">
        <v>283</v>
      </c>
      <c r="B271" s="54" t="s">
        <v>70</v>
      </c>
      <c r="C271" s="54" t="s">
        <v>70</v>
      </c>
      <c r="D271" s="54" t="s">
        <v>70</v>
      </c>
      <c r="E271" s="54" t="s">
        <v>70</v>
      </c>
    </row>
    <row r="272" spans="1:5" x14ac:dyDescent="0.2">
      <c r="A272" s="54" t="s">
        <v>284</v>
      </c>
      <c r="B272" s="55">
        <v>6110</v>
      </c>
      <c r="C272" s="55">
        <v>6833</v>
      </c>
      <c r="D272" s="55">
        <v>7235</v>
      </c>
      <c r="E272" s="55">
        <v>5440</v>
      </c>
    </row>
    <row r="273" spans="1:5" x14ac:dyDescent="0.2">
      <c r="A273" s="54" t="s">
        <v>285</v>
      </c>
      <c r="B273" s="55">
        <v>22966</v>
      </c>
      <c r="C273" s="55">
        <v>26223</v>
      </c>
      <c r="D273" s="55">
        <v>21870</v>
      </c>
      <c r="E273" s="55">
        <v>20255</v>
      </c>
    </row>
    <row r="274" spans="1:5" x14ac:dyDescent="0.2">
      <c r="A274" s="54" t="s">
        <v>286</v>
      </c>
      <c r="B274" s="55">
        <v>56219</v>
      </c>
      <c r="C274" s="55">
        <v>51654</v>
      </c>
      <c r="D274" s="55">
        <v>48494</v>
      </c>
      <c r="E274" s="55">
        <v>46527</v>
      </c>
    </row>
    <row r="275" spans="1:5" x14ac:dyDescent="0.2">
      <c r="A275" s="54" t="s">
        <v>287</v>
      </c>
      <c r="B275" s="55">
        <v>21851</v>
      </c>
      <c r="C275" s="55">
        <v>23645</v>
      </c>
      <c r="D275" s="55">
        <v>19588</v>
      </c>
      <c r="E275" s="55">
        <v>19885</v>
      </c>
    </row>
    <row r="276" spans="1:5" x14ac:dyDescent="0.2">
      <c r="A276" s="54" t="s">
        <v>288</v>
      </c>
      <c r="B276" s="54" t="s">
        <v>70</v>
      </c>
      <c r="C276" s="54" t="s">
        <v>70</v>
      </c>
      <c r="D276" s="54" t="s">
        <v>70</v>
      </c>
      <c r="E276" s="54" t="s">
        <v>70</v>
      </c>
    </row>
    <row r="277" spans="1:5" x14ac:dyDescent="0.2">
      <c r="A277" s="54" t="s">
        <v>209</v>
      </c>
      <c r="B277" s="55">
        <v>0</v>
      </c>
      <c r="C277" s="55">
        <v>0</v>
      </c>
      <c r="D277" s="55">
        <v>0</v>
      </c>
      <c r="E277" s="55">
        <v>0</v>
      </c>
    </row>
    <row r="278" spans="1:5" x14ac:dyDescent="0.2">
      <c r="A278" s="54" t="s">
        <v>92</v>
      </c>
      <c r="B278" s="55">
        <v>16245</v>
      </c>
      <c r="C278" s="55">
        <v>17337</v>
      </c>
      <c r="D278" s="55">
        <v>16316</v>
      </c>
      <c r="E278" s="55">
        <v>14721</v>
      </c>
    </row>
    <row r="279" spans="1:5" x14ac:dyDescent="0.2">
      <c r="A279" s="54" t="s">
        <v>289</v>
      </c>
      <c r="B279" s="54" t="s">
        <v>70</v>
      </c>
      <c r="C279" s="54" t="s">
        <v>70</v>
      </c>
      <c r="D279" s="54" t="s">
        <v>70</v>
      </c>
      <c r="E279" s="54" t="s">
        <v>70</v>
      </c>
    </row>
    <row r="280" spans="1:5" x14ac:dyDescent="0.2">
      <c r="A280" s="54" t="s">
        <v>96</v>
      </c>
      <c r="B280" s="55">
        <v>0</v>
      </c>
      <c r="C280" s="55">
        <v>0</v>
      </c>
      <c r="D280" s="55">
        <v>0</v>
      </c>
      <c r="E280" s="55">
        <v>0</v>
      </c>
    </row>
    <row r="281" spans="1:5" x14ac:dyDescent="0.2">
      <c r="A281" s="54" t="s">
        <v>268</v>
      </c>
      <c r="B281" s="55">
        <v>0</v>
      </c>
      <c r="C281" s="55">
        <v>0</v>
      </c>
      <c r="D281" s="55">
        <v>0</v>
      </c>
      <c r="E281" s="55">
        <v>0</v>
      </c>
    </row>
    <row r="282" spans="1:5" x14ac:dyDescent="0.2">
      <c r="A282" s="54" t="s">
        <v>290</v>
      </c>
      <c r="B282" s="55">
        <v>8</v>
      </c>
      <c r="C282" s="55">
        <v>8</v>
      </c>
      <c r="D282" s="55">
        <v>8</v>
      </c>
      <c r="E282" s="55">
        <v>8</v>
      </c>
    </row>
    <row r="283" spans="1:5" x14ac:dyDescent="0.2">
      <c r="A283" s="54" t="s">
        <v>291</v>
      </c>
      <c r="B283" s="55">
        <v>7890</v>
      </c>
      <c r="C283" s="55">
        <v>8416</v>
      </c>
      <c r="D283" s="55">
        <v>8918</v>
      </c>
      <c r="E283" s="55">
        <v>9111</v>
      </c>
    </row>
    <row r="284" spans="1:5" x14ac:dyDescent="0.2">
      <c r="A284" s="54" t="s">
        <v>292</v>
      </c>
      <c r="B284" s="55">
        <v>-8619</v>
      </c>
      <c r="C284" s="55">
        <v>-7733</v>
      </c>
      <c r="D284" s="55">
        <v>-5430</v>
      </c>
      <c r="E284" s="55">
        <v>-2099</v>
      </c>
    </row>
    <row r="285" spans="1:5" x14ac:dyDescent="0.2">
      <c r="A285" s="54" t="s">
        <v>293</v>
      </c>
      <c r="B285" s="55">
        <v>964</v>
      </c>
      <c r="C285" s="55">
        <v>3813</v>
      </c>
      <c r="D285" s="55">
        <v>5900</v>
      </c>
      <c r="E285" s="55">
        <v>8502</v>
      </c>
    </row>
    <row r="286" spans="1:5" x14ac:dyDescent="0.2">
      <c r="A286" s="54" t="s">
        <v>107</v>
      </c>
      <c r="B286" s="55">
        <v>-1685</v>
      </c>
      <c r="C286" s="55">
        <v>-3122</v>
      </c>
      <c r="D286" s="55">
        <v>-2404</v>
      </c>
      <c r="E286" s="55">
        <v>-1482</v>
      </c>
    </row>
    <row r="287" spans="1:5" x14ac:dyDescent="0.2">
      <c r="A287" s="54" t="s">
        <v>108</v>
      </c>
      <c r="B287" s="55">
        <v>105</v>
      </c>
      <c r="C287" s="55">
        <v>97</v>
      </c>
      <c r="D287" s="55">
        <v>95</v>
      </c>
      <c r="E287" s="55">
        <v>95</v>
      </c>
    </row>
    <row r="288" spans="1:5" x14ac:dyDescent="0.2">
      <c r="A288" s="54" t="s">
        <v>294</v>
      </c>
      <c r="B288" s="55">
        <v>-1580</v>
      </c>
      <c r="C288" s="55">
        <v>-3025</v>
      </c>
      <c r="D288" s="55">
        <v>-2309</v>
      </c>
      <c r="E288" s="55">
        <v>-1387</v>
      </c>
    </row>
    <row r="289" spans="1:5" x14ac:dyDescent="0.2">
      <c r="A289" s="54" t="s">
        <v>111</v>
      </c>
      <c r="B289" s="55">
        <v>101197</v>
      </c>
      <c r="C289" s="55">
        <v>102301</v>
      </c>
      <c r="D289" s="55">
        <v>88425</v>
      </c>
      <c r="E289" s="55">
        <v>95567</v>
      </c>
    </row>
    <row r="290" spans="1:5" x14ac:dyDescent="0.2">
      <c r="A290" s="54" t="s">
        <v>112</v>
      </c>
      <c r="B290" s="55">
        <v>76802</v>
      </c>
      <c r="C290" s="55">
        <v>76907</v>
      </c>
      <c r="D290" s="55">
        <v>64655</v>
      </c>
      <c r="E290" s="55">
        <v>71468</v>
      </c>
    </row>
    <row r="291" spans="1:5" x14ac:dyDescent="0.2">
      <c r="A291" s="54" t="s">
        <v>295</v>
      </c>
      <c r="B291" s="55">
        <v>0</v>
      </c>
      <c r="C291" s="55">
        <v>0</v>
      </c>
      <c r="D291" s="55">
        <v>0</v>
      </c>
      <c r="E291" s="55">
        <v>0</v>
      </c>
    </row>
    <row r="292" spans="1:5" x14ac:dyDescent="0.2">
      <c r="A292" s="54" t="s">
        <v>296</v>
      </c>
      <c r="B292" s="55">
        <v>15916</v>
      </c>
      <c r="C292" s="55">
        <v>15918</v>
      </c>
      <c r="D292" s="55">
        <v>14596</v>
      </c>
      <c r="E292" s="55">
        <v>14046</v>
      </c>
    </row>
    <row r="293" spans="1:5" x14ac:dyDescent="0.2">
      <c r="A293" s="54" t="s">
        <v>114</v>
      </c>
      <c r="B293" s="55">
        <v>8479</v>
      </c>
      <c r="C293" s="55">
        <v>9476</v>
      </c>
      <c r="D293" s="55">
        <v>9174</v>
      </c>
      <c r="E293" s="55">
        <v>10053</v>
      </c>
    </row>
    <row r="294" spans="1:5" x14ac:dyDescent="0.2">
      <c r="A294" s="54" t="s">
        <v>297</v>
      </c>
      <c r="B294" s="55">
        <v>3547</v>
      </c>
      <c r="C294" s="55">
        <v>3156</v>
      </c>
      <c r="D294" s="55">
        <v>3303</v>
      </c>
      <c r="E294" s="55">
        <v>3123</v>
      </c>
    </row>
    <row r="295" spans="1:5" x14ac:dyDescent="0.2">
      <c r="A295" s="54" t="s">
        <v>119</v>
      </c>
      <c r="B295" s="55">
        <v>4932</v>
      </c>
      <c r="C295" s="55">
        <v>6320</v>
      </c>
      <c r="D295" s="55">
        <v>5871</v>
      </c>
      <c r="E295" s="55">
        <v>6930</v>
      </c>
    </row>
    <row r="296" spans="1:5" x14ac:dyDescent="0.2">
      <c r="A296" s="54" t="s">
        <v>120</v>
      </c>
      <c r="B296" s="55">
        <v>1542</v>
      </c>
      <c r="C296" s="55">
        <v>1222</v>
      </c>
      <c r="D296" s="55">
        <v>1501</v>
      </c>
      <c r="E296" s="55">
        <v>1394</v>
      </c>
    </row>
    <row r="297" spans="1:5" x14ac:dyDescent="0.2">
      <c r="A297" s="54" t="s">
        <v>298</v>
      </c>
      <c r="B297" s="55">
        <v>410</v>
      </c>
      <c r="C297" s="55">
        <v>-259</v>
      </c>
      <c r="D297" s="55">
        <v>109</v>
      </c>
      <c r="E297" s="55">
        <v>205</v>
      </c>
    </row>
    <row r="298" spans="1:5" x14ac:dyDescent="0.2">
      <c r="A298" s="54" t="s">
        <v>124</v>
      </c>
      <c r="B298" s="55">
        <v>2123</v>
      </c>
      <c r="C298" s="55">
        <v>-1614</v>
      </c>
      <c r="D298" s="55">
        <v>-592</v>
      </c>
      <c r="E298" s="55">
        <v>-693</v>
      </c>
    </row>
    <row r="299" spans="1:5" x14ac:dyDescent="0.2">
      <c r="A299" s="54" t="s">
        <v>125</v>
      </c>
      <c r="B299" s="55">
        <v>5923</v>
      </c>
      <c r="C299" s="55">
        <v>3225</v>
      </c>
      <c r="D299" s="55">
        <v>3887</v>
      </c>
      <c r="E299" s="55">
        <v>5048</v>
      </c>
    </row>
    <row r="300" spans="1:5" x14ac:dyDescent="0.2">
      <c r="A300" s="54" t="s">
        <v>128</v>
      </c>
      <c r="B300" s="55">
        <v>981</v>
      </c>
      <c r="C300" s="55">
        <v>803</v>
      </c>
      <c r="D300" s="55">
        <v>692</v>
      </c>
      <c r="E300" s="55">
        <v>472</v>
      </c>
    </row>
    <row r="301" spans="1:5" x14ac:dyDescent="0.2">
      <c r="A301" s="54" t="s">
        <v>137</v>
      </c>
      <c r="B301" s="55">
        <v>-6</v>
      </c>
      <c r="C301" s="55">
        <v>-20</v>
      </c>
      <c r="D301" s="55">
        <v>-16</v>
      </c>
      <c r="E301" s="55">
        <v>-16</v>
      </c>
    </row>
    <row r="302" spans="1:5" x14ac:dyDescent="0.2">
      <c r="A302" s="54" t="s">
        <v>299</v>
      </c>
      <c r="B302" s="55">
        <v>4948</v>
      </c>
      <c r="C302" s="55">
        <v>2442</v>
      </c>
      <c r="D302" s="55">
        <v>3211</v>
      </c>
      <c r="E302" s="55">
        <v>4592</v>
      </c>
    </row>
    <row r="303" spans="1:5" x14ac:dyDescent="0.2">
      <c r="A303" s="54" t="s">
        <v>300</v>
      </c>
      <c r="B303" s="55">
        <v>0</v>
      </c>
      <c r="C303" s="55">
        <v>0</v>
      </c>
      <c r="D303" s="55">
        <v>0</v>
      </c>
      <c r="E303" s="55">
        <v>0</v>
      </c>
    </row>
    <row r="304" spans="1:5" x14ac:dyDescent="0.2">
      <c r="A304" s="54" t="s">
        <v>301</v>
      </c>
      <c r="B304" s="55">
        <v>615</v>
      </c>
      <c r="C304" s="55">
        <v>0</v>
      </c>
      <c r="D304" s="55">
        <v>0</v>
      </c>
      <c r="E304" s="55">
        <v>0</v>
      </c>
    </row>
    <row r="305" spans="1:5" x14ac:dyDescent="0.2">
      <c r="A305" s="54" t="s">
        <v>147</v>
      </c>
      <c r="B305" s="55">
        <v>5563</v>
      </c>
      <c r="C305" s="55">
        <v>2442</v>
      </c>
      <c r="D305" s="55">
        <v>3211</v>
      </c>
      <c r="E305" s="55">
        <v>4592</v>
      </c>
    </row>
    <row r="306" spans="1:5" x14ac:dyDescent="0.2">
      <c r="A306" s="54" t="s">
        <v>302</v>
      </c>
      <c r="B306" s="55">
        <v>0</v>
      </c>
      <c r="C306" s="55">
        <v>0</v>
      </c>
      <c r="D306" s="55">
        <v>0</v>
      </c>
      <c r="E306" s="55">
        <v>0</v>
      </c>
    </row>
    <row r="307" spans="1:5" x14ac:dyDescent="0.2">
      <c r="A307" s="54" t="s">
        <v>303</v>
      </c>
      <c r="B307" s="55">
        <v>6.49</v>
      </c>
      <c r="C307" s="55">
        <v>3.33</v>
      </c>
      <c r="D307" s="55">
        <v>4.46</v>
      </c>
      <c r="E307" s="55">
        <v>6.51</v>
      </c>
    </row>
    <row r="308" spans="1:5" x14ac:dyDescent="0.2">
      <c r="A308" s="54" t="s">
        <v>304</v>
      </c>
      <c r="B308" s="55">
        <v>7.3</v>
      </c>
      <c r="C308" s="55">
        <v>3.33</v>
      </c>
      <c r="D308" s="55">
        <v>4.46</v>
      </c>
      <c r="E308" s="55">
        <v>6.51</v>
      </c>
    </row>
    <row r="309" spans="1:5" x14ac:dyDescent="0.2">
      <c r="A309" s="54" t="s">
        <v>305</v>
      </c>
      <c r="B309" s="55">
        <v>6.26</v>
      </c>
      <c r="C309" s="55">
        <v>3.24</v>
      </c>
      <c r="D309" s="55">
        <v>4.3600000000000003</v>
      </c>
      <c r="E309" s="55">
        <v>6.38</v>
      </c>
    </row>
    <row r="310" spans="1:5" x14ac:dyDescent="0.2">
      <c r="A310" s="54" t="s">
        <v>306</v>
      </c>
      <c r="B310" s="55">
        <v>7.02</v>
      </c>
      <c r="C310" s="55">
        <v>3.24</v>
      </c>
      <c r="D310" s="55">
        <v>4.3600000000000003</v>
      </c>
      <c r="E310" s="55">
        <v>6.38</v>
      </c>
    </row>
    <row r="311" spans="1:5" x14ac:dyDescent="0.2">
      <c r="A311" s="54" t="s">
        <v>307</v>
      </c>
      <c r="B311" s="55">
        <v>762</v>
      </c>
      <c r="C311" s="55">
        <v>734</v>
      </c>
      <c r="D311" s="55">
        <v>720</v>
      </c>
      <c r="E311" s="55">
        <v>705</v>
      </c>
    </row>
    <row r="312" spans="1:5" x14ac:dyDescent="0.2">
      <c r="A312" s="1" t="s">
        <v>308</v>
      </c>
    </row>
    <row r="313" spans="1:5" x14ac:dyDescent="0.2">
      <c r="A313" s="54" t="s">
        <v>309</v>
      </c>
      <c r="B313" s="55">
        <v>791</v>
      </c>
      <c r="C313" s="55">
        <v>753</v>
      </c>
      <c r="D313" s="55">
        <v>736</v>
      </c>
      <c r="E313" s="55">
        <v>720</v>
      </c>
    </row>
    <row r="314" spans="1:5" x14ac:dyDescent="0.2">
      <c r="A314" s="54" t="s">
        <v>310</v>
      </c>
      <c r="B314" s="55">
        <v>757</v>
      </c>
      <c r="C314" s="55">
        <v>716</v>
      </c>
      <c r="D314" s="55">
        <v>705</v>
      </c>
      <c r="E314" s="55">
        <v>696</v>
      </c>
    </row>
    <row r="315" spans="1:5" x14ac:dyDescent="0.2">
      <c r="A315" s="54" t="s">
        <v>158</v>
      </c>
      <c r="B315" s="55">
        <v>10307</v>
      </c>
      <c r="C315" s="55">
        <v>3565</v>
      </c>
      <c r="D315" s="55">
        <v>8676</v>
      </c>
      <c r="E315" s="55">
        <v>4521</v>
      </c>
    </row>
    <row r="316" spans="1:5" x14ac:dyDescent="0.2">
      <c r="A316" s="54" t="s">
        <v>163</v>
      </c>
      <c r="B316" s="55">
        <v>2796</v>
      </c>
      <c r="C316" s="55">
        <v>3003</v>
      </c>
      <c r="D316" s="55">
        <v>2756</v>
      </c>
      <c r="E316" s="55">
        <v>2652</v>
      </c>
    </row>
    <row r="317" spans="1:5" x14ac:dyDescent="0.2">
      <c r="A317" s="54" t="s">
        <v>311</v>
      </c>
      <c r="B317" s="54" t="s">
        <v>70</v>
      </c>
      <c r="C317" s="54" t="s">
        <v>70</v>
      </c>
      <c r="D317" s="55">
        <v>0</v>
      </c>
      <c r="E317" s="55">
        <v>0</v>
      </c>
    </row>
    <row r="318" spans="1:5" x14ac:dyDescent="0.2">
      <c r="A318" s="54" t="s">
        <v>165</v>
      </c>
      <c r="B318" s="55">
        <v>16</v>
      </c>
      <c r="C318" s="55">
        <v>70</v>
      </c>
      <c r="D318" s="54" t="s">
        <v>70</v>
      </c>
      <c r="E318" s="55">
        <v>0</v>
      </c>
    </row>
    <row r="319" spans="1:5" x14ac:dyDescent="0.2">
      <c r="A319" s="54" t="s">
        <v>312</v>
      </c>
      <c r="B319" s="55">
        <v>1306</v>
      </c>
      <c r="C319" s="55">
        <v>-3024</v>
      </c>
      <c r="D319" s="55">
        <v>-2783</v>
      </c>
      <c r="E319" s="55">
        <v>-2215</v>
      </c>
    </row>
    <row r="320" spans="1:5" x14ac:dyDescent="0.2">
      <c r="A320" s="54" t="s">
        <v>171</v>
      </c>
      <c r="B320" s="55">
        <v>0</v>
      </c>
      <c r="C320" s="55">
        <v>964</v>
      </c>
      <c r="D320" s="55">
        <v>1072</v>
      </c>
      <c r="E320" s="55">
        <v>1275</v>
      </c>
    </row>
    <row r="321" spans="1:5" x14ac:dyDescent="0.2">
      <c r="A321" s="1" t="s">
        <v>313</v>
      </c>
    </row>
    <row r="322" spans="1:5" x14ac:dyDescent="0.2">
      <c r="A322" s="54" t="s">
        <v>314</v>
      </c>
      <c r="B322" s="55">
        <v>1825</v>
      </c>
      <c r="C322" s="55">
        <v>1169</v>
      </c>
      <c r="D322" s="55">
        <v>1438</v>
      </c>
      <c r="E322" s="55">
        <v>1304</v>
      </c>
    </row>
    <row r="323" spans="1:5" x14ac:dyDescent="0.2">
      <c r="A323" s="54" t="s">
        <v>181</v>
      </c>
      <c r="B323" s="55">
        <v>1257</v>
      </c>
      <c r="C323" s="55">
        <v>1208</v>
      </c>
      <c r="D323" s="55">
        <v>1379</v>
      </c>
      <c r="E323" s="55">
        <v>555</v>
      </c>
    </row>
    <row r="324" spans="1:5" x14ac:dyDescent="0.2">
      <c r="A324" s="54" t="s">
        <v>315</v>
      </c>
      <c r="B324" s="54" t="s">
        <v>70</v>
      </c>
      <c r="C324" s="54" t="s">
        <v>70</v>
      </c>
      <c r="D324" s="54" t="s">
        <v>70</v>
      </c>
      <c r="E324" s="54" t="s">
        <v>70</v>
      </c>
    </row>
    <row r="325" spans="1:5" x14ac:dyDescent="0.2">
      <c r="A325" s="54" t="s">
        <v>316</v>
      </c>
      <c r="B325" s="54" t="s">
        <v>70</v>
      </c>
      <c r="C325" s="54" t="s">
        <v>70</v>
      </c>
      <c r="D325" s="54" t="s">
        <v>70</v>
      </c>
      <c r="E325" s="54" t="s">
        <v>70</v>
      </c>
    </row>
    <row r="326" spans="1:5" x14ac:dyDescent="0.2">
      <c r="A326" s="54" t="s">
        <v>317</v>
      </c>
      <c r="B326" s="54" t="s">
        <v>70</v>
      </c>
      <c r="C326" s="54" t="s">
        <v>70</v>
      </c>
      <c r="D326" s="54" t="s">
        <v>70</v>
      </c>
      <c r="E326" s="54" t="s">
        <v>70</v>
      </c>
    </row>
    <row r="327" spans="1:5" x14ac:dyDescent="0.2">
      <c r="A327" s="54" t="s">
        <v>184</v>
      </c>
      <c r="B327" s="55">
        <v>1</v>
      </c>
      <c r="C327" s="55">
        <v>1</v>
      </c>
      <c r="D327" s="55">
        <v>1</v>
      </c>
      <c r="E327" s="55">
        <v>1</v>
      </c>
    </row>
    <row r="328" spans="1:5" x14ac:dyDescent="0.2">
      <c r="A328" s="54" t="s">
        <v>185</v>
      </c>
      <c r="B328" s="55">
        <v>1300</v>
      </c>
      <c r="C328" s="55">
        <v>1100</v>
      </c>
      <c r="D328" s="55">
        <v>900</v>
      </c>
      <c r="E328" s="55">
        <v>800</v>
      </c>
    </row>
    <row r="329" spans="1:5" x14ac:dyDescent="0.2">
      <c r="A329" s="54" t="s">
        <v>199</v>
      </c>
      <c r="B329" s="55">
        <v>0</v>
      </c>
      <c r="C329" s="55">
        <v>1.32</v>
      </c>
      <c r="D329" s="55">
        <v>1.48</v>
      </c>
      <c r="E329" s="55">
        <v>1.78</v>
      </c>
    </row>
    <row r="330" spans="1:5" x14ac:dyDescent="0.2">
      <c r="A330" s="54" t="s">
        <v>200</v>
      </c>
      <c r="B330" s="55">
        <v>0</v>
      </c>
      <c r="C330" s="55">
        <v>986</v>
      </c>
      <c r="D330" s="55">
        <v>1109</v>
      </c>
      <c r="E330" s="55">
        <v>1299</v>
      </c>
    </row>
    <row r="331" spans="1:5" x14ac:dyDescent="0.2">
      <c r="A331" s="54" t="s">
        <v>201</v>
      </c>
      <c r="B331" s="55">
        <v>0</v>
      </c>
      <c r="C331" s="55">
        <v>0</v>
      </c>
      <c r="D331" s="55">
        <v>0</v>
      </c>
      <c r="E331" s="55">
        <v>0</v>
      </c>
    </row>
    <row r="332" spans="1:5" x14ac:dyDescent="0.2">
      <c r="A332" s="54" t="s">
        <v>214</v>
      </c>
      <c r="B332" s="55">
        <v>0</v>
      </c>
      <c r="C332" s="55">
        <v>0</v>
      </c>
      <c r="D332" s="55">
        <v>0</v>
      </c>
      <c r="E332" s="55">
        <v>0</v>
      </c>
    </row>
    <row r="333" spans="1:5" x14ac:dyDescent="0.2">
      <c r="A333" s="54" t="s">
        <v>215</v>
      </c>
      <c r="B333" s="55">
        <v>0</v>
      </c>
      <c r="C333" s="55">
        <v>0</v>
      </c>
      <c r="D333" s="55">
        <v>0</v>
      </c>
      <c r="E333" s="55">
        <v>0</v>
      </c>
    </row>
    <row r="334" spans="1:5" x14ac:dyDescent="0.2">
      <c r="A334" s="54" t="s">
        <v>217</v>
      </c>
      <c r="B334" s="55">
        <v>56.17</v>
      </c>
      <c r="C334" s="55">
        <v>40.22</v>
      </c>
      <c r="D334" s="55">
        <v>76.5</v>
      </c>
      <c r="E334" s="55">
        <v>115.24</v>
      </c>
    </row>
    <row r="335" spans="1:5" x14ac:dyDescent="0.2">
      <c r="A335" s="54" t="s">
        <v>220</v>
      </c>
      <c r="B335" s="55">
        <v>56.81</v>
      </c>
      <c r="C335" s="55">
        <v>40.619999999999997</v>
      </c>
      <c r="D335" s="55">
        <v>82.88</v>
      </c>
      <c r="E335" s="55">
        <v>103.6</v>
      </c>
    </row>
    <row r="336" spans="1:5" x14ac:dyDescent="0.2">
      <c r="A336" s="54" t="s">
        <v>221</v>
      </c>
      <c r="B336" s="55">
        <v>279</v>
      </c>
      <c r="C336" s="55">
        <v>279</v>
      </c>
      <c r="D336" s="55">
        <v>150</v>
      </c>
      <c r="E336" s="55">
        <v>141</v>
      </c>
    </row>
    <row r="337" spans="1:5" x14ac:dyDescent="0.2">
      <c r="A337" s="54" t="s">
        <v>227</v>
      </c>
      <c r="B337" s="55">
        <v>431</v>
      </c>
      <c r="C337" s="55">
        <v>396</v>
      </c>
      <c r="D337" s="55">
        <v>371</v>
      </c>
      <c r="E337" s="55">
        <v>355</v>
      </c>
    </row>
    <row r="338" spans="1:5" x14ac:dyDescent="0.2">
      <c r="A338" s="54" t="s">
        <v>229</v>
      </c>
      <c r="B338" s="55">
        <v>2577</v>
      </c>
      <c r="C338" s="55">
        <v>2779</v>
      </c>
      <c r="D338" s="55">
        <v>2801</v>
      </c>
      <c r="E338" s="55">
        <v>3061</v>
      </c>
    </row>
  </sheetData>
  <mergeCells count="4">
    <mergeCell ref="I90:K90"/>
    <mergeCell ref="I97:K97"/>
    <mergeCell ref="I38:K38"/>
    <mergeCell ref="I73:K73"/>
  </mergeCells>
  <phoneticPr fontId="15" type="noConversion"/>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ignoredErrors>
    <ignoredError sqref="I7:L7 I8:I9 J9:L9 J42:L42 J8:L8 J62:L62 J64:L64"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1414-E5B1-49A6-B297-B5802AE10F75}">
  <dimension ref="A1:P32"/>
  <sheetViews>
    <sheetView workbookViewId="0"/>
  </sheetViews>
  <sheetFormatPr defaultRowHeight="12.75" x14ac:dyDescent="0.2"/>
  <cols>
    <col min="2" max="2" width="32.7109375" bestFit="1" customWidth="1"/>
    <col min="4" max="4" width="11.42578125" bestFit="1" customWidth="1"/>
  </cols>
  <sheetData>
    <row r="1" spans="1:16" ht="15" x14ac:dyDescent="0.25">
      <c r="A1" s="139"/>
      <c r="C1" s="119" t="s">
        <v>410</v>
      </c>
    </row>
    <row r="2" spans="1:16" ht="15" x14ac:dyDescent="0.25">
      <c r="A2" s="140" t="s">
        <v>411</v>
      </c>
      <c r="C2" s="119"/>
    </row>
    <row r="3" spans="1:16" ht="15" x14ac:dyDescent="0.25">
      <c r="A3" s="140" t="s">
        <v>412</v>
      </c>
      <c r="B3" s="119" t="s">
        <v>413</v>
      </c>
      <c r="C3" s="122">
        <v>3.7199999999999997E-2</v>
      </c>
    </row>
    <row r="4" spans="1:16" ht="15" x14ac:dyDescent="0.25">
      <c r="A4" s="140" t="s">
        <v>414</v>
      </c>
      <c r="B4" s="119" t="s">
        <v>415</v>
      </c>
      <c r="C4" s="123">
        <v>1.0900000000000001</v>
      </c>
    </row>
    <row r="5" spans="1:16" ht="15" x14ac:dyDescent="0.25">
      <c r="A5" s="140" t="s">
        <v>416</v>
      </c>
      <c r="B5" s="119" t="s">
        <v>417</v>
      </c>
      <c r="C5" s="122">
        <v>0.04</v>
      </c>
    </row>
    <row r="6" spans="1:16" ht="15" x14ac:dyDescent="0.25">
      <c r="A6" s="139"/>
      <c r="B6" s="119" t="s">
        <v>418</v>
      </c>
      <c r="C6" s="88">
        <f>C3+C4*C5</f>
        <v>8.0800000000000011E-2</v>
      </c>
      <c r="D6" s="145" t="s">
        <v>419</v>
      </c>
      <c r="E6" s="145"/>
      <c r="F6" s="145"/>
      <c r="G6" s="145"/>
      <c r="H6" s="145"/>
      <c r="I6" s="145"/>
      <c r="J6" s="145"/>
      <c r="K6" s="145"/>
      <c r="L6" s="145"/>
      <c r="M6" s="145"/>
      <c r="N6" s="145"/>
      <c r="O6" s="145"/>
      <c r="P6" s="145"/>
    </row>
    <row r="7" spans="1:16" ht="15" x14ac:dyDescent="0.25">
      <c r="A7" s="141"/>
      <c r="B7" s="119"/>
    </row>
    <row r="8" spans="1:16" ht="15" x14ac:dyDescent="0.25">
      <c r="A8" s="140" t="s">
        <v>420</v>
      </c>
      <c r="B8" s="119" t="s">
        <v>421</v>
      </c>
      <c r="C8" s="124" t="s">
        <v>422</v>
      </c>
    </row>
    <row r="9" spans="1:16" ht="15" x14ac:dyDescent="0.25">
      <c r="A9" s="140"/>
      <c r="B9" s="119" t="s">
        <v>423</v>
      </c>
      <c r="C9" s="125">
        <v>0.1</v>
      </c>
    </row>
    <row r="10" spans="1:16" ht="15" x14ac:dyDescent="0.25">
      <c r="A10" s="140"/>
      <c r="B10" s="119" t="s">
        <v>424</v>
      </c>
      <c r="C10" s="88">
        <f>C3+C9*C5</f>
        <v>4.1200000000000001E-2</v>
      </c>
      <c r="D10" s="145" t="s">
        <v>425</v>
      </c>
      <c r="E10" s="145"/>
      <c r="F10" s="145"/>
      <c r="G10" s="145"/>
      <c r="H10" s="145"/>
      <c r="I10" s="145"/>
      <c r="J10" s="145"/>
      <c r="K10" s="145"/>
      <c r="L10" s="145"/>
      <c r="M10" s="145"/>
      <c r="N10" s="145"/>
      <c r="O10" s="145"/>
    </row>
    <row r="11" spans="1:16" ht="15" x14ac:dyDescent="0.25">
      <c r="A11" s="142"/>
      <c r="B11" s="119"/>
    </row>
    <row r="12" spans="1:16" ht="15" x14ac:dyDescent="0.25">
      <c r="A12" s="140" t="s">
        <v>426</v>
      </c>
      <c r="B12" s="119"/>
    </row>
    <row r="13" spans="1:16" ht="15" x14ac:dyDescent="0.25">
      <c r="A13" s="140"/>
      <c r="B13" s="119" t="s">
        <v>46</v>
      </c>
      <c r="C13" s="128">
        <f>'Dell''s_Financial_Statements'!E8</f>
        <v>3756</v>
      </c>
      <c r="D13" s="119" t="s">
        <v>427</v>
      </c>
    </row>
    <row r="14" spans="1:16" ht="15" x14ac:dyDescent="0.25">
      <c r="A14" s="140"/>
      <c r="B14" s="119" t="s">
        <v>428</v>
      </c>
      <c r="C14" s="129">
        <f>'Dell''s_Financial_Statements'!E35</f>
        <v>5440</v>
      </c>
      <c r="D14" s="119" t="s">
        <v>427</v>
      </c>
    </row>
    <row r="15" spans="1:16" ht="15" x14ac:dyDescent="0.25">
      <c r="A15" s="140"/>
      <c r="B15" s="119" t="s">
        <v>83</v>
      </c>
      <c r="C15" s="129">
        <f>'Dell''s_Financial_Statements'!E44</f>
        <v>19885</v>
      </c>
      <c r="D15" s="119" t="s">
        <v>427</v>
      </c>
    </row>
    <row r="16" spans="1:16" ht="15" x14ac:dyDescent="0.25">
      <c r="A16" s="140"/>
      <c r="B16" s="119" t="s">
        <v>429</v>
      </c>
      <c r="C16" s="120">
        <f>C15+C14-C13</f>
        <v>21569</v>
      </c>
      <c r="D16" s="119" t="s">
        <v>427</v>
      </c>
    </row>
    <row r="17" spans="1:8" ht="15" x14ac:dyDescent="0.25">
      <c r="A17" s="142"/>
      <c r="B17" s="119"/>
      <c r="D17" s="119"/>
    </row>
    <row r="18" spans="1:8" ht="15" x14ac:dyDescent="0.25">
      <c r="A18" s="140" t="s">
        <v>430</v>
      </c>
      <c r="B18" s="119" t="s">
        <v>431</v>
      </c>
      <c r="C18" s="126">
        <v>103.6</v>
      </c>
      <c r="D18" s="119" t="s">
        <v>427</v>
      </c>
    </row>
    <row r="19" spans="1:8" ht="15" x14ac:dyDescent="0.25">
      <c r="A19" s="140"/>
      <c r="B19" s="119" t="s">
        <v>432</v>
      </c>
      <c r="C19" s="130">
        <f>'Dell''s_Financial_Statements'!E314</f>
        <v>696</v>
      </c>
      <c r="D19" s="119" t="s">
        <v>433</v>
      </c>
    </row>
    <row r="20" spans="1:8" ht="15" x14ac:dyDescent="0.25">
      <c r="A20" s="140"/>
      <c r="B20" s="119" t="s">
        <v>434</v>
      </c>
      <c r="C20" s="121">
        <f>C19*C18</f>
        <v>72105.599999999991</v>
      </c>
      <c r="D20" s="119" t="s">
        <v>427</v>
      </c>
      <c r="E20" s="145"/>
      <c r="F20" s="145"/>
      <c r="G20" s="145"/>
      <c r="H20" s="145"/>
    </row>
    <row r="21" spans="1:8" ht="15" x14ac:dyDescent="0.25">
      <c r="A21" s="140" t="s">
        <v>435</v>
      </c>
      <c r="B21" s="119" t="s">
        <v>436</v>
      </c>
      <c r="C21" s="121">
        <f>C20+C16</f>
        <v>93674.599999999991</v>
      </c>
      <c r="D21" s="119" t="s">
        <v>427</v>
      </c>
      <c r="E21" s="145"/>
      <c r="F21" s="145"/>
      <c r="G21" s="145"/>
      <c r="H21" s="145"/>
    </row>
    <row r="22" spans="1:8" ht="15" x14ac:dyDescent="0.25">
      <c r="A22" s="142"/>
      <c r="B22" s="119"/>
    </row>
    <row r="23" spans="1:8" ht="15" x14ac:dyDescent="0.25">
      <c r="A23" s="140" t="s">
        <v>437</v>
      </c>
      <c r="B23" s="119" t="s">
        <v>438</v>
      </c>
      <c r="C23" s="127">
        <v>0.21</v>
      </c>
    </row>
    <row r="24" spans="1:8" ht="15" x14ac:dyDescent="0.25">
      <c r="A24" s="139"/>
      <c r="B24" s="119" t="s">
        <v>439</v>
      </c>
      <c r="C24" s="57">
        <f>C20/C21*C6+C16/C21*C10*(1-C23)</f>
        <v>6.9689758931449949E-2</v>
      </c>
    </row>
    <row r="25" spans="1:8" x14ac:dyDescent="0.2">
      <c r="A25" s="92"/>
    </row>
    <row r="26" spans="1:8" x14ac:dyDescent="0.2">
      <c r="A26" s="92"/>
    </row>
    <row r="27" spans="1:8" x14ac:dyDescent="0.2">
      <c r="A27" s="92"/>
      <c r="C27" s="57"/>
      <c r="E27" s="57"/>
    </row>
    <row r="28" spans="1:8" ht="15" x14ac:dyDescent="0.25">
      <c r="A28" s="141" t="s">
        <v>440</v>
      </c>
      <c r="C28" s="57">
        <f>C20/C21</f>
        <v>0.76974548063188952</v>
      </c>
      <c r="E28" s="57"/>
    </row>
    <row r="29" spans="1:8" ht="15" x14ac:dyDescent="0.25">
      <c r="A29" s="139"/>
      <c r="C29" s="57"/>
    </row>
    <row r="30" spans="1:8" ht="15" x14ac:dyDescent="0.25">
      <c r="A30" s="141" t="s">
        <v>441</v>
      </c>
      <c r="C30" s="57">
        <f>C16/C21</f>
        <v>0.23025451936811048</v>
      </c>
    </row>
    <row r="31" spans="1:8" ht="15" x14ac:dyDescent="0.25">
      <c r="A31" s="139"/>
    </row>
    <row r="32" spans="1:8" ht="15" x14ac:dyDescent="0.25">
      <c r="A32" s="141" t="s">
        <v>439</v>
      </c>
      <c r="C32" s="57">
        <f>C28*C6+C30*C10*(1-C23)</f>
        <v>6.9689758931449949E-2</v>
      </c>
    </row>
  </sheetData>
  <mergeCells count="4">
    <mergeCell ref="D6:P6"/>
    <mergeCell ref="D10:O10"/>
    <mergeCell ref="E20:H20"/>
    <mergeCell ref="E21:H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49FD-C043-4D84-858B-58A4CFEA90CA}">
  <dimension ref="A1:L89"/>
  <sheetViews>
    <sheetView zoomScale="130" zoomScaleNormal="130" workbookViewId="0"/>
  </sheetViews>
  <sheetFormatPr defaultColWidth="10.28515625" defaultRowHeight="15" x14ac:dyDescent="0.25"/>
  <cols>
    <col min="1" max="1" width="31.85546875" style="3" customWidth="1"/>
    <col min="2" max="2" width="13.28515625" style="3" customWidth="1"/>
    <col min="3" max="3" width="14.5703125" style="3" customWidth="1"/>
    <col min="4" max="8" width="11.28515625" style="3" customWidth="1"/>
    <col min="9" max="9" width="9.85546875" style="3" customWidth="1"/>
    <col min="10" max="16384" width="10.28515625" style="3"/>
  </cols>
  <sheetData>
    <row r="1" spans="1:12" x14ac:dyDescent="0.25">
      <c r="A1" s="2" t="s">
        <v>18</v>
      </c>
    </row>
    <row r="3" spans="1:12" x14ac:dyDescent="0.25">
      <c r="A3" s="4" t="s">
        <v>21</v>
      </c>
      <c r="B3" s="5"/>
      <c r="C3" s="6"/>
      <c r="D3" s="6"/>
      <c r="E3" s="6"/>
      <c r="F3" s="6"/>
      <c r="G3" s="6"/>
      <c r="H3" s="7"/>
      <c r="I3" s="7"/>
      <c r="J3" s="7"/>
    </row>
    <row r="4" spans="1:12" x14ac:dyDescent="0.25">
      <c r="A4" s="8" t="s">
        <v>2</v>
      </c>
      <c r="B4" s="134">
        <f>'Dell''s_Financial_Statements'!E25*0.06</f>
        <v>885.36</v>
      </c>
      <c r="C4" s="15" t="s">
        <v>38</v>
      </c>
      <c r="D4" s="10"/>
      <c r="E4" s="9"/>
      <c r="F4" s="6"/>
      <c r="G4" s="10"/>
      <c r="H4" s="7"/>
      <c r="I4" s="7"/>
      <c r="J4" s="7"/>
    </row>
    <row r="5" spans="1:12" x14ac:dyDescent="0.25">
      <c r="A5" s="11" t="s">
        <v>20</v>
      </c>
      <c r="B5" s="113">
        <v>5</v>
      </c>
      <c r="C5" s="47" t="s">
        <v>22</v>
      </c>
      <c r="D5" s="11"/>
      <c r="E5" s="13"/>
      <c r="F5" s="6"/>
      <c r="G5" s="14"/>
      <c r="H5" s="7"/>
      <c r="I5" s="7"/>
      <c r="J5" s="7"/>
    </row>
    <row r="6" spans="1:12" x14ac:dyDescent="0.25">
      <c r="A6" s="11" t="s">
        <v>3</v>
      </c>
      <c r="B6" s="67">
        <f>B4/B5</f>
        <v>177.072</v>
      </c>
      <c r="C6" s="47" t="s">
        <v>24</v>
      </c>
      <c r="D6" s="11"/>
      <c r="E6" s="13"/>
      <c r="F6" s="6"/>
      <c r="G6" s="14"/>
      <c r="H6" s="7"/>
      <c r="I6" s="7"/>
      <c r="J6" s="7"/>
    </row>
    <row r="7" spans="1:12" x14ac:dyDescent="0.25">
      <c r="A7" s="3" t="s">
        <v>19</v>
      </c>
      <c r="B7" s="131">
        <f>'Dell''s_Financial_Statements'!L29</f>
        <v>0.10519321523119905</v>
      </c>
      <c r="C7" s="48" t="s">
        <v>23</v>
      </c>
      <c r="F7" s="6"/>
      <c r="G7" s="14"/>
      <c r="H7" s="7"/>
      <c r="I7" s="7"/>
      <c r="J7" s="16"/>
    </row>
    <row r="8" spans="1:12" x14ac:dyDescent="0.25">
      <c r="A8" s="11" t="s">
        <v>28</v>
      </c>
      <c r="B8" s="132">
        <f>'Dell''s_Financial_Statements'!L46</f>
        <v>1486</v>
      </c>
      <c r="C8" s="3" t="s">
        <v>30</v>
      </c>
      <c r="D8" s="6"/>
      <c r="E8" s="19"/>
      <c r="F8" s="19"/>
      <c r="G8" s="19"/>
      <c r="H8" s="19"/>
      <c r="I8" s="19"/>
      <c r="J8" s="19"/>
      <c r="K8" s="19"/>
      <c r="L8" s="19"/>
    </row>
    <row r="9" spans="1:12" x14ac:dyDescent="0.25">
      <c r="A9" s="11" t="s">
        <v>29</v>
      </c>
      <c r="B9" s="133">
        <f>'Dell''s_Financial_Statements'!L46/'Dell''s_Financial_Statements'!L4</f>
        <v>1.5549300490755176E-2</v>
      </c>
      <c r="C9" s="9" t="s">
        <v>31</v>
      </c>
      <c r="D9" s="6"/>
      <c r="E9" s="19"/>
      <c r="F9" s="19"/>
      <c r="G9" s="19"/>
      <c r="H9" s="19"/>
      <c r="I9" s="19"/>
      <c r="J9" s="19"/>
      <c r="K9" s="19"/>
      <c r="L9" s="19"/>
    </row>
    <row r="10" spans="1:12" x14ac:dyDescent="0.25">
      <c r="A10" s="11" t="s">
        <v>4</v>
      </c>
      <c r="B10" s="114">
        <f>C19*0.01</f>
        <v>57.340199999999996</v>
      </c>
      <c r="C10" s="20" t="s">
        <v>42</v>
      </c>
      <c r="D10" s="20"/>
      <c r="E10" s="19"/>
      <c r="F10" s="19"/>
      <c r="G10" s="19"/>
      <c r="H10" s="19"/>
      <c r="I10" s="19"/>
      <c r="J10" s="19"/>
      <c r="K10" s="19"/>
      <c r="L10" s="19"/>
    </row>
    <row r="11" spans="1:12" x14ac:dyDescent="0.25">
      <c r="A11" s="21" t="s">
        <v>34</v>
      </c>
      <c r="B11" s="112">
        <v>0</v>
      </c>
      <c r="C11" s="20" t="s">
        <v>36</v>
      </c>
      <c r="D11" s="20"/>
      <c r="E11" s="19"/>
      <c r="F11" s="19"/>
      <c r="G11" s="19"/>
      <c r="H11" s="19"/>
      <c r="I11" s="19"/>
      <c r="J11" s="19"/>
      <c r="K11" s="19"/>
      <c r="L11" s="19"/>
    </row>
    <row r="12" spans="1:12" x14ac:dyDescent="0.25">
      <c r="A12" s="21" t="s">
        <v>5</v>
      </c>
      <c r="B12" s="50">
        <v>0.21</v>
      </c>
      <c r="C12" s="9"/>
      <c r="D12" s="6"/>
      <c r="E12" s="9"/>
      <c r="F12" s="6"/>
      <c r="G12" s="14"/>
      <c r="H12" s="7"/>
      <c r="I12" s="7"/>
      <c r="J12" s="16"/>
    </row>
    <row r="13" spans="1:12" x14ac:dyDescent="0.25">
      <c r="A13" s="21" t="s">
        <v>6</v>
      </c>
      <c r="B13" s="46">
        <v>6.9699999999999998E-2</v>
      </c>
      <c r="C13" s="9"/>
      <c r="D13" s="6"/>
      <c r="E13" s="9"/>
      <c r="F13" s="6"/>
      <c r="G13" s="14"/>
      <c r="H13" s="7"/>
      <c r="I13" s="7"/>
      <c r="J13" s="16"/>
    </row>
    <row r="14" spans="1:12" x14ac:dyDescent="0.25">
      <c r="A14" s="10" t="s">
        <v>33</v>
      </c>
      <c r="B14" s="134">
        <f>'Dell''s_Financial_Statements'!L4*0.06</f>
        <v>5734.0199999999995</v>
      </c>
      <c r="C14" s="13" t="s">
        <v>43</v>
      </c>
      <c r="D14" s="17"/>
      <c r="E14" s="2"/>
      <c r="F14" s="6"/>
      <c r="G14" s="14"/>
      <c r="H14" s="7"/>
      <c r="I14" s="18"/>
      <c r="J14" s="18"/>
      <c r="K14" s="17"/>
      <c r="L14" s="17"/>
    </row>
    <row r="15" spans="1:12" x14ac:dyDescent="0.25">
      <c r="A15" s="45" t="s">
        <v>35</v>
      </c>
      <c r="B15" s="22"/>
      <c r="C15" s="9"/>
      <c r="D15" s="49">
        <v>0.1</v>
      </c>
      <c r="E15" s="50">
        <v>0.08</v>
      </c>
      <c r="F15" s="49">
        <v>0.03</v>
      </c>
      <c r="G15" s="49">
        <v>0.03</v>
      </c>
      <c r="H15" s="7"/>
      <c r="I15" s="7"/>
      <c r="J15" s="16"/>
    </row>
    <row r="16" spans="1:12" x14ac:dyDescent="0.25">
      <c r="A16" s="7"/>
      <c r="B16" s="23" t="s">
        <v>7</v>
      </c>
      <c r="C16" s="23" t="s">
        <v>7</v>
      </c>
      <c r="D16" s="23" t="s">
        <v>7</v>
      </c>
      <c r="E16" s="23" t="s">
        <v>7</v>
      </c>
      <c r="F16" s="23" t="s">
        <v>7</v>
      </c>
      <c r="G16" s="23" t="s">
        <v>7</v>
      </c>
      <c r="H16" s="23"/>
      <c r="I16" s="23"/>
      <c r="J16" s="16"/>
    </row>
    <row r="17" spans="1:10" x14ac:dyDescent="0.25">
      <c r="A17" s="7"/>
      <c r="B17" s="23">
        <v>2025</v>
      </c>
      <c r="C17" s="23">
        <f>B17+1</f>
        <v>2026</v>
      </c>
      <c r="D17" s="23">
        <f>C17+1</f>
        <v>2027</v>
      </c>
      <c r="E17" s="23">
        <f>D17+1</f>
        <v>2028</v>
      </c>
      <c r="F17" s="23">
        <f>E17+1</f>
        <v>2029</v>
      </c>
      <c r="G17" s="23">
        <f>F17+1</f>
        <v>2030</v>
      </c>
      <c r="H17" s="23"/>
      <c r="I17" s="23"/>
      <c r="J17" s="16"/>
    </row>
    <row r="18" spans="1:10" x14ac:dyDescent="0.25">
      <c r="A18" s="24" t="s">
        <v>8</v>
      </c>
      <c r="B18" s="25">
        <v>0</v>
      </c>
      <c r="C18" s="26">
        <v>1</v>
      </c>
      <c r="D18" s="26">
        <v>2</v>
      </c>
      <c r="E18" s="26">
        <v>3</v>
      </c>
      <c r="F18" s="26">
        <v>4</v>
      </c>
      <c r="G18" s="26">
        <v>5</v>
      </c>
      <c r="H18" s="26"/>
      <c r="I18" s="7"/>
      <c r="J18" s="7"/>
    </row>
    <row r="19" spans="1:10" x14ac:dyDescent="0.25">
      <c r="A19" s="8" t="s">
        <v>32</v>
      </c>
      <c r="B19" s="27"/>
      <c r="C19" s="68">
        <f>B14</f>
        <v>5734.0199999999995</v>
      </c>
      <c r="D19" s="68">
        <f>C19*(1+D15)</f>
        <v>6307.4219999999996</v>
      </c>
      <c r="E19" s="68">
        <f t="shared" ref="E19:G19" si="0">D19*(1+E15)</f>
        <v>6812.0157600000002</v>
      </c>
      <c r="F19" s="68">
        <f t="shared" si="0"/>
        <v>7016.3762328000003</v>
      </c>
      <c r="G19" s="68">
        <f t="shared" si="0"/>
        <v>7226.8675197840003</v>
      </c>
      <c r="H19" s="28"/>
      <c r="I19" s="28"/>
      <c r="J19" s="7"/>
    </row>
    <row r="20" spans="1:10" x14ac:dyDescent="0.25">
      <c r="A20" s="10" t="s">
        <v>25</v>
      </c>
      <c r="B20" s="29"/>
      <c r="C20" s="69">
        <f>$B$7*C19</f>
        <v>603.17999999999995</v>
      </c>
      <c r="D20" s="69">
        <f>$B$7*D19</f>
        <v>663.49799999999993</v>
      </c>
      <c r="E20" s="69">
        <f>$B$7*E19</f>
        <v>716.57784000000004</v>
      </c>
      <c r="F20" s="69">
        <f>$B$7*F19</f>
        <v>738.07517519999999</v>
      </c>
      <c r="G20" s="69">
        <f>$B$7*G19</f>
        <v>760.21743045599999</v>
      </c>
      <c r="H20" s="30"/>
      <c r="I20" s="30"/>
      <c r="J20" s="7"/>
    </row>
    <row r="21" spans="1:10" x14ac:dyDescent="0.25">
      <c r="A21" s="10" t="s">
        <v>26</v>
      </c>
      <c r="B21" s="29"/>
      <c r="C21" s="69">
        <f>$B$6</f>
        <v>177.072</v>
      </c>
      <c r="D21" s="69">
        <f t="shared" ref="D21:G21" si="1">$B$6</f>
        <v>177.072</v>
      </c>
      <c r="E21" s="69">
        <f t="shared" si="1"/>
        <v>177.072</v>
      </c>
      <c r="F21" s="69">
        <f t="shared" si="1"/>
        <v>177.072</v>
      </c>
      <c r="G21" s="69">
        <f t="shared" si="1"/>
        <v>177.072</v>
      </c>
      <c r="H21" s="30"/>
      <c r="I21" s="30"/>
      <c r="J21" s="7"/>
    </row>
    <row r="22" spans="1:10" x14ac:dyDescent="0.25">
      <c r="A22" s="10" t="s">
        <v>27</v>
      </c>
      <c r="B22" s="29"/>
      <c r="C22" s="69">
        <f>(C20-C21)*$B$12</f>
        <v>89.482679999999988</v>
      </c>
      <c r="D22" s="69">
        <f>(D20-D21)*$B$12</f>
        <v>102.14945999999998</v>
      </c>
      <c r="E22" s="69">
        <f>(E20-E21)*$B$12</f>
        <v>113.29622640000001</v>
      </c>
      <c r="F22" s="69">
        <f>(F20-F21)*$B$12</f>
        <v>117.81066679199999</v>
      </c>
      <c r="G22" s="69">
        <f>(G20-G21)*$B$12</f>
        <v>122.46054039575999</v>
      </c>
      <c r="H22" s="30"/>
      <c r="I22" s="30"/>
      <c r="J22" s="7"/>
    </row>
    <row r="23" spans="1:10" x14ac:dyDescent="0.25">
      <c r="A23" s="6" t="s">
        <v>9</v>
      </c>
      <c r="B23" s="29"/>
      <c r="C23" s="69">
        <f>(C20-C21)*(1-$B$12)</f>
        <v>336.62531999999999</v>
      </c>
      <c r="D23" s="69">
        <f t="shared" ref="D23:G23" si="2">(D20-D21)*(1-$B$12)</f>
        <v>384.27653999999995</v>
      </c>
      <c r="E23" s="69">
        <f t="shared" si="2"/>
        <v>426.20961360000007</v>
      </c>
      <c r="F23" s="69">
        <f t="shared" si="2"/>
        <v>443.19250840800004</v>
      </c>
      <c r="G23" s="69">
        <f t="shared" si="2"/>
        <v>460.68489006024004</v>
      </c>
      <c r="H23" s="30"/>
      <c r="I23" s="30"/>
      <c r="J23" s="7"/>
    </row>
    <row r="24" spans="1:10" x14ac:dyDescent="0.25">
      <c r="A24" s="10"/>
      <c r="B24" s="30"/>
      <c r="C24" s="30"/>
      <c r="D24" s="30"/>
      <c r="E24" s="30"/>
      <c r="F24" s="30"/>
      <c r="G24" s="30"/>
      <c r="H24" s="31"/>
      <c r="I24" s="31"/>
      <c r="J24" s="7"/>
    </row>
    <row r="25" spans="1:10" x14ac:dyDescent="0.25">
      <c r="A25" s="32" t="s">
        <v>10</v>
      </c>
      <c r="B25" s="30"/>
      <c r="C25" s="30"/>
      <c r="D25" s="30"/>
      <c r="E25" s="30"/>
      <c r="F25" s="30"/>
      <c r="G25" s="30"/>
      <c r="H25" s="30"/>
      <c r="I25" s="31"/>
      <c r="J25" s="7"/>
    </row>
    <row r="26" spans="1:10" x14ac:dyDescent="0.25">
      <c r="A26" s="6" t="s">
        <v>11</v>
      </c>
      <c r="B26" s="69">
        <f>B10</f>
        <v>57.340199999999996</v>
      </c>
      <c r="C26" s="69">
        <f>'Dell''s_Financial_Statements'!$L$70*DCF_Dell!C19</f>
        <v>89.159999999999982</v>
      </c>
      <c r="D26" s="69">
        <f>'Dell''s_Financial_Statements'!$L$70*DCF_Dell!D19</f>
        <v>98.075999999999993</v>
      </c>
      <c r="E26" s="69">
        <f>'Dell''s_Financial_Statements'!$L$70*DCF_Dell!E19</f>
        <v>105.92207999999999</v>
      </c>
      <c r="F26" s="69">
        <f>'Dell''s_Financial_Statements'!$L$70*DCF_Dell!F19</f>
        <v>109.0997424</v>
      </c>
      <c r="G26" s="69">
        <v>0</v>
      </c>
      <c r="H26" s="30"/>
      <c r="I26" s="31"/>
      <c r="J26" s="7"/>
    </row>
    <row r="27" spans="1:10" x14ac:dyDescent="0.25">
      <c r="A27" s="6" t="s">
        <v>12</v>
      </c>
      <c r="B27" s="30"/>
      <c r="C27" s="69">
        <f>C26-B26</f>
        <v>31.819799999999987</v>
      </c>
      <c r="D27" s="69">
        <f t="shared" ref="D27:G27" si="3">D26-C26</f>
        <v>8.916000000000011</v>
      </c>
      <c r="E27" s="69">
        <f t="shared" si="3"/>
        <v>7.8460800000000006</v>
      </c>
      <c r="F27" s="69">
        <f t="shared" si="3"/>
        <v>3.1776624000000027</v>
      </c>
      <c r="G27" s="69">
        <f t="shared" si="3"/>
        <v>-109.0997424</v>
      </c>
      <c r="H27" s="30"/>
      <c r="I27" s="31"/>
      <c r="J27" s="7"/>
    </row>
    <row r="28" spans="1:10" x14ac:dyDescent="0.25">
      <c r="A28" s="6" t="s">
        <v>13</v>
      </c>
      <c r="B28" s="30"/>
      <c r="C28" s="69">
        <f>-C27</f>
        <v>-31.819799999999987</v>
      </c>
      <c r="D28" s="69">
        <f t="shared" ref="D28:G28" si="4">-D27</f>
        <v>-8.916000000000011</v>
      </c>
      <c r="E28" s="69">
        <f t="shared" si="4"/>
        <v>-7.8460800000000006</v>
      </c>
      <c r="F28" s="69">
        <f t="shared" si="4"/>
        <v>-3.1776624000000027</v>
      </c>
      <c r="G28" s="69">
        <f t="shared" si="4"/>
        <v>109.0997424</v>
      </c>
      <c r="H28" s="30"/>
      <c r="I28" s="31"/>
      <c r="J28" s="7"/>
    </row>
    <row r="29" spans="1:10" x14ac:dyDescent="0.25">
      <c r="A29" s="7"/>
      <c r="B29" s="31"/>
      <c r="C29" s="31"/>
      <c r="D29" s="31"/>
      <c r="E29" s="31"/>
      <c r="F29" s="31"/>
      <c r="G29" s="31"/>
      <c r="H29" s="31"/>
      <c r="I29" s="31"/>
      <c r="J29" s="7"/>
    </row>
    <row r="30" spans="1:10" x14ac:dyDescent="0.25">
      <c r="A30" s="33" t="s">
        <v>37</v>
      </c>
      <c r="B30" s="30"/>
      <c r="C30" s="30"/>
      <c r="D30" s="30"/>
      <c r="E30" s="30"/>
      <c r="F30" s="30"/>
      <c r="G30" s="30"/>
      <c r="H30" s="30"/>
      <c r="I30" s="31"/>
      <c r="J30" s="7"/>
    </row>
    <row r="31" spans="1:10" x14ac:dyDescent="0.25">
      <c r="A31" s="6" t="s">
        <v>9</v>
      </c>
      <c r="B31" s="52"/>
      <c r="C31" s="69">
        <f>C23</f>
        <v>336.62531999999999</v>
      </c>
      <c r="D31" s="69">
        <f t="shared" ref="D31:G31" si="5">D23</f>
        <v>384.27653999999995</v>
      </c>
      <c r="E31" s="69">
        <f t="shared" si="5"/>
        <v>426.20961360000007</v>
      </c>
      <c r="F31" s="69">
        <f t="shared" si="5"/>
        <v>443.19250840800004</v>
      </c>
      <c r="G31" s="69">
        <f t="shared" si="5"/>
        <v>460.68489006024004</v>
      </c>
      <c r="H31" s="30"/>
      <c r="I31" s="31"/>
      <c r="J31" s="7"/>
    </row>
    <row r="32" spans="1:10" x14ac:dyDescent="0.25">
      <c r="A32" s="6" t="s">
        <v>41</v>
      </c>
      <c r="B32" s="30"/>
      <c r="C32" s="69">
        <f>C21</f>
        <v>177.072</v>
      </c>
      <c r="D32" s="69">
        <f t="shared" ref="D32:G32" si="6">D21</f>
        <v>177.072</v>
      </c>
      <c r="E32" s="69">
        <f t="shared" si="6"/>
        <v>177.072</v>
      </c>
      <c r="F32" s="69">
        <f t="shared" si="6"/>
        <v>177.072</v>
      </c>
      <c r="G32" s="69">
        <f t="shared" si="6"/>
        <v>177.072</v>
      </c>
      <c r="H32" s="30"/>
      <c r="I32" s="31"/>
      <c r="J32" s="7"/>
    </row>
    <row r="33" spans="1:10" x14ac:dyDescent="0.25">
      <c r="A33" s="6" t="s">
        <v>39</v>
      </c>
      <c r="B33" s="30"/>
      <c r="C33" s="69">
        <f>C27</f>
        <v>31.819799999999987</v>
      </c>
      <c r="D33" s="69">
        <f t="shared" ref="D33:G33" si="7">D27</f>
        <v>8.916000000000011</v>
      </c>
      <c r="E33" s="69">
        <f t="shared" si="7"/>
        <v>7.8460800000000006</v>
      </c>
      <c r="F33" s="69">
        <f t="shared" si="7"/>
        <v>3.1776624000000027</v>
      </c>
      <c r="G33" s="69">
        <f t="shared" si="7"/>
        <v>-109.0997424</v>
      </c>
      <c r="H33" s="30"/>
      <c r="I33" s="31"/>
      <c r="J33" s="7"/>
    </row>
    <row r="34" spans="1:10" x14ac:dyDescent="0.25">
      <c r="A34" s="6" t="s">
        <v>40</v>
      </c>
      <c r="B34" s="69">
        <f>$B$4</f>
        <v>885.36</v>
      </c>
      <c r="C34" s="30">
        <v>0</v>
      </c>
      <c r="D34" s="30">
        <v>0</v>
      </c>
      <c r="E34" s="30">
        <v>0</v>
      </c>
      <c r="F34" s="30">
        <v>0</v>
      </c>
      <c r="G34" s="30">
        <v>0</v>
      </c>
      <c r="H34" s="30"/>
      <c r="I34" s="31"/>
      <c r="J34" s="7"/>
    </row>
    <row r="35" spans="1:10" x14ac:dyDescent="0.25">
      <c r="A35" s="34" t="s">
        <v>14</v>
      </c>
      <c r="B35" s="69">
        <f>-(B34+B26)</f>
        <v>-942.7002</v>
      </c>
      <c r="C35" s="69">
        <f>C31+C32-C34-C33</f>
        <v>481.87752</v>
      </c>
      <c r="D35" s="69">
        <f t="shared" ref="D35:G35" si="8">D31+D32-D34-D33</f>
        <v>552.4325399999999</v>
      </c>
      <c r="E35" s="69">
        <f t="shared" si="8"/>
        <v>595.4355336000001</v>
      </c>
      <c r="F35" s="69">
        <f t="shared" si="8"/>
        <v>617.08684600799995</v>
      </c>
      <c r="G35" s="69">
        <f t="shared" si="8"/>
        <v>746.85663246024001</v>
      </c>
      <c r="H35" s="30"/>
      <c r="I35" s="31"/>
      <c r="J35" s="7"/>
    </row>
    <row r="36" spans="1:10" x14ac:dyDescent="0.25">
      <c r="A36" s="6"/>
      <c r="B36" s="30"/>
      <c r="C36" s="30"/>
      <c r="D36" s="30"/>
      <c r="E36" s="30"/>
      <c r="F36" s="30"/>
      <c r="G36" s="30"/>
      <c r="H36" s="30"/>
      <c r="I36" s="31"/>
      <c r="J36" s="7"/>
    </row>
    <row r="37" spans="1:10" x14ac:dyDescent="0.25">
      <c r="A37" s="6" t="s">
        <v>15</v>
      </c>
      <c r="B37" s="35">
        <f>(1/(1+$B$13)^B18)</f>
        <v>1</v>
      </c>
      <c r="C37" s="35">
        <f>(1/(1+$B$13)^C18)</f>
        <v>0.93484154435823119</v>
      </c>
      <c r="D37" s="35">
        <f t="shared" ref="D37:G37" si="9">(1/(1+$B$13)^D18)</f>
        <v>0.87392871305808284</v>
      </c>
      <c r="E37" s="35">
        <f t="shared" si="9"/>
        <v>0.81698486777421964</v>
      </c>
      <c r="F37" s="35">
        <f t="shared" si="9"/>
        <v>0.76375139550735693</v>
      </c>
      <c r="G37" s="35">
        <f t="shared" si="9"/>
        <v>0.71398653408185175</v>
      </c>
      <c r="H37" s="35"/>
      <c r="I37" s="31"/>
      <c r="J37" s="7"/>
    </row>
    <row r="38" spans="1:10" x14ac:dyDescent="0.25">
      <c r="A38" s="6" t="s">
        <v>16</v>
      </c>
      <c r="B38" s="69">
        <f>B37*B35</f>
        <v>-942.7002</v>
      </c>
      <c r="C38" s="69">
        <f>C37*C35</f>
        <v>450.47912498831442</v>
      </c>
      <c r="D38" s="69">
        <f t="shared" ref="D38:G38" si="10">D37*D35</f>
        <v>482.78665873360779</v>
      </c>
      <c r="E38" s="69">
        <f t="shared" si="10"/>
        <v>486.46182068626797</v>
      </c>
      <c r="F38" s="69">
        <f t="shared" si="10"/>
        <v>471.30093978784345</v>
      </c>
      <c r="G38" s="69">
        <f t="shared" si="10"/>
        <v>533.24557846633013</v>
      </c>
      <c r="H38" s="30"/>
      <c r="I38" s="31"/>
      <c r="J38" s="7"/>
    </row>
    <row r="39" spans="1:10" x14ac:dyDescent="0.25">
      <c r="A39" s="36" t="s">
        <v>17</v>
      </c>
      <c r="B39" s="70">
        <f>B35+NPV(B13,C35,D35,E35,F35,G35)</f>
        <v>1481.5739226623639</v>
      </c>
      <c r="C39" s="31"/>
      <c r="D39" s="31"/>
      <c r="E39" s="31"/>
      <c r="F39" s="31"/>
      <c r="G39" s="31"/>
      <c r="H39" s="31"/>
      <c r="I39" s="31"/>
      <c r="J39" s="7"/>
    </row>
    <row r="40" spans="1:10" x14ac:dyDescent="0.25">
      <c r="B40" s="38"/>
      <c r="C40" s="38"/>
      <c r="D40" s="38"/>
      <c r="E40" s="38"/>
      <c r="F40" s="38"/>
      <c r="G40" s="38"/>
      <c r="H40" s="38"/>
      <c r="I40" s="31"/>
      <c r="J40" s="7"/>
    </row>
    <row r="41" spans="1:10" x14ac:dyDescent="0.25">
      <c r="B41" s="39"/>
      <c r="C41" s="39"/>
      <c r="D41" s="39"/>
      <c r="E41" s="39"/>
      <c r="F41" s="39"/>
      <c r="G41" s="39"/>
      <c r="H41" s="39"/>
      <c r="I41" s="40"/>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1"/>
      <c r="C54" s="41"/>
      <c r="D54" s="41"/>
      <c r="E54" s="41"/>
      <c r="F54" s="41"/>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2"/>
      <c r="C64" s="41"/>
      <c r="D64" s="41"/>
      <c r="E64" s="43"/>
      <c r="F64" s="7"/>
      <c r="G64" s="7"/>
      <c r="H64" s="7"/>
      <c r="I64" s="7"/>
      <c r="J64" s="7"/>
    </row>
    <row r="65" spans="1:10" x14ac:dyDescent="0.25">
      <c r="A65" s="42"/>
      <c r="C65" s="41"/>
      <c r="D65" s="41"/>
      <c r="E65" s="43"/>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1"/>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101D-66F4-431F-8AA5-4BF01B341004}">
  <dimension ref="A1:O337"/>
  <sheetViews>
    <sheetView zoomScale="120" zoomScaleNormal="120" workbookViewId="0">
      <pane ySplit="1" topLeftCell="A2" activePane="bottomLeft" state="frozen"/>
      <selection pane="bottomLeft"/>
    </sheetView>
  </sheetViews>
  <sheetFormatPr defaultRowHeight="12.75" x14ac:dyDescent="0.2"/>
  <cols>
    <col min="1" max="1" width="41.5703125" customWidth="1"/>
    <col min="2" max="2" width="17.85546875" customWidth="1"/>
    <col min="3" max="3" width="20" customWidth="1"/>
    <col min="4" max="4" width="21.85546875" customWidth="1"/>
    <col min="5" max="5" width="24.5703125" customWidth="1"/>
    <col min="8" max="8" width="41.42578125" customWidth="1"/>
    <col min="9" max="9" width="14.42578125" customWidth="1"/>
    <col min="10" max="10" width="13" customWidth="1"/>
    <col min="11" max="11" width="12.140625" customWidth="1"/>
    <col min="12" max="12" width="14.28515625" customWidth="1"/>
    <col min="14" max="14" width="20.5703125" customWidth="1"/>
  </cols>
  <sheetData>
    <row r="1" spans="1:15" x14ac:dyDescent="0.2">
      <c r="A1" s="1" t="s">
        <v>327</v>
      </c>
      <c r="B1" s="92">
        <v>2021</v>
      </c>
      <c r="C1" s="92">
        <v>2022</v>
      </c>
      <c r="D1" s="92">
        <v>2023</v>
      </c>
      <c r="E1" s="92">
        <v>2024</v>
      </c>
      <c r="I1" s="92">
        <v>2021</v>
      </c>
      <c r="J1" s="92">
        <v>2022</v>
      </c>
      <c r="K1" s="92">
        <v>2023</v>
      </c>
      <c r="L1" s="92">
        <v>2024</v>
      </c>
    </row>
    <row r="2" spans="1:15" x14ac:dyDescent="0.2">
      <c r="A2" s="71" t="s">
        <v>44</v>
      </c>
      <c r="H2" s="85" t="s">
        <v>344</v>
      </c>
      <c r="I2" s="65"/>
      <c r="J2" s="65"/>
      <c r="K2" s="65"/>
      <c r="L2" s="65"/>
      <c r="M2" s="61"/>
      <c r="N2" s="61"/>
    </row>
    <row r="3" spans="1:15" x14ac:dyDescent="0.2">
      <c r="A3" s="71"/>
      <c r="B3" s="71"/>
      <c r="C3" s="71"/>
      <c r="D3" s="71"/>
      <c r="E3" s="71"/>
      <c r="H3" t="s">
        <v>322</v>
      </c>
      <c r="I3" s="55">
        <f>B73</f>
        <v>168088</v>
      </c>
      <c r="J3" s="55">
        <f t="shared" ref="J3:L4" si="0">C73</f>
        <v>198270</v>
      </c>
      <c r="K3" s="55">
        <f t="shared" si="0"/>
        <v>211915</v>
      </c>
      <c r="L3" s="55">
        <f t="shared" si="0"/>
        <v>245122</v>
      </c>
      <c r="M3" s="77"/>
      <c r="N3" s="77"/>
    </row>
    <row r="4" spans="1:15" x14ac:dyDescent="0.2">
      <c r="A4" s="71"/>
      <c r="H4" s="79" t="s">
        <v>328</v>
      </c>
      <c r="I4" s="55">
        <f>B74</f>
        <v>41332</v>
      </c>
      <c r="J4" s="55">
        <f t="shared" si="0"/>
        <v>48050</v>
      </c>
      <c r="K4" s="55">
        <f t="shared" si="0"/>
        <v>52211</v>
      </c>
      <c r="L4" s="55">
        <f t="shared" si="0"/>
        <v>54114</v>
      </c>
    </row>
    <row r="5" spans="1:15" x14ac:dyDescent="0.2">
      <c r="A5" s="72" t="s">
        <v>1</v>
      </c>
      <c r="H5" s="93" t="s">
        <v>329</v>
      </c>
      <c r="I5" s="94">
        <f>I3-I4</f>
        <v>126756</v>
      </c>
      <c r="J5" s="94">
        <f t="shared" ref="J5:L5" si="1">J3-J4</f>
        <v>150220</v>
      </c>
      <c r="K5" s="94">
        <f t="shared" si="1"/>
        <v>159704</v>
      </c>
      <c r="L5" s="94">
        <f t="shared" si="1"/>
        <v>191008</v>
      </c>
    </row>
    <row r="6" spans="1:15" x14ac:dyDescent="0.2">
      <c r="A6" s="71" t="s">
        <v>45</v>
      </c>
      <c r="H6" s="79" t="s">
        <v>330</v>
      </c>
      <c r="I6" s="55">
        <f>B75</f>
        <v>45940</v>
      </c>
      <c r="J6" s="55">
        <f t="shared" ref="J6:L6" si="2">C75</f>
        <v>52111</v>
      </c>
      <c r="K6" s="55">
        <f t="shared" si="2"/>
        <v>56510</v>
      </c>
      <c r="L6" s="55">
        <f t="shared" si="2"/>
        <v>61575</v>
      </c>
    </row>
    <row r="7" spans="1:15" x14ac:dyDescent="0.2">
      <c r="A7" s="73" t="s">
        <v>46</v>
      </c>
      <c r="B7" s="74">
        <v>130334</v>
      </c>
      <c r="C7" s="74">
        <v>104757</v>
      </c>
      <c r="D7" s="74">
        <v>111262</v>
      </c>
      <c r="E7" s="74">
        <v>75543</v>
      </c>
      <c r="H7" s="93" t="s">
        <v>345</v>
      </c>
      <c r="I7" s="94">
        <f>I5-I6</f>
        <v>80816</v>
      </c>
      <c r="J7" s="94">
        <f t="shared" ref="J7:L7" si="3">J5-J6</f>
        <v>98109</v>
      </c>
      <c r="K7" s="94">
        <f t="shared" si="3"/>
        <v>103194</v>
      </c>
      <c r="L7" s="94">
        <f t="shared" si="3"/>
        <v>129433</v>
      </c>
    </row>
    <row r="8" spans="1:15" x14ac:dyDescent="0.2">
      <c r="A8" s="73" t="s">
        <v>47</v>
      </c>
      <c r="B8" s="74">
        <v>14224</v>
      </c>
      <c r="C8" s="74">
        <v>13931</v>
      </c>
      <c r="D8" s="74">
        <v>34704</v>
      </c>
      <c r="E8" s="74">
        <v>18315</v>
      </c>
      <c r="H8" s="79" t="s">
        <v>331</v>
      </c>
      <c r="I8" s="87">
        <f>B77</f>
        <v>10900</v>
      </c>
      <c r="J8" s="87">
        <f t="shared" ref="J8:L8" si="4">C77</f>
        <v>14600</v>
      </c>
      <c r="K8" s="87">
        <f t="shared" si="4"/>
        <v>13500</v>
      </c>
      <c r="L8" s="87">
        <f t="shared" si="4"/>
        <v>20000</v>
      </c>
    </row>
    <row r="9" spans="1:15" x14ac:dyDescent="0.2">
      <c r="A9" s="73" t="s">
        <v>48</v>
      </c>
      <c r="B9" s="74">
        <v>116110</v>
      </c>
      <c r="C9" s="74">
        <v>90826</v>
      </c>
      <c r="D9" s="74">
        <v>76558</v>
      </c>
      <c r="E9" s="74">
        <v>57228</v>
      </c>
      <c r="H9" s="93" t="s">
        <v>332</v>
      </c>
      <c r="I9" s="95">
        <f>I7-I8</f>
        <v>69916</v>
      </c>
      <c r="J9" s="95">
        <f t="shared" ref="J9:L9" si="5">J7-J8</f>
        <v>83509</v>
      </c>
      <c r="K9" s="95">
        <f t="shared" si="5"/>
        <v>89694</v>
      </c>
      <c r="L9" s="95">
        <f t="shared" si="5"/>
        <v>109433</v>
      </c>
    </row>
    <row r="10" spans="1:15" x14ac:dyDescent="0.2">
      <c r="A10" s="73" t="s">
        <v>49</v>
      </c>
      <c r="B10" s="74">
        <v>38043</v>
      </c>
      <c r="C10" s="74">
        <v>50361</v>
      </c>
      <c r="D10" s="74">
        <v>57888</v>
      </c>
      <c r="E10" s="74">
        <v>67424</v>
      </c>
      <c r="H10" s="78" t="s">
        <v>365</v>
      </c>
      <c r="I10" s="88">
        <f>I19/I18</f>
        <v>0.13826615285083402</v>
      </c>
      <c r="J10" s="88">
        <f t="shared" ref="J10:L10" si="6">J19/J18</f>
        <v>0.13113383343685794</v>
      </c>
      <c r="K10" s="88">
        <f t="shared" si="6"/>
        <v>0.18978625253328257</v>
      </c>
      <c r="L10" s="88">
        <f t="shared" si="6"/>
        <v>0.18231326597827197</v>
      </c>
    </row>
    <row r="11" spans="1:15" x14ac:dyDescent="0.2">
      <c r="A11" s="73" t="s">
        <v>50</v>
      </c>
      <c r="B11" s="74">
        <v>38043</v>
      </c>
      <c r="C11" s="74">
        <v>44261</v>
      </c>
      <c r="D11" s="74">
        <v>48688</v>
      </c>
      <c r="E11" s="74">
        <v>56924</v>
      </c>
      <c r="H11" s="93" t="s">
        <v>333</v>
      </c>
      <c r="I11" s="96">
        <f>I9*(1-I10)</f>
        <v>60248.983657281089</v>
      </c>
      <c r="J11" s="96">
        <f t="shared" ref="J11:L11" si="7">J9*(1-J10)</f>
        <v>72558.144703521437</v>
      </c>
      <c r="K11" s="96">
        <f t="shared" si="7"/>
        <v>72671.311865279757</v>
      </c>
      <c r="L11" s="96">
        <f t="shared" si="7"/>
        <v>89481.912364199758</v>
      </c>
    </row>
    <row r="12" spans="1:15" x14ac:dyDescent="0.2">
      <c r="A12" s="73" t="s">
        <v>51</v>
      </c>
      <c r="B12" s="74">
        <v>0</v>
      </c>
      <c r="C12" s="74">
        <v>0</v>
      </c>
      <c r="D12" s="74">
        <v>0</v>
      </c>
      <c r="E12" s="74">
        <v>0</v>
      </c>
      <c r="H12" s="56"/>
      <c r="I12" s="55"/>
      <c r="J12" s="55"/>
      <c r="K12" s="55"/>
      <c r="L12" s="55"/>
    </row>
    <row r="13" spans="1:15" x14ac:dyDescent="0.2">
      <c r="A13" s="73" t="s">
        <v>52</v>
      </c>
      <c r="B13" s="74">
        <v>0</v>
      </c>
      <c r="C13" s="74">
        <v>6100</v>
      </c>
      <c r="D13" s="74">
        <v>9200</v>
      </c>
      <c r="E13" s="74">
        <v>10500</v>
      </c>
      <c r="O13" s="78" t="s">
        <v>347</v>
      </c>
    </row>
    <row r="14" spans="1:15" x14ac:dyDescent="0.2">
      <c r="A14" s="73" t="s">
        <v>53</v>
      </c>
      <c r="B14" s="74">
        <v>2636</v>
      </c>
      <c r="C14" s="74">
        <v>3742</v>
      </c>
      <c r="D14" s="74">
        <v>2500</v>
      </c>
      <c r="E14" s="74">
        <v>1246</v>
      </c>
      <c r="H14" s="100" t="s">
        <v>348</v>
      </c>
      <c r="I14" s="55">
        <f>I9</f>
        <v>69916</v>
      </c>
      <c r="J14" s="55">
        <f t="shared" ref="J14:L14" si="8">J9</f>
        <v>83509</v>
      </c>
      <c r="K14" s="55">
        <f t="shared" si="8"/>
        <v>89694</v>
      </c>
      <c r="L14" s="55">
        <f t="shared" si="8"/>
        <v>109433</v>
      </c>
    </row>
    <row r="15" spans="1:15" x14ac:dyDescent="0.2">
      <c r="A15" s="73" t="s">
        <v>54</v>
      </c>
      <c r="B15" s="74">
        <v>1190</v>
      </c>
      <c r="C15" s="74">
        <v>1144</v>
      </c>
      <c r="D15" s="74">
        <v>709</v>
      </c>
      <c r="E15" s="74">
        <v>394</v>
      </c>
      <c r="H15" s="99" t="s">
        <v>349</v>
      </c>
      <c r="I15" s="63">
        <f>B82</f>
        <v>2330</v>
      </c>
      <c r="J15" s="63">
        <f t="shared" ref="J15:L16" si="9">C82</f>
        <v>2047</v>
      </c>
      <c r="K15" s="63">
        <f t="shared" si="9"/>
        <v>1995</v>
      </c>
      <c r="L15" s="63">
        <f t="shared" si="9"/>
        <v>2983</v>
      </c>
    </row>
    <row r="16" spans="1:15" x14ac:dyDescent="0.2">
      <c r="A16" s="73" t="s">
        <v>55</v>
      </c>
      <c r="B16" s="74">
        <v>79</v>
      </c>
      <c r="C16" s="74">
        <v>82</v>
      </c>
      <c r="D16" s="74">
        <v>23</v>
      </c>
      <c r="E16" s="74">
        <v>7</v>
      </c>
      <c r="H16" s="79" t="s">
        <v>350</v>
      </c>
      <c r="I16" s="63">
        <f>B83</f>
        <v>3516</v>
      </c>
      <c r="J16" s="63">
        <f t="shared" si="9"/>
        <v>2380</v>
      </c>
      <c r="K16" s="63">
        <f t="shared" si="9"/>
        <v>2783</v>
      </c>
      <c r="L16" s="63">
        <f t="shared" si="9"/>
        <v>1337</v>
      </c>
    </row>
    <row r="17" spans="1:14" x14ac:dyDescent="0.2">
      <c r="A17" s="73" t="s">
        <v>56</v>
      </c>
      <c r="B17" s="74">
        <v>1367</v>
      </c>
      <c r="C17" s="74">
        <v>2516</v>
      </c>
      <c r="D17" s="74">
        <v>1768</v>
      </c>
      <c r="E17" s="74">
        <v>845</v>
      </c>
      <c r="H17" s="79" t="s">
        <v>351</v>
      </c>
      <c r="I17" s="63">
        <v>0</v>
      </c>
      <c r="J17" s="63">
        <f t="shared" ref="J17:L17" si="10">C86</f>
        <v>-126</v>
      </c>
      <c r="K17" s="63">
        <f t="shared" si="10"/>
        <v>-1171</v>
      </c>
      <c r="L17" s="63">
        <f t="shared" si="10"/>
        <v>0</v>
      </c>
    </row>
    <row r="18" spans="1:14" x14ac:dyDescent="0.2">
      <c r="A18" s="73" t="s">
        <v>57</v>
      </c>
      <c r="B18" s="74">
        <v>0</v>
      </c>
      <c r="C18" s="74">
        <v>0</v>
      </c>
      <c r="D18" s="74">
        <v>0</v>
      </c>
      <c r="E18" s="74">
        <v>0</v>
      </c>
      <c r="H18" s="93" t="s">
        <v>352</v>
      </c>
      <c r="I18" s="96">
        <f>I14-I15+I16+I17</f>
        <v>71102</v>
      </c>
      <c r="J18" s="96">
        <f t="shared" ref="J18:L18" si="11">J14-J15+J16+J17</f>
        <v>83716</v>
      </c>
      <c r="K18" s="96">
        <f t="shared" si="11"/>
        <v>89311</v>
      </c>
      <c r="L18" s="96">
        <f t="shared" si="11"/>
        <v>107787</v>
      </c>
    </row>
    <row r="19" spans="1:14" x14ac:dyDescent="0.2">
      <c r="A19" s="73" t="s">
        <v>58</v>
      </c>
      <c r="B19" s="74">
        <v>13393</v>
      </c>
      <c r="C19" s="74">
        <v>10824</v>
      </c>
      <c r="D19" s="74">
        <v>12607</v>
      </c>
      <c r="E19" s="74">
        <v>15521</v>
      </c>
      <c r="H19" s="79" t="s">
        <v>353</v>
      </c>
      <c r="I19" s="63">
        <f>B90</f>
        <v>9831</v>
      </c>
      <c r="J19" s="63">
        <f t="shared" ref="J19:L19" si="12">C90</f>
        <v>10978</v>
      </c>
      <c r="K19" s="63">
        <f t="shared" si="12"/>
        <v>16950</v>
      </c>
      <c r="L19" s="63">
        <f t="shared" si="12"/>
        <v>19651</v>
      </c>
    </row>
    <row r="20" spans="1:14" x14ac:dyDescent="0.2">
      <c r="A20" s="73" t="s">
        <v>59</v>
      </c>
      <c r="B20" s="74">
        <v>0</v>
      </c>
      <c r="C20" s="74">
        <v>0</v>
      </c>
      <c r="D20" s="74">
        <v>0</v>
      </c>
      <c r="E20" s="74">
        <v>0</v>
      </c>
      <c r="H20" s="93" t="s">
        <v>354</v>
      </c>
      <c r="I20" s="101">
        <f>I18-I19</f>
        <v>61271</v>
      </c>
      <c r="J20" s="101">
        <f t="shared" ref="J20:L20" si="13">J18-J19</f>
        <v>72738</v>
      </c>
      <c r="K20" s="101">
        <f t="shared" si="13"/>
        <v>72361</v>
      </c>
      <c r="L20" s="101">
        <f t="shared" si="13"/>
        <v>88136</v>
      </c>
    </row>
    <row r="21" spans="1:14" x14ac:dyDescent="0.2">
      <c r="A21" s="73" t="s">
        <v>60</v>
      </c>
      <c r="B21" s="74">
        <v>13393</v>
      </c>
      <c r="C21" s="74">
        <v>10824</v>
      </c>
      <c r="D21" s="74">
        <v>12607</v>
      </c>
      <c r="E21" s="74">
        <v>15521</v>
      </c>
      <c r="H21" s="100" t="s">
        <v>367</v>
      </c>
      <c r="I21" s="105">
        <f>B99</f>
        <v>0</v>
      </c>
      <c r="J21" s="105">
        <f t="shared" ref="J21:L21" si="14">C99</f>
        <v>0</v>
      </c>
      <c r="K21" s="105">
        <f t="shared" si="14"/>
        <v>0</v>
      </c>
      <c r="L21" s="105">
        <f t="shared" si="14"/>
        <v>0</v>
      </c>
    </row>
    <row r="22" spans="1:14" x14ac:dyDescent="0.2">
      <c r="A22" s="73" t="s">
        <v>61</v>
      </c>
      <c r="B22" s="74">
        <v>184406</v>
      </c>
      <c r="C22" s="74">
        <v>169684</v>
      </c>
      <c r="D22" s="74">
        <v>184257</v>
      </c>
      <c r="E22" s="74">
        <v>159734</v>
      </c>
      <c r="H22" s="79" t="s">
        <v>356</v>
      </c>
      <c r="I22" s="63">
        <f>B107</f>
        <v>0</v>
      </c>
      <c r="J22" s="63">
        <f t="shared" ref="J22:L22" si="15">C107</f>
        <v>0</v>
      </c>
      <c r="K22" s="63">
        <f t="shared" si="15"/>
        <v>0</v>
      </c>
      <c r="L22" s="63">
        <f t="shared" si="15"/>
        <v>0</v>
      </c>
    </row>
    <row r="23" spans="1:14" x14ac:dyDescent="0.2">
      <c r="A23" s="73" t="s">
        <v>62</v>
      </c>
      <c r="B23" s="74">
        <v>70803</v>
      </c>
      <c r="C23" s="74">
        <v>87546</v>
      </c>
      <c r="D23" s="74">
        <v>109987</v>
      </c>
      <c r="E23" s="74">
        <v>154552</v>
      </c>
      <c r="H23" s="93" t="s">
        <v>355</v>
      </c>
      <c r="I23" s="95">
        <f>I20-I21+I22</f>
        <v>61271</v>
      </c>
      <c r="J23" s="95">
        <f t="shared" ref="J23:L23" si="16">J20-J21+J22</f>
        <v>72738</v>
      </c>
      <c r="K23" s="95">
        <f t="shared" si="16"/>
        <v>72361</v>
      </c>
      <c r="L23" s="95">
        <f t="shared" si="16"/>
        <v>88136</v>
      </c>
    </row>
    <row r="24" spans="1:14" x14ac:dyDescent="0.2">
      <c r="A24" s="73" t="s">
        <v>63</v>
      </c>
      <c r="B24" s="74">
        <v>122154</v>
      </c>
      <c r="C24" s="74">
        <v>147206</v>
      </c>
      <c r="D24" s="74">
        <v>178238</v>
      </c>
      <c r="E24" s="74">
        <v>230973</v>
      </c>
    </row>
    <row r="25" spans="1:14" x14ac:dyDescent="0.2">
      <c r="A25" s="73" t="s">
        <v>64</v>
      </c>
      <c r="B25" s="74">
        <v>51351</v>
      </c>
      <c r="C25" s="74">
        <v>59660</v>
      </c>
      <c r="D25" s="74">
        <v>68251</v>
      </c>
      <c r="E25" s="74">
        <v>76421</v>
      </c>
      <c r="H25" s="56"/>
      <c r="I25" s="55"/>
      <c r="J25" s="55"/>
      <c r="K25" s="55"/>
      <c r="L25" s="55"/>
    </row>
    <row r="26" spans="1:14" x14ac:dyDescent="0.2">
      <c r="A26" s="73" t="s">
        <v>65</v>
      </c>
      <c r="B26" s="73" t="s">
        <v>70</v>
      </c>
      <c r="C26" s="73" t="s">
        <v>70</v>
      </c>
      <c r="D26" s="73" t="s">
        <v>70</v>
      </c>
      <c r="E26" s="74">
        <v>6000</v>
      </c>
      <c r="H26" s="85" t="s">
        <v>357</v>
      </c>
      <c r="I26" s="61"/>
      <c r="J26" s="61"/>
      <c r="K26" s="61"/>
      <c r="L26" s="61"/>
      <c r="M26" s="61"/>
      <c r="N26" s="61"/>
    </row>
    <row r="27" spans="1:14" x14ac:dyDescent="0.2">
      <c r="A27" s="73" t="s">
        <v>66</v>
      </c>
      <c r="B27" s="74">
        <v>9384</v>
      </c>
      <c r="C27" s="74">
        <v>10691</v>
      </c>
      <c r="D27" s="74">
        <v>14379</v>
      </c>
      <c r="E27" s="74">
        <v>13500</v>
      </c>
      <c r="H27" s="78" t="s">
        <v>363</v>
      </c>
      <c r="I27" s="88">
        <f>I5/I3</f>
        <v>0.75410499262291186</v>
      </c>
      <c r="J27" s="88">
        <f t="shared" ref="J27:L27" si="17">J5/J3</f>
        <v>0.75765370454430825</v>
      </c>
      <c r="K27" s="88">
        <f t="shared" si="17"/>
        <v>0.75362291484793431</v>
      </c>
      <c r="L27" s="88">
        <f t="shared" si="17"/>
        <v>0.77923646184349016</v>
      </c>
    </row>
    <row r="28" spans="1:14" x14ac:dyDescent="0.2">
      <c r="A28" s="73" t="s">
        <v>67</v>
      </c>
      <c r="B28" s="74">
        <v>57511</v>
      </c>
      <c r="C28" s="74">
        <v>78822</v>
      </c>
      <c r="D28" s="74">
        <v>77252</v>
      </c>
      <c r="E28" s="74">
        <v>146817</v>
      </c>
      <c r="H28" s="78" t="s">
        <v>364</v>
      </c>
      <c r="I28" s="88">
        <f>I7/I3</f>
        <v>0.4807957736423778</v>
      </c>
      <c r="J28" s="88">
        <f t="shared" ref="J28:L28" si="18">J7/J3</f>
        <v>0.49482523831139358</v>
      </c>
      <c r="K28" s="88">
        <f t="shared" si="18"/>
        <v>0.4869593940966897</v>
      </c>
      <c r="L28" s="88">
        <f t="shared" si="18"/>
        <v>0.52803501929651353</v>
      </c>
    </row>
    <row r="29" spans="1:14" x14ac:dyDescent="0.2">
      <c r="A29" s="73" t="s">
        <v>68</v>
      </c>
      <c r="B29" s="74">
        <v>11675</v>
      </c>
      <c r="C29" s="74">
        <v>18097</v>
      </c>
      <c r="D29" s="74">
        <v>26101</v>
      </c>
      <c r="E29" s="74">
        <v>31560</v>
      </c>
      <c r="H29" s="78" t="s">
        <v>358</v>
      </c>
      <c r="I29" s="88">
        <f>I9/I3</f>
        <v>0.41594878872971303</v>
      </c>
      <c r="J29" s="88">
        <f t="shared" ref="J29:L29" si="19">J9/J3</f>
        <v>0.42118827860997632</v>
      </c>
      <c r="K29" s="88">
        <f t="shared" si="19"/>
        <v>0.42325460679989618</v>
      </c>
      <c r="L29" s="88">
        <f t="shared" si="19"/>
        <v>0.44644299573273716</v>
      </c>
    </row>
    <row r="30" spans="1:14" x14ac:dyDescent="0.2">
      <c r="A30" s="73" t="s">
        <v>69</v>
      </c>
      <c r="B30" s="74">
        <v>0</v>
      </c>
      <c r="C30" s="74">
        <v>0</v>
      </c>
      <c r="D30" s="74">
        <v>0</v>
      </c>
      <c r="E30" s="74">
        <v>0</v>
      </c>
      <c r="H30" s="78" t="s">
        <v>408</v>
      </c>
      <c r="I30" s="88">
        <f>I11/I3</f>
        <v>0.35843714992909126</v>
      </c>
      <c r="J30" s="88">
        <f t="shared" ref="J30:L30" si="20">J11/J3</f>
        <v>0.36595624503717877</v>
      </c>
      <c r="K30" s="88">
        <f t="shared" si="20"/>
        <v>0.34292670110789586</v>
      </c>
      <c r="L30" s="88">
        <f t="shared" si="20"/>
        <v>0.36505051510757808</v>
      </c>
    </row>
    <row r="31" spans="1:14" x14ac:dyDescent="0.2">
      <c r="A31" s="73" t="s">
        <v>71</v>
      </c>
      <c r="B31" s="74">
        <v>11675</v>
      </c>
      <c r="C31" s="74">
        <v>18097</v>
      </c>
      <c r="D31" s="74">
        <v>26101</v>
      </c>
      <c r="E31" s="74">
        <v>31560</v>
      </c>
      <c r="H31" s="78" t="s">
        <v>359</v>
      </c>
      <c r="I31" s="102">
        <f>I18/I3</f>
        <v>0.4230046166293846</v>
      </c>
      <c r="J31" s="102">
        <f t="shared" ref="J31:L31" si="21">J18/J3</f>
        <v>0.42223230947697582</v>
      </c>
      <c r="K31" s="102">
        <f t="shared" si="21"/>
        <v>0.42144727838992047</v>
      </c>
      <c r="L31" s="102">
        <f t="shared" si="21"/>
        <v>0.43972797219343834</v>
      </c>
    </row>
    <row r="32" spans="1:14" x14ac:dyDescent="0.2">
      <c r="A32" s="73" t="s">
        <v>72</v>
      </c>
      <c r="B32" s="74">
        <v>333779</v>
      </c>
      <c r="C32" s="74">
        <v>364840</v>
      </c>
      <c r="D32" s="74">
        <v>411976</v>
      </c>
      <c r="E32" s="74">
        <v>512163</v>
      </c>
      <c r="H32" s="78" t="s">
        <v>360</v>
      </c>
      <c r="I32" s="57">
        <f>I23/I3</f>
        <v>0.36451739564989766</v>
      </c>
      <c r="J32" s="57">
        <f t="shared" ref="J32:L32" si="22">J23/J3</f>
        <v>0.36686336813436221</v>
      </c>
      <c r="K32" s="57">
        <f t="shared" si="22"/>
        <v>0.34146237878394642</v>
      </c>
      <c r="L32" s="57">
        <f t="shared" si="22"/>
        <v>0.35955972944084985</v>
      </c>
    </row>
    <row r="33" spans="1:14" x14ac:dyDescent="0.2">
      <c r="A33" s="71" t="s">
        <v>73</v>
      </c>
      <c r="H33" s="78" t="s">
        <v>361</v>
      </c>
      <c r="I33" s="88">
        <f>I10</f>
        <v>0.13826615285083402</v>
      </c>
      <c r="J33" s="88">
        <f t="shared" ref="J33:L33" si="23">J10</f>
        <v>0.13113383343685794</v>
      </c>
      <c r="K33" s="88">
        <f t="shared" si="23"/>
        <v>0.18978625253328257</v>
      </c>
      <c r="L33" s="88">
        <f t="shared" si="23"/>
        <v>0.18231326597827197</v>
      </c>
    </row>
    <row r="34" spans="1:14" x14ac:dyDescent="0.2">
      <c r="A34" s="73" t="s">
        <v>74</v>
      </c>
      <c r="B34" s="74">
        <v>10825</v>
      </c>
      <c r="C34" s="74">
        <v>6037</v>
      </c>
      <c r="D34" s="74">
        <v>8853</v>
      </c>
      <c r="E34" s="74">
        <v>14871</v>
      </c>
      <c r="H34" s="78" t="s">
        <v>362</v>
      </c>
      <c r="I34" s="117">
        <f>I14/I15</f>
        <v>30.0068669527897</v>
      </c>
      <c r="J34" s="117">
        <f t="shared" ref="J34:L34" si="24">J14/J15</f>
        <v>40.795798729848556</v>
      </c>
      <c r="K34" s="117">
        <f t="shared" si="24"/>
        <v>44.959398496240603</v>
      </c>
      <c r="L34" s="117">
        <f t="shared" si="24"/>
        <v>36.68555145826349</v>
      </c>
    </row>
    <row r="35" spans="1:14" x14ac:dyDescent="0.2">
      <c r="A35" s="73" t="s">
        <v>75</v>
      </c>
      <c r="B35" s="74">
        <v>0</v>
      </c>
      <c r="C35" s="74">
        <v>0</v>
      </c>
      <c r="D35" s="74">
        <v>0</v>
      </c>
      <c r="E35" s="74">
        <v>6693</v>
      </c>
    </row>
    <row r="36" spans="1:14" x14ac:dyDescent="0.2">
      <c r="A36" s="73" t="s">
        <v>76</v>
      </c>
      <c r="B36" s="74">
        <v>10825</v>
      </c>
      <c r="C36" s="74">
        <v>6037</v>
      </c>
      <c r="D36" s="74">
        <v>8853</v>
      </c>
      <c r="E36" s="74">
        <v>8178</v>
      </c>
      <c r="H36" s="56"/>
    </row>
    <row r="37" spans="1:14" x14ac:dyDescent="0.2">
      <c r="A37" s="73" t="s">
        <v>77</v>
      </c>
      <c r="B37" s="74">
        <v>15163</v>
      </c>
      <c r="C37" s="74">
        <v>19000</v>
      </c>
      <c r="D37" s="74">
        <v>18095</v>
      </c>
      <c r="E37" s="74">
        <v>21996</v>
      </c>
      <c r="H37" s="85" t="s">
        <v>346</v>
      </c>
      <c r="I37" s="143" t="s">
        <v>337</v>
      </c>
      <c r="J37" s="143"/>
      <c r="K37" s="143"/>
      <c r="L37" s="64"/>
      <c r="M37" s="75"/>
      <c r="N37" s="75"/>
    </row>
    <row r="38" spans="1:14" x14ac:dyDescent="0.2">
      <c r="A38" s="73" t="s">
        <v>78</v>
      </c>
      <c r="B38" s="74">
        <v>2174</v>
      </c>
      <c r="C38" s="74">
        <v>4067</v>
      </c>
      <c r="D38" s="74">
        <v>4152</v>
      </c>
      <c r="E38" s="74">
        <v>5017</v>
      </c>
      <c r="H38" s="56"/>
    </row>
    <row r="39" spans="1:14" x14ac:dyDescent="0.2">
      <c r="A39" s="73" t="s">
        <v>79</v>
      </c>
      <c r="B39" s="74">
        <v>60495</v>
      </c>
      <c r="C39" s="74">
        <v>65978</v>
      </c>
      <c r="D39" s="74">
        <v>73049</v>
      </c>
      <c r="E39" s="74">
        <v>83402</v>
      </c>
      <c r="H39" s="92" t="s">
        <v>324</v>
      </c>
      <c r="I39" s="86">
        <f>B10</f>
        <v>38043</v>
      </c>
      <c r="J39" s="86">
        <f t="shared" ref="J39:L39" si="25">C10</f>
        <v>50361</v>
      </c>
      <c r="K39" s="86">
        <f t="shared" si="25"/>
        <v>57888</v>
      </c>
      <c r="L39" s="86">
        <f t="shared" si="25"/>
        <v>67424</v>
      </c>
    </row>
    <row r="40" spans="1:14" ht="13.5" x14ac:dyDescent="0.25">
      <c r="A40" s="73" t="s">
        <v>80</v>
      </c>
      <c r="B40" s="74">
        <v>10057</v>
      </c>
      <c r="C40" s="74">
        <v>10661</v>
      </c>
      <c r="D40" s="74">
        <v>11009</v>
      </c>
      <c r="E40" s="74">
        <v>12564</v>
      </c>
      <c r="H40" s="58" t="s">
        <v>334</v>
      </c>
      <c r="I40" s="59"/>
      <c r="J40" s="59">
        <f>I39-J39</f>
        <v>-12318</v>
      </c>
      <c r="K40" s="59">
        <f t="shared" ref="K40:L40" si="26">J39-K39</f>
        <v>-7527</v>
      </c>
      <c r="L40" s="59">
        <f t="shared" si="26"/>
        <v>-9536</v>
      </c>
    </row>
    <row r="41" spans="1:14" x14ac:dyDescent="0.2">
      <c r="A41" s="73" t="s">
        <v>81</v>
      </c>
      <c r="B41" s="74">
        <v>50438</v>
      </c>
      <c r="C41" s="74">
        <v>55317</v>
      </c>
      <c r="D41" s="74">
        <v>62040</v>
      </c>
      <c r="E41" s="74">
        <v>70838</v>
      </c>
      <c r="H41" s="92" t="s">
        <v>325</v>
      </c>
      <c r="I41" s="86">
        <f>B14</f>
        <v>2636</v>
      </c>
      <c r="J41" s="86">
        <f t="shared" ref="J41:L41" si="27">C14</f>
        <v>3742</v>
      </c>
      <c r="K41" s="86">
        <f t="shared" si="27"/>
        <v>2500</v>
      </c>
      <c r="L41" s="86">
        <f t="shared" si="27"/>
        <v>1246</v>
      </c>
    </row>
    <row r="42" spans="1:14" x14ac:dyDescent="0.2">
      <c r="A42" s="73" t="s">
        <v>82</v>
      </c>
      <c r="B42" s="74">
        <v>88657</v>
      </c>
      <c r="C42" s="74">
        <v>95082</v>
      </c>
      <c r="D42" s="74">
        <v>104149</v>
      </c>
      <c r="E42" s="74">
        <v>125286</v>
      </c>
      <c r="H42" s="81" t="s">
        <v>335</v>
      </c>
      <c r="I42" s="61"/>
      <c r="J42" s="62">
        <f>I41-J41</f>
        <v>-1106</v>
      </c>
      <c r="K42" s="62">
        <f t="shared" ref="K42:L42" si="28">J41-K41</f>
        <v>1242</v>
      </c>
      <c r="L42" s="62">
        <f t="shared" si="28"/>
        <v>1254</v>
      </c>
    </row>
    <row r="43" spans="1:14" x14ac:dyDescent="0.2">
      <c r="A43" s="73" t="s">
        <v>83</v>
      </c>
      <c r="B43" s="74">
        <v>71453</v>
      </c>
      <c r="C43" s="74">
        <v>72363</v>
      </c>
      <c r="D43" s="74">
        <v>70588</v>
      </c>
      <c r="E43" s="74">
        <v>82981</v>
      </c>
      <c r="H43" s="92" t="s">
        <v>326</v>
      </c>
      <c r="I43" s="86">
        <f>B37</f>
        <v>15163</v>
      </c>
      <c r="J43" s="86">
        <f t="shared" ref="J43:L43" si="29">C37</f>
        <v>19000</v>
      </c>
      <c r="K43" s="86">
        <f t="shared" si="29"/>
        <v>18095</v>
      </c>
      <c r="L43" s="86">
        <f t="shared" si="29"/>
        <v>21996</v>
      </c>
    </row>
    <row r="44" spans="1:14" ht="13.5" x14ac:dyDescent="0.25">
      <c r="A44" s="73" t="s">
        <v>84</v>
      </c>
      <c r="B44" s="74">
        <v>0</v>
      </c>
      <c r="C44" s="74">
        <v>0</v>
      </c>
      <c r="D44" s="74">
        <v>0</v>
      </c>
      <c r="E44" s="74">
        <v>0</v>
      </c>
      <c r="H44" s="58" t="s">
        <v>336</v>
      </c>
      <c r="I44" s="61"/>
      <c r="J44" s="62">
        <f>(J43-I43)</f>
        <v>3837</v>
      </c>
      <c r="K44" s="62">
        <f t="shared" ref="K44:L44" si="30">(K43-J43)</f>
        <v>-905</v>
      </c>
      <c r="L44" s="62">
        <f t="shared" si="30"/>
        <v>3901</v>
      </c>
    </row>
    <row r="45" spans="1:14" x14ac:dyDescent="0.2">
      <c r="A45" s="73" t="s">
        <v>85</v>
      </c>
      <c r="B45" s="74">
        <v>0</v>
      </c>
      <c r="C45" s="74">
        <v>0</v>
      </c>
      <c r="D45" s="74">
        <v>0</v>
      </c>
      <c r="E45" s="74">
        <v>0</v>
      </c>
      <c r="H45" s="104" t="s">
        <v>366</v>
      </c>
      <c r="I45" s="90">
        <f>I39+I41-I43</f>
        <v>25516</v>
      </c>
      <c r="J45" s="90">
        <f t="shared" ref="J45:L45" si="31">J39+J41-J43</f>
        <v>35103</v>
      </c>
      <c r="K45" s="90">
        <f t="shared" si="31"/>
        <v>42293</v>
      </c>
      <c r="L45" s="90">
        <f t="shared" si="31"/>
        <v>46674</v>
      </c>
    </row>
    <row r="46" spans="1:14" ht="13.5" x14ac:dyDescent="0.25">
      <c r="A46" s="73" t="s">
        <v>86</v>
      </c>
      <c r="B46" s="74">
        <v>0</v>
      </c>
      <c r="C46" s="74">
        <v>0</v>
      </c>
      <c r="D46" s="74">
        <v>0</v>
      </c>
      <c r="E46" s="74">
        <v>0</v>
      </c>
      <c r="H46" s="106" t="s">
        <v>383</v>
      </c>
      <c r="J46" s="44">
        <f>J45-I45</f>
        <v>9587</v>
      </c>
      <c r="K46" s="44">
        <f t="shared" ref="K46:L46" si="32">K45-J45</f>
        <v>7190</v>
      </c>
      <c r="L46" s="44">
        <f t="shared" si="32"/>
        <v>4381</v>
      </c>
    </row>
    <row r="47" spans="1:14" x14ac:dyDescent="0.2">
      <c r="A47" s="73" t="s">
        <v>87</v>
      </c>
      <c r="B47" s="74">
        <v>0</v>
      </c>
      <c r="C47" s="74">
        <v>0</v>
      </c>
      <c r="D47" s="74">
        <v>0</v>
      </c>
      <c r="E47" s="74">
        <v>0</v>
      </c>
    </row>
    <row r="48" spans="1:14" x14ac:dyDescent="0.2">
      <c r="A48" s="73" t="s">
        <v>88</v>
      </c>
      <c r="B48" s="74">
        <v>0</v>
      </c>
      <c r="C48" s="74">
        <v>0</v>
      </c>
      <c r="D48" s="74">
        <v>0</v>
      </c>
      <c r="E48" s="74">
        <v>0</v>
      </c>
    </row>
    <row r="49" spans="1:14" x14ac:dyDescent="0.2">
      <c r="A49" s="73" t="s">
        <v>89</v>
      </c>
      <c r="B49" s="74">
        <v>0</v>
      </c>
      <c r="C49" s="74">
        <v>0</v>
      </c>
      <c r="D49" s="74">
        <v>0</v>
      </c>
      <c r="E49" s="74">
        <v>0</v>
      </c>
      <c r="H49" s="77"/>
      <c r="I49" s="77"/>
      <c r="J49" s="77"/>
      <c r="K49" s="77"/>
      <c r="L49" s="77"/>
    </row>
    <row r="50" spans="1:14" x14ac:dyDescent="0.2">
      <c r="A50" s="73" t="s">
        <v>90</v>
      </c>
      <c r="B50" s="74">
        <v>59703</v>
      </c>
      <c r="C50" s="74">
        <v>58521</v>
      </c>
      <c r="D50" s="74">
        <v>54718</v>
      </c>
      <c r="E50" s="74">
        <v>58185</v>
      </c>
      <c r="H50" s="85" t="s">
        <v>368</v>
      </c>
      <c r="I50" s="61"/>
      <c r="J50" s="61"/>
      <c r="K50" s="61"/>
      <c r="L50" s="61"/>
      <c r="M50" s="61"/>
      <c r="N50" s="61"/>
    </row>
    <row r="51" spans="1:14" x14ac:dyDescent="0.2">
      <c r="A51" s="73" t="s">
        <v>91</v>
      </c>
      <c r="B51" s="74">
        <v>11750</v>
      </c>
      <c r="C51" s="74">
        <v>13842</v>
      </c>
      <c r="D51" s="74">
        <v>15870</v>
      </c>
      <c r="E51" s="74">
        <v>24796</v>
      </c>
      <c r="H51" s="78" t="s">
        <v>369</v>
      </c>
      <c r="J51" s="103">
        <f>(I39+J39)/2</f>
        <v>44202</v>
      </c>
      <c r="K51" s="103">
        <f>(J39+K39)/2</f>
        <v>54124.5</v>
      </c>
      <c r="L51" s="103">
        <f>(K39+L39)/2</f>
        <v>62656</v>
      </c>
    </row>
    <row r="52" spans="1:14" x14ac:dyDescent="0.2">
      <c r="A52" s="73" t="s">
        <v>92</v>
      </c>
      <c r="B52" s="74">
        <v>31483</v>
      </c>
      <c r="C52" s="74">
        <v>30623</v>
      </c>
      <c r="D52" s="74">
        <v>30583</v>
      </c>
      <c r="E52" s="74">
        <v>32801</v>
      </c>
      <c r="H52" s="78" t="s">
        <v>370</v>
      </c>
      <c r="J52" s="103">
        <f>(I41+J41)/2</f>
        <v>3189</v>
      </c>
      <c r="K52" s="103">
        <f t="shared" ref="K52:L52" si="33">(J41+K41)/2</f>
        <v>3121</v>
      </c>
      <c r="L52" s="103">
        <f t="shared" si="33"/>
        <v>1873</v>
      </c>
    </row>
    <row r="53" spans="1:14" x14ac:dyDescent="0.2">
      <c r="A53" s="73" t="s">
        <v>93</v>
      </c>
      <c r="B53" s="74">
        <v>198</v>
      </c>
      <c r="C53" s="74">
        <v>230</v>
      </c>
      <c r="D53" s="74">
        <v>433</v>
      </c>
      <c r="E53" s="74">
        <v>2618</v>
      </c>
      <c r="H53" s="78" t="s">
        <v>371</v>
      </c>
      <c r="J53" s="103">
        <f>(I43+J43)/2</f>
        <v>17081.5</v>
      </c>
      <c r="K53" s="103">
        <f t="shared" ref="K53:L53" si="34">(J43+K43)/2</f>
        <v>18547.5</v>
      </c>
      <c r="L53" s="103">
        <f t="shared" si="34"/>
        <v>20045.5</v>
      </c>
    </row>
    <row r="54" spans="1:14" x14ac:dyDescent="0.2">
      <c r="A54" s="73" t="s">
        <v>94</v>
      </c>
      <c r="B54" s="74">
        <v>198</v>
      </c>
      <c r="C54" s="74">
        <v>230</v>
      </c>
      <c r="D54" s="74">
        <v>433</v>
      </c>
      <c r="E54" s="74">
        <v>2618</v>
      </c>
      <c r="H54" s="78" t="s">
        <v>372</v>
      </c>
      <c r="J54" s="103">
        <f>(B32+C32)/2</f>
        <v>349309.5</v>
      </c>
      <c r="K54" s="103">
        <f t="shared" ref="K54:L54" si="35">(C32+D32)/2</f>
        <v>388408</v>
      </c>
      <c r="L54" s="103">
        <f t="shared" si="35"/>
        <v>462069.5</v>
      </c>
    </row>
    <row r="55" spans="1:14" x14ac:dyDescent="0.2">
      <c r="A55" s="73" t="s">
        <v>95</v>
      </c>
      <c r="B55" s="74">
        <v>0</v>
      </c>
      <c r="C55" s="74">
        <v>0</v>
      </c>
      <c r="D55" s="74">
        <v>0</v>
      </c>
      <c r="E55" s="74">
        <v>0</v>
      </c>
    </row>
    <row r="56" spans="1:14" x14ac:dyDescent="0.2">
      <c r="A56" s="73" t="s">
        <v>96</v>
      </c>
      <c r="B56" s="74">
        <v>0</v>
      </c>
      <c r="C56" s="74">
        <v>0</v>
      </c>
      <c r="D56" s="74">
        <v>0</v>
      </c>
      <c r="E56" s="74">
        <v>0</v>
      </c>
    </row>
    <row r="57" spans="1:14" x14ac:dyDescent="0.2">
      <c r="A57" s="73" t="s">
        <v>97</v>
      </c>
      <c r="B57" s="74">
        <v>191791</v>
      </c>
      <c r="C57" s="74">
        <v>198298</v>
      </c>
      <c r="D57" s="74">
        <v>205753</v>
      </c>
      <c r="E57" s="74">
        <v>243686</v>
      </c>
    </row>
    <row r="58" spans="1:14" x14ac:dyDescent="0.2">
      <c r="A58" s="71" t="s">
        <v>98</v>
      </c>
      <c r="H58" s="85" t="s">
        <v>373</v>
      </c>
      <c r="I58" s="61"/>
      <c r="J58" s="61"/>
      <c r="K58" s="61"/>
      <c r="L58" s="61"/>
      <c r="M58" s="61"/>
      <c r="N58" s="61"/>
    </row>
    <row r="59" spans="1:14" x14ac:dyDescent="0.2">
      <c r="A59" s="73" t="s">
        <v>99</v>
      </c>
      <c r="B59" s="74">
        <v>0</v>
      </c>
      <c r="C59" s="74">
        <v>0</v>
      </c>
      <c r="D59" s="74">
        <v>0</v>
      </c>
      <c r="E59" s="74">
        <v>0</v>
      </c>
      <c r="H59" s="78" t="s">
        <v>374</v>
      </c>
      <c r="J59" s="103">
        <f>J3/J51</f>
        <v>4.4855436405592508</v>
      </c>
      <c r="K59" s="103">
        <f t="shared" ref="K59:L59" si="36">K3/K51</f>
        <v>3.9153248528854769</v>
      </c>
      <c r="L59" s="103">
        <f t="shared" si="36"/>
        <v>3.9121871807967312</v>
      </c>
    </row>
    <row r="60" spans="1:14" x14ac:dyDescent="0.2">
      <c r="A60" s="73" t="s">
        <v>100</v>
      </c>
      <c r="B60" s="74">
        <v>0</v>
      </c>
      <c r="C60" s="74">
        <v>0</v>
      </c>
      <c r="D60" s="74">
        <v>0</v>
      </c>
      <c r="E60" s="74">
        <v>0</v>
      </c>
      <c r="H60" s="85" t="s">
        <v>375</v>
      </c>
      <c r="I60" s="85"/>
      <c r="J60" s="107">
        <f>365/J59</f>
        <v>81.372522318051139</v>
      </c>
      <c r="K60" s="107">
        <f t="shared" ref="K60:L60" si="37">365/K59</f>
        <v>93.223426845669252</v>
      </c>
      <c r="L60" s="107">
        <f t="shared" si="37"/>
        <v>93.298194368518537</v>
      </c>
    </row>
    <row r="61" spans="1:14" x14ac:dyDescent="0.2">
      <c r="A61" s="73" t="s">
        <v>101</v>
      </c>
      <c r="B61" s="74">
        <v>0</v>
      </c>
      <c r="C61" s="74">
        <v>0</v>
      </c>
      <c r="D61" s="74">
        <v>0</v>
      </c>
      <c r="E61" s="74">
        <v>0</v>
      </c>
      <c r="H61" s="78" t="s">
        <v>376</v>
      </c>
      <c r="J61" s="103">
        <f>J4/J52</f>
        <v>15.067419253684541</v>
      </c>
      <c r="K61" s="103">
        <f t="shared" ref="K61:L61" si="38">K4/K52</f>
        <v>16.728933034283884</v>
      </c>
      <c r="L61" s="103">
        <f t="shared" si="38"/>
        <v>28.891617725573944</v>
      </c>
    </row>
    <row r="62" spans="1:14" x14ac:dyDescent="0.2">
      <c r="A62" s="73" t="s">
        <v>102</v>
      </c>
      <c r="B62" s="74">
        <v>141988</v>
      </c>
      <c r="C62" s="74">
        <v>166542</v>
      </c>
      <c r="D62" s="74">
        <v>206223</v>
      </c>
      <c r="E62" s="74">
        <v>268477</v>
      </c>
      <c r="H62" s="85" t="s">
        <v>377</v>
      </c>
      <c r="I62" s="85"/>
      <c r="J62" s="107">
        <f>365/J61</f>
        <v>24.224453694068679</v>
      </c>
      <c r="K62" s="107">
        <f t="shared" ref="K62:L62" si="39">365/K61</f>
        <v>21.81848652582789</v>
      </c>
      <c r="L62" s="107">
        <f t="shared" si="39"/>
        <v>12.633422034963226</v>
      </c>
    </row>
    <row r="63" spans="1:14" x14ac:dyDescent="0.2">
      <c r="A63" s="73" t="s">
        <v>103</v>
      </c>
      <c r="B63" s="74">
        <v>4.7E-2</v>
      </c>
      <c r="C63" s="74">
        <v>4.7E-2</v>
      </c>
      <c r="D63" s="74">
        <v>4.5999999999999999E-2</v>
      </c>
      <c r="E63" s="74">
        <v>4.5999999999999999E-2</v>
      </c>
      <c r="H63" s="78" t="s">
        <v>378</v>
      </c>
      <c r="J63" s="103">
        <f>J4/J53</f>
        <v>2.81298480812575</v>
      </c>
      <c r="K63" s="103">
        <f t="shared" ref="K63:L63" si="40">K4/K53</f>
        <v>2.8149885429303141</v>
      </c>
      <c r="L63" s="103">
        <f t="shared" si="40"/>
        <v>2.6995585044024843</v>
      </c>
    </row>
    <row r="64" spans="1:14" x14ac:dyDescent="0.2">
      <c r="A64" s="73" t="s">
        <v>104</v>
      </c>
      <c r="B64" s="74">
        <v>83110.952999999994</v>
      </c>
      <c r="C64" s="74">
        <v>86938.952999999994</v>
      </c>
      <c r="D64" s="74">
        <v>93717.953999999998</v>
      </c>
      <c r="E64" s="74">
        <v>100922.954</v>
      </c>
      <c r="H64" s="85" t="s">
        <v>379</v>
      </c>
      <c r="I64" s="85"/>
      <c r="J64" s="107">
        <f>365/J63</f>
        <v>129.7554110301769</v>
      </c>
      <c r="K64" s="107">
        <f t="shared" ref="K64:L64" si="41">365/K63</f>
        <v>129.66304993200666</v>
      </c>
      <c r="L64" s="107">
        <f t="shared" si="41"/>
        <v>135.20729386110804</v>
      </c>
    </row>
    <row r="65" spans="1:14" x14ac:dyDescent="0.2">
      <c r="A65" s="73" t="s">
        <v>105</v>
      </c>
      <c r="B65" s="74">
        <v>58877</v>
      </c>
      <c r="C65" s="74">
        <v>79603</v>
      </c>
      <c r="D65" s="74">
        <v>112505</v>
      </c>
      <c r="E65" s="74">
        <v>167554</v>
      </c>
      <c r="H65" s="78" t="s">
        <v>380</v>
      </c>
      <c r="J65" s="103">
        <f>J60+J62-J64</f>
        <v>-24.158435018057077</v>
      </c>
      <c r="K65" s="103">
        <f t="shared" ref="K65:L65" si="42">K60+K62-K64</f>
        <v>-14.621136560509512</v>
      </c>
      <c r="L65" s="103">
        <f t="shared" si="42"/>
        <v>-29.275677457626273</v>
      </c>
    </row>
    <row r="66" spans="1:14" x14ac:dyDescent="0.2">
      <c r="A66" s="73" t="s">
        <v>106</v>
      </c>
      <c r="B66" s="74">
        <v>0</v>
      </c>
      <c r="C66" s="74">
        <v>0</v>
      </c>
      <c r="D66" s="74">
        <v>0</v>
      </c>
      <c r="E66" s="74">
        <v>0</v>
      </c>
      <c r="H66" s="78" t="s">
        <v>381</v>
      </c>
      <c r="J66" s="103">
        <f>J3/J54</f>
        <v>0.56760551888797761</v>
      </c>
      <c r="K66" s="103">
        <f t="shared" ref="K66:L66" si="43">K3/K54</f>
        <v>0.54559895779695577</v>
      </c>
      <c r="L66" s="103">
        <f t="shared" si="43"/>
        <v>0.53048729682439544</v>
      </c>
    </row>
    <row r="67" spans="1:14" x14ac:dyDescent="0.2">
      <c r="A67" s="73" t="s">
        <v>107</v>
      </c>
      <c r="B67" s="74">
        <v>141988</v>
      </c>
      <c r="C67" s="74">
        <v>166542</v>
      </c>
      <c r="D67" s="74">
        <v>206223</v>
      </c>
      <c r="E67" s="74">
        <v>268477</v>
      </c>
      <c r="H67" s="78" t="s">
        <v>382</v>
      </c>
      <c r="J67" s="57">
        <f>J23/J54</f>
        <v>0.2082336724308958</v>
      </c>
      <c r="K67" s="57">
        <f t="shared" ref="K67:L67" si="44">K23/K54</f>
        <v>0.1863015179913905</v>
      </c>
      <c r="L67" s="57">
        <f t="shared" si="44"/>
        <v>0.19074186891798744</v>
      </c>
    </row>
    <row r="68" spans="1:14" x14ac:dyDescent="0.2">
      <c r="A68" s="73" t="s">
        <v>108</v>
      </c>
      <c r="B68" s="74">
        <v>0</v>
      </c>
      <c r="C68" s="74">
        <v>0</v>
      </c>
      <c r="D68" s="74">
        <v>0</v>
      </c>
      <c r="E68" s="74">
        <v>0</v>
      </c>
      <c r="H68" s="78" t="s">
        <v>384</v>
      </c>
      <c r="J68" s="57">
        <f>J32*J66</f>
        <v>0.20823367243089583</v>
      </c>
      <c r="K68" s="57">
        <f t="shared" ref="K68:L68" si="45">K32*K66</f>
        <v>0.1863015179913905</v>
      </c>
      <c r="L68" s="57">
        <f t="shared" si="45"/>
        <v>0.19074186891798742</v>
      </c>
    </row>
    <row r="69" spans="1:14" x14ac:dyDescent="0.2">
      <c r="A69" s="73" t="s">
        <v>109</v>
      </c>
      <c r="B69" s="74">
        <v>141988</v>
      </c>
      <c r="C69" s="74">
        <v>166542</v>
      </c>
      <c r="D69" s="74">
        <v>206223</v>
      </c>
      <c r="E69" s="74">
        <v>268477</v>
      </c>
      <c r="H69" s="78" t="s">
        <v>400</v>
      </c>
      <c r="J69" s="57">
        <f>J45/J3</f>
        <v>0.17704645180814041</v>
      </c>
      <c r="K69" s="57">
        <f t="shared" ref="K69:L69" si="46">K45/K3</f>
        <v>0.19957530141802138</v>
      </c>
      <c r="L69" s="57">
        <f t="shared" si="46"/>
        <v>0.19041130539078499</v>
      </c>
    </row>
    <row r="70" spans="1:14" x14ac:dyDescent="0.2">
      <c r="A70" s="73" t="s">
        <v>110</v>
      </c>
      <c r="B70" s="74">
        <v>333779</v>
      </c>
      <c r="C70" s="74">
        <v>364840</v>
      </c>
      <c r="D70" s="74">
        <v>411976</v>
      </c>
      <c r="E70" s="74">
        <v>512163</v>
      </c>
      <c r="H70" s="79"/>
    </row>
    <row r="71" spans="1:14" x14ac:dyDescent="0.2">
      <c r="A71" s="71"/>
    </row>
    <row r="72" spans="1:14" x14ac:dyDescent="0.2">
      <c r="A72" s="72" t="s">
        <v>321</v>
      </c>
      <c r="H72" s="60"/>
      <c r="I72" s="144" t="s">
        <v>323</v>
      </c>
      <c r="J72" s="144"/>
      <c r="K72" s="144"/>
      <c r="L72" s="98"/>
    </row>
    <row r="73" spans="1:14" x14ac:dyDescent="0.2">
      <c r="A73" s="73" t="s">
        <v>111</v>
      </c>
      <c r="B73" s="74">
        <v>168088</v>
      </c>
      <c r="C73" s="74">
        <v>198270</v>
      </c>
      <c r="D73" s="74">
        <v>211915</v>
      </c>
      <c r="E73" s="74">
        <v>245122</v>
      </c>
      <c r="H73" s="92" t="s">
        <v>385</v>
      </c>
      <c r="I73" s="95">
        <f>I20</f>
        <v>61271</v>
      </c>
      <c r="J73" s="95">
        <f t="shared" ref="J73:L73" si="47">J20</f>
        <v>72738</v>
      </c>
      <c r="K73" s="95">
        <f t="shared" si="47"/>
        <v>72361</v>
      </c>
      <c r="L73" s="95">
        <f t="shared" si="47"/>
        <v>88136</v>
      </c>
      <c r="M73" s="82"/>
      <c r="N73" s="82"/>
    </row>
    <row r="74" spans="1:14" x14ac:dyDescent="0.2">
      <c r="A74" s="73" t="s">
        <v>112</v>
      </c>
      <c r="B74" s="74">
        <v>41332</v>
      </c>
      <c r="C74" s="74">
        <v>48050</v>
      </c>
      <c r="D74" s="74">
        <v>52211</v>
      </c>
      <c r="E74" s="74">
        <v>54114</v>
      </c>
      <c r="H74" s="100" t="s">
        <v>341</v>
      </c>
      <c r="I74" s="110">
        <f>B114</f>
        <v>11686</v>
      </c>
      <c r="J74" s="110">
        <f t="shared" ref="J74:K74" si="48">C114</f>
        <v>14460</v>
      </c>
      <c r="K74" s="110">
        <f t="shared" si="48"/>
        <v>13861</v>
      </c>
      <c r="L74" s="110">
        <f>E114</f>
        <v>22287</v>
      </c>
      <c r="M74" s="84"/>
      <c r="N74" s="84"/>
    </row>
    <row r="75" spans="1:14" x14ac:dyDescent="0.2">
      <c r="A75" s="73" t="s">
        <v>113</v>
      </c>
      <c r="B75" s="74">
        <v>45940</v>
      </c>
      <c r="C75" s="74">
        <v>52111</v>
      </c>
      <c r="D75" s="74">
        <v>56510</v>
      </c>
      <c r="E75" s="74">
        <v>61575</v>
      </c>
      <c r="H75" s="79" t="s">
        <v>386</v>
      </c>
      <c r="I75" s="63">
        <f>B115</f>
        <v>0</v>
      </c>
      <c r="J75" s="63">
        <f t="shared" ref="J75:L84" si="49">C115</f>
        <v>0</v>
      </c>
      <c r="K75" s="63">
        <f t="shared" si="49"/>
        <v>0</v>
      </c>
      <c r="L75" s="63">
        <f t="shared" si="49"/>
        <v>0</v>
      </c>
    </row>
    <row r="76" spans="1:14" x14ac:dyDescent="0.2">
      <c r="A76" s="73" t="s">
        <v>114</v>
      </c>
      <c r="B76" s="74">
        <v>80816</v>
      </c>
      <c r="C76" s="74">
        <v>98109</v>
      </c>
      <c r="D76" s="74">
        <v>103194</v>
      </c>
      <c r="E76" s="74">
        <v>129433</v>
      </c>
      <c r="H76" s="108" t="s">
        <v>387</v>
      </c>
      <c r="I76" s="63">
        <f t="shared" ref="I76:I84" si="50">B116</f>
        <v>-150</v>
      </c>
      <c r="J76" s="63">
        <f t="shared" si="49"/>
        <v>-5702</v>
      </c>
      <c r="K76" s="63">
        <f t="shared" si="49"/>
        <v>-6059</v>
      </c>
      <c r="L76" s="63">
        <f t="shared" si="49"/>
        <v>-4738</v>
      </c>
    </row>
    <row r="77" spans="1:14" x14ac:dyDescent="0.2">
      <c r="A77" s="73" t="s">
        <v>115</v>
      </c>
      <c r="B77" s="74">
        <v>10900</v>
      </c>
      <c r="C77" s="74">
        <v>14600</v>
      </c>
      <c r="D77" s="74">
        <v>13500</v>
      </c>
      <c r="E77" s="74">
        <v>20000</v>
      </c>
      <c r="H77" s="108" t="s">
        <v>388</v>
      </c>
      <c r="I77" s="63" t="str">
        <f t="shared" si="50"/>
        <v>.</v>
      </c>
      <c r="J77" s="63" t="str">
        <f t="shared" si="49"/>
        <v>.</v>
      </c>
      <c r="K77" s="63" t="str">
        <f t="shared" si="49"/>
        <v>.</v>
      </c>
      <c r="L77" s="63" t="str">
        <f t="shared" si="49"/>
        <v>.</v>
      </c>
    </row>
    <row r="78" spans="1:14" x14ac:dyDescent="0.2">
      <c r="A78" s="73" t="s">
        <v>116</v>
      </c>
      <c r="B78" s="74">
        <v>1600</v>
      </c>
      <c r="C78" s="74">
        <v>2000</v>
      </c>
      <c r="D78" s="74">
        <v>2500</v>
      </c>
      <c r="E78" s="74">
        <v>4800</v>
      </c>
      <c r="H78" s="108" t="s">
        <v>389</v>
      </c>
      <c r="I78" s="63" t="str">
        <f t="shared" si="50"/>
        <v>.</v>
      </c>
      <c r="J78" s="63" t="str">
        <f t="shared" si="49"/>
        <v>.</v>
      </c>
      <c r="K78" s="63" t="str">
        <f t="shared" si="49"/>
        <v>.</v>
      </c>
      <c r="L78" s="63" t="str">
        <f t="shared" si="49"/>
        <v>.</v>
      </c>
    </row>
    <row r="79" spans="1:14" x14ac:dyDescent="0.2">
      <c r="A79" s="73" t="s">
        <v>117</v>
      </c>
      <c r="B79" s="73" t="s">
        <v>70</v>
      </c>
      <c r="C79" s="73" t="s">
        <v>70</v>
      </c>
      <c r="D79" s="73" t="s">
        <v>70</v>
      </c>
      <c r="E79" s="73" t="s">
        <v>70</v>
      </c>
      <c r="H79" s="109" t="s">
        <v>390</v>
      </c>
      <c r="I79" s="63">
        <f t="shared" si="50"/>
        <v>4869</v>
      </c>
      <c r="J79" s="63">
        <f t="shared" si="49"/>
        <v>7093</v>
      </c>
      <c r="K79" s="63">
        <f t="shared" si="49"/>
        <v>9807</v>
      </c>
      <c r="L79" s="63">
        <f t="shared" si="49"/>
        <v>11039</v>
      </c>
    </row>
    <row r="80" spans="1:14" x14ac:dyDescent="0.2">
      <c r="A80" s="73" t="s">
        <v>118</v>
      </c>
      <c r="B80" s="73" t="s">
        <v>70</v>
      </c>
      <c r="C80" s="73" t="s">
        <v>70</v>
      </c>
      <c r="D80" s="73" t="s">
        <v>70</v>
      </c>
      <c r="E80" s="73" t="s">
        <v>70</v>
      </c>
      <c r="H80" s="109" t="s">
        <v>391</v>
      </c>
      <c r="I80" s="63">
        <f t="shared" si="50"/>
        <v>-6481</v>
      </c>
      <c r="J80" s="63">
        <f t="shared" si="49"/>
        <v>-6834</v>
      </c>
      <c r="K80" s="63">
        <f t="shared" si="49"/>
        <v>-4087</v>
      </c>
      <c r="L80" s="63">
        <f t="shared" si="49"/>
        <v>-7191</v>
      </c>
    </row>
    <row r="81" spans="1:14" x14ac:dyDescent="0.2">
      <c r="A81" s="73" t="s">
        <v>119</v>
      </c>
      <c r="B81" s="74">
        <v>69916</v>
      </c>
      <c r="C81" s="74">
        <v>83509</v>
      </c>
      <c r="D81" s="74">
        <v>89694</v>
      </c>
      <c r="E81" s="74">
        <v>109433</v>
      </c>
      <c r="H81" s="108" t="s">
        <v>392</v>
      </c>
      <c r="I81" s="63">
        <f t="shared" si="50"/>
        <v>-737</v>
      </c>
      <c r="J81" s="63">
        <f t="shared" si="49"/>
        <v>-1123</v>
      </c>
      <c r="K81" s="63">
        <f t="shared" si="49"/>
        <v>1242</v>
      </c>
      <c r="L81" s="63">
        <f t="shared" si="49"/>
        <v>1284</v>
      </c>
    </row>
    <row r="82" spans="1:14" x14ac:dyDescent="0.2">
      <c r="A82" s="73" t="s">
        <v>120</v>
      </c>
      <c r="B82" s="74">
        <v>2330</v>
      </c>
      <c r="C82" s="74">
        <v>2047</v>
      </c>
      <c r="D82" s="74">
        <v>1995</v>
      </c>
      <c r="E82" s="74">
        <v>2983</v>
      </c>
      <c r="H82" s="79" t="s">
        <v>393</v>
      </c>
      <c r="I82" s="63">
        <f t="shared" si="50"/>
        <v>2798</v>
      </c>
      <c r="J82" s="63">
        <f t="shared" si="49"/>
        <v>2943</v>
      </c>
      <c r="K82" s="63">
        <f t="shared" si="49"/>
        <v>-2721</v>
      </c>
      <c r="L82" s="63">
        <f t="shared" si="49"/>
        <v>3545</v>
      </c>
    </row>
    <row r="83" spans="1:14" x14ac:dyDescent="0.2">
      <c r="A83" s="73" t="s">
        <v>121</v>
      </c>
      <c r="B83" s="74">
        <v>3516</v>
      </c>
      <c r="C83" s="74">
        <v>2380</v>
      </c>
      <c r="D83" s="74">
        <v>2783</v>
      </c>
      <c r="E83" s="74">
        <v>1337</v>
      </c>
      <c r="H83" s="79" t="s">
        <v>394</v>
      </c>
      <c r="I83" s="63" t="str">
        <f t="shared" si="50"/>
        <v>.</v>
      </c>
      <c r="J83" s="63" t="str">
        <f t="shared" si="49"/>
        <v>.</v>
      </c>
      <c r="K83" s="63" t="str">
        <f t="shared" si="49"/>
        <v>.</v>
      </c>
      <c r="L83" s="63" t="str">
        <f t="shared" si="49"/>
        <v>.</v>
      </c>
    </row>
    <row r="84" spans="1:14" x14ac:dyDescent="0.2">
      <c r="A84" s="73" t="s">
        <v>122</v>
      </c>
      <c r="B84" s="74">
        <v>3516</v>
      </c>
      <c r="C84" s="74">
        <v>2380</v>
      </c>
      <c r="D84" s="74">
        <v>2783</v>
      </c>
      <c r="E84" s="74">
        <v>1337</v>
      </c>
      <c r="H84" s="79" t="s">
        <v>395</v>
      </c>
      <c r="I84" s="63">
        <f t="shared" si="50"/>
        <v>3484</v>
      </c>
      <c r="J84" s="63">
        <f t="shared" si="49"/>
        <v>5460</v>
      </c>
      <c r="K84" s="63">
        <f t="shared" si="49"/>
        <v>3178</v>
      </c>
      <c r="L84" s="63">
        <f t="shared" si="49"/>
        <v>4186</v>
      </c>
    </row>
    <row r="85" spans="1:14" x14ac:dyDescent="0.2">
      <c r="A85" s="73" t="s">
        <v>123</v>
      </c>
      <c r="B85" s="73" t="s">
        <v>70</v>
      </c>
      <c r="C85" s="73" t="s">
        <v>70</v>
      </c>
      <c r="D85" s="73" t="s">
        <v>70</v>
      </c>
      <c r="E85" s="73" t="s">
        <v>70</v>
      </c>
      <c r="H85" s="93" t="s">
        <v>397</v>
      </c>
      <c r="I85" s="95">
        <f>SUM(I73:I84)</f>
        <v>76740</v>
      </c>
      <c r="J85" s="95">
        <f t="shared" ref="J85:L85" si="51">SUM(J73:J84)</f>
        <v>89035</v>
      </c>
      <c r="K85" s="95">
        <f t="shared" si="51"/>
        <v>87582</v>
      </c>
      <c r="L85" s="95">
        <f t="shared" si="51"/>
        <v>118548</v>
      </c>
    </row>
    <row r="86" spans="1:14" x14ac:dyDescent="0.2">
      <c r="A86" s="73" t="s">
        <v>124</v>
      </c>
      <c r="B86" s="73" t="s">
        <v>70</v>
      </c>
      <c r="C86" s="74">
        <v>-126</v>
      </c>
      <c r="D86" s="74">
        <v>-1171</v>
      </c>
      <c r="E86" s="74">
        <v>0</v>
      </c>
      <c r="H86" s="77"/>
      <c r="I86" s="77"/>
      <c r="J86" s="77"/>
      <c r="K86" s="77"/>
      <c r="L86" s="77"/>
      <c r="M86" s="77"/>
      <c r="N86" s="77"/>
    </row>
    <row r="87" spans="1:14" x14ac:dyDescent="0.2">
      <c r="A87" s="73" t="s">
        <v>125</v>
      </c>
      <c r="B87" s="74">
        <v>71102</v>
      </c>
      <c r="C87" s="74">
        <v>83716</v>
      </c>
      <c r="D87" s="74">
        <v>89311</v>
      </c>
      <c r="E87" s="74">
        <v>107787</v>
      </c>
      <c r="H87" s="77"/>
    </row>
    <row r="88" spans="1:14" x14ac:dyDescent="0.2">
      <c r="A88" s="73" t="s">
        <v>126</v>
      </c>
      <c r="B88" s="74">
        <v>34972</v>
      </c>
      <c r="C88" s="74">
        <v>47837</v>
      </c>
      <c r="D88" s="74">
        <v>52917</v>
      </c>
      <c r="E88" s="74">
        <v>62886</v>
      </c>
      <c r="H88" s="100"/>
    </row>
    <row r="89" spans="1:14" x14ac:dyDescent="0.2">
      <c r="A89" s="73" t="s">
        <v>127</v>
      </c>
      <c r="B89" s="74">
        <v>36130</v>
      </c>
      <c r="C89" s="74">
        <v>35879</v>
      </c>
      <c r="D89" s="74">
        <v>36394</v>
      </c>
      <c r="E89" s="74">
        <v>44901</v>
      </c>
      <c r="H89" s="84"/>
      <c r="I89" s="143" t="s">
        <v>14</v>
      </c>
      <c r="J89" s="143"/>
      <c r="K89" s="143"/>
      <c r="L89" s="83"/>
      <c r="M89" s="64"/>
      <c r="N89" s="64"/>
    </row>
    <row r="90" spans="1:14" x14ac:dyDescent="0.2">
      <c r="A90" s="73" t="s">
        <v>128</v>
      </c>
      <c r="B90" s="74">
        <v>9831</v>
      </c>
      <c r="C90" s="74">
        <v>10978</v>
      </c>
      <c r="D90" s="74">
        <v>16950</v>
      </c>
      <c r="E90" s="74">
        <v>19651</v>
      </c>
      <c r="H90" s="93" t="s">
        <v>396</v>
      </c>
      <c r="I90" s="90">
        <f>I85</f>
        <v>76740</v>
      </c>
      <c r="J90" s="90">
        <f t="shared" ref="J90:L90" si="52">J85</f>
        <v>89035</v>
      </c>
      <c r="K90" s="90">
        <f t="shared" si="52"/>
        <v>87582</v>
      </c>
      <c r="L90" s="90">
        <f t="shared" si="52"/>
        <v>118548</v>
      </c>
    </row>
    <row r="91" spans="1:14" x14ac:dyDescent="0.2">
      <c r="A91" s="73" t="s">
        <v>129</v>
      </c>
      <c r="B91" s="74">
        <v>-150</v>
      </c>
      <c r="C91" s="74">
        <v>-5702</v>
      </c>
      <c r="D91" s="74">
        <v>-6059</v>
      </c>
      <c r="E91" s="74">
        <v>-4738</v>
      </c>
      <c r="H91" s="79" t="s">
        <v>338</v>
      </c>
      <c r="I91" s="63">
        <f>B130</f>
        <v>20622</v>
      </c>
      <c r="J91" s="63">
        <f t="shared" ref="J91:L91" si="53">C130</f>
        <v>23886</v>
      </c>
      <c r="K91" s="63">
        <f t="shared" si="53"/>
        <v>28107</v>
      </c>
      <c r="L91" s="63">
        <f t="shared" si="53"/>
        <v>44477</v>
      </c>
    </row>
    <row r="92" spans="1:14" x14ac:dyDescent="0.2">
      <c r="A92" s="73" t="s">
        <v>130</v>
      </c>
      <c r="B92" s="74">
        <v>25</v>
      </c>
      <c r="C92" s="74">
        <v>-4815</v>
      </c>
      <c r="D92" s="74">
        <v>-6146</v>
      </c>
      <c r="E92" s="74">
        <v>-4791</v>
      </c>
      <c r="H92" s="93" t="s">
        <v>339</v>
      </c>
      <c r="I92" s="95">
        <f>I90-I91</f>
        <v>56118</v>
      </c>
      <c r="J92" s="95">
        <f t="shared" ref="J92:L92" si="54">J90-J91</f>
        <v>65149</v>
      </c>
      <c r="K92" s="95">
        <f t="shared" si="54"/>
        <v>59475</v>
      </c>
      <c r="L92" s="95">
        <f t="shared" si="54"/>
        <v>74071</v>
      </c>
    </row>
    <row r="93" spans="1:14" x14ac:dyDescent="0.2">
      <c r="A93" s="73" t="s">
        <v>131</v>
      </c>
      <c r="B93" s="74">
        <v>29</v>
      </c>
      <c r="C93" s="74">
        <v>175</v>
      </c>
      <c r="D93" s="74">
        <v>564</v>
      </c>
      <c r="E93" s="74">
        <v>432</v>
      </c>
    </row>
    <row r="94" spans="1:14" x14ac:dyDescent="0.2">
      <c r="A94" s="73" t="s">
        <v>132</v>
      </c>
      <c r="B94" s="74">
        <v>-204</v>
      </c>
      <c r="C94" s="74">
        <v>-1062</v>
      </c>
      <c r="D94" s="74">
        <v>-477</v>
      </c>
      <c r="E94" s="74">
        <v>-379</v>
      </c>
    </row>
    <row r="95" spans="1:14" x14ac:dyDescent="0.2">
      <c r="A95" s="73" t="s">
        <v>133</v>
      </c>
      <c r="B95" s="74">
        <v>3285</v>
      </c>
      <c r="C95" s="74">
        <v>8329</v>
      </c>
      <c r="D95" s="74">
        <v>14009</v>
      </c>
      <c r="E95" s="74">
        <v>12165</v>
      </c>
      <c r="H95" s="77"/>
      <c r="I95" s="77"/>
      <c r="J95" s="77"/>
      <c r="K95" s="77"/>
      <c r="L95" s="77"/>
      <c r="M95" s="77"/>
      <c r="N95" s="77"/>
    </row>
    <row r="96" spans="1:14" x14ac:dyDescent="0.2">
      <c r="A96" s="73" t="s">
        <v>134</v>
      </c>
      <c r="B96" s="74">
        <v>5467</v>
      </c>
      <c r="C96" s="74">
        <v>6672</v>
      </c>
      <c r="D96" s="74">
        <v>6678</v>
      </c>
      <c r="E96" s="74">
        <v>9858</v>
      </c>
      <c r="H96" s="61"/>
      <c r="I96" s="143" t="s">
        <v>340</v>
      </c>
      <c r="J96" s="143"/>
      <c r="K96" s="143"/>
      <c r="L96" s="83"/>
      <c r="M96" s="61"/>
      <c r="N96" s="61"/>
    </row>
    <row r="97" spans="1:12" x14ac:dyDescent="0.2">
      <c r="A97" s="73" t="s">
        <v>135</v>
      </c>
      <c r="B97" s="74">
        <v>1229</v>
      </c>
      <c r="C97" s="74">
        <v>1679</v>
      </c>
      <c r="D97" s="74">
        <v>2322</v>
      </c>
      <c r="E97" s="74">
        <v>2366</v>
      </c>
      <c r="H97" s="92" t="s">
        <v>398</v>
      </c>
      <c r="I97" s="91">
        <f>I11</f>
        <v>60248.983657281089</v>
      </c>
      <c r="J97" s="91">
        <f t="shared" ref="J97:L97" si="55">J11</f>
        <v>72558.144703521437</v>
      </c>
      <c r="K97" s="91">
        <f t="shared" si="55"/>
        <v>72671.311865279757</v>
      </c>
      <c r="L97" s="91">
        <f t="shared" si="55"/>
        <v>89481.912364199758</v>
      </c>
    </row>
    <row r="98" spans="1:12" x14ac:dyDescent="0.2">
      <c r="A98" s="73" t="s">
        <v>136</v>
      </c>
      <c r="B98" s="74">
        <v>0</v>
      </c>
      <c r="C98" s="74">
        <v>0</v>
      </c>
      <c r="D98" s="74">
        <v>0</v>
      </c>
      <c r="E98" s="74">
        <v>0</v>
      </c>
      <c r="H98" s="79" t="s">
        <v>341</v>
      </c>
      <c r="I98" s="63">
        <f>I74</f>
        <v>11686</v>
      </c>
      <c r="J98" s="63">
        <f t="shared" ref="J98:L98" si="56">J74</f>
        <v>14460</v>
      </c>
      <c r="K98" s="63">
        <f t="shared" si="56"/>
        <v>13861</v>
      </c>
      <c r="L98" s="63">
        <f t="shared" si="56"/>
        <v>22287</v>
      </c>
    </row>
    <row r="99" spans="1:12" x14ac:dyDescent="0.2">
      <c r="A99" s="73" t="s">
        <v>137</v>
      </c>
      <c r="B99" s="74">
        <v>0</v>
      </c>
      <c r="C99" s="74">
        <v>0</v>
      </c>
      <c r="D99" s="74">
        <v>0</v>
      </c>
      <c r="E99" s="74">
        <v>0</v>
      </c>
      <c r="H99" s="79" t="s">
        <v>338</v>
      </c>
      <c r="I99" s="63">
        <f>I91</f>
        <v>20622</v>
      </c>
      <c r="J99" s="63">
        <f t="shared" ref="J99:L99" si="57">J91</f>
        <v>23886</v>
      </c>
      <c r="K99" s="63">
        <f t="shared" si="57"/>
        <v>28107</v>
      </c>
      <c r="L99" s="63">
        <f t="shared" si="57"/>
        <v>44477</v>
      </c>
    </row>
    <row r="100" spans="1:12" x14ac:dyDescent="0.2">
      <c r="A100" s="73" t="s">
        <v>138</v>
      </c>
      <c r="B100" s="74">
        <v>61271</v>
      </c>
      <c r="C100" s="74">
        <v>72738</v>
      </c>
      <c r="D100" s="74">
        <v>72361</v>
      </c>
      <c r="E100" s="74">
        <v>88136</v>
      </c>
      <c r="H100" s="79" t="s">
        <v>342</v>
      </c>
      <c r="I100" s="89">
        <f>I46</f>
        <v>0</v>
      </c>
      <c r="J100" s="89">
        <f t="shared" ref="J100:L100" si="58">J46</f>
        <v>9587</v>
      </c>
      <c r="K100" s="89">
        <f t="shared" si="58"/>
        <v>7190</v>
      </c>
      <c r="L100" s="89">
        <f t="shared" si="58"/>
        <v>4381</v>
      </c>
    </row>
    <row r="101" spans="1:12" x14ac:dyDescent="0.2">
      <c r="A101" s="73" t="s">
        <v>139</v>
      </c>
      <c r="B101" s="74">
        <v>0</v>
      </c>
      <c r="C101" s="74">
        <v>0</v>
      </c>
      <c r="D101" s="74">
        <v>0</v>
      </c>
      <c r="E101" s="74">
        <v>0</v>
      </c>
      <c r="H101" s="93" t="s">
        <v>343</v>
      </c>
      <c r="I101" s="96">
        <f>I97+I98-I99-I100</f>
        <v>51312.983657281089</v>
      </c>
      <c r="J101" s="96">
        <f t="shared" ref="J101:L101" si="59">J97+J98-J99-J100</f>
        <v>53545.144703521437</v>
      </c>
      <c r="K101" s="96">
        <f t="shared" si="59"/>
        <v>51235.311865279757</v>
      </c>
      <c r="L101" s="96">
        <f t="shared" si="59"/>
        <v>62910.912364199758</v>
      </c>
    </row>
    <row r="102" spans="1:12" x14ac:dyDescent="0.2">
      <c r="A102" s="73" t="s">
        <v>140</v>
      </c>
      <c r="B102" s="74">
        <v>61271</v>
      </c>
      <c r="C102" s="74">
        <v>72738</v>
      </c>
      <c r="D102" s="74">
        <v>72361</v>
      </c>
      <c r="E102" s="74">
        <v>88136</v>
      </c>
    </row>
    <row r="103" spans="1:12" x14ac:dyDescent="0.2">
      <c r="A103" s="73" t="s">
        <v>141</v>
      </c>
      <c r="B103" s="74">
        <v>0</v>
      </c>
      <c r="C103" s="74">
        <v>0</v>
      </c>
      <c r="D103" s="74">
        <v>0</v>
      </c>
      <c r="E103" s="74">
        <v>0</v>
      </c>
    </row>
    <row r="104" spans="1:12" x14ac:dyDescent="0.2">
      <c r="A104" s="73" t="s">
        <v>142</v>
      </c>
      <c r="B104" s="74">
        <v>61271</v>
      </c>
      <c r="C104" s="74">
        <v>72738</v>
      </c>
      <c r="D104" s="74">
        <v>72361</v>
      </c>
      <c r="E104" s="74">
        <v>88136</v>
      </c>
    </row>
    <row r="105" spans="1:12" x14ac:dyDescent="0.2">
      <c r="A105" s="73" t="s">
        <v>143</v>
      </c>
      <c r="B105" s="74">
        <v>0</v>
      </c>
      <c r="C105" s="74">
        <v>0</v>
      </c>
      <c r="D105" s="74">
        <v>0</v>
      </c>
      <c r="E105" s="74">
        <v>0</v>
      </c>
    </row>
    <row r="106" spans="1:12" x14ac:dyDescent="0.2">
      <c r="A106" s="73" t="s">
        <v>144</v>
      </c>
      <c r="B106" s="74">
        <v>0</v>
      </c>
      <c r="C106" s="74">
        <v>0</v>
      </c>
      <c r="D106" s="74">
        <v>0</v>
      </c>
      <c r="E106" s="74">
        <v>0</v>
      </c>
    </row>
    <row r="107" spans="1:12" x14ac:dyDescent="0.2">
      <c r="A107" s="73" t="s">
        <v>145</v>
      </c>
      <c r="B107" s="74">
        <v>0</v>
      </c>
      <c r="C107" s="74">
        <v>0</v>
      </c>
      <c r="D107" s="74">
        <v>0</v>
      </c>
      <c r="E107" s="74">
        <v>0</v>
      </c>
    </row>
    <row r="108" spans="1:12" x14ac:dyDescent="0.2">
      <c r="A108" s="73" t="s">
        <v>146</v>
      </c>
      <c r="B108" s="74">
        <v>61271</v>
      </c>
      <c r="C108" s="74">
        <v>72738</v>
      </c>
      <c r="D108" s="74">
        <v>72361</v>
      </c>
      <c r="E108" s="74">
        <v>88136</v>
      </c>
    </row>
    <row r="109" spans="1:12" x14ac:dyDescent="0.2">
      <c r="A109" s="73" t="s">
        <v>147</v>
      </c>
      <c r="B109" s="74">
        <v>61271</v>
      </c>
      <c r="C109" s="74">
        <v>72738</v>
      </c>
      <c r="D109" s="74">
        <v>72361</v>
      </c>
      <c r="E109" s="74">
        <v>88136</v>
      </c>
    </row>
    <row r="110" spans="1:12" x14ac:dyDescent="0.2">
      <c r="A110" s="71"/>
    </row>
    <row r="111" spans="1:12" x14ac:dyDescent="0.2">
      <c r="A111" s="72" t="s">
        <v>308</v>
      </c>
    </row>
    <row r="112" spans="1:12" x14ac:dyDescent="0.2">
      <c r="A112" s="71" t="s">
        <v>148</v>
      </c>
    </row>
    <row r="113" spans="1:5" x14ac:dyDescent="0.2">
      <c r="A113" s="73" t="s">
        <v>138</v>
      </c>
      <c r="B113" s="74">
        <v>61271</v>
      </c>
      <c r="C113" s="74">
        <v>72738</v>
      </c>
      <c r="D113" s="74">
        <v>72361</v>
      </c>
      <c r="E113" s="74">
        <v>88136</v>
      </c>
    </row>
    <row r="114" spans="1:5" x14ac:dyDescent="0.2">
      <c r="A114" s="73" t="s">
        <v>115</v>
      </c>
      <c r="B114" s="74">
        <v>11686</v>
      </c>
      <c r="C114" s="74">
        <v>14460</v>
      </c>
      <c r="D114" s="74">
        <v>13861</v>
      </c>
      <c r="E114" s="74">
        <v>22287</v>
      </c>
    </row>
    <row r="115" spans="1:5" x14ac:dyDescent="0.2">
      <c r="A115" s="73" t="s">
        <v>143</v>
      </c>
      <c r="B115" s="74">
        <v>0</v>
      </c>
      <c r="C115" s="74">
        <v>0</v>
      </c>
      <c r="D115" s="74">
        <v>0</v>
      </c>
      <c r="E115" s="74">
        <v>0</v>
      </c>
    </row>
    <row r="116" spans="1:5" x14ac:dyDescent="0.2">
      <c r="A116" s="73" t="s">
        <v>149</v>
      </c>
      <c r="B116" s="74">
        <v>-150</v>
      </c>
      <c r="C116" s="74">
        <v>-5702</v>
      </c>
      <c r="D116" s="74">
        <v>-6059</v>
      </c>
      <c r="E116" s="74">
        <v>-4738</v>
      </c>
    </row>
    <row r="117" spans="1:5" x14ac:dyDescent="0.2">
      <c r="A117" s="73" t="s">
        <v>150</v>
      </c>
      <c r="B117" s="73" t="s">
        <v>70</v>
      </c>
      <c r="C117" s="73" t="s">
        <v>70</v>
      </c>
      <c r="D117" s="73" t="s">
        <v>70</v>
      </c>
      <c r="E117" s="73" t="s">
        <v>70</v>
      </c>
    </row>
    <row r="118" spans="1:5" x14ac:dyDescent="0.2">
      <c r="A118" s="73" t="s">
        <v>151</v>
      </c>
      <c r="B118" s="73" t="s">
        <v>70</v>
      </c>
      <c r="C118" s="73" t="s">
        <v>70</v>
      </c>
      <c r="D118" s="73" t="s">
        <v>70</v>
      </c>
      <c r="E118" s="73" t="s">
        <v>70</v>
      </c>
    </row>
    <row r="119" spans="1:5" x14ac:dyDescent="0.2">
      <c r="A119" s="73" t="s">
        <v>152</v>
      </c>
      <c r="B119" s="74">
        <v>4869</v>
      </c>
      <c r="C119" s="74">
        <v>7093</v>
      </c>
      <c r="D119" s="74">
        <v>9807</v>
      </c>
      <c r="E119" s="74">
        <v>11039</v>
      </c>
    </row>
    <row r="120" spans="1:5" x14ac:dyDescent="0.2">
      <c r="A120" s="73" t="s">
        <v>153</v>
      </c>
      <c r="B120" s="74">
        <v>-6481</v>
      </c>
      <c r="C120" s="74">
        <v>-6834</v>
      </c>
      <c r="D120" s="74">
        <v>-4087</v>
      </c>
      <c r="E120" s="74">
        <v>-7191</v>
      </c>
    </row>
    <row r="121" spans="1:5" x14ac:dyDescent="0.2">
      <c r="A121" s="73" t="s">
        <v>154</v>
      </c>
      <c r="B121" s="74">
        <v>-737</v>
      </c>
      <c r="C121" s="74">
        <v>-1123</v>
      </c>
      <c r="D121" s="74">
        <v>1242</v>
      </c>
      <c r="E121" s="74">
        <v>1284</v>
      </c>
    </row>
    <row r="122" spans="1:5" x14ac:dyDescent="0.2">
      <c r="A122" s="73" t="s">
        <v>155</v>
      </c>
      <c r="B122" s="74">
        <v>2798</v>
      </c>
      <c r="C122" s="74">
        <v>2943</v>
      </c>
      <c r="D122" s="74">
        <v>-2721</v>
      </c>
      <c r="E122" s="74">
        <v>3545</v>
      </c>
    </row>
    <row r="123" spans="1:5" x14ac:dyDescent="0.2">
      <c r="A123" s="73" t="s">
        <v>156</v>
      </c>
      <c r="B123" s="73" t="s">
        <v>70</v>
      </c>
      <c r="C123" s="73" t="s">
        <v>70</v>
      </c>
      <c r="D123" s="73" t="s">
        <v>70</v>
      </c>
      <c r="E123" s="73" t="s">
        <v>70</v>
      </c>
    </row>
    <row r="124" spans="1:5" x14ac:dyDescent="0.2">
      <c r="A124" s="73" t="s">
        <v>157</v>
      </c>
      <c r="B124" s="74">
        <v>3484</v>
      </c>
      <c r="C124" s="74">
        <v>5460</v>
      </c>
      <c r="D124" s="74">
        <v>3178</v>
      </c>
      <c r="E124" s="74">
        <v>4186</v>
      </c>
    </row>
    <row r="125" spans="1:5" x14ac:dyDescent="0.2">
      <c r="A125" s="73" t="s">
        <v>158</v>
      </c>
      <c r="B125" s="74">
        <v>76740</v>
      </c>
      <c r="C125" s="74">
        <v>89035</v>
      </c>
      <c r="D125" s="74">
        <v>87582</v>
      </c>
      <c r="E125" s="74">
        <v>118548</v>
      </c>
    </row>
    <row r="126" spans="1:5" x14ac:dyDescent="0.2">
      <c r="A126" s="71" t="s">
        <v>159</v>
      </c>
    </row>
    <row r="127" spans="1:5" x14ac:dyDescent="0.2">
      <c r="A127" s="73" t="s">
        <v>160</v>
      </c>
      <c r="B127" s="74">
        <v>62924</v>
      </c>
      <c r="C127" s="74">
        <v>26456</v>
      </c>
      <c r="D127" s="74">
        <v>37651</v>
      </c>
      <c r="E127" s="74">
        <v>17732</v>
      </c>
    </row>
    <row r="128" spans="1:5" x14ac:dyDescent="0.2">
      <c r="A128" s="73" t="s">
        <v>161</v>
      </c>
      <c r="B128" s="74">
        <v>65800</v>
      </c>
      <c r="C128" s="74">
        <v>44894</v>
      </c>
      <c r="D128" s="74">
        <v>47864</v>
      </c>
      <c r="E128" s="74">
        <v>35669</v>
      </c>
    </row>
    <row r="129" spans="1:5" x14ac:dyDescent="0.2">
      <c r="A129" s="73" t="s">
        <v>162</v>
      </c>
      <c r="B129" s="73" t="s">
        <v>70</v>
      </c>
      <c r="C129" s="73" t="s">
        <v>70</v>
      </c>
      <c r="D129" s="73" t="s">
        <v>70</v>
      </c>
      <c r="E129" s="73" t="s">
        <v>70</v>
      </c>
    </row>
    <row r="130" spans="1:5" x14ac:dyDescent="0.2">
      <c r="A130" s="73" t="s">
        <v>163</v>
      </c>
      <c r="B130" s="74">
        <v>20622</v>
      </c>
      <c r="C130" s="74">
        <v>23886</v>
      </c>
      <c r="D130" s="74">
        <v>28107</v>
      </c>
      <c r="E130" s="74">
        <v>44477</v>
      </c>
    </row>
    <row r="131" spans="1:5" x14ac:dyDescent="0.2">
      <c r="A131" s="73" t="s">
        <v>164</v>
      </c>
      <c r="B131" s="74">
        <v>0</v>
      </c>
      <c r="C131" s="74">
        <v>0</v>
      </c>
      <c r="D131" s="74">
        <v>0</v>
      </c>
      <c r="E131" s="74">
        <v>0</v>
      </c>
    </row>
    <row r="132" spans="1:5" x14ac:dyDescent="0.2">
      <c r="A132" s="73" t="s">
        <v>165</v>
      </c>
      <c r="B132" s="73" t="s">
        <v>70</v>
      </c>
      <c r="C132" s="73" t="s">
        <v>70</v>
      </c>
      <c r="D132" s="73" t="s">
        <v>70</v>
      </c>
      <c r="E132" s="73" t="s">
        <v>70</v>
      </c>
    </row>
    <row r="133" spans="1:5" x14ac:dyDescent="0.2">
      <c r="A133" s="73" t="s">
        <v>166</v>
      </c>
      <c r="B133" s="74">
        <v>-9831</v>
      </c>
      <c r="C133" s="74">
        <v>-24863</v>
      </c>
      <c r="D133" s="74">
        <v>-4786</v>
      </c>
      <c r="E133" s="74">
        <v>-70430</v>
      </c>
    </row>
    <row r="134" spans="1:5" x14ac:dyDescent="0.2">
      <c r="A134" s="73" t="s">
        <v>167</v>
      </c>
      <c r="B134" s="74">
        <v>-27577</v>
      </c>
      <c r="C134" s="74">
        <v>-30311</v>
      </c>
      <c r="D134" s="74">
        <v>-22680</v>
      </c>
      <c r="E134" s="74">
        <v>-96970</v>
      </c>
    </row>
    <row r="135" spans="1:5" x14ac:dyDescent="0.2">
      <c r="A135" s="71" t="s">
        <v>168</v>
      </c>
    </row>
    <row r="136" spans="1:5" x14ac:dyDescent="0.2">
      <c r="A136" s="73" t="s">
        <v>169</v>
      </c>
      <c r="B136" s="74">
        <v>1693</v>
      </c>
      <c r="C136" s="74">
        <v>1841</v>
      </c>
      <c r="D136" s="74">
        <v>1866</v>
      </c>
      <c r="E136" s="74">
        <v>2002</v>
      </c>
    </row>
    <row r="137" spans="1:5" x14ac:dyDescent="0.2">
      <c r="A137" s="73" t="s">
        <v>170</v>
      </c>
      <c r="B137" s="74">
        <v>27385</v>
      </c>
      <c r="C137" s="74">
        <v>32696</v>
      </c>
      <c r="D137" s="74">
        <v>22245</v>
      </c>
      <c r="E137" s="74">
        <v>17254</v>
      </c>
    </row>
    <row r="138" spans="1:5" x14ac:dyDescent="0.2">
      <c r="A138" s="73" t="s">
        <v>171</v>
      </c>
      <c r="B138" s="74">
        <v>16521</v>
      </c>
      <c r="C138" s="74">
        <v>18135</v>
      </c>
      <c r="D138" s="74">
        <v>19800</v>
      </c>
      <c r="E138" s="74">
        <v>21771</v>
      </c>
    </row>
    <row r="139" spans="1:5" x14ac:dyDescent="0.2">
      <c r="A139" s="73" t="s">
        <v>172</v>
      </c>
      <c r="B139" s="74">
        <v>0</v>
      </c>
      <c r="C139" s="74">
        <v>0</v>
      </c>
      <c r="D139" s="74">
        <v>0</v>
      </c>
      <c r="E139" s="74">
        <v>24395</v>
      </c>
    </row>
    <row r="140" spans="1:5" x14ac:dyDescent="0.2">
      <c r="A140" s="73" t="s">
        <v>173</v>
      </c>
      <c r="B140" s="74">
        <v>3750</v>
      </c>
      <c r="C140" s="74">
        <v>9023</v>
      </c>
      <c r="D140" s="74">
        <v>2750</v>
      </c>
      <c r="E140" s="74">
        <v>29070</v>
      </c>
    </row>
    <row r="141" spans="1:5" x14ac:dyDescent="0.2">
      <c r="A141" s="73" t="s">
        <v>174</v>
      </c>
      <c r="B141" s="73" t="s">
        <v>70</v>
      </c>
      <c r="C141" s="73" t="s">
        <v>70</v>
      </c>
      <c r="D141" s="73" t="s">
        <v>70</v>
      </c>
      <c r="E141" s="74">
        <v>5250</v>
      </c>
    </row>
    <row r="142" spans="1:5" x14ac:dyDescent="0.2">
      <c r="A142" s="73" t="s">
        <v>175</v>
      </c>
      <c r="B142" s="74">
        <v>-2523</v>
      </c>
      <c r="C142" s="74">
        <v>-863</v>
      </c>
      <c r="D142" s="74">
        <v>-1006</v>
      </c>
      <c r="E142" s="74">
        <v>-1309</v>
      </c>
    </row>
    <row r="143" spans="1:5" x14ac:dyDescent="0.2">
      <c r="A143" s="73" t="s">
        <v>176</v>
      </c>
      <c r="B143" s="74">
        <v>-48486</v>
      </c>
      <c r="C143" s="74">
        <v>-58876</v>
      </c>
      <c r="D143" s="74">
        <v>-43935</v>
      </c>
      <c r="E143" s="74">
        <v>-37757</v>
      </c>
    </row>
    <row r="144" spans="1:5" x14ac:dyDescent="0.2">
      <c r="A144" s="73" t="s">
        <v>177</v>
      </c>
      <c r="B144" s="74">
        <v>-29</v>
      </c>
      <c r="C144" s="74">
        <v>-141</v>
      </c>
      <c r="D144" s="74">
        <v>-194</v>
      </c>
      <c r="E144" s="74">
        <v>-210</v>
      </c>
    </row>
    <row r="145" spans="1:5" x14ac:dyDescent="0.2">
      <c r="A145" s="73" t="s">
        <v>178</v>
      </c>
      <c r="B145" s="74">
        <v>648</v>
      </c>
      <c r="C145" s="74">
        <v>-293</v>
      </c>
      <c r="D145" s="74">
        <v>20773</v>
      </c>
      <c r="E145" s="74">
        <v>-16389</v>
      </c>
    </row>
    <row r="146" spans="1:5" x14ac:dyDescent="0.2">
      <c r="A146" s="71" t="s">
        <v>179</v>
      </c>
    </row>
    <row r="147" spans="1:5" x14ac:dyDescent="0.2">
      <c r="A147" s="73" t="s">
        <v>180</v>
      </c>
      <c r="B147" s="74">
        <v>2000</v>
      </c>
      <c r="C147" s="74">
        <v>1900</v>
      </c>
      <c r="D147" s="74">
        <v>1700</v>
      </c>
      <c r="E147" s="74">
        <v>1700</v>
      </c>
    </row>
    <row r="148" spans="1:5" x14ac:dyDescent="0.2">
      <c r="A148" s="73" t="s">
        <v>181</v>
      </c>
      <c r="B148" s="74">
        <v>13400</v>
      </c>
      <c r="C148" s="74">
        <v>16000</v>
      </c>
      <c r="D148" s="74">
        <v>23100</v>
      </c>
      <c r="E148" s="74">
        <v>23400</v>
      </c>
    </row>
    <row r="149" spans="1:5" x14ac:dyDescent="0.2">
      <c r="A149" s="71"/>
    </row>
    <row r="150" spans="1:5" x14ac:dyDescent="0.2">
      <c r="A150" s="72" t="s">
        <v>320</v>
      </c>
    </row>
    <row r="151" spans="1:5" x14ac:dyDescent="0.2">
      <c r="A151" s="73" t="s">
        <v>182</v>
      </c>
      <c r="B151" s="73" t="s">
        <v>70</v>
      </c>
      <c r="C151" s="73" t="s">
        <v>70</v>
      </c>
      <c r="D151" s="73" t="s">
        <v>70</v>
      </c>
      <c r="E151" s="73" t="s">
        <v>70</v>
      </c>
    </row>
    <row r="152" spans="1:5" x14ac:dyDescent="0.2">
      <c r="A152" s="73" t="s">
        <v>183</v>
      </c>
      <c r="B152" s="73" t="s">
        <v>70</v>
      </c>
      <c r="C152" s="73" t="s">
        <v>70</v>
      </c>
      <c r="D152" s="73" t="s">
        <v>70</v>
      </c>
      <c r="E152" s="73" t="s">
        <v>70</v>
      </c>
    </row>
    <row r="153" spans="1:5" x14ac:dyDescent="0.2">
      <c r="A153" s="73" t="s">
        <v>184</v>
      </c>
      <c r="B153" s="74">
        <v>1</v>
      </c>
      <c r="C153" s="74">
        <v>1</v>
      </c>
      <c r="D153" s="74">
        <v>1</v>
      </c>
      <c r="E153" s="74">
        <v>1</v>
      </c>
    </row>
    <row r="154" spans="1:5" x14ac:dyDescent="0.2">
      <c r="A154" s="73" t="s">
        <v>185</v>
      </c>
      <c r="B154" s="74">
        <v>1500</v>
      </c>
      <c r="C154" s="74">
        <v>1500</v>
      </c>
      <c r="D154" s="74">
        <v>904</v>
      </c>
      <c r="E154" s="74">
        <v>1700</v>
      </c>
    </row>
    <row r="155" spans="1:5" x14ac:dyDescent="0.2">
      <c r="A155" s="73" t="s">
        <v>186</v>
      </c>
      <c r="B155" s="73" t="s">
        <v>70</v>
      </c>
      <c r="C155" s="73" t="s">
        <v>70</v>
      </c>
      <c r="D155" s="73" t="s">
        <v>70</v>
      </c>
      <c r="E155" s="73" t="s">
        <v>70</v>
      </c>
    </row>
    <row r="156" spans="1:5" x14ac:dyDescent="0.2">
      <c r="A156" s="73" t="s">
        <v>187</v>
      </c>
      <c r="B156" s="73" t="s">
        <v>70</v>
      </c>
      <c r="C156" s="73" t="s">
        <v>70</v>
      </c>
      <c r="D156" s="73" t="s">
        <v>70</v>
      </c>
      <c r="E156" s="73" t="s">
        <v>70</v>
      </c>
    </row>
    <row r="157" spans="1:5" x14ac:dyDescent="0.2">
      <c r="A157" s="73" t="s">
        <v>188</v>
      </c>
      <c r="B157" s="74">
        <v>89.290999999999997</v>
      </c>
      <c r="C157" s="74">
        <v>86.465000000000003</v>
      </c>
      <c r="D157" s="74">
        <v>83.882999999999996</v>
      </c>
      <c r="E157" s="74">
        <v>81.346000000000004</v>
      </c>
    </row>
    <row r="158" spans="1:5" x14ac:dyDescent="0.2">
      <c r="A158" s="73" t="s">
        <v>189</v>
      </c>
      <c r="B158" s="74">
        <v>6530712090</v>
      </c>
      <c r="C158" s="74">
        <v>7801692542</v>
      </c>
      <c r="D158" s="74">
        <v>6858444350</v>
      </c>
      <c r="E158" s="74">
        <v>5112922701</v>
      </c>
    </row>
    <row r="159" spans="1:5" x14ac:dyDescent="0.2">
      <c r="A159" s="73" t="s">
        <v>190</v>
      </c>
      <c r="B159" s="73" t="s">
        <v>70</v>
      </c>
      <c r="C159" s="73" t="s">
        <v>70</v>
      </c>
      <c r="D159" s="73" t="s">
        <v>70</v>
      </c>
      <c r="E159" s="73" t="s">
        <v>70</v>
      </c>
    </row>
    <row r="160" spans="1:5" x14ac:dyDescent="0.2">
      <c r="A160" s="73" t="s">
        <v>191</v>
      </c>
      <c r="B160" s="74">
        <v>0</v>
      </c>
      <c r="C160" s="74">
        <v>0</v>
      </c>
      <c r="D160" s="74">
        <v>0</v>
      </c>
      <c r="E160" s="74">
        <v>0</v>
      </c>
    </row>
    <row r="161" spans="1:5" x14ac:dyDescent="0.2">
      <c r="A161" s="73" t="s">
        <v>192</v>
      </c>
      <c r="B161" s="74">
        <v>3948</v>
      </c>
      <c r="C161" s="74">
        <v>6737</v>
      </c>
      <c r="D161" s="74">
        <v>4337</v>
      </c>
      <c r="E161" s="74">
        <v>6021</v>
      </c>
    </row>
    <row r="162" spans="1:5" x14ac:dyDescent="0.2">
      <c r="A162" s="73" t="s">
        <v>193</v>
      </c>
      <c r="B162" s="74">
        <v>6461</v>
      </c>
      <c r="C162" s="74">
        <v>4051</v>
      </c>
      <c r="D162" s="74">
        <v>4771</v>
      </c>
      <c r="E162" s="74">
        <v>12287</v>
      </c>
    </row>
    <row r="163" spans="1:5" x14ac:dyDescent="0.2">
      <c r="A163" s="73" t="s">
        <v>194</v>
      </c>
      <c r="B163" s="74">
        <v>3787</v>
      </c>
      <c r="C163" s="74">
        <v>4483</v>
      </c>
      <c r="D163" s="74">
        <v>9780</v>
      </c>
      <c r="E163" s="74">
        <v>3026</v>
      </c>
    </row>
    <row r="164" spans="1:5" x14ac:dyDescent="0.2">
      <c r="A164" s="73" t="s">
        <v>195</v>
      </c>
      <c r="B164" s="74">
        <v>4220</v>
      </c>
      <c r="C164" s="74">
        <v>9489</v>
      </c>
      <c r="D164" s="74">
        <v>1787</v>
      </c>
      <c r="E164" s="74">
        <v>4514</v>
      </c>
    </row>
    <row r="165" spans="1:5" x14ac:dyDescent="0.2">
      <c r="A165" s="73" t="s">
        <v>196</v>
      </c>
      <c r="B165" s="73" t="s">
        <v>70</v>
      </c>
      <c r="C165" s="73" t="s">
        <v>70</v>
      </c>
      <c r="D165" s="73" t="s">
        <v>70</v>
      </c>
      <c r="E165" s="73" t="s">
        <v>70</v>
      </c>
    </row>
    <row r="166" spans="1:5" x14ac:dyDescent="0.2">
      <c r="A166" s="73" t="s">
        <v>197</v>
      </c>
      <c r="B166" s="74">
        <v>11750</v>
      </c>
      <c r="C166" s="74">
        <v>13842</v>
      </c>
      <c r="D166" s="74">
        <v>15870</v>
      </c>
      <c r="E166" s="74">
        <v>24796</v>
      </c>
    </row>
    <row r="167" spans="1:5" x14ac:dyDescent="0.2">
      <c r="A167" s="73" t="s">
        <v>198</v>
      </c>
      <c r="B167" s="74">
        <v>0</v>
      </c>
      <c r="C167" s="74">
        <v>0</v>
      </c>
      <c r="D167" s="74">
        <v>0</v>
      </c>
      <c r="E167" s="74">
        <v>0</v>
      </c>
    </row>
    <row r="168" spans="1:5" x14ac:dyDescent="0.2">
      <c r="A168" s="73" t="s">
        <v>199</v>
      </c>
      <c r="B168" s="74">
        <v>2.19</v>
      </c>
      <c r="C168" s="74">
        <v>2.42</v>
      </c>
      <c r="D168" s="74">
        <v>2.66</v>
      </c>
      <c r="E168" s="74">
        <v>2.93</v>
      </c>
    </row>
    <row r="169" spans="1:5" x14ac:dyDescent="0.2">
      <c r="A169" s="73" t="s">
        <v>200</v>
      </c>
      <c r="B169" s="74">
        <v>16871</v>
      </c>
      <c r="C169" s="74">
        <v>18552</v>
      </c>
      <c r="D169" s="74">
        <v>20226</v>
      </c>
      <c r="E169" s="74">
        <v>22293</v>
      </c>
    </row>
    <row r="170" spans="1:5" x14ac:dyDescent="0.2">
      <c r="A170" s="73" t="s">
        <v>201</v>
      </c>
      <c r="B170" s="74">
        <v>0</v>
      </c>
      <c r="C170" s="74">
        <v>0</v>
      </c>
      <c r="D170" s="74">
        <v>0</v>
      </c>
      <c r="E170" s="74">
        <v>0</v>
      </c>
    </row>
    <row r="171" spans="1:5" x14ac:dyDescent="0.2">
      <c r="A171" s="73" t="s">
        <v>202</v>
      </c>
      <c r="B171" s="74">
        <v>181</v>
      </c>
      <c r="C171" s="74">
        <v>221</v>
      </c>
      <c r="D171" s="74">
        <v>221</v>
      </c>
      <c r="E171" s="74">
        <v>228</v>
      </c>
    </row>
    <row r="172" spans="1:5" x14ac:dyDescent="0.2">
      <c r="A172" s="73" t="s">
        <v>203</v>
      </c>
      <c r="B172" s="74">
        <v>333779</v>
      </c>
      <c r="C172" s="74">
        <v>364840</v>
      </c>
      <c r="D172" s="74">
        <v>411976</v>
      </c>
      <c r="E172" s="74">
        <v>512163</v>
      </c>
    </row>
    <row r="173" spans="1:5" x14ac:dyDescent="0.2">
      <c r="A173" s="73" t="s">
        <v>204</v>
      </c>
      <c r="B173" s="73" t="s">
        <v>70</v>
      </c>
      <c r="C173" s="73" t="s">
        <v>70</v>
      </c>
      <c r="D173" s="73" t="s">
        <v>70</v>
      </c>
      <c r="E173" s="73" t="s">
        <v>70</v>
      </c>
    </row>
    <row r="174" spans="1:5" x14ac:dyDescent="0.2">
      <c r="A174" s="73" t="s">
        <v>205</v>
      </c>
      <c r="B174" s="74">
        <v>54</v>
      </c>
      <c r="C174" s="74">
        <v>-75</v>
      </c>
      <c r="D174" s="74">
        <v>181</v>
      </c>
      <c r="E174" s="74">
        <v>-244</v>
      </c>
    </row>
    <row r="175" spans="1:5" x14ac:dyDescent="0.2">
      <c r="A175" s="73" t="s">
        <v>206</v>
      </c>
      <c r="B175" s="74">
        <v>0</v>
      </c>
      <c r="C175" s="74">
        <v>0</v>
      </c>
      <c r="D175" s="74">
        <v>0</v>
      </c>
      <c r="E175" s="74">
        <v>0</v>
      </c>
    </row>
    <row r="176" spans="1:5" x14ac:dyDescent="0.2">
      <c r="A176" s="73" t="s">
        <v>207</v>
      </c>
      <c r="B176" s="73" t="s">
        <v>70</v>
      </c>
      <c r="C176" s="73" t="s">
        <v>70</v>
      </c>
      <c r="D176" s="73" t="s">
        <v>70</v>
      </c>
      <c r="E176" s="73" t="s">
        <v>70</v>
      </c>
    </row>
    <row r="177" spans="1:5" x14ac:dyDescent="0.2">
      <c r="A177" s="73" t="s">
        <v>208</v>
      </c>
      <c r="B177" s="73" t="s">
        <v>70</v>
      </c>
      <c r="C177" s="73" t="s">
        <v>70</v>
      </c>
      <c r="D177" s="73" t="s">
        <v>70</v>
      </c>
      <c r="E177" s="73" t="s">
        <v>70</v>
      </c>
    </row>
    <row r="178" spans="1:5" x14ac:dyDescent="0.2">
      <c r="A178" s="73" t="s">
        <v>209</v>
      </c>
      <c r="B178" s="74">
        <v>0</v>
      </c>
      <c r="C178" s="74">
        <v>0</v>
      </c>
      <c r="D178" s="74">
        <v>0</v>
      </c>
      <c r="E178" s="74">
        <v>0</v>
      </c>
    </row>
    <row r="179" spans="1:5" x14ac:dyDescent="0.2">
      <c r="A179" s="73" t="s">
        <v>210</v>
      </c>
      <c r="B179" s="73" t="s">
        <v>70</v>
      </c>
      <c r="C179" s="73" t="s">
        <v>70</v>
      </c>
      <c r="D179" s="73" t="s">
        <v>70</v>
      </c>
      <c r="E179" s="73" t="s">
        <v>70</v>
      </c>
    </row>
    <row r="180" spans="1:5" x14ac:dyDescent="0.2">
      <c r="A180" s="73" t="s">
        <v>211</v>
      </c>
      <c r="B180" s="74">
        <v>0</v>
      </c>
      <c r="C180" s="74">
        <v>0</v>
      </c>
      <c r="D180" s="74">
        <v>0</v>
      </c>
      <c r="E180" s="74">
        <v>0</v>
      </c>
    </row>
    <row r="181" spans="1:5" x14ac:dyDescent="0.2">
      <c r="A181" s="73" t="s">
        <v>212</v>
      </c>
      <c r="B181" s="73" t="s">
        <v>70</v>
      </c>
      <c r="C181" s="73" t="s">
        <v>70</v>
      </c>
      <c r="D181" s="73" t="s">
        <v>70</v>
      </c>
      <c r="E181" s="73" t="s">
        <v>70</v>
      </c>
    </row>
    <row r="182" spans="1:5" x14ac:dyDescent="0.2">
      <c r="A182" s="73" t="s">
        <v>213</v>
      </c>
      <c r="B182" s="74">
        <v>0</v>
      </c>
      <c r="C182" s="74">
        <v>0</v>
      </c>
      <c r="D182" s="74">
        <v>0</v>
      </c>
      <c r="E182" s="74">
        <v>0</v>
      </c>
    </row>
    <row r="183" spans="1:5" x14ac:dyDescent="0.2">
      <c r="A183" s="73" t="s">
        <v>214</v>
      </c>
      <c r="B183" s="74">
        <v>0</v>
      </c>
      <c r="C183" s="74">
        <v>0</v>
      </c>
      <c r="D183" s="74">
        <v>0</v>
      </c>
      <c r="E183" s="74">
        <v>0</v>
      </c>
    </row>
    <row r="184" spans="1:5" x14ac:dyDescent="0.2">
      <c r="A184" s="73" t="s">
        <v>215</v>
      </c>
      <c r="B184" s="74">
        <v>0</v>
      </c>
      <c r="C184" s="74">
        <v>0</v>
      </c>
      <c r="D184" s="74">
        <v>0</v>
      </c>
      <c r="E184" s="74">
        <v>0</v>
      </c>
    </row>
    <row r="185" spans="1:5" x14ac:dyDescent="0.2">
      <c r="A185" s="73" t="s">
        <v>216</v>
      </c>
      <c r="B185" s="74">
        <v>17972</v>
      </c>
      <c r="C185" s="74">
        <v>21922</v>
      </c>
      <c r="D185" s="74">
        <v>22883</v>
      </c>
      <c r="E185" s="74">
        <v>28555</v>
      </c>
    </row>
    <row r="186" spans="1:5" x14ac:dyDescent="0.2">
      <c r="A186" s="73" t="s">
        <v>217</v>
      </c>
      <c r="B186" s="74">
        <v>336.32</v>
      </c>
      <c r="C186" s="74">
        <v>239.82</v>
      </c>
      <c r="D186" s="74">
        <v>376.04</v>
      </c>
      <c r="E186" s="74">
        <v>421.5</v>
      </c>
    </row>
    <row r="187" spans="1:5" x14ac:dyDescent="0.2">
      <c r="A187" s="73" t="s">
        <v>218</v>
      </c>
      <c r="B187" s="74">
        <v>349.67</v>
      </c>
      <c r="C187" s="74">
        <v>338</v>
      </c>
      <c r="D187" s="74">
        <v>384.3</v>
      </c>
      <c r="E187" s="74">
        <v>468.35</v>
      </c>
    </row>
    <row r="188" spans="1:5" x14ac:dyDescent="0.2">
      <c r="A188" s="73" t="s">
        <v>219</v>
      </c>
      <c r="B188" s="74">
        <v>211.94</v>
      </c>
      <c r="C188" s="74">
        <v>213.43100000000001</v>
      </c>
      <c r="D188" s="74">
        <v>219.35</v>
      </c>
      <c r="E188" s="74">
        <v>366.5</v>
      </c>
    </row>
    <row r="189" spans="1:5" x14ac:dyDescent="0.2">
      <c r="A189" s="73" t="s">
        <v>220</v>
      </c>
      <c r="B189" s="74">
        <v>270.89999999999998</v>
      </c>
      <c r="C189" s="74">
        <v>256.83</v>
      </c>
      <c r="D189" s="74">
        <v>340.54</v>
      </c>
      <c r="E189" s="74">
        <v>446.95</v>
      </c>
    </row>
    <row r="190" spans="1:5" x14ac:dyDescent="0.2">
      <c r="A190" s="73" t="s">
        <v>221</v>
      </c>
      <c r="B190" s="74">
        <v>751</v>
      </c>
      <c r="C190" s="74">
        <v>633</v>
      </c>
      <c r="D190" s="74">
        <v>650</v>
      </c>
      <c r="E190" s="74">
        <v>830</v>
      </c>
    </row>
    <row r="191" spans="1:5" x14ac:dyDescent="0.2">
      <c r="A191" s="73" t="s">
        <v>222</v>
      </c>
      <c r="B191" s="74">
        <v>2125</v>
      </c>
      <c r="C191" s="74">
        <v>2456</v>
      </c>
      <c r="D191" s="74">
        <v>2784</v>
      </c>
      <c r="E191" s="74">
        <v>4124</v>
      </c>
    </row>
    <row r="192" spans="1:5" x14ac:dyDescent="0.2">
      <c r="A192" s="73" t="s">
        <v>223</v>
      </c>
      <c r="B192" s="74">
        <v>1954</v>
      </c>
      <c r="C192" s="74">
        <v>2278</v>
      </c>
      <c r="D192" s="74">
        <v>2508</v>
      </c>
      <c r="E192" s="74">
        <v>3549</v>
      </c>
    </row>
    <row r="193" spans="1:5" x14ac:dyDescent="0.2">
      <c r="A193" s="73" t="s">
        <v>224</v>
      </c>
      <c r="B193" s="74">
        <v>1751</v>
      </c>
      <c r="C193" s="74">
        <v>1985</v>
      </c>
      <c r="D193" s="74">
        <v>2142</v>
      </c>
      <c r="E193" s="74">
        <v>2981</v>
      </c>
    </row>
    <row r="194" spans="1:5" x14ac:dyDescent="0.2">
      <c r="A194" s="73" t="s">
        <v>225</v>
      </c>
      <c r="B194" s="74">
        <v>1463</v>
      </c>
      <c r="C194" s="74">
        <v>1625</v>
      </c>
      <c r="D194" s="74">
        <v>1757</v>
      </c>
      <c r="E194" s="74">
        <v>2405</v>
      </c>
    </row>
    <row r="195" spans="1:5" x14ac:dyDescent="0.2">
      <c r="A195" s="73" t="s">
        <v>226</v>
      </c>
      <c r="B195" s="74">
        <v>1133</v>
      </c>
      <c r="C195" s="74">
        <v>1328</v>
      </c>
      <c r="D195" s="74">
        <v>1582</v>
      </c>
      <c r="E195" s="74">
        <v>1924</v>
      </c>
    </row>
    <row r="196" spans="1:5" x14ac:dyDescent="0.2">
      <c r="A196" s="73" t="s">
        <v>227</v>
      </c>
      <c r="B196" s="74">
        <v>2127</v>
      </c>
      <c r="C196" s="74">
        <v>2461</v>
      </c>
      <c r="D196" s="74">
        <v>2875</v>
      </c>
      <c r="E196" s="74">
        <v>3555</v>
      </c>
    </row>
    <row r="197" spans="1:5" x14ac:dyDescent="0.2">
      <c r="A197" s="73" t="s">
        <v>228</v>
      </c>
      <c r="B197" s="73" t="s">
        <v>70</v>
      </c>
      <c r="C197" s="73" t="s">
        <v>70</v>
      </c>
      <c r="D197" s="73" t="s">
        <v>70</v>
      </c>
      <c r="E197" s="73" t="s">
        <v>70</v>
      </c>
    </row>
    <row r="198" spans="1:5" x14ac:dyDescent="0.2">
      <c r="A198" s="73" t="s">
        <v>229</v>
      </c>
      <c r="B198" s="74">
        <v>20716</v>
      </c>
      <c r="C198" s="74">
        <v>24512</v>
      </c>
      <c r="D198" s="74">
        <v>27195</v>
      </c>
      <c r="E198" s="74">
        <v>29510</v>
      </c>
    </row>
    <row r="199" spans="1:5" x14ac:dyDescent="0.2">
      <c r="A199" s="73" t="s">
        <v>230</v>
      </c>
      <c r="B199" s="74">
        <v>3604</v>
      </c>
      <c r="C199" s="74">
        <v>3718</v>
      </c>
      <c r="D199" s="74">
        <v>4009</v>
      </c>
      <c r="E199" s="74">
        <v>3975</v>
      </c>
    </row>
    <row r="200" spans="1:5" x14ac:dyDescent="0.2">
      <c r="A200" s="73" t="s">
        <v>231</v>
      </c>
      <c r="B200" s="74">
        <v>0</v>
      </c>
      <c r="C200" s="74">
        <v>0</v>
      </c>
      <c r="D200" s="74">
        <v>0</v>
      </c>
      <c r="E200" s="74">
        <v>0</v>
      </c>
    </row>
    <row r="201" spans="1:5" x14ac:dyDescent="0.2">
      <c r="A201" s="73" t="s">
        <v>232</v>
      </c>
      <c r="B201" s="74">
        <v>0</v>
      </c>
      <c r="C201" s="74">
        <v>0</v>
      </c>
      <c r="D201" s="74">
        <v>0</v>
      </c>
      <c r="E201" s="74">
        <v>0</v>
      </c>
    </row>
    <row r="202" spans="1:5" x14ac:dyDescent="0.2">
      <c r="A202" s="73" t="s">
        <v>233</v>
      </c>
      <c r="B202" s="74">
        <v>0</v>
      </c>
      <c r="C202" s="74">
        <v>0</v>
      </c>
      <c r="D202" s="74">
        <v>0</v>
      </c>
      <c r="E202" s="74">
        <v>0</v>
      </c>
    </row>
    <row r="203" spans="1:5" x14ac:dyDescent="0.2">
      <c r="A203" s="71"/>
    </row>
    <row r="204" spans="1:5" x14ac:dyDescent="0.2">
      <c r="A204" s="72" t="s">
        <v>319</v>
      </c>
    </row>
    <row r="205" spans="1:5" x14ac:dyDescent="0.2">
      <c r="A205" s="73" t="s">
        <v>234</v>
      </c>
      <c r="B205" s="74">
        <v>38043</v>
      </c>
      <c r="C205" s="74">
        <v>44261</v>
      </c>
      <c r="D205" s="74">
        <v>48688</v>
      </c>
      <c r="E205" s="74">
        <v>56924</v>
      </c>
    </row>
    <row r="206" spans="1:5" x14ac:dyDescent="0.2">
      <c r="A206" s="73" t="s">
        <v>235</v>
      </c>
      <c r="B206" s="74">
        <v>0</v>
      </c>
      <c r="C206" s="74">
        <v>0</v>
      </c>
      <c r="D206" s="74">
        <v>0</v>
      </c>
      <c r="E206" s="74">
        <v>0</v>
      </c>
    </row>
    <row r="207" spans="1:5" x14ac:dyDescent="0.2">
      <c r="A207" s="73" t="s">
        <v>236</v>
      </c>
      <c r="B207" s="74">
        <v>0</v>
      </c>
      <c r="C207" s="74">
        <v>6100</v>
      </c>
      <c r="D207" s="74">
        <v>9200</v>
      </c>
      <c r="E207" s="74">
        <v>10500</v>
      </c>
    </row>
    <row r="208" spans="1:5" x14ac:dyDescent="0.2">
      <c r="A208" s="73" t="s">
        <v>237</v>
      </c>
      <c r="B208" s="74">
        <v>38043</v>
      </c>
      <c r="C208" s="74">
        <v>50361</v>
      </c>
      <c r="D208" s="74">
        <v>57888</v>
      </c>
      <c r="E208" s="74">
        <v>67424</v>
      </c>
    </row>
    <row r="209" spans="1:5" x14ac:dyDescent="0.2">
      <c r="A209" s="73" t="s">
        <v>238</v>
      </c>
      <c r="B209" s="74">
        <v>1190</v>
      </c>
      <c r="C209" s="74">
        <v>1144</v>
      </c>
      <c r="D209" s="74">
        <v>709</v>
      </c>
      <c r="E209" s="74">
        <v>394</v>
      </c>
    </row>
    <row r="210" spans="1:5" x14ac:dyDescent="0.2">
      <c r="A210" s="73" t="s">
        <v>239</v>
      </c>
      <c r="B210" s="74">
        <v>79</v>
      </c>
      <c r="C210" s="74">
        <v>82</v>
      </c>
      <c r="D210" s="74">
        <v>23</v>
      </c>
      <c r="E210" s="74">
        <v>7</v>
      </c>
    </row>
    <row r="211" spans="1:5" x14ac:dyDescent="0.2">
      <c r="A211" s="73" t="s">
        <v>240</v>
      </c>
      <c r="B211" s="74">
        <v>1367</v>
      </c>
      <c r="C211" s="74">
        <v>2516</v>
      </c>
      <c r="D211" s="74">
        <v>1768</v>
      </c>
      <c r="E211" s="74">
        <v>845</v>
      </c>
    </row>
    <row r="212" spans="1:5" x14ac:dyDescent="0.2">
      <c r="A212" s="73" t="s">
        <v>241</v>
      </c>
      <c r="B212" s="74">
        <v>0</v>
      </c>
      <c r="C212" s="74">
        <v>0</v>
      </c>
      <c r="D212" s="74">
        <v>0</v>
      </c>
      <c r="E212" s="74">
        <v>0</v>
      </c>
    </row>
    <row r="213" spans="1:5" x14ac:dyDescent="0.2">
      <c r="A213" s="73" t="s">
        <v>53</v>
      </c>
      <c r="B213" s="74">
        <v>2636</v>
      </c>
      <c r="C213" s="74">
        <v>3742</v>
      </c>
      <c r="D213" s="74">
        <v>2500</v>
      </c>
      <c r="E213" s="74">
        <v>1246</v>
      </c>
    </row>
    <row r="214" spans="1:5" x14ac:dyDescent="0.2">
      <c r="A214" s="73" t="s">
        <v>242</v>
      </c>
      <c r="B214" s="74">
        <v>0</v>
      </c>
      <c r="C214" s="74">
        <v>0</v>
      </c>
      <c r="D214" s="74">
        <v>0</v>
      </c>
      <c r="E214" s="74">
        <v>0</v>
      </c>
    </row>
    <row r="215" spans="1:5" x14ac:dyDescent="0.2">
      <c r="A215" s="73" t="s">
        <v>243</v>
      </c>
      <c r="B215" s="74">
        <v>0</v>
      </c>
      <c r="C215" s="74">
        <v>0</v>
      </c>
      <c r="D215" s="74">
        <v>0</v>
      </c>
      <c r="E215" s="74">
        <v>0</v>
      </c>
    </row>
    <row r="216" spans="1:5" x14ac:dyDescent="0.2">
      <c r="A216" s="73" t="s">
        <v>244</v>
      </c>
      <c r="B216" s="74">
        <v>0</v>
      </c>
      <c r="C216" s="74">
        <v>0</v>
      </c>
      <c r="D216" s="74">
        <v>0</v>
      </c>
      <c r="E216" s="74">
        <v>0</v>
      </c>
    </row>
    <row r="217" spans="1:5" x14ac:dyDescent="0.2">
      <c r="A217" s="73" t="s">
        <v>245</v>
      </c>
      <c r="B217" s="74">
        <v>0</v>
      </c>
      <c r="C217" s="74">
        <v>0</v>
      </c>
      <c r="D217" s="74">
        <v>0</v>
      </c>
      <c r="E217" s="74">
        <v>0</v>
      </c>
    </row>
    <row r="218" spans="1:5" x14ac:dyDescent="0.2">
      <c r="A218" s="73" t="s">
        <v>246</v>
      </c>
      <c r="B218" s="74">
        <v>0</v>
      </c>
      <c r="C218" s="74">
        <v>0</v>
      </c>
      <c r="D218" s="74">
        <v>0</v>
      </c>
      <c r="E218" s="74">
        <v>0</v>
      </c>
    </row>
    <row r="219" spans="1:5" x14ac:dyDescent="0.2">
      <c r="A219" s="73" t="s">
        <v>247</v>
      </c>
      <c r="B219" s="74">
        <v>0</v>
      </c>
      <c r="C219" s="74">
        <v>0</v>
      </c>
      <c r="D219" s="74">
        <v>0</v>
      </c>
      <c r="E219" s="74">
        <v>0</v>
      </c>
    </row>
    <row r="220" spans="1:5" x14ac:dyDescent="0.2">
      <c r="A220" s="73" t="s">
        <v>248</v>
      </c>
      <c r="B220" s="74">
        <v>59703</v>
      </c>
      <c r="C220" s="74">
        <v>58521</v>
      </c>
      <c r="D220" s="74">
        <v>54718</v>
      </c>
      <c r="E220" s="74">
        <v>58185</v>
      </c>
    </row>
    <row r="221" spans="1:5" x14ac:dyDescent="0.2">
      <c r="A221" s="73" t="s">
        <v>249</v>
      </c>
      <c r="B221" s="74">
        <v>11750</v>
      </c>
      <c r="C221" s="74">
        <v>13842</v>
      </c>
      <c r="D221" s="74">
        <v>15870</v>
      </c>
      <c r="E221" s="74">
        <v>24796</v>
      </c>
    </row>
    <row r="222" spans="1:5" x14ac:dyDescent="0.2">
      <c r="A222" s="73" t="s">
        <v>250</v>
      </c>
      <c r="B222" s="74">
        <v>71453</v>
      </c>
      <c r="C222" s="74">
        <v>72363</v>
      </c>
      <c r="D222" s="74">
        <v>70588</v>
      </c>
      <c r="E222" s="74">
        <v>82981</v>
      </c>
    </row>
    <row r="223" spans="1:5" x14ac:dyDescent="0.2">
      <c r="A223" s="71" t="s">
        <v>251</v>
      </c>
    </row>
    <row r="224" spans="1:5" x14ac:dyDescent="0.2">
      <c r="A224" s="73" t="s">
        <v>252</v>
      </c>
      <c r="B224" s="73" t="s">
        <v>70</v>
      </c>
      <c r="C224" s="73" t="s">
        <v>70</v>
      </c>
      <c r="D224" s="73" t="s">
        <v>70</v>
      </c>
      <c r="E224" s="73" t="s">
        <v>70</v>
      </c>
    </row>
    <row r="225" spans="1:5" x14ac:dyDescent="0.2">
      <c r="A225" s="73" t="s">
        <v>163</v>
      </c>
      <c r="B225" s="74">
        <v>20622</v>
      </c>
      <c r="C225" s="74">
        <v>23886</v>
      </c>
      <c r="D225" s="74">
        <v>28107</v>
      </c>
      <c r="E225" s="74">
        <v>44477</v>
      </c>
    </row>
    <row r="226" spans="1:5" x14ac:dyDescent="0.2">
      <c r="A226" s="73" t="s">
        <v>253</v>
      </c>
      <c r="B226" s="73" t="s">
        <v>70</v>
      </c>
      <c r="C226" s="73" t="s">
        <v>70</v>
      </c>
      <c r="D226" s="73" t="s">
        <v>70</v>
      </c>
      <c r="E226" s="73" t="s">
        <v>70</v>
      </c>
    </row>
    <row r="227" spans="1:5" x14ac:dyDescent="0.2">
      <c r="A227" s="73" t="s">
        <v>254</v>
      </c>
      <c r="B227" s="73" t="s">
        <v>70</v>
      </c>
      <c r="C227" s="73" t="s">
        <v>70</v>
      </c>
      <c r="D227" s="73" t="s">
        <v>70</v>
      </c>
      <c r="E227" s="73" t="s">
        <v>70</v>
      </c>
    </row>
    <row r="228" spans="1:5" x14ac:dyDescent="0.2">
      <c r="A228" s="73" t="s">
        <v>255</v>
      </c>
      <c r="B228" s="74">
        <v>122154</v>
      </c>
      <c r="C228" s="74">
        <v>147206</v>
      </c>
      <c r="D228" s="74">
        <v>178238</v>
      </c>
      <c r="E228" s="74">
        <v>230973</v>
      </c>
    </row>
    <row r="229" spans="1:5" x14ac:dyDescent="0.2">
      <c r="A229" s="71" t="s">
        <v>256</v>
      </c>
    </row>
    <row r="230" spans="1:5" x14ac:dyDescent="0.2">
      <c r="A230" s="73" t="s">
        <v>252</v>
      </c>
      <c r="B230" s="73" t="s">
        <v>70</v>
      </c>
      <c r="C230" s="73" t="s">
        <v>70</v>
      </c>
      <c r="D230" s="73" t="s">
        <v>70</v>
      </c>
      <c r="E230" s="73" t="s">
        <v>70</v>
      </c>
    </row>
    <row r="231" spans="1:5" x14ac:dyDescent="0.2">
      <c r="A231" s="73" t="s">
        <v>257</v>
      </c>
      <c r="B231" s="73" t="s">
        <v>70</v>
      </c>
      <c r="C231" s="73" t="s">
        <v>70</v>
      </c>
      <c r="D231" s="73" t="s">
        <v>70</v>
      </c>
      <c r="E231" s="73" t="s">
        <v>70</v>
      </c>
    </row>
    <row r="232" spans="1:5" x14ac:dyDescent="0.2">
      <c r="A232" s="73" t="s">
        <v>258</v>
      </c>
      <c r="B232" s="73" t="s">
        <v>70</v>
      </c>
      <c r="C232" s="73" t="s">
        <v>70</v>
      </c>
      <c r="D232" s="73" t="s">
        <v>70</v>
      </c>
      <c r="E232" s="73" t="s">
        <v>70</v>
      </c>
    </row>
    <row r="233" spans="1:5" x14ac:dyDescent="0.2">
      <c r="A233" s="73" t="s">
        <v>253</v>
      </c>
      <c r="B233" s="73" t="s">
        <v>70</v>
      </c>
      <c r="C233" s="73" t="s">
        <v>70</v>
      </c>
      <c r="D233" s="73" t="s">
        <v>70</v>
      </c>
      <c r="E233" s="73" t="s">
        <v>70</v>
      </c>
    </row>
    <row r="234" spans="1:5" x14ac:dyDescent="0.2">
      <c r="A234" s="73" t="s">
        <v>254</v>
      </c>
      <c r="B234" s="73" t="s">
        <v>70</v>
      </c>
      <c r="C234" s="73" t="s">
        <v>70</v>
      </c>
      <c r="D234" s="73" t="s">
        <v>70</v>
      </c>
      <c r="E234" s="73" t="s">
        <v>70</v>
      </c>
    </row>
    <row r="235" spans="1:5" x14ac:dyDescent="0.2">
      <c r="A235" s="73" t="s">
        <v>255</v>
      </c>
      <c r="B235" s="74">
        <v>51351</v>
      </c>
      <c r="C235" s="74">
        <v>59660</v>
      </c>
      <c r="D235" s="74">
        <v>68251</v>
      </c>
      <c r="E235" s="74">
        <v>76421</v>
      </c>
    </row>
    <row r="236" spans="1:5" x14ac:dyDescent="0.2">
      <c r="A236" s="73" t="s">
        <v>259</v>
      </c>
      <c r="B236" s="74">
        <v>25</v>
      </c>
      <c r="C236" s="74">
        <v>-4815</v>
      </c>
      <c r="D236" s="74">
        <v>-6146</v>
      </c>
      <c r="E236" s="74">
        <v>-4791</v>
      </c>
    </row>
    <row r="237" spans="1:5" x14ac:dyDescent="0.2">
      <c r="A237" s="73" t="s">
        <v>260</v>
      </c>
      <c r="B237" s="74">
        <v>29</v>
      </c>
      <c r="C237" s="74">
        <v>175</v>
      </c>
      <c r="D237" s="74">
        <v>564</v>
      </c>
      <c r="E237" s="74">
        <v>432</v>
      </c>
    </row>
    <row r="238" spans="1:5" x14ac:dyDescent="0.2">
      <c r="A238" s="73" t="s">
        <v>261</v>
      </c>
      <c r="B238" s="74">
        <v>-204</v>
      </c>
      <c r="C238" s="74">
        <v>-1062</v>
      </c>
      <c r="D238" s="74">
        <v>-477</v>
      </c>
      <c r="E238" s="74">
        <v>-379</v>
      </c>
    </row>
    <row r="239" spans="1:5" x14ac:dyDescent="0.2">
      <c r="A239" s="73" t="s">
        <v>262</v>
      </c>
      <c r="B239" s="74">
        <v>3285</v>
      </c>
      <c r="C239" s="74">
        <v>8329</v>
      </c>
      <c r="D239" s="74">
        <v>14009</v>
      </c>
      <c r="E239" s="74">
        <v>12165</v>
      </c>
    </row>
    <row r="240" spans="1:5" x14ac:dyDescent="0.2">
      <c r="A240" s="73" t="s">
        <v>263</v>
      </c>
      <c r="B240" s="74">
        <v>5467</v>
      </c>
      <c r="C240" s="74">
        <v>6672</v>
      </c>
      <c r="D240" s="74">
        <v>6678</v>
      </c>
      <c r="E240" s="74">
        <v>9858</v>
      </c>
    </row>
    <row r="241" spans="1:5" x14ac:dyDescent="0.2">
      <c r="A241" s="73" t="s">
        <v>264</v>
      </c>
      <c r="B241" s="74">
        <v>1229</v>
      </c>
      <c r="C241" s="74">
        <v>1679</v>
      </c>
      <c r="D241" s="74">
        <v>2322</v>
      </c>
      <c r="E241" s="74">
        <v>2366</v>
      </c>
    </row>
    <row r="242" spans="1:5" x14ac:dyDescent="0.2">
      <c r="A242" s="73" t="s">
        <v>265</v>
      </c>
      <c r="B242" s="74">
        <v>0</v>
      </c>
      <c r="C242" s="74">
        <v>0</v>
      </c>
      <c r="D242" s="74">
        <v>0</v>
      </c>
      <c r="E242" s="74">
        <v>0</v>
      </c>
    </row>
    <row r="243" spans="1:5" x14ac:dyDescent="0.2">
      <c r="A243" s="73" t="s">
        <v>128</v>
      </c>
      <c r="B243" s="74">
        <v>9831</v>
      </c>
      <c r="C243" s="74">
        <v>10978</v>
      </c>
      <c r="D243" s="74">
        <v>16950</v>
      </c>
      <c r="E243" s="74">
        <v>19651</v>
      </c>
    </row>
    <row r="244" spans="1:5" x14ac:dyDescent="0.2">
      <c r="A244" s="71" t="s">
        <v>266</v>
      </c>
    </row>
    <row r="245" spans="1:5" x14ac:dyDescent="0.2">
      <c r="A245" s="73" t="s">
        <v>267</v>
      </c>
      <c r="B245" s="73" t="s">
        <v>70</v>
      </c>
      <c r="C245" s="73" t="s">
        <v>70</v>
      </c>
      <c r="D245" s="73" t="s">
        <v>70</v>
      </c>
      <c r="E245" s="73" t="s">
        <v>70</v>
      </c>
    </row>
    <row r="246" spans="1:5" x14ac:dyDescent="0.2">
      <c r="A246" s="73" t="s">
        <v>268</v>
      </c>
      <c r="B246" s="73" t="s">
        <v>70</v>
      </c>
      <c r="C246" s="73" t="s">
        <v>70</v>
      </c>
      <c r="D246" s="73" t="s">
        <v>70</v>
      </c>
      <c r="E246" s="73" t="s">
        <v>70</v>
      </c>
    </row>
    <row r="247" spans="1:5" x14ac:dyDescent="0.2">
      <c r="A247" s="73" t="s">
        <v>269</v>
      </c>
      <c r="B247" s="73" t="s">
        <v>70</v>
      </c>
      <c r="C247" s="73" t="s">
        <v>70</v>
      </c>
      <c r="D247" s="73" t="s">
        <v>70</v>
      </c>
      <c r="E247" s="73" t="s">
        <v>70</v>
      </c>
    </row>
    <row r="248" spans="1:5" x14ac:dyDescent="0.2">
      <c r="A248" s="73" t="s">
        <v>270</v>
      </c>
      <c r="B248" s="73" t="s">
        <v>70</v>
      </c>
      <c r="C248" s="73" t="s">
        <v>70</v>
      </c>
      <c r="D248" s="73" t="s">
        <v>70</v>
      </c>
      <c r="E248" s="73" t="s">
        <v>70</v>
      </c>
    </row>
    <row r="249" spans="1:5" x14ac:dyDescent="0.2">
      <c r="A249" s="73" t="s">
        <v>271</v>
      </c>
      <c r="B249" s="73" t="s">
        <v>70</v>
      </c>
      <c r="C249" s="73" t="s">
        <v>70</v>
      </c>
      <c r="D249" s="73" t="s">
        <v>70</v>
      </c>
      <c r="E249" s="73" t="s">
        <v>70</v>
      </c>
    </row>
    <row r="250" spans="1:5" x14ac:dyDescent="0.2">
      <c r="A250" s="71"/>
    </row>
    <row r="251" spans="1:5" x14ac:dyDescent="0.2">
      <c r="A251" s="72" t="s">
        <v>318</v>
      </c>
    </row>
    <row r="252" spans="1:5" x14ac:dyDescent="0.2">
      <c r="A252" s="73" t="s">
        <v>272</v>
      </c>
      <c r="B252" s="74">
        <v>130334</v>
      </c>
      <c r="C252" s="74">
        <v>104757</v>
      </c>
      <c r="D252" s="74">
        <v>111262</v>
      </c>
      <c r="E252" s="74">
        <v>75543</v>
      </c>
    </row>
    <row r="253" spans="1:5" x14ac:dyDescent="0.2">
      <c r="A253" s="73" t="s">
        <v>237</v>
      </c>
      <c r="B253" s="74">
        <v>38043</v>
      </c>
      <c r="C253" s="74">
        <v>50361</v>
      </c>
      <c r="D253" s="74">
        <v>57888</v>
      </c>
      <c r="E253" s="74">
        <v>67424</v>
      </c>
    </row>
    <row r="254" spans="1:5" x14ac:dyDescent="0.2">
      <c r="A254" s="73" t="s">
        <v>53</v>
      </c>
      <c r="B254" s="74">
        <v>2636</v>
      </c>
      <c r="C254" s="74">
        <v>3742</v>
      </c>
      <c r="D254" s="74">
        <v>2500</v>
      </c>
      <c r="E254" s="74">
        <v>1246</v>
      </c>
    </row>
    <row r="255" spans="1:5" x14ac:dyDescent="0.2">
      <c r="A255" s="73" t="s">
        <v>273</v>
      </c>
      <c r="B255" s="74">
        <v>0</v>
      </c>
      <c r="C255" s="74">
        <v>0</v>
      </c>
      <c r="D255" s="74">
        <v>0</v>
      </c>
      <c r="E255" s="74">
        <v>0</v>
      </c>
    </row>
    <row r="256" spans="1:5" x14ac:dyDescent="0.2">
      <c r="A256" s="73" t="s">
        <v>58</v>
      </c>
      <c r="B256" s="74">
        <v>13393</v>
      </c>
      <c r="C256" s="74">
        <v>10824</v>
      </c>
      <c r="D256" s="74">
        <v>12607</v>
      </c>
      <c r="E256" s="74">
        <v>15521</v>
      </c>
    </row>
    <row r="257" spans="1:5" x14ac:dyDescent="0.2">
      <c r="A257" s="73" t="s">
        <v>61</v>
      </c>
      <c r="B257" s="74">
        <v>184406</v>
      </c>
      <c r="C257" s="74">
        <v>169684</v>
      </c>
      <c r="D257" s="74">
        <v>184257</v>
      </c>
      <c r="E257" s="74">
        <v>159734</v>
      </c>
    </row>
    <row r="258" spans="1:5" x14ac:dyDescent="0.2">
      <c r="A258" s="73" t="s">
        <v>274</v>
      </c>
      <c r="B258" s="74">
        <v>122154</v>
      </c>
      <c r="C258" s="74">
        <v>147206</v>
      </c>
      <c r="D258" s="74">
        <v>178238</v>
      </c>
      <c r="E258" s="74">
        <v>230973</v>
      </c>
    </row>
    <row r="259" spans="1:5" x14ac:dyDescent="0.2">
      <c r="A259" s="73" t="s">
        <v>275</v>
      </c>
      <c r="B259" s="74">
        <v>51351</v>
      </c>
      <c r="C259" s="74">
        <v>59660</v>
      </c>
      <c r="D259" s="74">
        <v>68251</v>
      </c>
      <c r="E259" s="74">
        <v>76421</v>
      </c>
    </row>
    <row r="260" spans="1:5" x14ac:dyDescent="0.2">
      <c r="A260" s="73" t="s">
        <v>276</v>
      </c>
      <c r="B260" s="74">
        <v>70803</v>
      </c>
      <c r="C260" s="74">
        <v>87546</v>
      </c>
      <c r="D260" s="74">
        <v>109987</v>
      </c>
      <c r="E260" s="74">
        <v>154552</v>
      </c>
    </row>
    <row r="261" spans="1:5" x14ac:dyDescent="0.2">
      <c r="A261" s="73" t="s">
        <v>277</v>
      </c>
      <c r="B261" s="73" t="s">
        <v>70</v>
      </c>
      <c r="C261" s="73" t="s">
        <v>70</v>
      </c>
      <c r="D261" s="73" t="s">
        <v>70</v>
      </c>
      <c r="E261" s="74">
        <v>6000</v>
      </c>
    </row>
    <row r="262" spans="1:5" x14ac:dyDescent="0.2">
      <c r="A262" s="73" t="s">
        <v>278</v>
      </c>
      <c r="B262" s="74">
        <v>9384</v>
      </c>
      <c r="C262" s="74">
        <v>10691</v>
      </c>
      <c r="D262" s="74">
        <v>14379</v>
      </c>
      <c r="E262" s="74">
        <v>13500</v>
      </c>
    </row>
    <row r="263" spans="1:5" x14ac:dyDescent="0.2">
      <c r="A263" s="73" t="s">
        <v>67</v>
      </c>
      <c r="B263" s="74">
        <v>57511</v>
      </c>
      <c r="C263" s="74">
        <v>78822</v>
      </c>
      <c r="D263" s="74">
        <v>77252</v>
      </c>
      <c r="E263" s="74">
        <v>146817</v>
      </c>
    </row>
    <row r="264" spans="1:5" x14ac:dyDescent="0.2">
      <c r="A264" s="73" t="s">
        <v>279</v>
      </c>
      <c r="B264" s="74">
        <v>0</v>
      </c>
      <c r="C264" s="74">
        <v>0</v>
      </c>
      <c r="D264" s="74">
        <v>0</v>
      </c>
      <c r="E264" s="74">
        <v>0</v>
      </c>
    </row>
    <row r="265" spans="1:5" x14ac:dyDescent="0.2">
      <c r="A265" s="73" t="s">
        <v>68</v>
      </c>
      <c r="B265" s="74">
        <v>11675</v>
      </c>
      <c r="C265" s="74">
        <v>18097</v>
      </c>
      <c r="D265" s="74">
        <v>26101</v>
      </c>
      <c r="E265" s="74">
        <v>31560</v>
      </c>
    </row>
    <row r="266" spans="1:5" x14ac:dyDescent="0.2">
      <c r="A266" s="73" t="s">
        <v>280</v>
      </c>
      <c r="B266" s="74">
        <v>333779</v>
      </c>
      <c r="C266" s="74">
        <v>364840</v>
      </c>
      <c r="D266" s="74">
        <v>411976</v>
      </c>
      <c r="E266" s="74">
        <v>512163</v>
      </c>
    </row>
    <row r="267" spans="1:5" x14ac:dyDescent="0.2">
      <c r="A267" s="73" t="s">
        <v>77</v>
      </c>
      <c r="B267" s="74">
        <v>15163</v>
      </c>
      <c r="C267" s="74">
        <v>19000</v>
      </c>
      <c r="D267" s="74">
        <v>18095</v>
      </c>
      <c r="E267" s="74">
        <v>21996</v>
      </c>
    </row>
    <row r="268" spans="1:5" x14ac:dyDescent="0.2">
      <c r="A268" s="73" t="s">
        <v>281</v>
      </c>
      <c r="B268" s="74">
        <v>0</v>
      </c>
      <c r="C268" s="74">
        <v>0</v>
      </c>
      <c r="D268" s="74">
        <v>0</v>
      </c>
      <c r="E268" s="74">
        <v>6693</v>
      </c>
    </row>
    <row r="269" spans="1:5" x14ac:dyDescent="0.2">
      <c r="A269" s="73" t="s">
        <v>282</v>
      </c>
      <c r="B269" s="74">
        <v>10057</v>
      </c>
      <c r="C269" s="74">
        <v>10661</v>
      </c>
      <c r="D269" s="74">
        <v>11009</v>
      </c>
      <c r="E269" s="74">
        <v>12564</v>
      </c>
    </row>
    <row r="270" spans="1:5" x14ac:dyDescent="0.2">
      <c r="A270" s="73" t="s">
        <v>283</v>
      </c>
      <c r="B270" s="74">
        <v>2174</v>
      </c>
      <c r="C270" s="74">
        <v>4067</v>
      </c>
      <c r="D270" s="74">
        <v>4152</v>
      </c>
      <c r="E270" s="74">
        <v>5017</v>
      </c>
    </row>
    <row r="271" spans="1:5" x14ac:dyDescent="0.2">
      <c r="A271" s="73" t="s">
        <v>284</v>
      </c>
      <c r="B271" s="74">
        <v>10825</v>
      </c>
      <c r="C271" s="74">
        <v>6037</v>
      </c>
      <c r="D271" s="74">
        <v>8853</v>
      </c>
      <c r="E271" s="74">
        <v>8178</v>
      </c>
    </row>
    <row r="272" spans="1:5" x14ac:dyDescent="0.2">
      <c r="A272" s="73" t="s">
        <v>285</v>
      </c>
      <c r="B272" s="74">
        <v>60495</v>
      </c>
      <c r="C272" s="74">
        <v>65978</v>
      </c>
      <c r="D272" s="74">
        <v>73049</v>
      </c>
      <c r="E272" s="74">
        <v>83402</v>
      </c>
    </row>
    <row r="273" spans="1:5" x14ac:dyDescent="0.2">
      <c r="A273" s="73" t="s">
        <v>286</v>
      </c>
      <c r="B273" s="74">
        <v>88657</v>
      </c>
      <c r="C273" s="74">
        <v>95082</v>
      </c>
      <c r="D273" s="74">
        <v>104149</v>
      </c>
      <c r="E273" s="74">
        <v>125286</v>
      </c>
    </row>
    <row r="274" spans="1:5" x14ac:dyDescent="0.2">
      <c r="A274" s="73" t="s">
        <v>287</v>
      </c>
      <c r="B274" s="74">
        <v>71453</v>
      </c>
      <c r="C274" s="74">
        <v>72363</v>
      </c>
      <c r="D274" s="74">
        <v>70588</v>
      </c>
      <c r="E274" s="74">
        <v>82981</v>
      </c>
    </row>
    <row r="275" spans="1:5" x14ac:dyDescent="0.2">
      <c r="A275" s="73" t="s">
        <v>288</v>
      </c>
      <c r="B275" s="74">
        <v>198</v>
      </c>
      <c r="C275" s="74">
        <v>230</v>
      </c>
      <c r="D275" s="74">
        <v>433</v>
      </c>
      <c r="E275" s="74">
        <v>2618</v>
      </c>
    </row>
    <row r="276" spans="1:5" x14ac:dyDescent="0.2">
      <c r="A276" s="73" t="s">
        <v>209</v>
      </c>
      <c r="B276" s="74">
        <v>0</v>
      </c>
      <c r="C276" s="74">
        <v>0</v>
      </c>
      <c r="D276" s="74">
        <v>0</v>
      </c>
      <c r="E276" s="74">
        <v>0</v>
      </c>
    </row>
    <row r="277" spans="1:5" x14ac:dyDescent="0.2">
      <c r="A277" s="73" t="s">
        <v>92</v>
      </c>
      <c r="B277" s="74">
        <v>31483</v>
      </c>
      <c r="C277" s="74">
        <v>30623</v>
      </c>
      <c r="D277" s="74">
        <v>30583</v>
      </c>
      <c r="E277" s="74">
        <v>32801</v>
      </c>
    </row>
    <row r="278" spans="1:5" x14ac:dyDescent="0.2">
      <c r="A278" s="73" t="s">
        <v>289</v>
      </c>
      <c r="B278" s="74">
        <v>191791</v>
      </c>
      <c r="C278" s="74">
        <v>198298</v>
      </c>
      <c r="D278" s="74">
        <v>205753</v>
      </c>
      <c r="E278" s="74">
        <v>243686</v>
      </c>
    </row>
    <row r="279" spans="1:5" x14ac:dyDescent="0.2">
      <c r="A279" s="73" t="s">
        <v>96</v>
      </c>
      <c r="B279" s="74">
        <v>0</v>
      </c>
      <c r="C279" s="74">
        <v>0</v>
      </c>
      <c r="D279" s="74">
        <v>0</v>
      </c>
      <c r="E279" s="74">
        <v>0</v>
      </c>
    </row>
    <row r="280" spans="1:5" x14ac:dyDescent="0.2">
      <c r="A280" s="73" t="s">
        <v>268</v>
      </c>
      <c r="B280" s="74">
        <v>0</v>
      </c>
      <c r="C280" s="74">
        <v>0</v>
      </c>
      <c r="D280" s="74">
        <v>0</v>
      </c>
      <c r="E280" s="74">
        <v>0</v>
      </c>
    </row>
    <row r="281" spans="1:5" x14ac:dyDescent="0.2">
      <c r="A281" s="73" t="s">
        <v>290</v>
      </c>
      <c r="B281" s="74">
        <v>4.7E-2</v>
      </c>
      <c r="C281" s="74">
        <v>4.7E-2</v>
      </c>
      <c r="D281" s="74">
        <v>4.5999999999999999E-2</v>
      </c>
      <c r="E281" s="74">
        <v>4.5999999999999999E-2</v>
      </c>
    </row>
    <row r="282" spans="1:5" x14ac:dyDescent="0.2">
      <c r="A282" s="73" t="s">
        <v>291</v>
      </c>
      <c r="B282" s="74">
        <v>83110.952999999994</v>
      </c>
      <c r="C282" s="74">
        <v>86938.952999999994</v>
      </c>
      <c r="D282" s="74">
        <v>93717.953999999998</v>
      </c>
      <c r="E282" s="74">
        <v>100922.954</v>
      </c>
    </row>
    <row r="283" spans="1:5" x14ac:dyDescent="0.2">
      <c r="A283" s="73" t="s">
        <v>292</v>
      </c>
      <c r="B283" s="74">
        <v>58877</v>
      </c>
      <c r="C283" s="74">
        <v>79603</v>
      </c>
      <c r="D283" s="74">
        <v>112505</v>
      </c>
      <c r="E283" s="74">
        <v>167554</v>
      </c>
    </row>
    <row r="284" spans="1:5" x14ac:dyDescent="0.2">
      <c r="A284" s="73" t="s">
        <v>293</v>
      </c>
      <c r="B284" s="74">
        <v>0</v>
      </c>
      <c r="C284" s="74">
        <v>0</v>
      </c>
      <c r="D284" s="74">
        <v>0</v>
      </c>
      <c r="E284" s="74">
        <v>0</v>
      </c>
    </row>
    <row r="285" spans="1:5" x14ac:dyDescent="0.2">
      <c r="A285" s="73" t="s">
        <v>107</v>
      </c>
      <c r="B285" s="74">
        <v>141988</v>
      </c>
      <c r="C285" s="74">
        <v>166542</v>
      </c>
      <c r="D285" s="74">
        <v>206223</v>
      </c>
      <c r="E285" s="74">
        <v>268477</v>
      </c>
    </row>
    <row r="286" spans="1:5" x14ac:dyDescent="0.2">
      <c r="A286" s="73" t="s">
        <v>108</v>
      </c>
      <c r="B286" s="74">
        <v>0</v>
      </c>
      <c r="C286" s="74">
        <v>0</v>
      </c>
      <c r="D286" s="74">
        <v>0</v>
      </c>
      <c r="E286" s="74">
        <v>0</v>
      </c>
    </row>
    <row r="287" spans="1:5" x14ac:dyDescent="0.2">
      <c r="A287" s="73" t="s">
        <v>294</v>
      </c>
      <c r="B287" s="74">
        <v>141988</v>
      </c>
      <c r="C287" s="74">
        <v>166542</v>
      </c>
      <c r="D287" s="74">
        <v>206223</v>
      </c>
      <c r="E287" s="74">
        <v>268477</v>
      </c>
    </row>
    <row r="288" spans="1:5" x14ac:dyDescent="0.2">
      <c r="A288" s="73" t="s">
        <v>111</v>
      </c>
      <c r="B288" s="74">
        <v>168088</v>
      </c>
      <c r="C288" s="74">
        <v>198270</v>
      </c>
      <c r="D288" s="74">
        <v>211915</v>
      </c>
      <c r="E288" s="74">
        <v>245122</v>
      </c>
    </row>
    <row r="289" spans="1:5" x14ac:dyDescent="0.2">
      <c r="A289" s="73" t="s">
        <v>112</v>
      </c>
      <c r="B289" s="74">
        <v>41332</v>
      </c>
      <c r="C289" s="74">
        <v>48050</v>
      </c>
      <c r="D289" s="74">
        <v>52211</v>
      </c>
      <c r="E289" s="74">
        <v>54114</v>
      </c>
    </row>
    <row r="290" spans="1:5" x14ac:dyDescent="0.2">
      <c r="A290" s="73" t="s">
        <v>295</v>
      </c>
      <c r="B290" s="74">
        <v>0</v>
      </c>
      <c r="C290" s="74">
        <v>0</v>
      </c>
      <c r="D290" s="74">
        <v>0</v>
      </c>
      <c r="E290" s="74">
        <v>0</v>
      </c>
    </row>
    <row r="291" spans="1:5" x14ac:dyDescent="0.2">
      <c r="A291" s="73" t="s">
        <v>296</v>
      </c>
      <c r="B291" s="74">
        <v>45940</v>
      </c>
      <c r="C291" s="74">
        <v>52111</v>
      </c>
      <c r="D291" s="74">
        <v>56510</v>
      </c>
      <c r="E291" s="74">
        <v>61575</v>
      </c>
    </row>
    <row r="292" spans="1:5" x14ac:dyDescent="0.2">
      <c r="A292" s="73" t="s">
        <v>114</v>
      </c>
      <c r="B292" s="74">
        <v>80816</v>
      </c>
      <c r="C292" s="74">
        <v>98109</v>
      </c>
      <c r="D292" s="74">
        <v>103194</v>
      </c>
      <c r="E292" s="74">
        <v>129433</v>
      </c>
    </row>
    <row r="293" spans="1:5" x14ac:dyDescent="0.2">
      <c r="A293" s="73" t="s">
        <v>297</v>
      </c>
      <c r="B293" s="74">
        <v>10900</v>
      </c>
      <c r="C293" s="74">
        <v>14600</v>
      </c>
      <c r="D293" s="74">
        <v>13500</v>
      </c>
      <c r="E293" s="74">
        <v>20000</v>
      </c>
    </row>
    <row r="294" spans="1:5" x14ac:dyDescent="0.2">
      <c r="A294" s="73" t="s">
        <v>119</v>
      </c>
      <c r="B294" s="74">
        <v>69916</v>
      </c>
      <c r="C294" s="74">
        <v>83509</v>
      </c>
      <c r="D294" s="74">
        <v>89694</v>
      </c>
      <c r="E294" s="74">
        <v>109433</v>
      </c>
    </row>
    <row r="295" spans="1:5" x14ac:dyDescent="0.2">
      <c r="A295" s="73" t="s">
        <v>120</v>
      </c>
      <c r="B295" s="74">
        <v>2330</v>
      </c>
      <c r="C295" s="74">
        <v>2047</v>
      </c>
      <c r="D295" s="74">
        <v>1995</v>
      </c>
      <c r="E295" s="74">
        <v>2983</v>
      </c>
    </row>
    <row r="296" spans="1:5" x14ac:dyDescent="0.2">
      <c r="A296" s="73" t="s">
        <v>298</v>
      </c>
      <c r="B296" s="74">
        <v>3516</v>
      </c>
      <c r="C296" s="74">
        <v>2380</v>
      </c>
      <c r="D296" s="74">
        <v>2783</v>
      </c>
      <c r="E296" s="74">
        <v>1337</v>
      </c>
    </row>
    <row r="297" spans="1:5" x14ac:dyDescent="0.2">
      <c r="A297" s="73" t="s">
        <v>124</v>
      </c>
      <c r="B297" s="73" t="s">
        <v>70</v>
      </c>
      <c r="C297" s="74">
        <v>-126</v>
      </c>
      <c r="D297" s="74">
        <v>-1171</v>
      </c>
      <c r="E297" s="74">
        <v>0</v>
      </c>
    </row>
    <row r="298" spans="1:5" x14ac:dyDescent="0.2">
      <c r="A298" s="73" t="s">
        <v>125</v>
      </c>
      <c r="B298" s="74">
        <v>71102</v>
      </c>
      <c r="C298" s="74">
        <v>83716</v>
      </c>
      <c r="D298" s="74">
        <v>89311</v>
      </c>
      <c r="E298" s="74">
        <v>107787</v>
      </c>
    </row>
    <row r="299" spans="1:5" x14ac:dyDescent="0.2">
      <c r="A299" s="73" t="s">
        <v>128</v>
      </c>
      <c r="B299" s="74">
        <v>9831</v>
      </c>
      <c r="C299" s="74">
        <v>10978</v>
      </c>
      <c r="D299" s="74">
        <v>16950</v>
      </c>
      <c r="E299" s="74">
        <v>19651</v>
      </c>
    </row>
    <row r="300" spans="1:5" x14ac:dyDescent="0.2">
      <c r="A300" s="73" t="s">
        <v>137</v>
      </c>
      <c r="B300" s="74">
        <v>0</v>
      </c>
      <c r="C300" s="74">
        <v>0</v>
      </c>
      <c r="D300" s="74">
        <v>0</v>
      </c>
      <c r="E300" s="74">
        <v>0</v>
      </c>
    </row>
    <row r="301" spans="1:5" x14ac:dyDescent="0.2">
      <c r="A301" s="73" t="s">
        <v>299</v>
      </c>
      <c r="B301" s="74">
        <v>61271</v>
      </c>
      <c r="C301" s="74">
        <v>72738</v>
      </c>
      <c r="D301" s="74">
        <v>72361</v>
      </c>
      <c r="E301" s="74">
        <v>88136</v>
      </c>
    </row>
    <row r="302" spans="1:5" x14ac:dyDescent="0.2">
      <c r="A302" s="73" t="s">
        <v>300</v>
      </c>
      <c r="B302" s="74">
        <v>0</v>
      </c>
      <c r="C302" s="74">
        <v>0</v>
      </c>
      <c r="D302" s="74">
        <v>0</v>
      </c>
      <c r="E302" s="74">
        <v>0</v>
      </c>
    </row>
    <row r="303" spans="1:5" x14ac:dyDescent="0.2">
      <c r="A303" s="73" t="s">
        <v>301</v>
      </c>
      <c r="B303" s="74">
        <v>0</v>
      </c>
      <c r="C303" s="74">
        <v>0</v>
      </c>
      <c r="D303" s="74">
        <v>0</v>
      </c>
      <c r="E303" s="74">
        <v>0</v>
      </c>
    </row>
    <row r="304" spans="1:5" x14ac:dyDescent="0.2">
      <c r="A304" s="73" t="s">
        <v>147</v>
      </c>
      <c r="B304" s="74">
        <v>61271</v>
      </c>
      <c r="C304" s="74">
        <v>72738</v>
      </c>
      <c r="D304" s="74">
        <v>72361</v>
      </c>
      <c r="E304" s="74">
        <v>88136</v>
      </c>
    </row>
    <row r="305" spans="1:5" x14ac:dyDescent="0.2">
      <c r="A305" s="73" t="s">
        <v>302</v>
      </c>
      <c r="B305" s="74">
        <v>0</v>
      </c>
      <c r="C305" s="74">
        <v>0</v>
      </c>
      <c r="D305" s="74">
        <v>0</v>
      </c>
      <c r="E305" s="74">
        <v>0</v>
      </c>
    </row>
    <row r="306" spans="1:5" x14ac:dyDescent="0.2">
      <c r="A306" s="73" t="s">
        <v>303</v>
      </c>
      <c r="B306" s="74">
        <v>8.1199999999999992</v>
      </c>
      <c r="C306" s="74">
        <v>9.6999999999999993</v>
      </c>
      <c r="D306" s="74">
        <v>9.7200000000000006</v>
      </c>
      <c r="E306" s="74">
        <v>11.86</v>
      </c>
    </row>
    <row r="307" spans="1:5" x14ac:dyDescent="0.2">
      <c r="A307" s="73" t="s">
        <v>304</v>
      </c>
      <c r="B307" s="74">
        <v>8.1199999999999992</v>
      </c>
      <c r="C307" s="74">
        <v>9.6999999999999993</v>
      </c>
      <c r="D307" s="74">
        <v>9.7200000000000006</v>
      </c>
      <c r="E307" s="74">
        <v>11.86</v>
      </c>
    </row>
    <row r="308" spans="1:5" x14ac:dyDescent="0.2">
      <c r="A308" s="73" t="s">
        <v>305</v>
      </c>
      <c r="B308" s="74">
        <v>8.0500000000000007</v>
      </c>
      <c r="C308" s="74">
        <v>9.65</v>
      </c>
      <c r="D308" s="74">
        <v>9.68</v>
      </c>
      <c r="E308" s="74">
        <v>11.8</v>
      </c>
    </row>
    <row r="309" spans="1:5" x14ac:dyDescent="0.2">
      <c r="A309" s="73" t="s">
        <v>306</v>
      </c>
      <c r="B309" s="74">
        <v>8.0500000000000007</v>
      </c>
      <c r="C309" s="74">
        <v>9.65</v>
      </c>
      <c r="D309" s="74">
        <v>9.68</v>
      </c>
      <c r="E309" s="74">
        <v>11.8</v>
      </c>
    </row>
    <row r="310" spans="1:5" x14ac:dyDescent="0.2">
      <c r="A310" s="73" t="s">
        <v>307</v>
      </c>
      <c r="B310" s="74">
        <v>7547</v>
      </c>
      <c r="C310" s="74">
        <v>7496</v>
      </c>
      <c r="D310" s="74">
        <v>7446</v>
      </c>
      <c r="E310" s="74">
        <v>7431</v>
      </c>
    </row>
    <row r="311" spans="1:5" x14ac:dyDescent="0.2">
      <c r="A311" s="71" t="s">
        <v>308</v>
      </c>
    </row>
    <row r="312" spans="1:5" x14ac:dyDescent="0.2">
      <c r="A312" s="73" t="s">
        <v>309</v>
      </c>
      <c r="B312" s="74">
        <v>7608</v>
      </c>
      <c r="C312" s="74">
        <v>7540</v>
      </c>
      <c r="D312" s="74">
        <v>7472</v>
      </c>
      <c r="E312" s="74">
        <v>7469</v>
      </c>
    </row>
    <row r="313" spans="1:5" x14ac:dyDescent="0.2">
      <c r="A313" s="73" t="s">
        <v>310</v>
      </c>
      <c r="B313" s="74">
        <v>7519</v>
      </c>
      <c r="C313" s="74">
        <v>7464</v>
      </c>
      <c r="D313" s="74">
        <v>7432</v>
      </c>
      <c r="E313" s="74">
        <v>7434</v>
      </c>
    </row>
    <row r="314" spans="1:5" x14ac:dyDescent="0.2">
      <c r="A314" s="73" t="s">
        <v>158</v>
      </c>
      <c r="B314" s="74">
        <v>76740</v>
      </c>
      <c r="C314" s="74">
        <v>89035</v>
      </c>
      <c r="D314" s="74">
        <v>87582</v>
      </c>
      <c r="E314" s="74">
        <v>118548</v>
      </c>
    </row>
    <row r="315" spans="1:5" x14ac:dyDescent="0.2">
      <c r="A315" s="73" t="s">
        <v>163</v>
      </c>
      <c r="B315" s="74">
        <v>20622</v>
      </c>
      <c r="C315" s="74">
        <v>23886</v>
      </c>
      <c r="D315" s="74">
        <v>28107</v>
      </c>
      <c r="E315" s="74">
        <v>44477</v>
      </c>
    </row>
    <row r="316" spans="1:5" x14ac:dyDescent="0.2">
      <c r="A316" s="73" t="s">
        <v>311</v>
      </c>
      <c r="B316" s="74">
        <v>0</v>
      </c>
      <c r="C316" s="74">
        <v>0</v>
      </c>
      <c r="D316" s="74">
        <v>0</v>
      </c>
      <c r="E316" s="74">
        <v>0</v>
      </c>
    </row>
    <row r="317" spans="1:5" x14ac:dyDescent="0.2">
      <c r="A317" s="73" t="s">
        <v>165</v>
      </c>
      <c r="B317" s="73" t="s">
        <v>70</v>
      </c>
      <c r="C317" s="73" t="s">
        <v>70</v>
      </c>
      <c r="D317" s="73" t="s">
        <v>70</v>
      </c>
      <c r="E317" s="73" t="s">
        <v>70</v>
      </c>
    </row>
    <row r="318" spans="1:5" x14ac:dyDescent="0.2">
      <c r="A318" s="73" t="s">
        <v>312</v>
      </c>
      <c r="B318" s="74">
        <v>-27577</v>
      </c>
      <c r="C318" s="74">
        <v>-30311</v>
      </c>
      <c r="D318" s="74">
        <v>-22680</v>
      </c>
      <c r="E318" s="74">
        <v>-96970</v>
      </c>
    </row>
    <row r="319" spans="1:5" x14ac:dyDescent="0.2">
      <c r="A319" s="73" t="s">
        <v>171</v>
      </c>
      <c r="B319" s="74">
        <v>16521</v>
      </c>
      <c r="C319" s="74">
        <v>18135</v>
      </c>
      <c r="D319" s="74">
        <v>19800</v>
      </c>
      <c r="E319" s="74">
        <v>21771</v>
      </c>
    </row>
    <row r="320" spans="1:5" x14ac:dyDescent="0.2">
      <c r="A320" s="71" t="s">
        <v>313</v>
      </c>
    </row>
    <row r="321" spans="1:5" x14ac:dyDescent="0.2">
      <c r="A321" s="73" t="s">
        <v>314</v>
      </c>
      <c r="B321" s="74">
        <v>2000</v>
      </c>
      <c r="C321" s="74">
        <v>1900</v>
      </c>
      <c r="D321" s="74">
        <v>1700</v>
      </c>
      <c r="E321" s="74">
        <v>1700</v>
      </c>
    </row>
    <row r="322" spans="1:5" x14ac:dyDescent="0.2">
      <c r="A322" s="73" t="s">
        <v>181</v>
      </c>
      <c r="B322" s="74">
        <v>13400</v>
      </c>
      <c r="C322" s="74">
        <v>16000</v>
      </c>
      <c r="D322" s="74">
        <v>23100</v>
      </c>
      <c r="E322" s="74">
        <v>23400</v>
      </c>
    </row>
    <row r="323" spans="1:5" x14ac:dyDescent="0.2">
      <c r="A323" s="73" t="s">
        <v>315</v>
      </c>
      <c r="B323" s="73" t="s">
        <v>70</v>
      </c>
      <c r="C323" s="73" t="s">
        <v>70</v>
      </c>
      <c r="D323" s="73" t="s">
        <v>70</v>
      </c>
      <c r="E323" s="73" t="s">
        <v>70</v>
      </c>
    </row>
    <row r="324" spans="1:5" x14ac:dyDescent="0.2">
      <c r="A324" s="73" t="s">
        <v>316</v>
      </c>
      <c r="B324" s="73" t="s">
        <v>70</v>
      </c>
      <c r="C324" s="73" t="s">
        <v>70</v>
      </c>
      <c r="D324" s="73" t="s">
        <v>70</v>
      </c>
      <c r="E324" s="74">
        <v>5250</v>
      </c>
    </row>
    <row r="325" spans="1:5" x14ac:dyDescent="0.2">
      <c r="A325" s="73" t="s">
        <v>317</v>
      </c>
      <c r="B325" s="73" t="s">
        <v>70</v>
      </c>
      <c r="C325" s="73" t="s">
        <v>70</v>
      </c>
      <c r="D325" s="73" t="s">
        <v>70</v>
      </c>
      <c r="E325" s="73" t="s">
        <v>70</v>
      </c>
    </row>
    <row r="326" spans="1:5" x14ac:dyDescent="0.2">
      <c r="A326" s="73" t="s">
        <v>184</v>
      </c>
      <c r="B326" s="74">
        <v>1</v>
      </c>
      <c r="C326" s="74">
        <v>1</v>
      </c>
      <c r="D326" s="74">
        <v>1</v>
      </c>
      <c r="E326" s="74">
        <v>1</v>
      </c>
    </row>
    <row r="327" spans="1:5" x14ac:dyDescent="0.2">
      <c r="A327" s="73" t="s">
        <v>185</v>
      </c>
      <c r="B327" s="74">
        <v>1500</v>
      </c>
      <c r="C327" s="74">
        <v>1500</v>
      </c>
      <c r="D327" s="74">
        <v>904</v>
      </c>
      <c r="E327" s="74">
        <v>1700</v>
      </c>
    </row>
    <row r="328" spans="1:5" x14ac:dyDescent="0.2">
      <c r="A328" s="73" t="s">
        <v>199</v>
      </c>
      <c r="B328" s="74">
        <v>2.19</v>
      </c>
      <c r="C328" s="74">
        <v>2.42</v>
      </c>
      <c r="D328" s="74">
        <v>2.66</v>
      </c>
      <c r="E328" s="74">
        <v>2.93</v>
      </c>
    </row>
    <row r="329" spans="1:5" x14ac:dyDescent="0.2">
      <c r="A329" s="73" t="s">
        <v>200</v>
      </c>
      <c r="B329" s="74">
        <v>16871</v>
      </c>
      <c r="C329" s="74">
        <v>18552</v>
      </c>
      <c r="D329" s="74">
        <v>20226</v>
      </c>
      <c r="E329" s="74">
        <v>22293</v>
      </c>
    </row>
    <row r="330" spans="1:5" x14ac:dyDescent="0.2">
      <c r="A330" s="73" t="s">
        <v>201</v>
      </c>
      <c r="B330" s="74">
        <v>0</v>
      </c>
      <c r="C330" s="74">
        <v>0</v>
      </c>
      <c r="D330" s="74">
        <v>0</v>
      </c>
      <c r="E330" s="74">
        <v>0</v>
      </c>
    </row>
    <row r="331" spans="1:5" x14ac:dyDescent="0.2">
      <c r="A331" s="73" t="s">
        <v>214</v>
      </c>
      <c r="B331" s="74">
        <v>0</v>
      </c>
      <c r="C331" s="74">
        <v>0</v>
      </c>
      <c r="D331" s="74">
        <v>0</v>
      </c>
      <c r="E331" s="74">
        <v>0</v>
      </c>
    </row>
    <row r="332" spans="1:5" x14ac:dyDescent="0.2">
      <c r="A332" s="73" t="s">
        <v>215</v>
      </c>
      <c r="B332" s="74">
        <v>0</v>
      </c>
      <c r="C332" s="74">
        <v>0</v>
      </c>
      <c r="D332" s="74">
        <v>0</v>
      </c>
      <c r="E332" s="74">
        <v>0</v>
      </c>
    </row>
    <row r="333" spans="1:5" x14ac:dyDescent="0.2">
      <c r="A333" s="73" t="s">
        <v>217</v>
      </c>
      <c r="B333" s="74">
        <v>336.32</v>
      </c>
      <c r="C333" s="74">
        <v>239.82</v>
      </c>
      <c r="D333" s="74">
        <v>376.04</v>
      </c>
      <c r="E333" s="74">
        <v>421.5</v>
      </c>
    </row>
    <row r="334" spans="1:5" x14ac:dyDescent="0.2">
      <c r="A334" s="73" t="s">
        <v>220</v>
      </c>
      <c r="B334" s="74">
        <v>270.89999999999998</v>
      </c>
      <c r="C334" s="74">
        <v>256.83</v>
      </c>
      <c r="D334" s="74">
        <v>340.54</v>
      </c>
      <c r="E334" s="74">
        <v>446.95</v>
      </c>
    </row>
    <row r="335" spans="1:5" x14ac:dyDescent="0.2">
      <c r="A335" s="73" t="s">
        <v>221</v>
      </c>
      <c r="B335" s="74">
        <v>751</v>
      </c>
      <c r="C335" s="74">
        <v>633</v>
      </c>
      <c r="D335" s="74">
        <v>650</v>
      </c>
      <c r="E335" s="74">
        <v>830</v>
      </c>
    </row>
    <row r="336" spans="1:5" x14ac:dyDescent="0.2">
      <c r="A336" s="73" t="s">
        <v>227</v>
      </c>
      <c r="B336" s="74">
        <v>2127</v>
      </c>
      <c r="C336" s="74">
        <v>2461</v>
      </c>
      <c r="D336" s="74">
        <v>2875</v>
      </c>
      <c r="E336" s="74">
        <v>3555</v>
      </c>
    </row>
    <row r="337" spans="1:5" x14ac:dyDescent="0.2">
      <c r="A337" s="73" t="s">
        <v>229</v>
      </c>
      <c r="B337" s="74">
        <v>20716</v>
      </c>
      <c r="C337" s="74">
        <v>24512</v>
      </c>
      <c r="D337" s="74">
        <v>27195</v>
      </c>
      <c r="E337" s="74">
        <v>29510</v>
      </c>
    </row>
  </sheetData>
  <mergeCells count="4">
    <mergeCell ref="I37:K37"/>
    <mergeCell ref="I72:K72"/>
    <mergeCell ref="I89:K89"/>
    <mergeCell ref="I96:K96"/>
  </mergeCells>
  <pageMargins left="0.7" right="0.7" top="0.75" bottom="0.75" header="0.3" footer="0.3"/>
  <pageSetup orientation="portrait" r:id="rId1"/>
  <ignoredErrors>
    <ignoredError sqref="I6:L8 J41:L41 J61:L61 J63:L63"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796E-ED1F-4ADE-B1F5-3FE5C2A62183}">
  <dimension ref="A1:P32"/>
  <sheetViews>
    <sheetView workbookViewId="0"/>
  </sheetViews>
  <sheetFormatPr defaultRowHeight="12.75" x14ac:dyDescent="0.2"/>
  <cols>
    <col min="2" max="2" width="32.7109375" bestFit="1" customWidth="1"/>
    <col min="3" max="3" width="14.85546875" bestFit="1" customWidth="1"/>
    <col min="4" max="4" width="11.42578125" bestFit="1" customWidth="1"/>
  </cols>
  <sheetData>
    <row r="1" spans="1:16" ht="15" x14ac:dyDescent="0.25">
      <c r="A1" s="139"/>
      <c r="C1" s="119" t="s">
        <v>410</v>
      </c>
    </row>
    <row r="2" spans="1:16" ht="15" x14ac:dyDescent="0.25">
      <c r="A2" s="140" t="s">
        <v>411</v>
      </c>
      <c r="C2" s="119"/>
    </row>
    <row r="3" spans="1:16" ht="15" x14ac:dyDescent="0.25">
      <c r="A3" s="140" t="s">
        <v>412</v>
      </c>
      <c r="B3" s="119" t="s">
        <v>413</v>
      </c>
      <c r="C3" s="122">
        <v>3.7199999999999997E-2</v>
      </c>
    </row>
    <row r="4" spans="1:16" ht="15" x14ac:dyDescent="0.25">
      <c r="A4" s="140" t="s">
        <v>414</v>
      </c>
      <c r="B4" s="119" t="s">
        <v>415</v>
      </c>
      <c r="C4" s="123">
        <v>1.07</v>
      </c>
    </row>
    <row r="5" spans="1:16" ht="15" x14ac:dyDescent="0.25">
      <c r="A5" s="140" t="s">
        <v>416</v>
      </c>
      <c r="B5" s="119" t="s">
        <v>417</v>
      </c>
      <c r="C5" s="122">
        <v>0.04</v>
      </c>
    </row>
    <row r="6" spans="1:16" ht="15" x14ac:dyDescent="0.25">
      <c r="A6" s="139"/>
      <c r="B6" s="119" t="s">
        <v>418</v>
      </c>
      <c r="C6" s="88">
        <f>C3+C4*C5</f>
        <v>0.08</v>
      </c>
      <c r="D6" s="145" t="s">
        <v>419</v>
      </c>
      <c r="E6" s="145"/>
      <c r="F6" s="145"/>
      <c r="G6" s="145"/>
      <c r="H6" s="145"/>
      <c r="I6" s="145"/>
      <c r="J6" s="145"/>
      <c r="K6" s="145"/>
      <c r="L6" s="145"/>
      <c r="M6" s="145"/>
      <c r="N6" s="145"/>
      <c r="O6" s="145"/>
      <c r="P6" s="145"/>
    </row>
    <row r="7" spans="1:16" ht="15" x14ac:dyDescent="0.25">
      <c r="A7" s="141"/>
      <c r="B7" s="119"/>
    </row>
    <row r="8" spans="1:16" ht="15" x14ac:dyDescent="0.25">
      <c r="A8" s="140" t="s">
        <v>420</v>
      </c>
      <c r="B8" s="119" t="s">
        <v>421</v>
      </c>
      <c r="C8" s="124" t="s">
        <v>442</v>
      </c>
    </row>
    <row r="9" spans="1:16" ht="15" x14ac:dyDescent="0.25">
      <c r="A9" s="140"/>
      <c r="B9" s="119" t="s">
        <v>423</v>
      </c>
      <c r="C9" s="125">
        <v>0.05</v>
      </c>
    </row>
    <row r="10" spans="1:16" ht="15" x14ac:dyDescent="0.25">
      <c r="A10" s="140"/>
      <c r="B10" s="119" t="s">
        <v>424</v>
      </c>
      <c r="C10" s="88">
        <f>C3+C9*C5</f>
        <v>3.9199999999999999E-2</v>
      </c>
      <c r="D10" s="145" t="s">
        <v>425</v>
      </c>
      <c r="E10" s="145"/>
      <c r="F10" s="145"/>
      <c r="G10" s="145"/>
      <c r="H10" s="145"/>
      <c r="I10" s="145"/>
      <c r="J10" s="145"/>
      <c r="K10" s="145"/>
      <c r="L10" s="145"/>
      <c r="M10" s="145"/>
      <c r="N10" s="145"/>
      <c r="O10" s="145"/>
    </row>
    <row r="11" spans="1:16" ht="15" x14ac:dyDescent="0.25">
      <c r="A11" s="142"/>
      <c r="B11" s="119"/>
    </row>
    <row r="12" spans="1:16" ht="15" x14ac:dyDescent="0.25">
      <c r="A12" s="140" t="s">
        <v>426</v>
      </c>
      <c r="B12" s="119"/>
    </row>
    <row r="13" spans="1:16" ht="15" x14ac:dyDescent="0.25">
      <c r="A13" s="140"/>
      <c r="B13" s="119" t="s">
        <v>46</v>
      </c>
      <c r="C13" s="128">
        <f>Microsoft_Financial_Statements!E7</f>
        <v>75543</v>
      </c>
      <c r="D13" s="119" t="s">
        <v>427</v>
      </c>
    </row>
    <row r="14" spans="1:16" ht="15" x14ac:dyDescent="0.25">
      <c r="A14" s="140"/>
      <c r="B14" s="119" t="s">
        <v>428</v>
      </c>
      <c r="C14" s="129">
        <f>Microsoft_Financial_Statements!E34</f>
        <v>14871</v>
      </c>
      <c r="D14" s="119" t="s">
        <v>427</v>
      </c>
    </row>
    <row r="15" spans="1:16" ht="15" x14ac:dyDescent="0.25">
      <c r="A15" s="140"/>
      <c r="B15" s="119" t="s">
        <v>83</v>
      </c>
      <c r="C15" s="129">
        <f>Microsoft_Financial_Statements!E43</f>
        <v>82981</v>
      </c>
      <c r="D15" s="119" t="s">
        <v>427</v>
      </c>
    </row>
    <row r="16" spans="1:16" ht="15" x14ac:dyDescent="0.25">
      <c r="A16" s="140"/>
      <c r="B16" s="119" t="s">
        <v>429</v>
      </c>
      <c r="C16" s="120">
        <f>C15+C14-C13</f>
        <v>22309</v>
      </c>
      <c r="D16" s="119" t="s">
        <v>427</v>
      </c>
    </row>
    <row r="17" spans="1:8" ht="15" x14ac:dyDescent="0.25">
      <c r="A17" s="142"/>
      <c r="B17" s="119"/>
      <c r="D17" s="119"/>
    </row>
    <row r="18" spans="1:8" ht="15" x14ac:dyDescent="0.25">
      <c r="A18" s="140" t="s">
        <v>430</v>
      </c>
      <c r="B18" s="119" t="s">
        <v>431</v>
      </c>
      <c r="C18" s="126">
        <v>415</v>
      </c>
      <c r="D18" s="119" t="s">
        <v>427</v>
      </c>
    </row>
    <row r="19" spans="1:8" ht="15" x14ac:dyDescent="0.25">
      <c r="A19" s="140"/>
      <c r="B19" s="119" t="s">
        <v>432</v>
      </c>
      <c r="C19" s="138">
        <f>Microsoft_Financial_Statements!E313</f>
        <v>7434</v>
      </c>
      <c r="D19" s="119" t="s">
        <v>433</v>
      </c>
    </row>
    <row r="20" spans="1:8" ht="15" x14ac:dyDescent="0.25">
      <c r="A20" s="140"/>
      <c r="B20" s="119" t="s">
        <v>434</v>
      </c>
      <c r="C20" s="121">
        <f>C19*C18</f>
        <v>3085110</v>
      </c>
      <c r="D20" s="119" t="s">
        <v>427</v>
      </c>
      <c r="E20" s="145"/>
      <c r="F20" s="145"/>
      <c r="G20" s="145"/>
      <c r="H20" s="145"/>
    </row>
    <row r="21" spans="1:8" ht="15" x14ac:dyDescent="0.25">
      <c r="A21" s="140" t="s">
        <v>435</v>
      </c>
      <c r="B21" s="119" t="s">
        <v>436</v>
      </c>
      <c r="C21" s="121">
        <f>C20+C16</f>
        <v>3107419</v>
      </c>
      <c r="D21" s="119" t="s">
        <v>427</v>
      </c>
      <c r="E21" s="145"/>
      <c r="F21" s="145"/>
      <c r="G21" s="145"/>
      <c r="H21" s="145"/>
    </row>
    <row r="22" spans="1:8" ht="15" x14ac:dyDescent="0.25">
      <c r="A22" s="142"/>
      <c r="B22" s="119"/>
    </row>
    <row r="23" spans="1:8" ht="15" x14ac:dyDescent="0.25">
      <c r="A23" s="140" t="s">
        <v>437</v>
      </c>
      <c r="B23" s="119" t="s">
        <v>438</v>
      </c>
      <c r="C23" s="127">
        <v>0.21</v>
      </c>
    </row>
    <row r="24" spans="1:8" ht="15" x14ac:dyDescent="0.25">
      <c r="A24" s="139"/>
      <c r="B24" s="119" t="s">
        <v>439</v>
      </c>
      <c r="C24" s="57">
        <f>C20/C21*C6+C16/C21*C10*(1-C23)</f>
        <v>7.9647986033425169E-2</v>
      </c>
    </row>
    <row r="25" spans="1:8" x14ac:dyDescent="0.2">
      <c r="A25" s="92"/>
    </row>
    <row r="26" spans="1:8" x14ac:dyDescent="0.2">
      <c r="A26" s="92"/>
    </row>
    <row r="27" spans="1:8" x14ac:dyDescent="0.2">
      <c r="A27" s="92"/>
      <c r="C27" s="57"/>
      <c r="E27" s="57"/>
    </row>
    <row r="28" spans="1:8" ht="15" x14ac:dyDescent="0.25">
      <c r="A28" s="141" t="s">
        <v>440</v>
      </c>
      <c r="C28" s="57">
        <f>C20/C21</f>
        <v>0.99282073000132909</v>
      </c>
      <c r="E28" s="57"/>
    </row>
    <row r="29" spans="1:8" ht="15" x14ac:dyDescent="0.25">
      <c r="A29" s="139"/>
      <c r="C29" s="57"/>
    </row>
    <row r="30" spans="1:8" ht="15" x14ac:dyDescent="0.25">
      <c r="A30" s="141" t="s">
        <v>441</v>
      </c>
      <c r="C30" s="57">
        <f>C16/C21</f>
        <v>7.1792699986709231E-3</v>
      </c>
    </row>
    <row r="31" spans="1:8" ht="15" x14ac:dyDescent="0.25">
      <c r="A31" s="139"/>
    </row>
    <row r="32" spans="1:8" ht="15" x14ac:dyDescent="0.25">
      <c r="A32" s="141" t="s">
        <v>439</v>
      </c>
      <c r="C32" s="57">
        <f>C28*C6+C30*C10*(1-C23)</f>
        <v>7.9647986033425169E-2</v>
      </c>
    </row>
  </sheetData>
  <mergeCells count="4">
    <mergeCell ref="D6:P6"/>
    <mergeCell ref="D10:O10"/>
    <mergeCell ref="E20:H20"/>
    <mergeCell ref="E21:H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A923-FD24-4057-A082-E1AF03EDE56E}">
  <dimension ref="A1:L89"/>
  <sheetViews>
    <sheetView zoomScale="130" zoomScaleNormal="130" workbookViewId="0"/>
  </sheetViews>
  <sheetFormatPr defaultColWidth="10.28515625" defaultRowHeight="15" x14ac:dyDescent="0.25"/>
  <cols>
    <col min="1" max="1" width="42.28515625" style="3" customWidth="1"/>
    <col min="2" max="2" width="11" style="3" customWidth="1"/>
    <col min="3" max="3" width="9.85546875" style="3" customWidth="1"/>
    <col min="4" max="8" width="11.28515625" style="3" customWidth="1"/>
    <col min="9" max="9" width="9.85546875" style="3" customWidth="1"/>
    <col min="10" max="16384" width="10.28515625" style="3"/>
  </cols>
  <sheetData>
    <row r="1" spans="1:12" x14ac:dyDescent="0.25">
      <c r="A1" s="2" t="s">
        <v>401</v>
      </c>
    </row>
    <row r="3" spans="1:12" x14ac:dyDescent="0.25">
      <c r="A3" s="4" t="s">
        <v>21</v>
      </c>
      <c r="B3" s="5"/>
      <c r="C3" s="6"/>
      <c r="D3" s="6"/>
      <c r="E3" s="6"/>
      <c r="F3" s="6"/>
      <c r="G3" s="6"/>
      <c r="H3" s="7"/>
      <c r="I3" s="7"/>
      <c r="J3" s="7"/>
    </row>
    <row r="4" spans="1:12" x14ac:dyDescent="0.25">
      <c r="A4" s="8" t="s">
        <v>2</v>
      </c>
      <c r="B4" s="51">
        <v>13855</v>
      </c>
      <c r="C4" s="118" t="s">
        <v>409</v>
      </c>
      <c r="D4" s="10"/>
      <c r="E4" s="9"/>
      <c r="F4" s="6"/>
      <c r="G4" s="10"/>
      <c r="H4" s="7"/>
      <c r="I4" s="7"/>
      <c r="J4" s="7"/>
    </row>
    <row r="5" spans="1:12" x14ac:dyDescent="0.25">
      <c r="A5" s="11" t="s">
        <v>20</v>
      </c>
      <c r="B5" s="12">
        <v>5</v>
      </c>
      <c r="C5" s="47" t="s">
        <v>22</v>
      </c>
      <c r="D5" s="11"/>
      <c r="E5" s="13"/>
      <c r="F5" s="6"/>
      <c r="G5" s="14"/>
      <c r="H5" s="7"/>
      <c r="I5" s="7"/>
      <c r="J5" s="7"/>
    </row>
    <row r="6" spans="1:12" x14ac:dyDescent="0.25">
      <c r="A6" s="11" t="s">
        <v>3</v>
      </c>
      <c r="B6" s="115">
        <f>B4/B5</f>
        <v>2771</v>
      </c>
      <c r="C6" s="47" t="s">
        <v>24</v>
      </c>
      <c r="D6" s="11"/>
      <c r="E6" s="13"/>
      <c r="F6" s="6"/>
      <c r="G6" s="14"/>
      <c r="H6" s="7"/>
      <c r="I6" s="7"/>
      <c r="J6" s="7"/>
    </row>
    <row r="7" spans="1:12" x14ac:dyDescent="0.25">
      <c r="A7" s="3" t="s">
        <v>19</v>
      </c>
      <c r="B7" s="131">
        <f>Microsoft_Financial_Statements!L28</f>
        <v>0.52803501929651353</v>
      </c>
      <c r="C7" s="48" t="s">
        <v>23</v>
      </c>
      <c r="F7" s="6"/>
      <c r="G7" s="14"/>
      <c r="H7" s="7"/>
      <c r="I7" s="7"/>
      <c r="J7" s="16"/>
    </row>
    <row r="8" spans="1:12" x14ac:dyDescent="0.25">
      <c r="A8" s="11" t="s">
        <v>28</v>
      </c>
      <c r="B8" s="135">
        <f>Microsoft_Financial_Statements!L45</f>
        <v>46674</v>
      </c>
      <c r="C8" s="3" t="s">
        <v>30</v>
      </c>
      <c r="D8" s="6"/>
      <c r="E8" s="19"/>
      <c r="F8" s="19"/>
      <c r="G8" s="19"/>
      <c r="H8" s="19"/>
      <c r="I8" s="19"/>
      <c r="J8" s="19"/>
      <c r="K8" s="19"/>
      <c r="L8" s="19"/>
    </row>
    <row r="9" spans="1:12" x14ac:dyDescent="0.25">
      <c r="A9" s="11" t="s">
        <v>29</v>
      </c>
      <c r="B9" s="136">
        <f>Microsoft_Financial_Statements!L69</f>
        <v>0.19041130539078499</v>
      </c>
      <c r="C9" s="9" t="s">
        <v>31</v>
      </c>
      <c r="D9" s="6"/>
      <c r="E9" s="19"/>
      <c r="F9" s="19"/>
      <c r="G9" s="19"/>
      <c r="H9" s="19"/>
      <c r="I9" s="19"/>
      <c r="J9" s="19"/>
      <c r="K9" s="19"/>
      <c r="L9" s="19"/>
    </row>
    <row r="10" spans="1:12" x14ac:dyDescent="0.25">
      <c r="A10" s="11" t="s">
        <v>4</v>
      </c>
      <c r="B10" s="66">
        <f>0.01*C19</f>
        <v>147.07320000000001</v>
      </c>
      <c r="C10" s="20" t="s">
        <v>42</v>
      </c>
      <c r="D10" s="20"/>
      <c r="E10" s="19"/>
      <c r="F10" s="19"/>
      <c r="G10" s="19"/>
      <c r="H10" s="19"/>
      <c r="I10" s="19"/>
      <c r="J10" s="19"/>
      <c r="K10" s="19"/>
      <c r="L10" s="19"/>
    </row>
    <row r="11" spans="1:12" x14ac:dyDescent="0.25">
      <c r="A11" s="21" t="s">
        <v>34</v>
      </c>
      <c r="B11" s="12">
        <v>0</v>
      </c>
      <c r="C11" s="20" t="s">
        <v>36</v>
      </c>
      <c r="D11" s="20"/>
      <c r="E11" s="19"/>
      <c r="F11" s="19"/>
      <c r="G11" s="19"/>
      <c r="H11" s="19"/>
      <c r="I11" s="19"/>
      <c r="J11" s="19"/>
      <c r="K11" s="19"/>
      <c r="L11" s="19"/>
    </row>
    <row r="12" spans="1:12" x14ac:dyDescent="0.25">
      <c r="A12" s="21" t="s">
        <v>5</v>
      </c>
      <c r="B12" s="50">
        <v>0.21</v>
      </c>
      <c r="C12" s="22"/>
      <c r="D12" s="6"/>
      <c r="E12" s="9"/>
      <c r="F12" s="6"/>
      <c r="G12" s="14"/>
      <c r="H12" s="7"/>
      <c r="I12" s="7"/>
      <c r="J12" s="16"/>
    </row>
    <row r="13" spans="1:12" x14ac:dyDescent="0.25">
      <c r="A13" s="21" t="s">
        <v>6</v>
      </c>
      <c r="B13" s="46">
        <v>7.9600000000000004E-2</v>
      </c>
      <c r="C13" s="9"/>
      <c r="D13" s="6"/>
      <c r="E13" s="9"/>
      <c r="F13" s="6"/>
      <c r="G13" s="14"/>
      <c r="H13" s="7"/>
      <c r="I13" s="7"/>
      <c r="J13" s="16"/>
    </row>
    <row r="14" spans="1:12" x14ac:dyDescent="0.25">
      <c r="A14" s="10" t="s">
        <v>33</v>
      </c>
      <c r="B14" s="137">
        <f>Microsoft_Financial_Statements!L3*0.06</f>
        <v>14707.32</v>
      </c>
      <c r="C14" s="13" t="s">
        <v>43</v>
      </c>
      <c r="D14" s="17"/>
      <c r="E14" s="2"/>
      <c r="F14" s="6"/>
      <c r="G14" s="14"/>
      <c r="H14" s="7"/>
      <c r="I14" s="18"/>
      <c r="J14" s="18"/>
      <c r="K14" s="17"/>
      <c r="L14" s="17"/>
    </row>
    <row r="15" spans="1:12" x14ac:dyDescent="0.25">
      <c r="A15" s="45" t="s">
        <v>35</v>
      </c>
      <c r="B15" s="46"/>
      <c r="C15" s="76">
        <v>0.06</v>
      </c>
      <c r="D15" s="76">
        <v>0.15</v>
      </c>
      <c r="E15" s="50">
        <v>0.14000000000000001</v>
      </c>
      <c r="F15" s="49">
        <v>0.1</v>
      </c>
      <c r="G15" s="49">
        <v>0.06</v>
      </c>
      <c r="H15" s="7"/>
      <c r="I15" s="7"/>
      <c r="J15" s="16"/>
    </row>
    <row r="16" spans="1:12" x14ac:dyDescent="0.25">
      <c r="A16" s="7"/>
      <c r="B16" s="23" t="s">
        <v>7</v>
      </c>
      <c r="C16" s="23" t="s">
        <v>7</v>
      </c>
      <c r="D16" s="23" t="s">
        <v>7</v>
      </c>
      <c r="E16" s="23" t="s">
        <v>7</v>
      </c>
      <c r="F16" s="23" t="s">
        <v>7</v>
      </c>
      <c r="G16" s="23" t="s">
        <v>7</v>
      </c>
      <c r="H16" s="23"/>
      <c r="I16" s="23"/>
      <c r="J16" s="16"/>
    </row>
    <row r="17" spans="1:10" x14ac:dyDescent="0.25">
      <c r="A17" s="7"/>
      <c r="B17" s="23">
        <f>DCF_Dell!B17</f>
        <v>2025</v>
      </c>
      <c r="C17" s="23">
        <f>B17+1</f>
        <v>2026</v>
      </c>
      <c r="D17" s="23">
        <f>C17+1</f>
        <v>2027</v>
      </c>
      <c r="E17" s="23">
        <f>D17+1</f>
        <v>2028</v>
      </c>
      <c r="F17" s="23">
        <f>E17+1</f>
        <v>2029</v>
      </c>
      <c r="G17" s="23">
        <f>F17+1</f>
        <v>2030</v>
      </c>
      <c r="H17" s="23"/>
      <c r="I17" s="23"/>
      <c r="J17" s="16"/>
    </row>
    <row r="18" spans="1:10" x14ac:dyDescent="0.25">
      <c r="A18" s="24" t="s">
        <v>8</v>
      </c>
      <c r="B18" s="25">
        <v>0</v>
      </c>
      <c r="C18" s="26">
        <v>1</v>
      </c>
      <c r="D18" s="26">
        <v>2</v>
      </c>
      <c r="E18" s="26">
        <v>3</v>
      </c>
      <c r="F18" s="26">
        <v>4</v>
      </c>
      <c r="G18" s="26">
        <v>5</v>
      </c>
      <c r="H18" s="26"/>
      <c r="I18" s="7"/>
      <c r="J18" s="7"/>
    </row>
    <row r="19" spans="1:10" x14ac:dyDescent="0.25">
      <c r="A19" s="8" t="s">
        <v>32</v>
      </c>
      <c r="B19" s="27"/>
      <c r="C19" s="68">
        <f>B14</f>
        <v>14707.32</v>
      </c>
      <c r="D19" s="68">
        <f>C19*(1+D15)</f>
        <v>16913.417999999998</v>
      </c>
      <c r="E19" s="68">
        <f>D19*(1+E15)</f>
        <v>19281.29652</v>
      </c>
      <c r="F19" s="68">
        <f t="shared" ref="F19:G19" si="0">E19*(1+F15)</f>
        <v>21209.426172000003</v>
      </c>
      <c r="G19" s="68">
        <f t="shared" si="0"/>
        <v>22481.991742320006</v>
      </c>
      <c r="H19" s="28"/>
      <c r="I19" s="28"/>
      <c r="J19" s="7"/>
    </row>
    <row r="20" spans="1:10" x14ac:dyDescent="0.25">
      <c r="A20" s="10" t="s">
        <v>25</v>
      </c>
      <c r="B20" s="29"/>
      <c r="C20" s="69">
        <f>C19*$B$7</f>
        <v>7765.98</v>
      </c>
      <c r="D20" s="69">
        <f>D19*$B$7</f>
        <v>8930.8769999999986</v>
      </c>
      <c r="E20" s="69">
        <f>E19*$B$7</f>
        <v>10181.199779999999</v>
      </c>
      <c r="F20" s="69">
        <f>F19*$B$7</f>
        <v>11199.319758000001</v>
      </c>
      <c r="G20" s="69">
        <f>G19*$B$7</f>
        <v>11871.278943480002</v>
      </c>
      <c r="H20" s="30"/>
      <c r="I20" s="30"/>
      <c r="J20" s="7"/>
    </row>
    <row r="21" spans="1:10" x14ac:dyDescent="0.25">
      <c r="A21" s="10" t="s">
        <v>26</v>
      </c>
      <c r="B21" s="29"/>
      <c r="C21" s="69">
        <f>B6</f>
        <v>2771</v>
      </c>
      <c r="D21" s="69">
        <f>C21</f>
        <v>2771</v>
      </c>
      <c r="E21" s="69">
        <f t="shared" ref="E21:G21" si="1">D21</f>
        <v>2771</v>
      </c>
      <c r="F21" s="69">
        <f t="shared" si="1"/>
        <v>2771</v>
      </c>
      <c r="G21" s="69">
        <f t="shared" si="1"/>
        <v>2771</v>
      </c>
      <c r="H21" s="30"/>
      <c r="I21" s="30"/>
      <c r="J21" s="7"/>
    </row>
    <row r="22" spans="1:10" x14ac:dyDescent="0.25">
      <c r="A22" s="10" t="s">
        <v>27</v>
      </c>
      <c r="B22" s="29"/>
      <c r="C22" s="69">
        <f>(C20-C21)*$B$12</f>
        <v>1048.9458</v>
      </c>
      <c r="D22" s="69">
        <f>(D20-D21)*$B$12</f>
        <v>1293.5741699999996</v>
      </c>
      <c r="E22" s="69">
        <f>(E20-E21)*$B$12</f>
        <v>1556.1419537999998</v>
      </c>
      <c r="F22" s="69">
        <f>(F20-F21)*$B$12</f>
        <v>1769.9471491800002</v>
      </c>
      <c r="G22" s="69">
        <f>(G20-G21)*$B$12</f>
        <v>1911.0585781308002</v>
      </c>
      <c r="H22" s="30"/>
      <c r="I22" s="30"/>
      <c r="J22" s="7"/>
    </row>
    <row r="23" spans="1:10" x14ac:dyDescent="0.25">
      <c r="A23" s="6" t="s">
        <v>9</v>
      </c>
      <c r="B23" s="29"/>
      <c r="C23" s="69">
        <f>(C20-C21)*(1-$B$12)</f>
        <v>3946.0342000000001</v>
      </c>
      <c r="D23" s="69">
        <f t="shared" ref="D23:F23" si="2">(D20-D21)*(1-$B$12)</f>
        <v>4866.3028299999987</v>
      </c>
      <c r="E23" s="69">
        <f t="shared" si="2"/>
        <v>5854.0578261999999</v>
      </c>
      <c r="F23" s="69">
        <f t="shared" si="2"/>
        <v>6658.372608820001</v>
      </c>
      <c r="G23" s="69">
        <f>(G20-G21)*(1-$B$12)</f>
        <v>7189.2203653492015</v>
      </c>
      <c r="H23" s="30"/>
      <c r="I23" s="30"/>
      <c r="J23" s="7"/>
    </row>
    <row r="24" spans="1:10" x14ac:dyDescent="0.25">
      <c r="A24" s="10"/>
      <c r="B24" s="30"/>
      <c r="C24" s="30"/>
      <c r="D24" s="30"/>
      <c r="E24" s="30"/>
      <c r="F24" s="30"/>
      <c r="G24" s="30"/>
      <c r="H24" s="31"/>
      <c r="I24" s="31"/>
      <c r="J24" s="7"/>
    </row>
    <row r="25" spans="1:10" x14ac:dyDescent="0.25">
      <c r="A25" s="32" t="s">
        <v>10</v>
      </c>
      <c r="B25" s="30"/>
      <c r="C25" s="30"/>
      <c r="D25" s="30"/>
      <c r="E25" s="30"/>
      <c r="F25" s="30"/>
      <c r="G25" s="30"/>
      <c r="H25" s="30"/>
      <c r="I25" s="31"/>
      <c r="J25" s="7"/>
    </row>
    <row r="26" spans="1:10" x14ac:dyDescent="0.25">
      <c r="A26" s="6" t="s">
        <v>11</v>
      </c>
      <c r="B26" s="69">
        <f>B10</f>
        <v>147.07320000000001</v>
      </c>
      <c r="C26" s="69">
        <f>C19*$B$9</f>
        <v>2800.44</v>
      </c>
      <c r="D26" s="69">
        <f>D19*$B$9</f>
        <v>3220.5059999999994</v>
      </c>
      <c r="E26" s="69">
        <f t="shared" ref="E26:F26" si="3">E19*$B$9</f>
        <v>3671.3768399999999</v>
      </c>
      <c r="F26" s="69">
        <f t="shared" si="3"/>
        <v>4038.5145240000006</v>
      </c>
      <c r="G26" s="30">
        <v>0</v>
      </c>
      <c r="H26" s="30"/>
      <c r="I26" s="31"/>
      <c r="J26" s="7"/>
    </row>
    <row r="27" spans="1:10" x14ac:dyDescent="0.25">
      <c r="A27" s="6" t="s">
        <v>12</v>
      </c>
      <c r="B27" s="30"/>
      <c r="C27" s="69">
        <f>C26-B26</f>
        <v>2653.3668000000002</v>
      </c>
      <c r="D27" s="69">
        <f>D26-C26</f>
        <v>420.06599999999935</v>
      </c>
      <c r="E27" s="69">
        <f t="shared" ref="E27:F27" si="4">E26-D26</f>
        <v>450.8708400000005</v>
      </c>
      <c r="F27" s="69">
        <f t="shared" si="4"/>
        <v>367.13768400000072</v>
      </c>
      <c r="G27" s="69">
        <f>G26-F26</f>
        <v>-4038.5145240000006</v>
      </c>
      <c r="H27" s="30"/>
      <c r="I27" s="31"/>
      <c r="J27" s="7"/>
    </row>
    <row r="28" spans="1:10" x14ac:dyDescent="0.25">
      <c r="A28" s="6" t="s">
        <v>13</v>
      </c>
      <c r="B28" s="30"/>
      <c r="C28" s="69">
        <f>-C27</f>
        <v>-2653.3668000000002</v>
      </c>
      <c r="D28" s="69">
        <f t="shared" ref="D28:G28" si="5">-D27</f>
        <v>-420.06599999999935</v>
      </c>
      <c r="E28" s="69">
        <f t="shared" si="5"/>
        <v>-450.8708400000005</v>
      </c>
      <c r="F28" s="69">
        <f t="shared" si="5"/>
        <v>-367.13768400000072</v>
      </c>
      <c r="G28" s="69">
        <f t="shared" si="5"/>
        <v>4038.5145240000006</v>
      </c>
      <c r="H28" s="30"/>
      <c r="I28" s="31"/>
      <c r="J28" s="7"/>
    </row>
    <row r="29" spans="1:10" x14ac:dyDescent="0.25">
      <c r="A29" s="7"/>
      <c r="B29" s="31"/>
      <c r="C29" s="31"/>
      <c r="D29" s="31"/>
      <c r="E29" s="31"/>
      <c r="F29" s="31"/>
      <c r="G29" s="31"/>
      <c r="H29" s="31"/>
      <c r="I29" s="31"/>
      <c r="J29" s="7"/>
    </row>
    <row r="30" spans="1:10" x14ac:dyDescent="0.25">
      <c r="A30" s="33" t="s">
        <v>37</v>
      </c>
      <c r="B30" s="30"/>
      <c r="C30" s="30"/>
      <c r="D30" s="30"/>
      <c r="E30" s="30"/>
      <c r="F30" s="30"/>
      <c r="G30" s="30"/>
      <c r="H30" s="30"/>
      <c r="I30" s="31"/>
      <c r="J30" s="7"/>
    </row>
    <row r="31" spans="1:10" x14ac:dyDescent="0.25">
      <c r="A31" s="6" t="s">
        <v>9</v>
      </c>
      <c r="B31" s="52"/>
      <c r="C31" s="69">
        <f>(C20-C21)*(1-$B$12)</f>
        <v>3946.0342000000001</v>
      </c>
      <c r="D31" s="69">
        <f t="shared" ref="D31:G31" si="6">(D20-D21)*(1-$B$12)</f>
        <v>4866.3028299999987</v>
      </c>
      <c r="E31" s="69">
        <f t="shared" si="6"/>
        <v>5854.0578261999999</v>
      </c>
      <c r="F31" s="69">
        <f t="shared" si="6"/>
        <v>6658.372608820001</v>
      </c>
      <c r="G31" s="69">
        <f t="shared" si="6"/>
        <v>7189.2203653492015</v>
      </c>
      <c r="H31" s="30"/>
      <c r="I31" s="31"/>
      <c r="J31" s="7"/>
    </row>
    <row r="32" spans="1:10" x14ac:dyDescent="0.25">
      <c r="A32" s="6" t="s">
        <v>41</v>
      </c>
      <c r="B32" s="30"/>
      <c r="C32" s="69">
        <f>C21</f>
        <v>2771</v>
      </c>
      <c r="D32" s="69">
        <f t="shared" ref="D32:G32" si="7">D21</f>
        <v>2771</v>
      </c>
      <c r="E32" s="69">
        <f t="shared" si="7"/>
        <v>2771</v>
      </c>
      <c r="F32" s="69">
        <f t="shared" si="7"/>
        <v>2771</v>
      </c>
      <c r="G32" s="69">
        <f t="shared" si="7"/>
        <v>2771</v>
      </c>
      <c r="H32" s="30"/>
      <c r="I32" s="31"/>
      <c r="J32" s="7"/>
    </row>
    <row r="33" spans="1:10" x14ac:dyDescent="0.25">
      <c r="A33" s="6" t="s">
        <v>39</v>
      </c>
      <c r="B33" s="30"/>
      <c r="C33" s="69">
        <f>C27</f>
        <v>2653.3668000000002</v>
      </c>
      <c r="D33" s="69">
        <f t="shared" ref="D33:G33" si="8">D27</f>
        <v>420.06599999999935</v>
      </c>
      <c r="E33" s="69">
        <f t="shared" si="8"/>
        <v>450.8708400000005</v>
      </c>
      <c r="F33" s="69">
        <f t="shared" si="8"/>
        <v>367.13768400000072</v>
      </c>
      <c r="G33" s="69">
        <f t="shared" si="8"/>
        <v>-4038.5145240000006</v>
      </c>
      <c r="H33" s="30"/>
      <c r="I33" s="31"/>
      <c r="J33" s="7"/>
    </row>
    <row r="34" spans="1:10" x14ac:dyDescent="0.25">
      <c r="A34" s="6" t="s">
        <v>40</v>
      </c>
      <c r="B34" s="30">
        <f>B4</f>
        <v>13855</v>
      </c>
      <c r="C34" s="30">
        <v>0</v>
      </c>
      <c r="D34" s="30">
        <v>0</v>
      </c>
      <c r="E34" s="30">
        <v>0</v>
      </c>
      <c r="F34" s="30">
        <v>0</v>
      </c>
      <c r="G34" s="30">
        <v>0</v>
      </c>
      <c r="H34" s="30"/>
      <c r="I34" s="31"/>
      <c r="J34" s="7"/>
    </row>
    <row r="35" spans="1:10" x14ac:dyDescent="0.25">
      <c r="A35" s="34" t="s">
        <v>14</v>
      </c>
      <c r="B35" s="69">
        <f>-(B34+B26)</f>
        <v>-14002.073200000001</v>
      </c>
      <c r="C35" s="69">
        <f>C31+C32-C33-C34</f>
        <v>4063.6673999999998</v>
      </c>
      <c r="D35" s="69">
        <f t="shared" ref="D35:G35" si="9">D31+D32-D33-D34</f>
        <v>7217.2368299999998</v>
      </c>
      <c r="E35" s="69">
        <f t="shared" si="9"/>
        <v>8174.1869861999994</v>
      </c>
      <c r="F35" s="69">
        <f t="shared" si="9"/>
        <v>9062.2349248200007</v>
      </c>
      <c r="G35" s="69">
        <f t="shared" si="9"/>
        <v>13998.734889349202</v>
      </c>
      <c r="H35" s="30"/>
      <c r="I35" s="31"/>
      <c r="J35" s="7"/>
    </row>
    <row r="36" spans="1:10" x14ac:dyDescent="0.25">
      <c r="A36" s="6"/>
      <c r="B36" s="30"/>
      <c r="C36" s="30"/>
      <c r="D36" s="30"/>
      <c r="E36" s="30"/>
      <c r="F36" s="30"/>
      <c r="G36" s="30"/>
      <c r="H36" s="30"/>
      <c r="I36" s="31"/>
      <c r="J36" s="7"/>
    </row>
    <row r="37" spans="1:10" x14ac:dyDescent="0.25">
      <c r="A37" s="6" t="s">
        <v>15</v>
      </c>
      <c r="B37" s="35">
        <f>(1/(1+$B$13)^B18)</f>
        <v>1</v>
      </c>
      <c r="C37" s="35">
        <f>(1/(1+$B$13)^C18)</f>
        <v>0.92626898851426442</v>
      </c>
      <c r="D37" s="35">
        <f t="shared" ref="D37:G37" si="10">(1/(1+$B$13)^D18)</f>
        <v>0.85797423908323855</v>
      </c>
      <c r="E37" s="35">
        <f t="shared" si="10"/>
        <v>0.79471493060692699</v>
      </c>
      <c r="F37" s="35">
        <f t="shared" si="10"/>
        <v>0.7361197949304622</v>
      </c>
      <c r="G37" s="35">
        <f t="shared" si="10"/>
        <v>0.68184493787556699</v>
      </c>
      <c r="H37" s="35"/>
      <c r="I37" s="31"/>
      <c r="J37" s="7"/>
    </row>
    <row r="38" spans="1:10" x14ac:dyDescent="0.25">
      <c r="A38" s="6" t="s">
        <v>16</v>
      </c>
      <c r="B38" s="30">
        <f>B35*B37</f>
        <v>-14002.073200000001</v>
      </c>
      <c r="C38" s="30">
        <f>C35*C37</f>
        <v>3764.0490922563904</v>
      </c>
      <c r="D38" s="30">
        <f t="shared" ref="D38:G38" si="11">D35*D37</f>
        <v>6192.2032775027747</v>
      </c>
      <c r="E38" s="30">
        <f t="shared" si="11"/>
        <v>6496.1484435059783</v>
      </c>
      <c r="F38" s="30">
        <f t="shared" si="11"/>
        <v>6670.8905144701712</v>
      </c>
      <c r="G38" s="30">
        <f t="shared" si="11"/>
        <v>9544.9665209648392</v>
      </c>
      <c r="H38" s="30"/>
      <c r="I38" s="31"/>
      <c r="J38" s="7"/>
    </row>
    <row r="39" spans="1:10" x14ac:dyDescent="0.25">
      <c r="A39" s="36" t="s">
        <v>17</v>
      </c>
      <c r="B39" s="37">
        <f>B35+NPV(B13,C35,D35,E35,F35,G35)</f>
        <v>18666.184648700153</v>
      </c>
      <c r="C39" s="31"/>
      <c r="D39" s="31"/>
      <c r="E39" s="31"/>
      <c r="F39" s="31"/>
      <c r="G39" s="31"/>
      <c r="H39" s="31"/>
      <c r="I39" s="31"/>
      <c r="J39" s="7"/>
    </row>
    <row r="40" spans="1:10" x14ac:dyDescent="0.25">
      <c r="B40" s="38"/>
      <c r="C40" s="38"/>
      <c r="D40" s="38"/>
      <c r="E40" s="38"/>
      <c r="F40" s="38"/>
      <c r="G40" s="38"/>
      <c r="H40" s="38"/>
      <c r="I40" s="31"/>
      <c r="J40" s="7"/>
    </row>
    <row r="41" spans="1:10" x14ac:dyDescent="0.25">
      <c r="B41" s="39"/>
      <c r="C41" s="39"/>
      <c r="D41" s="39"/>
      <c r="E41" s="39"/>
      <c r="F41" s="39"/>
      <c r="G41" s="39"/>
      <c r="H41" s="39"/>
      <c r="I41" s="40"/>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1"/>
      <c r="C54" s="41"/>
      <c r="D54" s="41"/>
      <c r="E54" s="41"/>
      <c r="F54" s="41"/>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2"/>
      <c r="C64" s="41"/>
      <c r="D64" s="41"/>
      <c r="E64" s="43"/>
      <c r="F64" s="7"/>
      <c r="G64" s="7"/>
      <c r="H64" s="7"/>
      <c r="I64" s="7"/>
      <c r="J64" s="7"/>
    </row>
    <row r="65" spans="1:10" x14ac:dyDescent="0.25">
      <c r="A65" s="42"/>
      <c r="C65" s="41"/>
      <c r="D65" s="41"/>
      <c r="E65" s="43"/>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1"/>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Dell's_Financial_Statements</vt:lpstr>
      <vt:lpstr>Dell_Cost-of-Capital</vt:lpstr>
      <vt:lpstr>DCF_Dell</vt:lpstr>
      <vt:lpstr>Microsoft_Financial_Statements</vt:lpstr>
      <vt:lpstr>MSFT_Cost-of-Capital</vt:lpstr>
      <vt:lpstr>DCF_Microsoft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dc:creator>
  <cp:lastModifiedBy>Matthias Benitez</cp:lastModifiedBy>
  <dcterms:created xsi:type="dcterms:W3CDTF">2025-10-16T22:31:13Z</dcterms:created>
  <dcterms:modified xsi:type="dcterms:W3CDTF">2026-09-02T15:58:33Z</dcterms:modified>
</cp:coreProperties>
</file>