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mar\MATLAB Drive\CleaningUpPressCurveData\"/>
    </mc:Choice>
  </mc:AlternateContent>
  <xr:revisionPtr revIDLastSave="0" documentId="13_ncr:1_{2065A0F6-899D-47B3-AF68-6BC0E745A2C3}" xr6:coauthVersionLast="47" xr6:coauthVersionMax="47" xr10:uidLastSave="{00000000-0000-0000-0000-000000000000}"/>
  <bookViews>
    <workbookView xWindow="-24120" yWindow="-120" windowWidth="24240" windowHeight="13140" firstSheet="1" activeTab="1" xr2:uid="{618E22D6-D3EE-4285-BE1C-BF47BBB3E67E}"/>
  </bookViews>
  <sheets>
    <sheet name="AllPaper1Data" sheetId="5" r:id="rId1"/>
    <sheet name="Paper1" sheetId="7" r:id="rId2"/>
    <sheet name="Pressing Batch 2" sheetId="1" r:id="rId3"/>
    <sheet name="Pressing Batch 3" sheetId="2" r:id="rId4"/>
    <sheet name="Pressing Batch 4" sheetId="3" r:id="rId5"/>
    <sheet name="Pressing Batch 6" sheetId="4" r:id="rId6"/>
    <sheet name="Pressing Batch 9" sheetId="10" r:id="rId7"/>
    <sheet name="Paper2" sheetId="6" r:id="rId8"/>
    <sheet name="Pressing UV5" sheetId="8" r:id="rId9"/>
    <sheet name="Pressing UV 1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6" i="7" l="1"/>
  <c r="BD15" i="7"/>
  <c r="BD14" i="7"/>
  <c r="BD13" i="7"/>
  <c r="BD12" i="7"/>
  <c r="BC16" i="7"/>
  <c r="BC15" i="7"/>
  <c r="BC14" i="7"/>
  <c r="BC13" i="7"/>
  <c r="BC12" i="7"/>
  <c r="BC8" i="7"/>
  <c r="BC7" i="7"/>
  <c r="BC6" i="7"/>
  <c r="BC5" i="7"/>
  <c r="BC4" i="7"/>
  <c r="BD8" i="7"/>
  <c r="BD7" i="7"/>
  <c r="BD6" i="7"/>
  <c r="BD5" i="7"/>
  <c r="BD4" i="7"/>
  <c r="P27" i="7"/>
  <c r="R21" i="7"/>
  <c r="Q21" i="7"/>
  <c r="P21" i="7"/>
  <c r="P19" i="7"/>
  <c r="Q18" i="7"/>
  <c r="P15" i="7"/>
  <c r="P18" i="7"/>
  <c r="P3" i="7"/>
  <c r="P5" i="7"/>
  <c r="P6" i="7"/>
  <c r="P7" i="7"/>
  <c r="P8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K47" i="8" l="1"/>
  <c r="K48" i="8"/>
  <c r="K49" i="8"/>
  <c r="K46" i="8"/>
  <c r="J40" i="8"/>
  <c r="I40" i="8"/>
  <c r="I39" i="8"/>
  <c r="J39" i="8"/>
  <c r="J33" i="8"/>
  <c r="AI11" i="8"/>
  <c r="AW10" i="6"/>
  <c r="AN103" i="6"/>
  <c r="BK12" i="6" s="1"/>
  <c r="BI23" i="6"/>
  <c r="Y107" i="6"/>
  <c r="AA107" i="6"/>
  <c r="AB107" i="6"/>
  <c r="AN107" i="6"/>
  <c r="BK16" i="6" s="1"/>
  <c r="AO107" i="6"/>
  <c r="BJ16" i="6" s="1"/>
  <c r="Y108" i="6"/>
  <c r="AB108" i="6"/>
  <c r="AH108" i="6"/>
  <c r="AN108" i="6"/>
  <c r="BK25" i="6" s="1"/>
  <c r="AO108" i="6"/>
  <c r="BJ25" i="6" s="1"/>
  <c r="Y109" i="6"/>
  <c r="Z109" i="6"/>
  <c r="AB109" i="6"/>
  <c r="AN109" i="6"/>
  <c r="AO109" i="6"/>
  <c r="Y110" i="6"/>
  <c r="AB110" i="6"/>
  <c r="AN110" i="6"/>
  <c r="AO110" i="6"/>
  <c r="Y103" i="6"/>
  <c r="AB103" i="6"/>
  <c r="AO103" i="6"/>
  <c r="BJ12" i="6" s="1"/>
  <c r="Y104" i="6"/>
  <c r="Z104" i="6"/>
  <c r="AB104" i="6"/>
  <c r="AN104" i="6"/>
  <c r="BK21" i="6" s="1"/>
  <c r="AO104" i="6"/>
  <c r="BJ21" i="6" s="1"/>
  <c r="Y105" i="6"/>
  <c r="AB105" i="6"/>
  <c r="AD105" i="6"/>
  <c r="AG105" i="6"/>
  <c r="AN105" i="6"/>
  <c r="AO105" i="6"/>
  <c r="Y106" i="6"/>
  <c r="AB106" i="6"/>
  <c r="AN106" i="6"/>
  <c r="AO106" i="6"/>
  <c r="Y99" i="6"/>
  <c r="AB99" i="6"/>
  <c r="AF99" i="6"/>
  <c r="AH99" i="6"/>
  <c r="AN99" i="6"/>
  <c r="BK15" i="6" s="1"/>
  <c r="AO99" i="6"/>
  <c r="BJ15" i="6" s="1"/>
  <c r="Y100" i="6"/>
  <c r="AB100" i="6"/>
  <c r="AD100" i="6"/>
  <c r="AN100" i="6"/>
  <c r="BK24" i="6" s="1"/>
  <c r="AO100" i="6"/>
  <c r="BJ24" i="6" s="1"/>
  <c r="Y101" i="6"/>
  <c r="AB101" i="6"/>
  <c r="AH101" i="6"/>
  <c r="AN101" i="6"/>
  <c r="AO101" i="6"/>
  <c r="Y102" i="6"/>
  <c r="AB102" i="6"/>
  <c r="AF102" i="6"/>
  <c r="AN102" i="6"/>
  <c r="AO102" i="6"/>
  <c r="Y95" i="6"/>
  <c r="Z95" i="6"/>
  <c r="AA95" i="6"/>
  <c r="AB95" i="6"/>
  <c r="AN95" i="6"/>
  <c r="AO95" i="6"/>
  <c r="Y96" i="6"/>
  <c r="AB96" i="6"/>
  <c r="AH96" i="6"/>
  <c r="AN96" i="6"/>
  <c r="BK20" i="6" s="1"/>
  <c r="AO96" i="6"/>
  <c r="BJ20" i="6" s="1"/>
  <c r="Y97" i="6"/>
  <c r="Z97" i="6"/>
  <c r="AB97" i="6"/>
  <c r="AN97" i="6"/>
  <c r="AO97" i="6"/>
  <c r="Y98" i="6"/>
  <c r="AB98" i="6"/>
  <c r="AN98" i="6"/>
  <c r="AO98" i="6"/>
  <c r="X110" i="6"/>
  <c r="X109" i="6"/>
  <c r="X108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Y91" i="6"/>
  <c r="AB91" i="6"/>
  <c r="AN91" i="6"/>
  <c r="BK11" i="6" s="1"/>
  <c r="AO91" i="6"/>
  <c r="BJ11" i="6" s="1"/>
  <c r="X91" i="6"/>
  <c r="AO94" i="6"/>
  <c r="AN94" i="6"/>
  <c r="AB94" i="6"/>
  <c r="Y94" i="6"/>
  <c r="AO93" i="6"/>
  <c r="AN93" i="6"/>
  <c r="AB93" i="6"/>
  <c r="Y93" i="6"/>
  <c r="AO92" i="6"/>
  <c r="BJ23" i="6" s="1"/>
  <c r="AN92" i="6"/>
  <c r="BK23" i="6" s="1"/>
  <c r="AB92" i="6"/>
  <c r="Y92" i="6"/>
  <c r="X84" i="6"/>
  <c r="N110" i="6"/>
  <c r="M110" i="6"/>
  <c r="AG110" i="6" s="1"/>
  <c r="L110" i="6"/>
  <c r="I110" i="6"/>
  <c r="J110" i="6" s="1"/>
  <c r="F110" i="6"/>
  <c r="G110" i="6" s="1"/>
  <c r="N109" i="6"/>
  <c r="M109" i="6"/>
  <c r="L109" i="6"/>
  <c r="I109" i="6"/>
  <c r="J109" i="6" s="1"/>
  <c r="K109" i="6" s="1"/>
  <c r="F109" i="6"/>
  <c r="G109" i="6" s="1"/>
  <c r="N108" i="6"/>
  <c r="M108" i="6"/>
  <c r="L108" i="6"/>
  <c r="AF110" i="6" s="1"/>
  <c r="I108" i="6"/>
  <c r="J108" i="6" s="1"/>
  <c r="AD108" i="6" s="1"/>
  <c r="F108" i="6"/>
  <c r="G108" i="6" s="1"/>
  <c r="N107" i="6"/>
  <c r="AH109" i="6" s="1"/>
  <c r="M107" i="6"/>
  <c r="AG109" i="6" s="1"/>
  <c r="L107" i="6"/>
  <c r="AF109" i="6" s="1"/>
  <c r="I107" i="6"/>
  <c r="J107" i="6" s="1"/>
  <c r="AD109" i="6" s="1"/>
  <c r="F107" i="6"/>
  <c r="G107" i="6" s="1"/>
  <c r="AA110" i="6" s="1"/>
  <c r="N106" i="6"/>
  <c r="M106" i="6"/>
  <c r="L106" i="6"/>
  <c r="I106" i="6"/>
  <c r="J106" i="6" s="1"/>
  <c r="F106" i="6"/>
  <c r="G106" i="6" s="1"/>
  <c r="N105" i="6"/>
  <c r="AH104" i="6" s="1"/>
  <c r="M105" i="6"/>
  <c r="L105" i="6"/>
  <c r="I105" i="6"/>
  <c r="J105" i="6" s="1"/>
  <c r="F105" i="6"/>
  <c r="G105" i="6" s="1"/>
  <c r="N104" i="6"/>
  <c r="M104" i="6"/>
  <c r="L104" i="6"/>
  <c r="I104" i="6"/>
  <c r="J104" i="6" s="1"/>
  <c r="AD103" i="6" s="1"/>
  <c r="F104" i="6"/>
  <c r="G104" i="6" s="1"/>
  <c r="AA103" i="6" s="1"/>
  <c r="N103" i="6"/>
  <c r="AH105" i="6" s="1"/>
  <c r="M103" i="6"/>
  <c r="AG103" i="6" s="1"/>
  <c r="L103" i="6"/>
  <c r="AF103" i="6" s="1"/>
  <c r="I103" i="6"/>
  <c r="J103" i="6" s="1"/>
  <c r="K103" i="6" s="1"/>
  <c r="F103" i="6"/>
  <c r="G103" i="6" s="1"/>
  <c r="AA104" i="6" s="1"/>
  <c r="N102" i="6"/>
  <c r="M102" i="6"/>
  <c r="L102" i="6"/>
  <c r="I102" i="6"/>
  <c r="J102" i="6" s="1"/>
  <c r="F102" i="6"/>
  <c r="G102" i="6" s="1"/>
  <c r="N101" i="6"/>
  <c r="M101" i="6"/>
  <c r="AG101" i="6" s="1"/>
  <c r="L101" i="6"/>
  <c r="I101" i="6"/>
  <c r="J101" i="6" s="1"/>
  <c r="K101" i="6" s="1"/>
  <c r="F101" i="6"/>
  <c r="G101" i="6" s="1"/>
  <c r="AA100" i="6" s="1"/>
  <c r="N100" i="6"/>
  <c r="M100" i="6"/>
  <c r="L100" i="6"/>
  <c r="I100" i="6"/>
  <c r="J100" i="6" s="1"/>
  <c r="K100" i="6" s="1"/>
  <c r="F100" i="6"/>
  <c r="G100" i="6" s="1"/>
  <c r="N99" i="6"/>
  <c r="AH102" i="6" s="1"/>
  <c r="M99" i="6"/>
  <c r="AG102" i="6" s="1"/>
  <c r="L99" i="6"/>
  <c r="AF100" i="6" s="1"/>
  <c r="I99" i="6"/>
  <c r="J99" i="6" s="1"/>
  <c r="AD101" i="6" s="1"/>
  <c r="F99" i="6"/>
  <c r="G99" i="6" s="1"/>
  <c r="AA101" i="6" s="1"/>
  <c r="N98" i="6"/>
  <c r="M98" i="6"/>
  <c r="AG98" i="6" s="1"/>
  <c r="L98" i="6"/>
  <c r="I98" i="6"/>
  <c r="J98" i="6" s="1"/>
  <c r="K98" i="6" s="1"/>
  <c r="F98" i="6"/>
  <c r="G98" i="6" s="1"/>
  <c r="N97" i="6"/>
  <c r="M97" i="6"/>
  <c r="L97" i="6"/>
  <c r="I97" i="6"/>
  <c r="J97" i="6" s="1"/>
  <c r="F97" i="6"/>
  <c r="G97" i="6" s="1"/>
  <c r="N96" i="6"/>
  <c r="M96" i="6"/>
  <c r="L96" i="6"/>
  <c r="AF98" i="6" s="1"/>
  <c r="I96" i="6"/>
  <c r="J96" i="6" s="1"/>
  <c r="AD96" i="6" s="1"/>
  <c r="F96" i="6"/>
  <c r="G96" i="6" s="1"/>
  <c r="N95" i="6"/>
  <c r="AH97" i="6" s="1"/>
  <c r="M95" i="6"/>
  <c r="AG97" i="6" s="1"/>
  <c r="L95" i="6"/>
  <c r="AF97" i="6" s="1"/>
  <c r="I95" i="6"/>
  <c r="J95" i="6" s="1"/>
  <c r="K95" i="6" s="1"/>
  <c r="F95" i="6"/>
  <c r="G95" i="6" s="1"/>
  <c r="AA98" i="6" s="1"/>
  <c r="N94" i="6"/>
  <c r="M94" i="6"/>
  <c r="L94" i="6"/>
  <c r="I94" i="6"/>
  <c r="J94" i="6" s="1"/>
  <c r="F94" i="6"/>
  <c r="G94" i="6" s="1"/>
  <c r="N93" i="6"/>
  <c r="AH92" i="6" s="1"/>
  <c r="M93" i="6"/>
  <c r="L93" i="6"/>
  <c r="I93" i="6"/>
  <c r="J93" i="6" s="1"/>
  <c r="K93" i="6" s="1"/>
  <c r="F93" i="6"/>
  <c r="G93" i="6" s="1"/>
  <c r="N92" i="6"/>
  <c r="M92" i="6"/>
  <c r="L92" i="6"/>
  <c r="I92" i="6"/>
  <c r="J92" i="6" s="1"/>
  <c r="K92" i="6" s="1"/>
  <c r="F92" i="6"/>
  <c r="G92" i="6" s="1"/>
  <c r="AA94" i="6" s="1"/>
  <c r="N91" i="6"/>
  <c r="AH94" i="6" s="1"/>
  <c r="M91" i="6"/>
  <c r="AG92" i="6" s="1"/>
  <c r="L91" i="6"/>
  <c r="AF91" i="6" s="1"/>
  <c r="BK14" i="6" s="1"/>
  <c r="I91" i="6"/>
  <c r="J91" i="6" s="1"/>
  <c r="AD92" i="6" s="1"/>
  <c r="F91" i="6"/>
  <c r="G91" i="6" s="1"/>
  <c r="AA93" i="6" s="1"/>
  <c r="AC48" i="10"/>
  <c r="AB48" i="10"/>
  <c r="AA48" i="10"/>
  <c r="Z48" i="10"/>
  <c r="Y48" i="10"/>
  <c r="X48" i="10"/>
  <c r="W48" i="10"/>
  <c r="V48" i="10"/>
  <c r="U48" i="10"/>
  <c r="T48" i="10"/>
  <c r="H48" i="10"/>
  <c r="E48" i="10"/>
  <c r="D48" i="10"/>
  <c r="AB47" i="10"/>
  <c r="AA47" i="10"/>
  <c r="Z47" i="10"/>
  <c r="Y47" i="10"/>
  <c r="X47" i="10"/>
  <c r="W47" i="10"/>
  <c r="V47" i="10"/>
  <c r="U47" i="10"/>
  <c r="T47" i="10"/>
  <c r="H47" i="10"/>
  <c r="E47" i="10"/>
  <c r="D47" i="10"/>
  <c r="AB46" i="10"/>
  <c r="AA46" i="10"/>
  <c r="Z46" i="10"/>
  <c r="Y46" i="10"/>
  <c r="X46" i="10"/>
  <c r="W46" i="10"/>
  <c r="V46" i="10"/>
  <c r="U46" i="10"/>
  <c r="T46" i="10"/>
  <c r="H46" i="10"/>
  <c r="E46" i="10"/>
  <c r="D46" i="10"/>
  <c r="AC45" i="10"/>
  <c r="AB45" i="10"/>
  <c r="AA45" i="10"/>
  <c r="Z45" i="10"/>
  <c r="Y45" i="10"/>
  <c r="X45" i="10"/>
  <c r="W45" i="10"/>
  <c r="V45" i="10"/>
  <c r="U45" i="10"/>
  <c r="T45" i="10"/>
  <c r="H45" i="10"/>
  <c r="F45" i="10"/>
  <c r="E45" i="10"/>
  <c r="D45" i="10"/>
  <c r="AB44" i="10"/>
  <c r="AA44" i="10"/>
  <c r="Z44" i="10"/>
  <c r="Y44" i="10"/>
  <c r="X44" i="10"/>
  <c r="W44" i="10"/>
  <c r="V44" i="10"/>
  <c r="U44" i="10"/>
  <c r="T44" i="10"/>
  <c r="M44" i="10"/>
  <c r="I44" i="10"/>
  <c r="H44" i="10"/>
  <c r="E44" i="10"/>
  <c r="D44" i="10"/>
  <c r="AB43" i="10"/>
  <c r="AA43" i="10"/>
  <c r="Z43" i="10"/>
  <c r="Y43" i="10"/>
  <c r="X43" i="10"/>
  <c r="W43" i="10"/>
  <c r="V43" i="10"/>
  <c r="U43" i="10"/>
  <c r="T43" i="10"/>
  <c r="M43" i="10"/>
  <c r="H43" i="10"/>
  <c r="E43" i="10"/>
  <c r="D43" i="10"/>
  <c r="AC42" i="10"/>
  <c r="AB42" i="10"/>
  <c r="AA42" i="10"/>
  <c r="Z42" i="10"/>
  <c r="Y42" i="10"/>
  <c r="X42" i="10"/>
  <c r="W42" i="10"/>
  <c r="V42" i="10"/>
  <c r="U42" i="10"/>
  <c r="T42" i="10"/>
  <c r="I42" i="10"/>
  <c r="H42" i="10"/>
  <c r="E42" i="10"/>
  <c r="D42" i="10"/>
  <c r="AB41" i="10"/>
  <c r="AA41" i="10"/>
  <c r="Z41" i="10"/>
  <c r="Y41" i="10"/>
  <c r="X41" i="10"/>
  <c r="W41" i="10"/>
  <c r="V41" i="10"/>
  <c r="U41" i="10"/>
  <c r="T41" i="10"/>
  <c r="M41" i="10"/>
  <c r="I41" i="10"/>
  <c r="H41" i="10"/>
  <c r="E41" i="10"/>
  <c r="D41" i="10"/>
  <c r="AB40" i="10"/>
  <c r="AA40" i="10"/>
  <c r="Z40" i="10"/>
  <c r="Y40" i="10"/>
  <c r="X40" i="10"/>
  <c r="W40" i="10"/>
  <c r="V40" i="10"/>
  <c r="U40" i="10"/>
  <c r="T40" i="10"/>
  <c r="N40" i="10"/>
  <c r="M40" i="10"/>
  <c r="H40" i="10"/>
  <c r="E40" i="10"/>
  <c r="D40" i="10"/>
  <c r="AD39" i="10"/>
  <c r="AC39" i="10"/>
  <c r="AB39" i="10"/>
  <c r="AA39" i="10"/>
  <c r="Z39" i="10"/>
  <c r="Y39" i="10"/>
  <c r="X39" i="10"/>
  <c r="W39" i="10"/>
  <c r="V39" i="10"/>
  <c r="U39" i="10"/>
  <c r="T39" i="10"/>
  <c r="I39" i="10"/>
  <c r="H39" i="10"/>
  <c r="E39" i="10"/>
  <c r="D39" i="10"/>
  <c r="AD38" i="10"/>
  <c r="AB38" i="10"/>
  <c r="AA38" i="10"/>
  <c r="Z38" i="10"/>
  <c r="Y38" i="10"/>
  <c r="X38" i="10"/>
  <c r="W38" i="10"/>
  <c r="V38" i="10"/>
  <c r="U38" i="10"/>
  <c r="T38" i="10"/>
  <c r="M38" i="10"/>
  <c r="I38" i="10"/>
  <c r="H38" i="10"/>
  <c r="E38" i="10"/>
  <c r="D38" i="10"/>
  <c r="AB37" i="10"/>
  <c r="AA37" i="10"/>
  <c r="Z37" i="10"/>
  <c r="Y37" i="10"/>
  <c r="X37" i="10"/>
  <c r="W37" i="10"/>
  <c r="V37" i="10"/>
  <c r="U37" i="10"/>
  <c r="T37" i="10"/>
  <c r="N37" i="10"/>
  <c r="M37" i="10"/>
  <c r="H37" i="10"/>
  <c r="E37" i="10"/>
  <c r="D37" i="10"/>
  <c r="AC36" i="10"/>
  <c r="AD36" i="10" s="1"/>
  <c r="AB36" i="10"/>
  <c r="AA36" i="10"/>
  <c r="Z36" i="10"/>
  <c r="Y36" i="10"/>
  <c r="X36" i="10"/>
  <c r="W36" i="10"/>
  <c r="V36" i="10"/>
  <c r="U36" i="10"/>
  <c r="T36" i="10"/>
  <c r="H36" i="10"/>
  <c r="F36" i="10"/>
  <c r="E36" i="10"/>
  <c r="D36" i="10"/>
  <c r="AE36" i="10" s="1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I35" i="10"/>
  <c r="H35" i="10"/>
  <c r="E35" i="10"/>
  <c r="D35" i="10"/>
  <c r="AC34" i="10"/>
  <c r="AB34" i="10"/>
  <c r="AD34" i="10" s="1"/>
  <c r="AA34" i="10"/>
  <c r="Z34" i="10"/>
  <c r="Y34" i="10"/>
  <c r="X34" i="10"/>
  <c r="W34" i="10"/>
  <c r="V34" i="10"/>
  <c r="U34" i="10"/>
  <c r="T34" i="10"/>
  <c r="N34" i="10"/>
  <c r="M34" i="10"/>
  <c r="H34" i="10"/>
  <c r="E34" i="10"/>
  <c r="D34" i="10"/>
  <c r="AE34" i="10" s="1"/>
  <c r="AC33" i="10"/>
  <c r="AD33" i="10" s="1"/>
  <c r="AB33" i="10"/>
  <c r="AA33" i="10"/>
  <c r="Z33" i="10"/>
  <c r="Y33" i="10"/>
  <c r="X33" i="10"/>
  <c r="W33" i="10"/>
  <c r="V33" i="10"/>
  <c r="U33" i="10"/>
  <c r="T33" i="10"/>
  <c r="H33" i="10"/>
  <c r="F33" i="10"/>
  <c r="E33" i="10"/>
  <c r="D33" i="10"/>
  <c r="AE33" i="10" s="1"/>
  <c r="AB32" i="10"/>
  <c r="AA32" i="10"/>
  <c r="Z32" i="10"/>
  <c r="Y32" i="10"/>
  <c r="X32" i="10"/>
  <c r="W32" i="10"/>
  <c r="V32" i="10"/>
  <c r="U32" i="10"/>
  <c r="T32" i="10"/>
  <c r="H32" i="10"/>
  <c r="E32" i="10"/>
  <c r="D32" i="10"/>
  <c r="AC31" i="10"/>
  <c r="AB31" i="10"/>
  <c r="AA31" i="10"/>
  <c r="Z31" i="10"/>
  <c r="Y31" i="10"/>
  <c r="X31" i="10"/>
  <c r="W31" i="10"/>
  <c r="V31" i="10"/>
  <c r="U31" i="10"/>
  <c r="T31" i="10"/>
  <c r="H31" i="10"/>
  <c r="E31" i="10"/>
  <c r="D31" i="10"/>
  <c r="AD30" i="10"/>
  <c r="AC30" i="10"/>
  <c r="AB30" i="10"/>
  <c r="AA30" i="10"/>
  <c r="Z30" i="10"/>
  <c r="Y30" i="10"/>
  <c r="X30" i="10"/>
  <c r="W30" i="10"/>
  <c r="V30" i="10"/>
  <c r="U30" i="10"/>
  <c r="T30" i="10"/>
  <c r="H30" i="10"/>
  <c r="F30" i="10"/>
  <c r="E30" i="10"/>
  <c r="D30" i="10"/>
  <c r="AB29" i="10"/>
  <c r="AA29" i="10"/>
  <c r="Z29" i="10"/>
  <c r="Y29" i="10"/>
  <c r="X29" i="10"/>
  <c r="W29" i="10"/>
  <c r="V29" i="10"/>
  <c r="U29" i="10"/>
  <c r="T29" i="10"/>
  <c r="H29" i="10"/>
  <c r="E29" i="10"/>
  <c r="D29" i="10"/>
  <c r="AC28" i="10"/>
  <c r="AE28" i="10" s="1"/>
  <c r="Q28" i="10"/>
  <c r="R28" i="10" s="1"/>
  <c r="P28" i="10"/>
  <c r="O28" i="10"/>
  <c r="J28" i="10"/>
  <c r="K28" i="10" s="1"/>
  <c r="I28" i="10"/>
  <c r="G28" i="10"/>
  <c r="F28" i="10"/>
  <c r="AD27" i="10"/>
  <c r="AC27" i="10"/>
  <c r="AE27" i="10" s="1"/>
  <c r="N27" i="10"/>
  <c r="O27" i="10" s="1"/>
  <c r="Q27" i="10" s="1"/>
  <c r="R27" i="10" s="1"/>
  <c r="M27" i="10"/>
  <c r="P27" i="10" s="1"/>
  <c r="L27" i="10"/>
  <c r="I27" i="10"/>
  <c r="J27" i="10" s="1"/>
  <c r="G27" i="10"/>
  <c r="F27" i="10"/>
  <c r="AE26" i="10"/>
  <c r="AD26" i="10"/>
  <c r="AC26" i="10"/>
  <c r="N26" i="10"/>
  <c r="M26" i="10"/>
  <c r="L26" i="10"/>
  <c r="P26" i="10" s="1"/>
  <c r="I26" i="10"/>
  <c r="I47" i="10" s="1"/>
  <c r="F26" i="10"/>
  <c r="F48" i="10" s="1"/>
  <c r="AE25" i="10"/>
  <c r="AD25" i="10"/>
  <c r="AC25" i="10"/>
  <c r="N25" i="10"/>
  <c r="M25" i="10"/>
  <c r="M46" i="10" s="1"/>
  <c r="L25" i="10"/>
  <c r="O25" i="10" s="1"/>
  <c r="Q25" i="10" s="1"/>
  <c r="R25" i="10" s="1"/>
  <c r="J25" i="10"/>
  <c r="K25" i="10" s="1"/>
  <c r="I25" i="10"/>
  <c r="G25" i="10"/>
  <c r="F25" i="10"/>
  <c r="AD24" i="10"/>
  <c r="AC24" i="10"/>
  <c r="AE24" i="10" s="1"/>
  <c r="N24" i="10"/>
  <c r="O24" i="10" s="1"/>
  <c r="Q24" i="10" s="1"/>
  <c r="R24" i="10" s="1"/>
  <c r="M24" i="10"/>
  <c r="P24" i="10" s="1"/>
  <c r="L24" i="10"/>
  <c r="I24" i="10"/>
  <c r="J24" i="10" s="1"/>
  <c r="G24" i="10"/>
  <c r="F24" i="10"/>
  <c r="F46" i="10" s="1"/>
  <c r="AE23" i="10"/>
  <c r="AD23" i="10"/>
  <c r="AC23" i="10"/>
  <c r="R23" i="10"/>
  <c r="Q23" i="10"/>
  <c r="P23" i="10"/>
  <c r="O23" i="10"/>
  <c r="J23" i="10"/>
  <c r="S23" i="10" s="1"/>
  <c r="I23" i="10"/>
  <c r="F23" i="10"/>
  <c r="G23" i="10" s="1"/>
  <c r="AE22" i="10"/>
  <c r="AC22" i="10"/>
  <c r="AD22" i="10" s="1"/>
  <c r="N22" i="10"/>
  <c r="N46" i="10" s="1"/>
  <c r="M22" i="10"/>
  <c r="M48" i="10" s="1"/>
  <c r="L22" i="10"/>
  <c r="L46" i="10" s="1"/>
  <c r="J22" i="10"/>
  <c r="J47" i="10" s="1"/>
  <c r="I22" i="10"/>
  <c r="I46" i="10" s="1"/>
  <c r="F22" i="10"/>
  <c r="G22" i="10" s="1"/>
  <c r="AE21" i="10"/>
  <c r="AD21" i="10"/>
  <c r="AC21" i="10"/>
  <c r="N21" i="10"/>
  <c r="O21" i="10" s="1"/>
  <c r="Q21" i="10" s="1"/>
  <c r="R21" i="10" s="1"/>
  <c r="M21" i="10"/>
  <c r="L21" i="10"/>
  <c r="P21" i="10" s="1"/>
  <c r="K21" i="10"/>
  <c r="J21" i="10"/>
  <c r="I21" i="10"/>
  <c r="G21" i="10"/>
  <c r="F21" i="10"/>
  <c r="AE20" i="10"/>
  <c r="AD20" i="10"/>
  <c r="AC20" i="10"/>
  <c r="P20" i="10"/>
  <c r="O20" i="10"/>
  <c r="Q20" i="10" s="1"/>
  <c r="N20" i="10"/>
  <c r="M20" i="10"/>
  <c r="L20" i="10"/>
  <c r="J20" i="10"/>
  <c r="K20" i="10" s="1"/>
  <c r="I20" i="10"/>
  <c r="F20" i="10"/>
  <c r="G20" i="10" s="1"/>
  <c r="AE19" i="10"/>
  <c r="AE42" i="10" s="1"/>
  <c r="AC19" i="10"/>
  <c r="AD19" i="10" s="1"/>
  <c r="N19" i="10"/>
  <c r="N43" i="10" s="1"/>
  <c r="M19" i="10"/>
  <c r="M42" i="10" s="1"/>
  <c r="L19" i="10"/>
  <c r="L43" i="10" s="1"/>
  <c r="J19" i="10"/>
  <c r="J44" i="10" s="1"/>
  <c r="I19" i="10"/>
  <c r="I43" i="10" s="1"/>
  <c r="F19" i="10"/>
  <c r="F42" i="10" s="1"/>
  <c r="AE18" i="10"/>
  <c r="AD18" i="10"/>
  <c r="AC18" i="10"/>
  <c r="P18" i="10"/>
  <c r="O18" i="10"/>
  <c r="Q18" i="10" s="1"/>
  <c r="R18" i="10" s="1"/>
  <c r="I18" i="10"/>
  <c r="J18" i="10" s="1"/>
  <c r="G18" i="10"/>
  <c r="F18" i="10"/>
  <c r="AE17" i="10"/>
  <c r="AD17" i="10"/>
  <c r="AC17" i="10"/>
  <c r="P17" i="10"/>
  <c r="O17" i="10"/>
  <c r="Q17" i="10" s="1"/>
  <c r="N17" i="10"/>
  <c r="M17" i="10"/>
  <c r="L17" i="10"/>
  <c r="K17" i="10"/>
  <c r="J17" i="10"/>
  <c r="I17" i="10"/>
  <c r="F17" i="10"/>
  <c r="G17" i="10" s="1"/>
  <c r="AC16" i="10"/>
  <c r="AD16" i="10" s="1"/>
  <c r="S16" i="10"/>
  <c r="Q16" i="10"/>
  <c r="R16" i="10" s="1"/>
  <c r="P16" i="10"/>
  <c r="O16" i="10"/>
  <c r="N16" i="10"/>
  <c r="M16" i="10"/>
  <c r="L16" i="10"/>
  <c r="K16" i="10"/>
  <c r="J16" i="10"/>
  <c r="I16" i="10"/>
  <c r="F16" i="10"/>
  <c r="G16" i="10" s="1"/>
  <c r="AC15" i="10"/>
  <c r="AE15" i="10" s="1"/>
  <c r="N15" i="10"/>
  <c r="M15" i="10"/>
  <c r="L15" i="10"/>
  <c r="O15" i="10" s="1"/>
  <c r="Q15" i="10" s="1"/>
  <c r="R15" i="10" s="1"/>
  <c r="I15" i="10"/>
  <c r="J15" i="10" s="1"/>
  <c r="G15" i="10"/>
  <c r="F15" i="10"/>
  <c r="AE14" i="10"/>
  <c r="AD14" i="10"/>
  <c r="AD40" i="10" s="1"/>
  <c r="AC14" i="10"/>
  <c r="AC38" i="10" s="1"/>
  <c r="P14" i="10"/>
  <c r="O14" i="10"/>
  <c r="O40" i="10" s="1"/>
  <c r="N14" i="10"/>
  <c r="N39" i="10" s="1"/>
  <c r="M14" i="10"/>
  <c r="M39" i="10" s="1"/>
  <c r="L14" i="10"/>
  <c r="L40" i="10" s="1"/>
  <c r="K14" i="10"/>
  <c r="J14" i="10"/>
  <c r="I14" i="10"/>
  <c r="I40" i="10" s="1"/>
  <c r="F14" i="10"/>
  <c r="F39" i="10" s="1"/>
  <c r="AC13" i="10"/>
  <c r="AD13" i="10" s="1"/>
  <c r="S13" i="10"/>
  <c r="Q13" i="10"/>
  <c r="R13" i="10" s="1"/>
  <c r="P13" i="10"/>
  <c r="O13" i="10"/>
  <c r="K13" i="10"/>
  <c r="J13" i="10"/>
  <c r="I13" i="10"/>
  <c r="G13" i="10"/>
  <c r="F13" i="10"/>
  <c r="AC12" i="10"/>
  <c r="AE12" i="10" s="1"/>
  <c r="N12" i="10"/>
  <c r="M12" i="10"/>
  <c r="L12" i="10"/>
  <c r="P12" i="10" s="1"/>
  <c r="I12" i="10"/>
  <c r="J12" i="10" s="1"/>
  <c r="G12" i="10"/>
  <c r="F12" i="10"/>
  <c r="AE11" i="10"/>
  <c r="AD11" i="10"/>
  <c r="AC11" i="10"/>
  <c r="N11" i="10"/>
  <c r="M11" i="10"/>
  <c r="L11" i="10"/>
  <c r="P11" i="10" s="1"/>
  <c r="I11" i="10"/>
  <c r="J11" i="10" s="1"/>
  <c r="G11" i="10"/>
  <c r="F11" i="10"/>
  <c r="AC10" i="10"/>
  <c r="AE10" i="10" s="1"/>
  <c r="P10" i="10"/>
  <c r="N10" i="10"/>
  <c r="N36" i="10" s="1"/>
  <c r="M10" i="10"/>
  <c r="M33" i="10" s="1"/>
  <c r="L10" i="10"/>
  <c r="O10" i="10" s="1"/>
  <c r="Q10" i="10" s="1"/>
  <c r="K10" i="10"/>
  <c r="J10" i="10"/>
  <c r="I10" i="10"/>
  <c r="G10" i="10"/>
  <c r="F10" i="10"/>
  <c r="AC9" i="10"/>
  <c r="AE9" i="10" s="1"/>
  <c r="N9" i="10"/>
  <c r="N35" i="10" s="1"/>
  <c r="M9" i="10"/>
  <c r="M36" i="10" s="1"/>
  <c r="L9" i="10"/>
  <c r="L34" i="10" s="1"/>
  <c r="I9" i="10"/>
  <c r="J9" i="10" s="1"/>
  <c r="G9" i="10"/>
  <c r="G36" i="10" s="1"/>
  <c r="F9" i="10"/>
  <c r="F35" i="10" s="1"/>
  <c r="AE8" i="10"/>
  <c r="AD8" i="10"/>
  <c r="AC8" i="10"/>
  <c r="P8" i="10"/>
  <c r="O8" i="10"/>
  <c r="Q8" i="10" s="1"/>
  <c r="R8" i="10" s="1"/>
  <c r="I8" i="10"/>
  <c r="J8" i="10" s="1"/>
  <c r="F8" i="10"/>
  <c r="G8" i="10" s="1"/>
  <c r="AE7" i="10"/>
  <c r="AD7" i="10"/>
  <c r="AC7" i="10"/>
  <c r="N7" i="10"/>
  <c r="M7" i="10"/>
  <c r="L7" i="10"/>
  <c r="O7" i="10" s="1"/>
  <c r="Q7" i="10" s="1"/>
  <c r="R7" i="10" s="1"/>
  <c r="J7" i="10"/>
  <c r="K7" i="10" s="1"/>
  <c r="I7" i="10"/>
  <c r="G7" i="10"/>
  <c r="F7" i="10"/>
  <c r="AD6" i="10"/>
  <c r="AC6" i="10"/>
  <c r="AE6" i="10" s="1"/>
  <c r="N6" i="10"/>
  <c r="O6" i="10" s="1"/>
  <c r="Q6" i="10" s="1"/>
  <c r="R6" i="10" s="1"/>
  <c r="M6" i="10"/>
  <c r="P6" i="10" s="1"/>
  <c r="L6" i="10"/>
  <c r="I6" i="10"/>
  <c r="J6" i="10" s="1"/>
  <c r="G6" i="10"/>
  <c r="F6" i="10"/>
  <c r="AE5" i="10"/>
  <c r="AD5" i="10"/>
  <c r="AC5" i="10"/>
  <c r="N5" i="10"/>
  <c r="M5" i="10"/>
  <c r="L5" i="10"/>
  <c r="P5" i="10" s="1"/>
  <c r="I5" i="10"/>
  <c r="J5" i="10" s="1"/>
  <c r="F5" i="10"/>
  <c r="G5" i="10" s="1"/>
  <c r="AE4" i="10"/>
  <c r="AD4" i="10"/>
  <c r="AD32" i="10" s="1"/>
  <c r="AC4" i="10"/>
  <c r="AC32" i="10" s="1"/>
  <c r="N4" i="10"/>
  <c r="N31" i="10" s="1"/>
  <c r="M4" i="10"/>
  <c r="M31" i="10" s="1"/>
  <c r="L4" i="10"/>
  <c r="O4" i="10" s="1"/>
  <c r="J4" i="10"/>
  <c r="K4" i="10" s="1"/>
  <c r="I4" i="10"/>
  <c r="I31" i="10" s="1"/>
  <c r="F4" i="10"/>
  <c r="F32" i="10" s="1"/>
  <c r="Y2" i="10"/>
  <c r="X2" i="10"/>
  <c r="J5" i="8"/>
  <c r="J6" i="8"/>
  <c r="J7" i="8"/>
  <c r="J8" i="8"/>
  <c r="J9" i="8"/>
  <c r="J10" i="8"/>
  <c r="J11" i="8"/>
  <c r="J12" i="8"/>
  <c r="J13" i="8"/>
  <c r="J14" i="8"/>
  <c r="J15" i="8"/>
  <c r="AI13" i="8" s="1"/>
  <c r="J16" i="8"/>
  <c r="J17" i="8"/>
  <c r="J18" i="8"/>
  <c r="J19" i="8"/>
  <c r="J20" i="8"/>
  <c r="J21" i="8"/>
  <c r="J22" i="8"/>
  <c r="J23" i="8"/>
  <c r="J24" i="8"/>
  <c r="J25" i="8"/>
  <c r="J26" i="8"/>
  <c r="J27" i="8"/>
  <c r="AI14" i="8" s="1"/>
  <c r="J28" i="8"/>
  <c r="J29" i="8"/>
  <c r="J30" i="8"/>
  <c r="J31" i="8"/>
  <c r="J32" i="8"/>
  <c r="J34" i="8"/>
  <c r="J35" i="8"/>
  <c r="J37" i="8"/>
  <c r="J4" i="8"/>
  <c r="AI12" i="8"/>
  <c r="AI6" i="8"/>
  <c r="AI5" i="8"/>
  <c r="O5" i="8"/>
  <c r="I16" i="8"/>
  <c r="Z36" i="9"/>
  <c r="AB36" i="9" s="1"/>
  <c r="AC36" i="9" s="1"/>
  <c r="O36" i="9"/>
  <c r="N36" i="9"/>
  <c r="P36" i="9" s="1"/>
  <c r="Q36" i="9" s="1"/>
  <c r="H36" i="9"/>
  <c r="E36" i="9"/>
  <c r="F36" i="9" s="1"/>
  <c r="AA35" i="9"/>
  <c r="Z35" i="9"/>
  <c r="AB35" i="9" s="1"/>
  <c r="AC35" i="9" s="1"/>
  <c r="O35" i="9"/>
  <c r="N35" i="9"/>
  <c r="P35" i="9" s="1"/>
  <c r="Q35" i="9" s="1"/>
  <c r="H35" i="9"/>
  <c r="I35" i="9" s="1"/>
  <c r="E35" i="9"/>
  <c r="F35" i="9" s="1"/>
  <c r="AC34" i="9"/>
  <c r="AB34" i="9"/>
  <c r="Z34" i="9"/>
  <c r="AA34" i="9" s="1"/>
  <c r="P34" i="9"/>
  <c r="Q34" i="9" s="1"/>
  <c r="O34" i="9"/>
  <c r="N34" i="9"/>
  <c r="H34" i="9"/>
  <c r="I34" i="9" s="1"/>
  <c r="F34" i="9"/>
  <c r="E34" i="9"/>
  <c r="Z33" i="9"/>
  <c r="AB33" i="9" s="1"/>
  <c r="AC33" i="9" s="1"/>
  <c r="R33" i="9"/>
  <c r="Q33" i="9"/>
  <c r="P33" i="9"/>
  <c r="O33" i="9"/>
  <c r="N33" i="9"/>
  <c r="I33" i="9"/>
  <c r="J33" i="9" s="1"/>
  <c r="H33" i="9"/>
  <c r="E33" i="9"/>
  <c r="F33" i="9" s="1"/>
  <c r="Z32" i="9"/>
  <c r="AB32" i="9" s="1"/>
  <c r="AC32" i="9" s="1"/>
  <c r="O32" i="9"/>
  <c r="N32" i="9"/>
  <c r="P32" i="9" s="1"/>
  <c r="Q32" i="9" s="1"/>
  <c r="H32" i="9"/>
  <c r="I32" i="9" s="1"/>
  <c r="E32" i="9"/>
  <c r="F32" i="9" s="1"/>
  <c r="AB31" i="9"/>
  <c r="AC31" i="9" s="1"/>
  <c r="AA31" i="9"/>
  <c r="Z31" i="9"/>
  <c r="P31" i="9"/>
  <c r="Q31" i="9" s="1"/>
  <c r="O31" i="9"/>
  <c r="N31" i="9"/>
  <c r="H31" i="9"/>
  <c r="I31" i="9" s="1"/>
  <c r="E31" i="9"/>
  <c r="F31" i="9" s="1"/>
  <c r="AC30" i="9"/>
  <c r="AB30" i="9"/>
  <c r="AA30" i="9"/>
  <c r="Z30" i="9"/>
  <c r="O30" i="9"/>
  <c r="N30" i="9"/>
  <c r="P30" i="9" s="1"/>
  <c r="Q30" i="9" s="1"/>
  <c r="J30" i="9"/>
  <c r="I30" i="9"/>
  <c r="H30" i="9"/>
  <c r="F30" i="9"/>
  <c r="E30" i="9"/>
  <c r="AI29" i="9"/>
  <c r="AH29" i="9"/>
  <c r="AC29" i="9"/>
  <c r="AB29" i="9"/>
  <c r="Z29" i="9"/>
  <c r="AA29" i="9" s="1"/>
  <c r="Q29" i="9"/>
  <c r="P29" i="9"/>
  <c r="O29" i="9"/>
  <c r="N29" i="9"/>
  <c r="H29" i="9"/>
  <c r="AJ29" i="9" s="1"/>
  <c r="F29" i="9"/>
  <c r="E29" i="9"/>
  <c r="AB28" i="9"/>
  <c r="AC28" i="9" s="1"/>
  <c r="Z28" i="9"/>
  <c r="Q28" i="9"/>
  <c r="P28" i="9"/>
  <c r="O28" i="9"/>
  <c r="N28" i="9"/>
  <c r="H28" i="9"/>
  <c r="F28" i="9"/>
  <c r="E28" i="9"/>
  <c r="AA27" i="9"/>
  <c r="Z27" i="9"/>
  <c r="AB27" i="9" s="1"/>
  <c r="AC27" i="9" s="1"/>
  <c r="O27" i="9"/>
  <c r="N27" i="9"/>
  <c r="P27" i="9" s="1"/>
  <c r="Q27" i="9" s="1"/>
  <c r="J27" i="9"/>
  <c r="I27" i="9"/>
  <c r="R27" i="9" s="1"/>
  <c r="H27" i="9"/>
  <c r="F27" i="9"/>
  <c r="E27" i="9"/>
  <c r="AC26" i="9"/>
  <c r="AB26" i="9"/>
  <c r="AA26" i="9"/>
  <c r="Z26" i="9"/>
  <c r="P26" i="9"/>
  <c r="Q26" i="9" s="1"/>
  <c r="O26" i="9"/>
  <c r="N26" i="9"/>
  <c r="I26" i="9"/>
  <c r="J26" i="9" s="1"/>
  <c r="H26" i="9"/>
  <c r="F26" i="9"/>
  <c r="E26" i="9"/>
  <c r="Z25" i="9"/>
  <c r="AB25" i="9" s="1"/>
  <c r="AC25" i="9" s="1"/>
  <c r="R25" i="9"/>
  <c r="Q25" i="9"/>
  <c r="P25" i="9"/>
  <c r="O25" i="9"/>
  <c r="N25" i="9"/>
  <c r="I25" i="9"/>
  <c r="J25" i="9" s="1"/>
  <c r="H25" i="9"/>
  <c r="F25" i="9"/>
  <c r="E25" i="9"/>
  <c r="Z24" i="9"/>
  <c r="AA24" i="9" s="1"/>
  <c r="O24" i="9"/>
  <c r="N24" i="9"/>
  <c r="P24" i="9" s="1"/>
  <c r="J24" i="9"/>
  <c r="I24" i="9"/>
  <c r="H24" i="9"/>
  <c r="E24" i="9"/>
  <c r="F24" i="9" s="1"/>
  <c r="AB23" i="9"/>
  <c r="AC23" i="9" s="1"/>
  <c r="AA23" i="9"/>
  <c r="Z23" i="9"/>
  <c r="P23" i="9"/>
  <c r="Q23" i="9" s="1"/>
  <c r="O23" i="9"/>
  <c r="N23" i="9"/>
  <c r="H23" i="9"/>
  <c r="I23" i="9" s="1"/>
  <c r="E23" i="9"/>
  <c r="F23" i="9" s="1"/>
  <c r="AA22" i="9"/>
  <c r="Z22" i="9"/>
  <c r="AB22" i="9" s="1"/>
  <c r="AC22" i="9" s="1"/>
  <c r="O22" i="9"/>
  <c r="N22" i="9"/>
  <c r="P22" i="9" s="1"/>
  <c r="Q22" i="9" s="1"/>
  <c r="J22" i="9"/>
  <c r="I22" i="9"/>
  <c r="H22" i="9"/>
  <c r="E22" i="9"/>
  <c r="F22" i="9" s="1"/>
  <c r="AI21" i="9"/>
  <c r="AH21" i="9"/>
  <c r="AC21" i="9"/>
  <c r="AB21" i="9"/>
  <c r="Z21" i="9"/>
  <c r="AA21" i="9" s="1"/>
  <c r="Q21" i="9"/>
  <c r="P21" i="9"/>
  <c r="O21" i="9"/>
  <c r="N21" i="9"/>
  <c r="H21" i="9"/>
  <c r="AJ21" i="9" s="1"/>
  <c r="F21" i="9"/>
  <c r="E21" i="9"/>
  <c r="Z20" i="9"/>
  <c r="AB20" i="9" s="1"/>
  <c r="AC20" i="9" s="1"/>
  <c r="Q20" i="9"/>
  <c r="P20" i="9"/>
  <c r="O20" i="9"/>
  <c r="N20" i="9"/>
  <c r="H20" i="9"/>
  <c r="F20" i="9"/>
  <c r="E20" i="9"/>
  <c r="AA19" i="9"/>
  <c r="Z19" i="9"/>
  <c r="AB19" i="9" s="1"/>
  <c r="AC19" i="9" s="1"/>
  <c r="O19" i="9"/>
  <c r="N19" i="9"/>
  <c r="P19" i="9" s="1"/>
  <c r="Q19" i="9" s="1"/>
  <c r="J19" i="9"/>
  <c r="I19" i="9"/>
  <c r="H19" i="9"/>
  <c r="E19" i="9"/>
  <c r="F19" i="9" s="1"/>
  <c r="AC18" i="9"/>
  <c r="AB18" i="9"/>
  <c r="AA18" i="9"/>
  <c r="Z18" i="9"/>
  <c r="P18" i="9"/>
  <c r="Q18" i="9" s="1"/>
  <c r="O18" i="9"/>
  <c r="N18" i="9"/>
  <c r="H18" i="9"/>
  <c r="I18" i="9" s="1"/>
  <c r="F18" i="9"/>
  <c r="E18" i="9"/>
  <c r="Z17" i="9"/>
  <c r="AB17" i="9" s="1"/>
  <c r="AC17" i="9" s="1"/>
  <c r="R17" i="9"/>
  <c r="Q17" i="9"/>
  <c r="P17" i="9"/>
  <c r="O17" i="9"/>
  <c r="N17" i="9"/>
  <c r="I17" i="9"/>
  <c r="J17" i="9" s="1"/>
  <c r="H17" i="9"/>
  <c r="F17" i="9"/>
  <c r="E17" i="9"/>
  <c r="Z16" i="9"/>
  <c r="AA16" i="9" s="1"/>
  <c r="O16" i="9"/>
  <c r="N16" i="9"/>
  <c r="P16" i="9" s="1"/>
  <c r="J16" i="9"/>
  <c r="I16" i="9"/>
  <c r="H16" i="9"/>
  <c r="E16" i="9"/>
  <c r="F16" i="9" s="1"/>
  <c r="AB15" i="9"/>
  <c r="AC15" i="9" s="1"/>
  <c r="AA15" i="9"/>
  <c r="Z15" i="9"/>
  <c r="P15" i="9"/>
  <c r="Q15" i="9" s="1"/>
  <c r="O15" i="9"/>
  <c r="N15" i="9"/>
  <c r="H15" i="9"/>
  <c r="I15" i="9" s="1"/>
  <c r="E15" i="9"/>
  <c r="F15" i="9" s="1"/>
  <c r="AA14" i="9"/>
  <c r="Z14" i="9"/>
  <c r="AB14" i="9" s="1"/>
  <c r="AC14" i="9" s="1"/>
  <c r="O14" i="9"/>
  <c r="N14" i="9"/>
  <c r="P14" i="9" s="1"/>
  <c r="Q14" i="9" s="1"/>
  <c r="J14" i="9"/>
  <c r="I14" i="9"/>
  <c r="R14" i="9" s="1"/>
  <c r="H14" i="9"/>
  <c r="E14" i="9"/>
  <c r="F14" i="9" s="1"/>
  <c r="AI13" i="9"/>
  <c r="AH13" i="9"/>
  <c r="AC13" i="9"/>
  <c r="AB13" i="9"/>
  <c r="Z13" i="9"/>
  <c r="AA13" i="9" s="1"/>
  <c r="Q13" i="9"/>
  <c r="P13" i="9"/>
  <c r="O13" i="9"/>
  <c r="N13" i="9"/>
  <c r="H13" i="9"/>
  <c r="AJ13" i="9" s="1"/>
  <c r="F13" i="9"/>
  <c r="E13" i="9"/>
  <c r="Z12" i="9"/>
  <c r="AB12" i="9" s="1"/>
  <c r="AC12" i="9" s="1"/>
  <c r="P12" i="9"/>
  <c r="Q12" i="9" s="1"/>
  <c r="O12" i="9"/>
  <c r="N12" i="9"/>
  <c r="H12" i="9"/>
  <c r="I12" i="9" s="1"/>
  <c r="F12" i="9"/>
  <c r="E12" i="9"/>
  <c r="Z11" i="9"/>
  <c r="AB11" i="9" s="1"/>
  <c r="AC11" i="9" s="1"/>
  <c r="O11" i="9"/>
  <c r="N11" i="9"/>
  <c r="P11" i="9" s="1"/>
  <c r="Q11" i="9" s="1"/>
  <c r="H11" i="9"/>
  <c r="E11" i="9"/>
  <c r="F11" i="9" s="1"/>
  <c r="AB10" i="9"/>
  <c r="AC10" i="9" s="1"/>
  <c r="Z10" i="9"/>
  <c r="AA10" i="9" s="1"/>
  <c r="P10" i="9"/>
  <c r="Q10" i="9" s="1"/>
  <c r="O10" i="9"/>
  <c r="N10" i="9"/>
  <c r="H10" i="9"/>
  <c r="I10" i="9" s="1"/>
  <c r="E10" i="9"/>
  <c r="F10" i="9" s="1"/>
  <c r="AB9" i="9"/>
  <c r="AC9" i="9" s="1"/>
  <c r="AA9" i="9"/>
  <c r="Z9" i="9"/>
  <c r="P9" i="9"/>
  <c r="Q9" i="9" s="1"/>
  <c r="O9" i="9"/>
  <c r="N9" i="9"/>
  <c r="H9" i="9"/>
  <c r="I9" i="9" s="1"/>
  <c r="E9" i="9"/>
  <c r="F9" i="9" s="1"/>
  <c r="AC8" i="9"/>
  <c r="AB8" i="9"/>
  <c r="Z8" i="9"/>
  <c r="AA8" i="9" s="1"/>
  <c r="Q8" i="9"/>
  <c r="P8" i="9"/>
  <c r="O8" i="9"/>
  <c r="N8" i="9"/>
  <c r="H8" i="9"/>
  <c r="I8" i="9" s="1"/>
  <c r="F8" i="9"/>
  <c r="E8" i="9"/>
  <c r="Z7" i="9"/>
  <c r="AB7" i="9" s="1"/>
  <c r="AC7" i="9" s="1"/>
  <c r="O7" i="9"/>
  <c r="N7" i="9"/>
  <c r="P7" i="9" s="1"/>
  <c r="Q7" i="9" s="1"/>
  <c r="I7" i="9"/>
  <c r="R7" i="9" s="1"/>
  <c r="H7" i="9"/>
  <c r="E7" i="9"/>
  <c r="F7" i="9" s="1"/>
  <c r="AB6" i="9"/>
  <c r="AC6" i="9" s="1"/>
  <c r="Z6" i="9"/>
  <c r="AA6" i="9" s="1"/>
  <c r="O6" i="9"/>
  <c r="N6" i="9"/>
  <c r="P6" i="9" s="1"/>
  <c r="Q6" i="9" s="1"/>
  <c r="H6" i="9"/>
  <c r="I6" i="9" s="1"/>
  <c r="E6" i="9"/>
  <c r="F6" i="9" s="1"/>
  <c r="Z5" i="9"/>
  <c r="AB5" i="9" s="1"/>
  <c r="AC5" i="9" s="1"/>
  <c r="O5" i="9"/>
  <c r="N5" i="9"/>
  <c r="P5" i="9" s="1"/>
  <c r="Q5" i="9" s="1"/>
  <c r="H5" i="9"/>
  <c r="I5" i="9" s="1"/>
  <c r="E5" i="9"/>
  <c r="F5" i="9" s="1"/>
  <c r="AJ4" i="9"/>
  <c r="AI4" i="9"/>
  <c r="AH4" i="9"/>
  <c r="AC4" i="9"/>
  <c r="AB4" i="9"/>
  <c r="AA4" i="9"/>
  <c r="Z4" i="9"/>
  <c r="P4" i="9"/>
  <c r="Q4" i="9" s="1"/>
  <c r="O4" i="9"/>
  <c r="N4" i="9"/>
  <c r="H4" i="9"/>
  <c r="I4" i="9" s="1"/>
  <c r="F4" i="9"/>
  <c r="E4" i="9"/>
  <c r="V2" i="9"/>
  <c r="U2" i="9"/>
  <c r="E4" i="8"/>
  <c r="F4" i="8" s="1"/>
  <c r="H4" i="8"/>
  <c r="I4" i="8"/>
  <c r="N4" i="8"/>
  <c r="P4" i="8" s="1"/>
  <c r="O4" i="8"/>
  <c r="Z4" i="8"/>
  <c r="AB4" i="8" s="1"/>
  <c r="AC4" i="8" s="1"/>
  <c r="E5" i="8"/>
  <c r="F5" i="8"/>
  <c r="H5" i="8"/>
  <c r="I5" i="8" s="1"/>
  <c r="N5" i="8"/>
  <c r="P5" i="8"/>
  <c r="Q5" i="8"/>
  <c r="Z5" i="8"/>
  <c r="AA5" i="8" s="1"/>
  <c r="E6" i="8"/>
  <c r="F6" i="8" s="1"/>
  <c r="H6" i="8"/>
  <c r="I6" i="8"/>
  <c r="R6" i="8" s="1"/>
  <c r="N6" i="8"/>
  <c r="P6" i="8" s="1"/>
  <c r="Q6" i="8" s="1"/>
  <c r="O6" i="8"/>
  <c r="Z6" i="8"/>
  <c r="AA6" i="8"/>
  <c r="AB6" i="8"/>
  <c r="AC6" i="8" s="1"/>
  <c r="E7" i="8"/>
  <c r="F7" i="8"/>
  <c r="H7" i="8"/>
  <c r="I7" i="8"/>
  <c r="N7" i="8"/>
  <c r="P7" i="8" s="1"/>
  <c r="Q7" i="8" s="1"/>
  <c r="O7" i="8"/>
  <c r="Z7" i="8"/>
  <c r="AA7" i="8" s="1"/>
  <c r="E8" i="8"/>
  <c r="F8" i="8"/>
  <c r="H8" i="8"/>
  <c r="I8" i="8" s="1"/>
  <c r="N8" i="8"/>
  <c r="O8" i="8"/>
  <c r="P8" i="8"/>
  <c r="Q8" i="8" s="1"/>
  <c r="Z8" i="8"/>
  <c r="AA8" i="8"/>
  <c r="AB8" i="8"/>
  <c r="AC8" i="8"/>
  <c r="E9" i="8"/>
  <c r="F9" i="8" s="1"/>
  <c r="H9" i="8"/>
  <c r="I9" i="8" s="1"/>
  <c r="N9" i="8"/>
  <c r="P9" i="8" s="1"/>
  <c r="Q9" i="8" s="1"/>
  <c r="O9" i="8"/>
  <c r="Z9" i="8"/>
  <c r="AA9" i="8"/>
  <c r="AB9" i="8"/>
  <c r="AC9" i="8" s="1"/>
  <c r="E10" i="8"/>
  <c r="F10" i="8" s="1"/>
  <c r="H10" i="8"/>
  <c r="I10" i="8"/>
  <c r="N10" i="8"/>
  <c r="O10" i="8"/>
  <c r="P10" i="8"/>
  <c r="Q10" i="8" s="1"/>
  <c r="R10" i="8"/>
  <c r="Z10" i="8"/>
  <c r="AB10" i="8" s="1"/>
  <c r="AC10" i="8" s="1"/>
  <c r="E11" i="8"/>
  <c r="F11" i="8"/>
  <c r="H11" i="8"/>
  <c r="I11" i="8" s="1"/>
  <c r="N11" i="8"/>
  <c r="O11" i="8"/>
  <c r="P11" i="8"/>
  <c r="Q11" i="8"/>
  <c r="Z11" i="8"/>
  <c r="AB11" i="8" s="1"/>
  <c r="AC11" i="8" s="1"/>
  <c r="E12" i="8"/>
  <c r="F12" i="8" s="1"/>
  <c r="H12" i="8"/>
  <c r="I12" i="8" s="1"/>
  <c r="N12" i="8"/>
  <c r="O12" i="8"/>
  <c r="P12" i="8"/>
  <c r="Q12" i="8" s="1"/>
  <c r="Z12" i="8"/>
  <c r="AB12" i="8" s="1"/>
  <c r="AC12" i="8" s="1"/>
  <c r="E13" i="8"/>
  <c r="F13" i="8" s="1"/>
  <c r="H13" i="8"/>
  <c r="I13" i="8"/>
  <c r="R13" i="8" s="1"/>
  <c r="N13" i="8"/>
  <c r="P13" i="8" s="1"/>
  <c r="Q13" i="8" s="1"/>
  <c r="O13" i="8"/>
  <c r="Z13" i="8"/>
  <c r="AA13" i="8"/>
  <c r="AB13" i="8"/>
  <c r="AC13" i="8" s="1"/>
  <c r="E14" i="8"/>
  <c r="F14" i="8"/>
  <c r="H14" i="8"/>
  <c r="I14" i="8"/>
  <c r="N14" i="8"/>
  <c r="P14" i="8" s="1"/>
  <c r="Q14" i="8" s="1"/>
  <c r="O14" i="8"/>
  <c r="Z14" i="8"/>
  <c r="AA14" i="8" s="1"/>
  <c r="E15" i="8"/>
  <c r="F15" i="8"/>
  <c r="H15" i="8"/>
  <c r="I15" i="8" s="1"/>
  <c r="N15" i="8"/>
  <c r="O15" i="8"/>
  <c r="P15" i="8"/>
  <c r="Q15" i="8" s="1"/>
  <c r="Z15" i="8"/>
  <c r="AA15" i="8"/>
  <c r="AB15" i="8"/>
  <c r="AC15" i="8"/>
  <c r="E16" i="8"/>
  <c r="F16" i="8" s="1"/>
  <c r="H16" i="8"/>
  <c r="N16" i="8"/>
  <c r="P16" i="8" s="1"/>
  <c r="Q16" i="8" s="1"/>
  <c r="O16" i="8"/>
  <c r="Z16" i="8"/>
  <c r="AA16" i="8"/>
  <c r="AB16" i="8"/>
  <c r="AC16" i="8" s="1"/>
  <c r="E17" i="8"/>
  <c r="F17" i="8" s="1"/>
  <c r="H17" i="8"/>
  <c r="I17" i="8"/>
  <c r="N17" i="8"/>
  <c r="O17" i="8"/>
  <c r="P17" i="8"/>
  <c r="Q17" i="8" s="1"/>
  <c r="R17" i="8"/>
  <c r="Z17" i="8"/>
  <c r="AB17" i="8" s="1"/>
  <c r="AC17" i="8" s="1"/>
  <c r="E18" i="8"/>
  <c r="F18" i="8"/>
  <c r="H18" i="8"/>
  <c r="I18" i="8" s="1"/>
  <c r="N18" i="8"/>
  <c r="O18" i="8"/>
  <c r="P18" i="8"/>
  <c r="Q18" i="8"/>
  <c r="Z18" i="8"/>
  <c r="AA18" i="8" s="1"/>
  <c r="E19" i="8"/>
  <c r="F19" i="8" s="1"/>
  <c r="H19" i="8"/>
  <c r="I19" i="8"/>
  <c r="R19" i="8" s="1"/>
  <c r="N19" i="8"/>
  <c r="P19" i="8" s="1"/>
  <c r="Q19" i="8" s="1"/>
  <c r="O19" i="8"/>
  <c r="Z19" i="8"/>
  <c r="AA19" i="8"/>
  <c r="AB19" i="8"/>
  <c r="AC19" i="8" s="1"/>
  <c r="E20" i="8"/>
  <c r="F20" i="8"/>
  <c r="H20" i="8"/>
  <c r="I20" i="8"/>
  <c r="R20" i="8" s="1"/>
  <c r="N20" i="8"/>
  <c r="P20" i="8" s="1"/>
  <c r="Q20" i="8" s="1"/>
  <c r="O20" i="8"/>
  <c r="Z20" i="8"/>
  <c r="AB20" i="8" s="1"/>
  <c r="AC20" i="8" s="1"/>
  <c r="E21" i="8"/>
  <c r="F21" i="8" s="1"/>
  <c r="H21" i="8"/>
  <c r="I21" i="8"/>
  <c r="R21" i="8" s="1"/>
  <c r="N21" i="8"/>
  <c r="P21" i="8" s="1"/>
  <c r="Q21" i="8" s="1"/>
  <c r="O21" i="8"/>
  <c r="Z21" i="8"/>
  <c r="AA21" i="8" s="1"/>
  <c r="AB21" i="8"/>
  <c r="AC21" i="8" s="1"/>
  <c r="E22" i="8"/>
  <c r="F22" i="8"/>
  <c r="H22" i="8"/>
  <c r="I22" i="8"/>
  <c r="N22" i="8"/>
  <c r="O22" i="8"/>
  <c r="P22" i="8"/>
  <c r="Q22" i="8" s="1"/>
  <c r="Z22" i="8"/>
  <c r="AA22" i="8" s="1"/>
  <c r="AB22" i="8"/>
  <c r="AC22" i="8"/>
  <c r="E23" i="8"/>
  <c r="F23" i="8"/>
  <c r="H23" i="8"/>
  <c r="I23" i="8" s="1"/>
  <c r="N23" i="8"/>
  <c r="P23" i="8" s="1"/>
  <c r="Q23" i="8" s="1"/>
  <c r="O23" i="8"/>
  <c r="Z23" i="8"/>
  <c r="AB23" i="8" s="1"/>
  <c r="AC23" i="8" s="1"/>
  <c r="AA23" i="8"/>
  <c r="E24" i="8"/>
  <c r="F24" i="8" s="1"/>
  <c r="H24" i="8"/>
  <c r="I24" i="8" s="1"/>
  <c r="N24" i="8"/>
  <c r="O24" i="8"/>
  <c r="P24" i="8"/>
  <c r="Q24" i="8"/>
  <c r="Z24" i="8"/>
  <c r="AA24" i="8"/>
  <c r="AB24" i="8"/>
  <c r="AC24" i="8" s="1"/>
  <c r="E25" i="8"/>
  <c r="F25" i="8" s="1"/>
  <c r="H25" i="8"/>
  <c r="I25" i="8" s="1"/>
  <c r="N25" i="8"/>
  <c r="O25" i="8"/>
  <c r="P25" i="8"/>
  <c r="Q25" i="8" s="1"/>
  <c r="Z25" i="8"/>
  <c r="AA25" i="8" s="1"/>
  <c r="E26" i="8"/>
  <c r="F26" i="8" s="1"/>
  <c r="H26" i="8"/>
  <c r="I26" i="8" s="1"/>
  <c r="N26" i="8"/>
  <c r="P26" i="8" s="1"/>
  <c r="Q26" i="8" s="1"/>
  <c r="O26" i="8"/>
  <c r="Z26" i="8"/>
  <c r="AA26" i="8" s="1"/>
  <c r="E27" i="8"/>
  <c r="F27" i="8" s="1"/>
  <c r="H27" i="8"/>
  <c r="I27" i="8"/>
  <c r="R27" i="8" s="1"/>
  <c r="N27" i="8"/>
  <c r="P27" i="8" s="1"/>
  <c r="Q27" i="8" s="1"/>
  <c r="O27" i="8"/>
  <c r="Z27" i="8"/>
  <c r="AA27" i="8" s="1"/>
  <c r="AB27" i="8"/>
  <c r="AC27" i="8" s="1"/>
  <c r="E28" i="8"/>
  <c r="F28" i="8"/>
  <c r="H28" i="8"/>
  <c r="I28" i="8"/>
  <c r="R28" i="8" s="1"/>
  <c r="N28" i="8"/>
  <c r="O28" i="8"/>
  <c r="P28" i="8"/>
  <c r="Q28" i="8" s="1"/>
  <c r="Z28" i="8"/>
  <c r="AB28" i="8" s="1"/>
  <c r="AC28" i="8" s="1"/>
  <c r="E29" i="8"/>
  <c r="F29" i="8" s="1"/>
  <c r="H29" i="8"/>
  <c r="I29" i="8"/>
  <c r="N29" i="8"/>
  <c r="P29" i="8" s="1"/>
  <c r="Q29" i="8" s="1"/>
  <c r="O29" i="8"/>
  <c r="Z29" i="8"/>
  <c r="AA29" i="8"/>
  <c r="AB29" i="8"/>
  <c r="AC29" i="8" s="1"/>
  <c r="E30" i="8"/>
  <c r="F30" i="8"/>
  <c r="H30" i="8"/>
  <c r="I30" i="8"/>
  <c r="N30" i="8"/>
  <c r="O30" i="8"/>
  <c r="P30" i="8"/>
  <c r="Q30" i="8" s="1"/>
  <c r="R30" i="8"/>
  <c r="Z30" i="8"/>
  <c r="AB30" i="8" s="1"/>
  <c r="AC30" i="8" s="1"/>
  <c r="E31" i="8"/>
  <c r="F31" i="8"/>
  <c r="H31" i="8"/>
  <c r="I31" i="8" s="1"/>
  <c r="N31" i="8"/>
  <c r="O31" i="8"/>
  <c r="P31" i="8"/>
  <c r="Q31" i="8"/>
  <c r="Z31" i="8"/>
  <c r="AB31" i="8" s="1"/>
  <c r="AC31" i="8" s="1"/>
  <c r="AA31" i="8"/>
  <c r="E32" i="8"/>
  <c r="F32" i="8" s="1"/>
  <c r="H32" i="8"/>
  <c r="I32" i="8"/>
  <c r="N32" i="8"/>
  <c r="P32" i="8" s="1"/>
  <c r="O32" i="8"/>
  <c r="Z32" i="8"/>
  <c r="AA32" i="8"/>
  <c r="AB32" i="8"/>
  <c r="AC32" i="8" s="1"/>
  <c r="E33" i="8"/>
  <c r="F33" i="8"/>
  <c r="H33" i="8"/>
  <c r="I33" i="8"/>
  <c r="R33" i="8" s="1"/>
  <c r="N33" i="8"/>
  <c r="O33" i="8"/>
  <c r="P33" i="8"/>
  <c r="Q33" i="8" s="1"/>
  <c r="Z33" i="8"/>
  <c r="AA33" i="8" s="1"/>
  <c r="E34" i="8"/>
  <c r="F34" i="8"/>
  <c r="H34" i="8"/>
  <c r="I34" i="8" s="1"/>
  <c r="N34" i="8"/>
  <c r="P34" i="8" s="1"/>
  <c r="Q34" i="8" s="1"/>
  <c r="O34" i="8"/>
  <c r="Z34" i="8"/>
  <c r="AA34" i="8"/>
  <c r="AB34" i="8"/>
  <c r="AC34" i="8"/>
  <c r="E35" i="8"/>
  <c r="F35" i="8" s="1"/>
  <c r="H35" i="8"/>
  <c r="I35" i="8"/>
  <c r="N35" i="8"/>
  <c r="P35" i="8" s="1"/>
  <c r="Q35" i="8" s="1"/>
  <c r="O35" i="8"/>
  <c r="Z35" i="8"/>
  <c r="AA35" i="8"/>
  <c r="AB35" i="8"/>
  <c r="AC35" i="8" s="1"/>
  <c r="N36" i="8"/>
  <c r="O36" i="8"/>
  <c r="P36" i="8"/>
  <c r="Q36" i="8" s="1"/>
  <c r="Z36" i="8"/>
  <c r="AB36" i="8" s="1"/>
  <c r="AC36" i="8" s="1"/>
  <c r="E37" i="8"/>
  <c r="F37" i="8" s="1"/>
  <c r="H37" i="8"/>
  <c r="I37" i="8" s="1"/>
  <c r="N37" i="8"/>
  <c r="O37" i="8"/>
  <c r="P37" i="8"/>
  <c r="Q37" i="8"/>
  <c r="Z37" i="8"/>
  <c r="AB37" i="8"/>
  <c r="AC37" i="8"/>
  <c r="N38" i="8"/>
  <c r="O38" i="8"/>
  <c r="P38" i="8"/>
  <c r="Q38" i="8" s="1"/>
  <c r="Z38" i="8"/>
  <c r="AB38" i="8"/>
  <c r="AC38" i="8" s="1"/>
  <c r="V2" i="8"/>
  <c r="U2" i="8"/>
  <c r="R36" i="8" l="1"/>
  <c r="AD93" i="6"/>
  <c r="AG96" i="6"/>
  <c r="AC100" i="6"/>
  <c r="AA106" i="6"/>
  <c r="AF105" i="6"/>
  <c r="AG108" i="6"/>
  <c r="Z107" i="6"/>
  <c r="Z94" i="6"/>
  <c r="AH91" i="6"/>
  <c r="AH98" i="6"/>
  <c r="AA97" i="6"/>
  <c r="AF96" i="6"/>
  <c r="AD102" i="6"/>
  <c r="AG99" i="6"/>
  <c r="Z106" i="6"/>
  <c r="AC103" i="6"/>
  <c r="AH110" i="6"/>
  <c r="AA109" i="6"/>
  <c r="AF108" i="6"/>
  <c r="AA92" i="6"/>
  <c r="AH93" i="6"/>
  <c r="AC94" i="6"/>
  <c r="AC96" i="6"/>
  <c r="AH95" i="6"/>
  <c r="AA102" i="6"/>
  <c r="AF101" i="6"/>
  <c r="AD99" i="6"/>
  <c r="AG104" i="6"/>
  <c r="Z103" i="6"/>
  <c r="AC108" i="6"/>
  <c r="AH107" i="6"/>
  <c r="AG91" i="6"/>
  <c r="BJ14" i="6" s="1"/>
  <c r="AD94" i="6"/>
  <c r="AD91" i="6"/>
  <c r="AD98" i="6"/>
  <c r="AG95" i="6"/>
  <c r="Z102" i="6"/>
  <c r="AC99" i="6"/>
  <c r="AH106" i="6"/>
  <c r="AA105" i="6"/>
  <c r="AF104" i="6"/>
  <c r="AD110" i="6"/>
  <c r="AG107" i="6"/>
  <c r="AC92" i="6"/>
  <c r="AC91" i="6"/>
  <c r="AC98" i="6"/>
  <c r="AA96" i="6"/>
  <c r="AF95" i="6"/>
  <c r="AG106" i="6"/>
  <c r="Z105" i="6"/>
  <c r="AC110" i="6"/>
  <c r="AA108" i="6"/>
  <c r="AF107" i="6"/>
  <c r="AF94" i="6"/>
  <c r="Z96" i="6"/>
  <c r="AC101" i="6"/>
  <c r="AH100" i="6"/>
  <c r="AA99" i="6"/>
  <c r="AF106" i="6"/>
  <c r="AD104" i="6"/>
  <c r="Z108" i="6"/>
  <c r="AC97" i="6"/>
  <c r="AC109" i="6"/>
  <c r="AF93" i="6"/>
  <c r="Z92" i="6"/>
  <c r="Z93" i="6"/>
  <c r="AG94" i="6"/>
  <c r="AA91" i="6"/>
  <c r="AD95" i="6"/>
  <c r="AG100" i="6"/>
  <c r="Z99" i="6"/>
  <c r="AC104" i="6"/>
  <c r="AH103" i="6"/>
  <c r="AD107" i="6"/>
  <c r="AC102" i="6"/>
  <c r="Z100" i="6"/>
  <c r="AC105" i="6"/>
  <c r="AF92" i="6"/>
  <c r="Z91" i="6"/>
  <c r="Z98" i="6"/>
  <c r="AC95" i="6"/>
  <c r="AD106" i="6"/>
  <c r="Z110" i="6"/>
  <c r="AC107" i="6"/>
  <c r="AC93" i="6"/>
  <c r="AG93" i="6"/>
  <c r="AD97" i="6"/>
  <c r="Z101" i="6"/>
  <c r="AC106" i="6"/>
  <c r="P104" i="6"/>
  <c r="O103" i="6"/>
  <c r="O95" i="6"/>
  <c r="P94" i="6"/>
  <c r="O94" i="6"/>
  <c r="Q94" i="6" s="1"/>
  <c r="R94" i="6" s="1"/>
  <c r="P108" i="6"/>
  <c r="P99" i="6"/>
  <c r="P98" i="6"/>
  <c r="P96" i="6"/>
  <c r="O109" i="6"/>
  <c r="Q109" i="6" s="1"/>
  <c r="S109" i="6" s="1"/>
  <c r="P97" i="6"/>
  <c r="P91" i="6"/>
  <c r="P93" i="6"/>
  <c r="P110" i="6"/>
  <c r="P95" i="6"/>
  <c r="P105" i="6"/>
  <c r="O102" i="6"/>
  <c r="Q102" i="6" s="1"/>
  <c r="R102" i="6" s="1"/>
  <c r="O93" i="6"/>
  <c r="Q93" i="6" s="1"/>
  <c r="S93" i="6" s="1"/>
  <c r="O100" i="6"/>
  <c r="Q100" i="6" s="1"/>
  <c r="S100" i="6" s="1"/>
  <c r="O92" i="6"/>
  <c r="Q92" i="6" s="1"/>
  <c r="S92" i="6" s="1"/>
  <c r="P102" i="6"/>
  <c r="O96" i="6"/>
  <c r="Q96" i="6" s="1"/>
  <c r="R96" i="6" s="1"/>
  <c r="P92" i="6"/>
  <c r="O101" i="6"/>
  <c r="Q101" i="6" s="1"/>
  <c r="S101" i="6" s="1"/>
  <c r="O104" i="6"/>
  <c r="Q104" i="6" s="1"/>
  <c r="R104" i="6" s="1"/>
  <c r="P106" i="6"/>
  <c r="P107" i="6"/>
  <c r="P109" i="6"/>
  <c r="K110" i="6"/>
  <c r="K108" i="6"/>
  <c r="K94" i="6"/>
  <c r="S94" i="6"/>
  <c r="K99" i="6"/>
  <c r="K96" i="6"/>
  <c r="K105" i="6"/>
  <c r="K91" i="6"/>
  <c r="K97" i="6"/>
  <c r="K106" i="6"/>
  <c r="K107" i="6"/>
  <c r="K102" i="6"/>
  <c r="K104" i="6"/>
  <c r="AE105" i="6" s="1"/>
  <c r="O97" i="6"/>
  <c r="Q97" i="6" s="1"/>
  <c r="R97" i="6" s="1"/>
  <c r="O99" i="6"/>
  <c r="O98" i="6"/>
  <c r="Q98" i="6" s="1"/>
  <c r="P100" i="6"/>
  <c r="P101" i="6"/>
  <c r="P103" i="6"/>
  <c r="O105" i="6"/>
  <c r="Q105" i="6" s="1"/>
  <c r="R105" i="6" s="1"/>
  <c r="O107" i="6"/>
  <c r="O106" i="6"/>
  <c r="Q106" i="6" s="1"/>
  <c r="R106" i="6" s="1"/>
  <c r="O108" i="6"/>
  <c r="Q108" i="6" s="1"/>
  <c r="R108" i="6" s="1"/>
  <c r="O110" i="6"/>
  <c r="Q110" i="6" s="1"/>
  <c r="R110" i="6" s="1"/>
  <c r="O91" i="6"/>
  <c r="K11" i="10"/>
  <c r="K8" i="10"/>
  <c r="S8" i="10"/>
  <c r="S21" i="10"/>
  <c r="K5" i="10"/>
  <c r="K32" i="10" s="1"/>
  <c r="J32" i="10"/>
  <c r="J29" i="10"/>
  <c r="Q4" i="10"/>
  <c r="J40" i="10"/>
  <c r="J38" i="10"/>
  <c r="K15" i="10"/>
  <c r="K39" i="10" s="1"/>
  <c r="S15" i="10"/>
  <c r="S17" i="10"/>
  <c r="R17" i="10"/>
  <c r="K12" i="10"/>
  <c r="AD45" i="10"/>
  <c r="AD48" i="10"/>
  <c r="AD47" i="10"/>
  <c r="AD46" i="10"/>
  <c r="AE48" i="10"/>
  <c r="G48" i="10"/>
  <c r="K18" i="10"/>
  <c r="S18" i="10"/>
  <c r="R10" i="10"/>
  <c r="S10" i="10"/>
  <c r="R20" i="10"/>
  <c r="S20" i="10"/>
  <c r="S24" i="10"/>
  <c r="K24" i="10"/>
  <c r="AD42" i="10"/>
  <c r="AD44" i="10"/>
  <c r="AD41" i="10"/>
  <c r="AD43" i="10"/>
  <c r="S6" i="10"/>
  <c r="K6" i="10"/>
  <c r="AE30" i="10"/>
  <c r="J35" i="10"/>
  <c r="J34" i="10"/>
  <c r="J36" i="10"/>
  <c r="J33" i="10"/>
  <c r="K9" i="10"/>
  <c r="S27" i="10"/>
  <c r="K27" i="10"/>
  <c r="AD12" i="10"/>
  <c r="J26" i="10"/>
  <c r="P4" i="10"/>
  <c r="P7" i="10"/>
  <c r="O11" i="10"/>
  <c r="Q11" i="10" s="1"/>
  <c r="R11" i="10" s="1"/>
  <c r="AE13" i="10"/>
  <c r="AE16" i="10"/>
  <c r="AE39" i="10" s="1"/>
  <c r="P25" i="10"/>
  <c r="S28" i="10"/>
  <c r="L29" i="10"/>
  <c r="L32" i="10"/>
  <c r="L35" i="10"/>
  <c r="P37" i="10"/>
  <c r="L38" i="10"/>
  <c r="L41" i="10"/>
  <c r="L44" i="10"/>
  <c r="L47" i="10"/>
  <c r="I48" i="10"/>
  <c r="I29" i="10"/>
  <c r="I32" i="10"/>
  <c r="I30" i="10"/>
  <c r="AC40" i="10"/>
  <c r="AC43" i="10"/>
  <c r="I45" i="10"/>
  <c r="AC46" i="10"/>
  <c r="M47" i="10"/>
  <c r="AD10" i="10"/>
  <c r="G14" i="10"/>
  <c r="P15" i="10"/>
  <c r="P39" i="10" s="1"/>
  <c r="O19" i="10"/>
  <c r="O22" i="10"/>
  <c r="K23" i="10"/>
  <c r="AD28" i="10"/>
  <c r="N29" i="10"/>
  <c r="J30" i="10"/>
  <c r="F31" i="10"/>
  <c r="AD31" i="10"/>
  <c r="N32" i="10"/>
  <c r="F34" i="10"/>
  <c r="F37" i="10"/>
  <c r="AD37" i="10"/>
  <c r="N38" i="10"/>
  <c r="J39" i="10"/>
  <c r="F40" i="10"/>
  <c r="N41" i="10"/>
  <c r="J42" i="10"/>
  <c r="F43" i="10"/>
  <c r="N44" i="10"/>
  <c r="J45" i="10"/>
  <c r="N47" i="10"/>
  <c r="J48" i="10"/>
  <c r="I33" i="10"/>
  <c r="I36" i="10"/>
  <c r="S4" i="10"/>
  <c r="O5" i="10"/>
  <c r="Q5" i="10" s="1"/>
  <c r="R5" i="10" s="1"/>
  <c r="S7" i="10"/>
  <c r="P19" i="10"/>
  <c r="P22" i="10"/>
  <c r="S25" i="10"/>
  <c r="O26" i="10"/>
  <c r="Q26" i="10" s="1"/>
  <c r="R26" i="10" s="1"/>
  <c r="AE31" i="10"/>
  <c r="G34" i="10"/>
  <c r="AE37" i="10"/>
  <c r="O38" i="10"/>
  <c r="AE40" i="10"/>
  <c r="AE43" i="10"/>
  <c r="AE46" i="10"/>
  <c r="M29" i="10"/>
  <c r="M32" i="10"/>
  <c r="M35" i="10"/>
  <c r="AC37" i="10"/>
  <c r="G4" i="10"/>
  <c r="O9" i="10"/>
  <c r="O12" i="10"/>
  <c r="Q12" i="10" s="1"/>
  <c r="R12" i="10" s="1"/>
  <c r="L30" i="10"/>
  <c r="L33" i="10"/>
  <c r="L36" i="10"/>
  <c r="P38" i="10"/>
  <c r="L39" i="10"/>
  <c r="L42" i="10"/>
  <c r="L45" i="10"/>
  <c r="L48" i="10"/>
  <c r="P9" i="10"/>
  <c r="AC29" i="10"/>
  <c r="M30" i="10"/>
  <c r="I34" i="10"/>
  <c r="I37" i="10"/>
  <c r="AC41" i="10"/>
  <c r="AC44" i="10"/>
  <c r="M45" i="10"/>
  <c r="AC47" i="10"/>
  <c r="F29" i="10"/>
  <c r="AD29" i="10"/>
  <c r="N30" i="10"/>
  <c r="J31" i="10"/>
  <c r="N33" i="10"/>
  <c r="J37" i="10"/>
  <c r="F38" i="10"/>
  <c r="F41" i="10"/>
  <c r="N42" i="10"/>
  <c r="J43" i="10"/>
  <c r="F44" i="10"/>
  <c r="N45" i="10"/>
  <c r="J46" i="10"/>
  <c r="F47" i="10"/>
  <c r="N48" i="10"/>
  <c r="AD15" i="10"/>
  <c r="G19" i="10"/>
  <c r="AE29" i="10"/>
  <c r="AE32" i="10"/>
  <c r="G35" i="10"/>
  <c r="AE38" i="10"/>
  <c r="O39" i="10"/>
  <c r="AE41" i="10"/>
  <c r="AE44" i="10"/>
  <c r="AE47" i="10"/>
  <c r="K19" i="10"/>
  <c r="G26" i="10"/>
  <c r="G47" i="10" s="1"/>
  <c r="L31" i="10"/>
  <c r="L37" i="10"/>
  <c r="AD9" i="10"/>
  <c r="K22" i="10"/>
  <c r="J41" i="10"/>
  <c r="Q14" i="10"/>
  <c r="G33" i="10"/>
  <c r="O37" i="10"/>
  <c r="AE45" i="10"/>
  <c r="AI8" i="8"/>
  <c r="AI7" i="8"/>
  <c r="AE14" i="9"/>
  <c r="AE13" i="9"/>
  <c r="J10" i="9"/>
  <c r="R10" i="9"/>
  <c r="AE22" i="9"/>
  <c r="AE21" i="9"/>
  <c r="Q16" i="9"/>
  <c r="R16" i="9"/>
  <c r="R23" i="9"/>
  <c r="J23" i="9"/>
  <c r="R35" i="9"/>
  <c r="J35" i="9"/>
  <c r="R15" i="9"/>
  <c r="J15" i="9"/>
  <c r="R19" i="9"/>
  <c r="J32" i="9"/>
  <c r="R32" i="9"/>
  <c r="J4" i="9"/>
  <c r="AK4" i="9"/>
  <c r="I11" i="9"/>
  <c r="R11" i="9" s="1"/>
  <c r="R4" i="9"/>
  <c r="R9" i="9"/>
  <c r="J9" i="9"/>
  <c r="AF29" i="9"/>
  <c r="Q24" i="9"/>
  <c r="R24" i="9"/>
  <c r="AE29" i="9"/>
  <c r="J18" i="9"/>
  <c r="R18" i="9"/>
  <c r="J5" i="9"/>
  <c r="R5" i="9"/>
  <c r="R6" i="9"/>
  <c r="J6" i="9"/>
  <c r="J34" i="9"/>
  <c r="R34" i="9"/>
  <c r="R12" i="9"/>
  <c r="J12" i="9"/>
  <c r="R8" i="9"/>
  <c r="J8" i="9"/>
  <c r="R22" i="9"/>
  <c r="R31" i="9"/>
  <c r="J31" i="9"/>
  <c r="AF4" i="9"/>
  <c r="AE10" i="9"/>
  <c r="R30" i="9"/>
  <c r="J7" i="9"/>
  <c r="AF30" i="9"/>
  <c r="AA32" i="9"/>
  <c r="AA5" i="9"/>
  <c r="I13" i="9"/>
  <c r="AB16" i="9"/>
  <c r="AC16" i="9" s="1"/>
  <c r="AF13" i="9" s="1"/>
  <c r="I21" i="9"/>
  <c r="AB24" i="9"/>
  <c r="AC24" i="9" s="1"/>
  <c r="AF9" i="9" s="1"/>
  <c r="I29" i="9"/>
  <c r="AA17" i="9"/>
  <c r="AA25" i="9"/>
  <c r="R26" i="9"/>
  <c r="AA33" i="9"/>
  <c r="AE30" i="9" s="1"/>
  <c r="AF5" i="9"/>
  <c r="AA7" i="9"/>
  <c r="AE5" i="9" s="1"/>
  <c r="R34" i="8"/>
  <c r="R23" i="8"/>
  <c r="R11" i="8"/>
  <c r="R14" i="8"/>
  <c r="R8" i="8"/>
  <c r="R5" i="8"/>
  <c r="R26" i="8"/>
  <c r="R9" i="8"/>
  <c r="R24" i="8"/>
  <c r="R15" i="8"/>
  <c r="Q4" i="8"/>
  <c r="R4" i="8"/>
  <c r="R38" i="8"/>
  <c r="R31" i="8"/>
  <c r="R12" i="8"/>
  <c r="Q32" i="8"/>
  <c r="R32" i="8"/>
  <c r="R18" i="8"/>
  <c r="R7" i="8"/>
  <c r="R37" i="8"/>
  <c r="R25" i="8"/>
  <c r="R16" i="8"/>
  <c r="AA30" i="8"/>
  <c r="AA17" i="8"/>
  <c r="AA10" i="8"/>
  <c r="AA4" i="8"/>
  <c r="R35" i="8"/>
  <c r="R29" i="8"/>
  <c r="AB33" i="8"/>
  <c r="AC33" i="8" s="1"/>
  <c r="R22" i="8"/>
  <c r="AB14" i="8"/>
  <c r="AC14" i="8" s="1"/>
  <c r="AB7" i="8"/>
  <c r="AC7" i="8" s="1"/>
  <c r="AB26" i="8"/>
  <c r="AC26" i="8" s="1"/>
  <c r="AB25" i="8"/>
  <c r="AC25" i="8" s="1"/>
  <c r="AB18" i="8"/>
  <c r="AC18" i="8" s="1"/>
  <c r="AB5" i="8"/>
  <c r="AC5" i="8" s="1"/>
  <c r="AI102" i="6" l="1"/>
  <c r="AI99" i="6"/>
  <c r="AI100" i="6"/>
  <c r="AI101" i="6"/>
  <c r="AE100" i="6"/>
  <c r="BI24" i="6" s="1"/>
  <c r="AE101" i="6"/>
  <c r="AE99" i="6"/>
  <c r="BI15" i="6" s="1"/>
  <c r="AE102" i="6"/>
  <c r="AE104" i="6"/>
  <c r="BI21" i="6" s="1"/>
  <c r="AJ99" i="6"/>
  <c r="AJ102" i="6"/>
  <c r="AJ100" i="6"/>
  <c r="AJ101" i="6"/>
  <c r="AJ94" i="6"/>
  <c r="AJ93" i="6"/>
  <c r="AJ91" i="6"/>
  <c r="AJ92" i="6"/>
  <c r="Q91" i="6"/>
  <c r="AI94" i="6"/>
  <c r="AI93" i="6"/>
  <c r="AI91" i="6"/>
  <c r="AI92" i="6"/>
  <c r="AE96" i="6"/>
  <c r="BI20" i="6" s="1"/>
  <c r="Q95" i="6"/>
  <c r="AI96" i="6"/>
  <c r="AI97" i="6"/>
  <c r="AI95" i="6"/>
  <c r="AI98" i="6"/>
  <c r="AE98" i="6"/>
  <c r="AE97" i="6"/>
  <c r="AJ106" i="6"/>
  <c r="AJ105" i="6"/>
  <c r="AJ103" i="6"/>
  <c r="AJ104" i="6"/>
  <c r="AE92" i="6"/>
  <c r="AE94" i="6"/>
  <c r="AE91" i="6"/>
  <c r="BI14" i="6" s="1"/>
  <c r="AE93" i="6"/>
  <c r="AE103" i="6"/>
  <c r="BI12" i="6" s="1"/>
  <c r="AI108" i="6"/>
  <c r="AI107" i="6"/>
  <c r="AI109" i="6"/>
  <c r="AI110" i="6"/>
  <c r="AE109" i="6"/>
  <c r="AE108" i="6"/>
  <c r="BI25" i="6" s="1"/>
  <c r="AE107" i="6"/>
  <c r="BI16" i="6" s="1"/>
  <c r="AE110" i="6"/>
  <c r="AJ110" i="6"/>
  <c r="AJ108" i="6"/>
  <c r="AJ107" i="6"/>
  <c r="AJ109" i="6"/>
  <c r="AJ96" i="6"/>
  <c r="AJ95" i="6"/>
  <c r="AJ97" i="6"/>
  <c r="AJ98" i="6"/>
  <c r="AI105" i="6"/>
  <c r="AI104" i="6"/>
  <c r="AI103" i="6"/>
  <c r="AI106" i="6"/>
  <c r="AE95" i="6"/>
  <c r="BI11" i="6" s="1"/>
  <c r="AE106" i="6"/>
  <c r="Q107" i="6"/>
  <c r="Q103" i="6"/>
  <c r="Q99" i="6"/>
  <c r="R100" i="6"/>
  <c r="S106" i="6"/>
  <c r="R92" i="6"/>
  <c r="R109" i="6"/>
  <c r="S108" i="6"/>
  <c r="S96" i="6"/>
  <c r="R93" i="6"/>
  <c r="S102" i="6"/>
  <c r="S105" i="6"/>
  <c r="R101" i="6"/>
  <c r="S107" i="6"/>
  <c r="S104" i="6"/>
  <c r="S98" i="6"/>
  <c r="R98" i="6"/>
  <c r="S97" i="6"/>
  <c r="S110" i="6"/>
  <c r="S91" i="6"/>
  <c r="Q38" i="10"/>
  <c r="Q39" i="10"/>
  <c r="Q37" i="10"/>
  <c r="Q40" i="10"/>
  <c r="S14" i="10"/>
  <c r="R14" i="10"/>
  <c r="K40" i="10"/>
  <c r="P42" i="10"/>
  <c r="P44" i="10"/>
  <c r="P41" i="10"/>
  <c r="P43" i="10"/>
  <c r="K35" i="10"/>
  <c r="K34" i="10"/>
  <c r="K36" i="10"/>
  <c r="K33" i="10"/>
  <c r="O29" i="10"/>
  <c r="K31" i="10"/>
  <c r="P36" i="10"/>
  <c r="P33" i="10"/>
  <c r="P35" i="10"/>
  <c r="P34" i="10"/>
  <c r="K30" i="10"/>
  <c r="K37" i="10"/>
  <c r="G46" i="10"/>
  <c r="O32" i="10"/>
  <c r="K29" i="10"/>
  <c r="O46" i="10"/>
  <c r="O48" i="10"/>
  <c r="O45" i="10"/>
  <c r="Q22" i="10"/>
  <c r="O47" i="10"/>
  <c r="Q30" i="10"/>
  <c r="Q32" i="10"/>
  <c r="Q29" i="10"/>
  <c r="R4" i="10"/>
  <c r="Q31" i="10"/>
  <c r="P48" i="10"/>
  <c r="P45" i="10"/>
  <c r="P47" i="10"/>
  <c r="P46" i="10"/>
  <c r="K47" i="10"/>
  <c r="K46" i="10"/>
  <c r="K48" i="10"/>
  <c r="K45" i="10"/>
  <c r="S30" i="10"/>
  <c r="S32" i="10"/>
  <c r="S29" i="10"/>
  <c r="S31" i="10"/>
  <c r="O43" i="10"/>
  <c r="O42" i="10"/>
  <c r="Q19" i="10"/>
  <c r="O44" i="10"/>
  <c r="O41" i="10"/>
  <c r="K38" i="10"/>
  <c r="O30" i="10"/>
  <c r="K26" i="10"/>
  <c r="S26" i="10"/>
  <c r="O31" i="10"/>
  <c r="K44" i="10"/>
  <c r="K41" i="10"/>
  <c r="K43" i="10"/>
  <c r="K42" i="10"/>
  <c r="G39" i="10"/>
  <c r="G38" i="10"/>
  <c r="G40" i="10"/>
  <c r="G37" i="10"/>
  <c r="S12" i="10"/>
  <c r="S11" i="10"/>
  <c r="O34" i="10"/>
  <c r="Q9" i="10"/>
  <c r="O36" i="10"/>
  <c r="O33" i="10"/>
  <c r="O35" i="10"/>
  <c r="S5" i="10"/>
  <c r="G42" i="10"/>
  <c r="G44" i="10"/>
  <c r="G41" i="10"/>
  <c r="G43" i="10"/>
  <c r="G45" i="10"/>
  <c r="G30" i="10"/>
  <c r="G32" i="10"/>
  <c r="G29" i="10"/>
  <c r="G31" i="10"/>
  <c r="P40" i="10"/>
  <c r="P30" i="10"/>
  <c r="P32" i="10"/>
  <c r="P29" i="10"/>
  <c r="P31" i="10"/>
  <c r="R29" i="9"/>
  <c r="AK29" i="9"/>
  <c r="J29" i="9"/>
  <c r="I36" i="9"/>
  <c r="R36" i="9" s="1"/>
  <c r="R21" i="9"/>
  <c r="AK21" i="9"/>
  <c r="J21" i="9"/>
  <c r="I28" i="9"/>
  <c r="R28" i="9" s="1"/>
  <c r="AF21" i="9"/>
  <c r="AF10" i="9"/>
  <c r="R13" i="9"/>
  <c r="AK13" i="9"/>
  <c r="J13" i="9"/>
  <c r="I20" i="9"/>
  <c r="R20" i="9" s="1"/>
  <c r="AE4" i="9"/>
  <c r="AE9" i="9"/>
  <c r="J11" i="9"/>
  <c r="AL4" i="9"/>
  <c r="AF22" i="9"/>
  <c r="AF14" i="9"/>
  <c r="AK98" i="6" l="1"/>
  <c r="AK96" i="6"/>
  <c r="AK97" i="6"/>
  <c r="AK95" i="6"/>
  <c r="R95" i="6"/>
  <c r="S95" i="6"/>
  <c r="R91" i="6"/>
  <c r="AK91" i="6"/>
  <c r="AK93" i="6"/>
  <c r="AK92" i="6"/>
  <c r="AK94" i="6"/>
  <c r="AK99" i="6"/>
  <c r="AK101" i="6"/>
  <c r="AK102" i="6"/>
  <c r="AK100" i="6"/>
  <c r="AM91" i="6"/>
  <c r="AM92" i="6"/>
  <c r="AK105" i="6"/>
  <c r="AK106" i="6"/>
  <c r="AK103" i="6"/>
  <c r="AK104" i="6"/>
  <c r="AK110" i="6"/>
  <c r="AK109" i="6"/>
  <c r="AK108" i="6"/>
  <c r="AK107" i="6"/>
  <c r="AM110" i="6"/>
  <c r="AM108" i="6"/>
  <c r="AM107" i="6"/>
  <c r="AM109" i="6"/>
  <c r="R107" i="6"/>
  <c r="S103" i="6"/>
  <c r="R103" i="6"/>
  <c r="R99" i="6"/>
  <c r="S99" i="6"/>
  <c r="R30" i="10"/>
  <c r="R32" i="10"/>
  <c r="R29" i="10"/>
  <c r="R31" i="10"/>
  <c r="Q33" i="10"/>
  <c r="R9" i="10"/>
  <c r="Q36" i="10"/>
  <c r="Q35" i="10"/>
  <c r="Q34" i="10"/>
  <c r="S9" i="10"/>
  <c r="Q48" i="10"/>
  <c r="Q47" i="10"/>
  <c r="R22" i="10"/>
  <c r="Q45" i="10"/>
  <c r="Q46" i="10"/>
  <c r="S22" i="10"/>
  <c r="R39" i="10"/>
  <c r="R38" i="10"/>
  <c r="R40" i="10"/>
  <c r="R37" i="10"/>
  <c r="S39" i="10"/>
  <c r="S38" i="10"/>
  <c r="S40" i="10"/>
  <c r="S37" i="10"/>
  <c r="Q44" i="10"/>
  <c r="Q41" i="10"/>
  <c r="R19" i="10"/>
  <c r="Q43" i="10"/>
  <c r="Q42" i="10"/>
  <c r="S19" i="10"/>
  <c r="AL29" i="9"/>
  <c r="J36" i="9"/>
  <c r="AL21" i="9"/>
  <c r="J28" i="9"/>
  <c r="AL13" i="9"/>
  <c r="J20" i="9"/>
  <c r="AM98" i="6" l="1"/>
  <c r="AM96" i="6"/>
  <c r="AM95" i="6"/>
  <c r="AM97" i="6"/>
  <c r="AM101" i="6"/>
  <c r="AM99" i="6"/>
  <c r="AM100" i="6"/>
  <c r="AM102" i="6"/>
  <c r="AL104" i="6"/>
  <c r="AL105" i="6"/>
  <c r="AL103" i="6"/>
  <c r="AL106" i="6"/>
  <c r="AL91" i="6"/>
  <c r="AL93" i="6"/>
  <c r="AL92" i="6"/>
  <c r="AL94" i="6"/>
  <c r="AL97" i="6"/>
  <c r="AL98" i="6"/>
  <c r="AL96" i="6"/>
  <c r="AL95" i="6"/>
  <c r="AL101" i="6"/>
  <c r="AL100" i="6"/>
  <c r="AL99" i="6"/>
  <c r="AL102" i="6"/>
  <c r="AM93" i="6"/>
  <c r="AL110" i="6"/>
  <c r="AL108" i="6"/>
  <c r="AL109" i="6"/>
  <c r="AL107" i="6"/>
  <c r="AM94" i="6"/>
  <c r="AM104" i="6"/>
  <c r="AM103" i="6"/>
  <c r="AM105" i="6"/>
  <c r="AM106" i="6"/>
  <c r="S42" i="10"/>
  <c r="S44" i="10"/>
  <c r="S41" i="10"/>
  <c r="S43" i="10"/>
  <c r="S36" i="10"/>
  <c r="S33" i="10"/>
  <c r="S35" i="10"/>
  <c r="S34" i="10"/>
  <c r="R33" i="10"/>
  <c r="R35" i="10"/>
  <c r="R34" i="10"/>
  <c r="R36" i="10"/>
  <c r="S48" i="10"/>
  <c r="S45" i="10"/>
  <c r="S47" i="10"/>
  <c r="S46" i="10"/>
  <c r="R42" i="10"/>
  <c r="R44" i="10"/>
  <c r="R41" i="10"/>
  <c r="R43" i="10"/>
  <c r="R48" i="10"/>
  <c r="R45" i="10"/>
  <c r="R47" i="10"/>
  <c r="R46" i="10"/>
  <c r="L21" i="7"/>
  <c r="G21" i="7"/>
  <c r="G2" i="5"/>
  <c r="AZ12" i="7"/>
  <c r="AZ4" i="7"/>
  <c r="AQ31" i="7"/>
  <c r="AQ32" i="7"/>
  <c r="AQ33" i="7"/>
  <c r="AQ34" i="7"/>
  <c r="AQ20" i="7"/>
  <c r="AQ21" i="7"/>
  <c r="AQ22" i="7"/>
  <c r="AQ23" i="7"/>
  <c r="AQ13" i="7"/>
  <c r="AQ14" i="7"/>
  <c r="AQ15" i="7"/>
  <c r="AQ16" i="7"/>
  <c r="AQ7" i="7"/>
  <c r="AQ8" i="7"/>
  <c r="AQ9" i="7"/>
  <c r="AQ10" i="7"/>
  <c r="AQ3" i="7"/>
  <c r="AQ4" i="7"/>
  <c r="AQ5" i="7"/>
  <c r="AQ2" i="7"/>
  <c r="K22" i="7"/>
  <c r="K23" i="7"/>
  <c r="L22" i="7"/>
  <c r="L23" i="7"/>
  <c r="Q23" i="7"/>
  <c r="P23" i="7"/>
  <c r="R23" i="7" s="1"/>
  <c r="J23" i="7"/>
  <c r="G23" i="7"/>
  <c r="H23" i="7" s="1"/>
  <c r="Q22" i="7"/>
  <c r="P22" i="7"/>
  <c r="R22" i="7" s="1"/>
  <c r="S22" i="7" s="1"/>
  <c r="J22" i="7"/>
  <c r="H22" i="7"/>
  <c r="G22" i="7"/>
  <c r="AO3" i="7"/>
  <c r="BA12" i="7" s="1"/>
  <c r="AO2" i="7"/>
  <c r="BA4" i="7" s="1"/>
  <c r="AP34" i="7"/>
  <c r="AO34" i="7"/>
  <c r="AI34" i="7"/>
  <c r="AH34" i="7"/>
  <c r="AG34" i="7"/>
  <c r="Z34" i="7"/>
  <c r="Y34" i="7"/>
  <c r="Q34" i="7"/>
  <c r="P34" i="7"/>
  <c r="R34" i="7" s="1"/>
  <c r="T34" i="7" s="1"/>
  <c r="AP33" i="7"/>
  <c r="AO33" i="7"/>
  <c r="AI33" i="7"/>
  <c r="AH33" i="7"/>
  <c r="AG33" i="7"/>
  <c r="Z33" i="7"/>
  <c r="Y33" i="7"/>
  <c r="Q33" i="7"/>
  <c r="P33" i="7"/>
  <c r="R33" i="7" s="1"/>
  <c r="T33" i="7" s="1"/>
  <c r="AP32" i="7"/>
  <c r="BB16" i="7" s="1"/>
  <c r="AO32" i="7"/>
  <c r="BA16" i="7" s="1"/>
  <c r="AI32" i="7"/>
  <c r="AH32" i="7"/>
  <c r="AG32" i="7"/>
  <c r="Z32" i="7"/>
  <c r="Y32" i="7"/>
  <c r="AP31" i="7"/>
  <c r="BB8" i="7" s="1"/>
  <c r="AO31" i="7"/>
  <c r="BA8" i="7" s="1"/>
  <c r="AI31" i="7"/>
  <c r="AH31" i="7"/>
  <c r="AG31" i="7"/>
  <c r="Z31" i="7"/>
  <c r="Y31" i="7"/>
  <c r="Q31" i="7"/>
  <c r="P31" i="7"/>
  <c r="AJ33" i="7" s="1"/>
  <c r="AI30" i="7"/>
  <c r="AH30" i="7"/>
  <c r="AG30" i="7"/>
  <c r="AC30" i="7"/>
  <c r="Z30" i="7"/>
  <c r="Y30" i="7"/>
  <c r="AI29" i="7"/>
  <c r="AH29" i="7"/>
  <c r="AG29" i="7"/>
  <c r="AC29" i="7"/>
  <c r="Z29" i="7"/>
  <c r="Y29" i="7"/>
  <c r="Q29" i="7"/>
  <c r="P29" i="7"/>
  <c r="R29" i="7" s="1"/>
  <c r="S29" i="7" s="1"/>
  <c r="J29" i="7"/>
  <c r="K29" i="7" s="1"/>
  <c r="G29" i="7"/>
  <c r="H29" i="7" s="1"/>
  <c r="AI28" i="7"/>
  <c r="AH28" i="7"/>
  <c r="AG28" i="7"/>
  <c r="AC28" i="7"/>
  <c r="Z28" i="7"/>
  <c r="Y28" i="7"/>
  <c r="Q28" i="7"/>
  <c r="AK30" i="7" s="1"/>
  <c r="P28" i="7"/>
  <c r="R28" i="7" s="1"/>
  <c r="S28" i="7" s="1"/>
  <c r="J28" i="7"/>
  <c r="K28" i="7" s="1"/>
  <c r="L28" i="7" s="1"/>
  <c r="G28" i="7"/>
  <c r="H28" i="7" s="1"/>
  <c r="AI27" i="7"/>
  <c r="AH27" i="7"/>
  <c r="AG27" i="7"/>
  <c r="AC27" i="7"/>
  <c r="Z27" i="7"/>
  <c r="Y27" i="7"/>
  <c r="R27" i="7"/>
  <c r="S27" i="7" s="1"/>
  <c r="Q27" i="7"/>
  <c r="J27" i="7"/>
  <c r="K27" i="7" s="1"/>
  <c r="G27" i="7"/>
  <c r="H27" i="7" s="1"/>
  <c r="AA29" i="7"/>
  <c r="AP23" i="7"/>
  <c r="AO23" i="7"/>
  <c r="AI23" i="7"/>
  <c r="AH23" i="7"/>
  <c r="AG23" i="7"/>
  <c r="AC23" i="7"/>
  <c r="Z23" i="7"/>
  <c r="Y23" i="7"/>
  <c r="AP22" i="7"/>
  <c r="AO22" i="7"/>
  <c r="AI22" i="7"/>
  <c r="AH22" i="7"/>
  <c r="AG22" i="7"/>
  <c r="AC22" i="7"/>
  <c r="Z22" i="7"/>
  <c r="Y22" i="7"/>
  <c r="AP21" i="7"/>
  <c r="BB15" i="7" s="1"/>
  <c r="AO21" i="7"/>
  <c r="BA15" i="7" s="1"/>
  <c r="AI21" i="7"/>
  <c r="AH21" i="7"/>
  <c r="AG21" i="7"/>
  <c r="AC21" i="7"/>
  <c r="Z21" i="7"/>
  <c r="Y21" i="7"/>
  <c r="AP20" i="7"/>
  <c r="BB7" i="7" s="1"/>
  <c r="AO20" i="7"/>
  <c r="BA7" i="7" s="1"/>
  <c r="AI20" i="7"/>
  <c r="AH20" i="7"/>
  <c r="AG20" i="7"/>
  <c r="AC20" i="7"/>
  <c r="Z20" i="7"/>
  <c r="Y20" i="7"/>
  <c r="Q19" i="7"/>
  <c r="R19" i="7"/>
  <c r="S19" i="7" s="1"/>
  <c r="J19" i="7"/>
  <c r="AD13" i="7" s="1"/>
  <c r="G19" i="7"/>
  <c r="H19" i="7" s="1"/>
  <c r="R18" i="7"/>
  <c r="S18" i="7" s="1"/>
  <c r="J18" i="7"/>
  <c r="K18" i="7" s="1"/>
  <c r="G18" i="7"/>
  <c r="H18" i="7" s="1"/>
  <c r="AP16" i="7"/>
  <c r="AO16" i="7"/>
  <c r="AI16" i="7"/>
  <c r="AH16" i="7"/>
  <c r="AG16" i="7"/>
  <c r="AC16" i="7"/>
  <c r="Z16" i="7"/>
  <c r="Y16" i="7"/>
  <c r="AP15" i="7"/>
  <c r="AO15" i="7"/>
  <c r="AI15" i="7"/>
  <c r="AH15" i="7"/>
  <c r="AG15" i="7"/>
  <c r="AC15" i="7"/>
  <c r="Z15" i="7"/>
  <c r="Y15" i="7"/>
  <c r="Q15" i="7"/>
  <c r="R15" i="7"/>
  <c r="S15" i="7" s="1"/>
  <c r="J15" i="7"/>
  <c r="K15" i="7" s="1"/>
  <c r="G15" i="7"/>
  <c r="H15" i="7" s="1"/>
  <c r="AP14" i="7"/>
  <c r="BB14" i="7" s="1"/>
  <c r="AO14" i="7"/>
  <c r="BA14" i="7" s="1"/>
  <c r="AI14" i="7"/>
  <c r="AH14" i="7"/>
  <c r="AG14" i="7"/>
  <c r="AC14" i="7"/>
  <c r="Z14" i="7"/>
  <c r="Y14" i="7"/>
  <c r="AP13" i="7"/>
  <c r="BB6" i="7" s="1"/>
  <c r="AO13" i="7"/>
  <c r="BA6" i="7" s="1"/>
  <c r="AI13" i="7"/>
  <c r="AH13" i="7"/>
  <c r="AG13" i="7"/>
  <c r="AC13" i="7"/>
  <c r="Z13" i="7"/>
  <c r="Y13" i="7"/>
  <c r="AP10" i="7"/>
  <c r="AO10" i="7"/>
  <c r="AI10" i="7"/>
  <c r="AH10" i="7"/>
  <c r="AG10" i="7"/>
  <c r="AC10" i="7"/>
  <c r="Z10" i="7"/>
  <c r="Y10" i="7"/>
  <c r="AP9" i="7"/>
  <c r="AO9" i="7"/>
  <c r="AI9" i="7"/>
  <c r="AH9" i="7"/>
  <c r="AG9" i="7"/>
  <c r="AC9" i="7"/>
  <c r="Z9" i="7"/>
  <c r="Y9" i="7"/>
  <c r="Q9" i="7"/>
  <c r="P9" i="7"/>
  <c r="R9" i="7" s="1"/>
  <c r="J9" i="7"/>
  <c r="K9" i="7" s="1"/>
  <c r="L9" i="7" s="1"/>
  <c r="G9" i="7"/>
  <c r="AP8" i="7"/>
  <c r="BB13" i="7" s="1"/>
  <c r="AO8" i="7"/>
  <c r="BA13" i="7" s="1"/>
  <c r="AI8" i="7"/>
  <c r="AH8" i="7"/>
  <c r="AG8" i="7"/>
  <c r="AC8" i="7"/>
  <c r="Z8" i="7"/>
  <c r="Y8" i="7"/>
  <c r="Q8" i="7"/>
  <c r="R8" i="7"/>
  <c r="J8" i="7"/>
  <c r="K8" i="7" s="1"/>
  <c r="G8" i="7"/>
  <c r="H8" i="7" s="1"/>
  <c r="AP7" i="7"/>
  <c r="BB5" i="7" s="1"/>
  <c r="AO7" i="7"/>
  <c r="BA5" i="7" s="1"/>
  <c r="AI7" i="7"/>
  <c r="AH7" i="7"/>
  <c r="AG7" i="7"/>
  <c r="AC7" i="7"/>
  <c r="Z7" i="7"/>
  <c r="Y7" i="7"/>
  <c r="Q7" i="7"/>
  <c r="J7" i="7"/>
  <c r="G7" i="7"/>
  <c r="H7" i="7" s="1"/>
  <c r="Q6" i="7"/>
  <c r="R6" i="7"/>
  <c r="S6" i="7" s="1"/>
  <c r="K6" i="7"/>
  <c r="L6" i="7" s="1"/>
  <c r="J6" i="7"/>
  <c r="G6" i="7"/>
  <c r="H6" i="7" s="1"/>
  <c r="AP5" i="7"/>
  <c r="AO5" i="7"/>
  <c r="AI5" i="7"/>
  <c r="AH5" i="7"/>
  <c r="AG5" i="7"/>
  <c r="AC5" i="7"/>
  <c r="Z5" i="7"/>
  <c r="Y5" i="7"/>
  <c r="Q5" i="7"/>
  <c r="J5" i="7"/>
  <c r="AD5" i="7" s="1"/>
  <c r="G5" i="7"/>
  <c r="H5" i="7" s="1"/>
  <c r="AP4" i="7"/>
  <c r="AO4" i="7"/>
  <c r="AI4" i="7"/>
  <c r="AH4" i="7"/>
  <c r="AG4" i="7"/>
  <c r="AC4" i="7"/>
  <c r="Z4" i="7"/>
  <c r="Y4" i="7"/>
  <c r="AP3" i="7"/>
  <c r="BB12" i="7" s="1"/>
  <c r="AI3" i="7"/>
  <c r="AH3" i="7"/>
  <c r="AG3" i="7"/>
  <c r="AC3" i="7"/>
  <c r="Z3" i="7"/>
  <c r="Y3" i="7"/>
  <c r="R3" i="7"/>
  <c r="S3" i="7" s="1"/>
  <c r="Q3" i="7"/>
  <c r="AK2" i="7" s="1"/>
  <c r="J3" i="7"/>
  <c r="K3" i="7" s="1"/>
  <c r="G3" i="7"/>
  <c r="AP2" i="7"/>
  <c r="BB4" i="7" s="1"/>
  <c r="AI2" i="7"/>
  <c r="AH2" i="7"/>
  <c r="AG2" i="7"/>
  <c r="AC2" i="7"/>
  <c r="Z2" i="7"/>
  <c r="Y2" i="7"/>
  <c r="L13" i="5"/>
  <c r="L14" i="5"/>
  <c r="L16" i="5"/>
  <c r="L17" i="5"/>
  <c r="L2" i="5"/>
  <c r="L4" i="5"/>
  <c r="S2" i="5"/>
  <c r="S4" i="5"/>
  <c r="S23" i="7" l="1"/>
  <c r="T23" i="7"/>
  <c r="AK16" i="7"/>
  <c r="T22" i="7"/>
  <c r="AK23" i="7"/>
  <c r="K5" i="7"/>
  <c r="AA3" i="7"/>
  <c r="AJ3" i="7"/>
  <c r="AA14" i="7"/>
  <c r="AA22" i="7"/>
  <c r="AA9" i="7"/>
  <c r="AA13" i="7"/>
  <c r="AJ7" i="7"/>
  <c r="AK8" i="7"/>
  <c r="AD30" i="7"/>
  <c r="AK5" i="7"/>
  <c r="R7" i="7"/>
  <c r="AL10" i="7" s="1"/>
  <c r="AJ13" i="7"/>
  <c r="AK15" i="7"/>
  <c r="AJ27" i="7"/>
  <c r="AK32" i="7"/>
  <c r="AB27" i="7"/>
  <c r="H3" i="7"/>
  <c r="AB3" i="7" s="1"/>
  <c r="AD16" i="7"/>
  <c r="R5" i="7"/>
  <c r="S5" i="7" s="1"/>
  <c r="AK13" i="7"/>
  <c r="AJ30" i="7"/>
  <c r="AK27" i="7"/>
  <c r="AD23" i="7"/>
  <c r="AK29" i="7"/>
  <c r="S33" i="7"/>
  <c r="AA7" i="7"/>
  <c r="AD28" i="7"/>
  <c r="T6" i="7"/>
  <c r="AD9" i="7"/>
  <c r="Y17" i="7"/>
  <c r="AJ23" i="7"/>
  <c r="AA27" i="7"/>
  <c r="AJ28" i="7"/>
  <c r="T15" i="7"/>
  <c r="L15" i="7"/>
  <c r="AB4" i="7"/>
  <c r="AM16" i="7"/>
  <c r="AL16" i="7"/>
  <c r="AE29" i="7"/>
  <c r="L27" i="7"/>
  <c r="T27" i="7"/>
  <c r="AE27" i="7"/>
  <c r="L3" i="7"/>
  <c r="T3" i="7"/>
  <c r="AL13" i="7"/>
  <c r="AM28" i="7"/>
  <c r="AM27" i="7"/>
  <c r="T29" i="7"/>
  <c r="AM14" i="7"/>
  <c r="L18" i="7"/>
  <c r="T18" i="7"/>
  <c r="AL30" i="7"/>
  <c r="AB2" i="7"/>
  <c r="L8" i="7"/>
  <c r="T8" i="7"/>
  <c r="AM29" i="7"/>
  <c r="S9" i="7"/>
  <c r="AE30" i="7"/>
  <c r="AM30" i="7"/>
  <c r="AK33" i="7"/>
  <c r="AJ34" i="7"/>
  <c r="AK3" i="7"/>
  <c r="AD8" i="7"/>
  <c r="AJ20" i="7"/>
  <c r="AD3" i="7"/>
  <c r="L5" i="7"/>
  <c r="AA5" i="7"/>
  <c r="AD7" i="7"/>
  <c r="S8" i="7"/>
  <c r="H9" i="7"/>
  <c r="AB7" i="7" s="1"/>
  <c r="T9" i="7"/>
  <c r="AJ10" i="7"/>
  <c r="AA16" i="7"/>
  <c r="AK20" i="7"/>
  <c r="AK22" i="7"/>
  <c r="AD27" i="7"/>
  <c r="AL27" i="7"/>
  <c r="S34" i="7"/>
  <c r="AK34" i="7"/>
  <c r="AJ4" i="7"/>
  <c r="AK7" i="7"/>
  <c r="AA10" i="7"/>
  <c r="AJ22" i="7"/>
  <c r="AA28" i="7"/>
  <c r="AA2" i="7"/>
  <c r="AA4" i="7"/>
  <c r="AB5" i="7"/>
  <c r="AJ5" i="7"/>
  <c r="S7" i="7"/>
  <c r="AK10" i="7"/>
  <c r="AA15" i="7"/>
  <c r="AJ16" i="7"/>
  <c r="AD20" i="7"/>
  <c r="AD22" i="7"/>
  <c r="AK28" i="7"/>
  <c r="L29" i="7"/>
  <c r="AJ15" i="7"/>
  <c r="AA21" i="7"/>
  <c r="AA23" i="7"/>
  <c r="AL28" i="7"/>
  <c r="AJ29" i="7"/>
  <c r="AJ2" i="7"/>
  <c r="AD10" i="7"/>
  <c r="AE28" i="7"/>
  <c r="AA30" i="7"/>
  <c r="AD2" i="7"/>
  <c r="AD4" i="7"/>
  <c r="K7" i="7"/>
  <c r="AA8" i="7"/>
  <c r="AB9" i="7"/>
  <c r="AJ9" i="7"/>
  <c r="AK14" i="7"/>
  <c r="AD15" i="7"/>
  <c r="AL15" i="7"/>
  <c r="AK21" i="7"/>
  <c r="T28" i="7"/>
  <c r="AD29" i="7"/>
  <c r="AL29" i="7"/>
  <c r="R31" i="7"/>
  <c r="AJ31" i="7"/>
  <c r="AK4" i="7"/>
  <c r="AJ14" i="7"/>
  <c r="K19" i="7"/>
  <c r="AE14" i="7" s="1"/>
  <c r="AJ21" i="7"/>
  <c r="AB8" i="7"/>
  <c r="AJ8" i="7"/>
  <c r="AK9" i="7"/>
  <c r="AD14" i="7"/>
  <c r="AL14" i="7"/>
  <c r="AD21" i="7"/>
  <c r="AK31" i="7"/>
  <c r="AJ32" i="7"/>
  <c r="AA20" i="7"/>
  <c r="AZ14" i="5"/>
  <c r="AY14" i="5"/>
  <c r="AZ13" i="5"/>
  <c r="AY15" i="5"/>
  <c r="AY16" i="5"/>
  <c r="AY8" i="5"/>
  <c r="AX16" i="5"/>
  <c r="AX15" i="5"/>
  <c r="AY13" i="5"/>
  <c r="AX13" i="5"/>
  <c r="AO2" i="5"/>
  <c r="AZ12" i="5"/>
  <c r="AY12" i="5"/>
  <c r="Y8" i="6"/>
  <c r="AB8" i="6"/>
  <c r="AF8" i="6"/>
  <c r="AG8" i="6"/>
  <c r="AH8" i="6"/>
  <c r="AN8" i="6"/>
  <c r="AO8" i="6"/>
  <c r="Y13" i="6"/>
  <c r="AB13" i="6"/>
  <c r="AF13" i="6"/>
  <c r="AG13" i="6"/>
  <c r="AH13" i="6"/>
  <c r="AN13" i="6"/>
  <c r="AO13" i="6"/>
  <c r="Y19" i="6"/>
  <c r="AB19" i="6"/>
  <c r="AF19" i="6"/>
  <c r="AG19" i="6"/>
  <c r="AH19" i="6"/>
  <c r="AN19" i="6"/>
  <c r="AO19" i="6"/>
  <c r="Y25" i="6"/>
  <c r="AB25" i="6"/>
  <c r="AF25" i="6"/>
  <c r="AG25" i="6"/>
  <c r="AH25" i="6"/>
  <c r="AN25" i="6"/>
  <c r="AO25" i="6"/>
  <c r="Y31" i="6"/>
  <c r="AB31" i="6"/>
  <c r="AF31" i="6"/>
  <c r="AG31" i="6"/>
  <c r="AH31" i="6"/>
  <c r="AN31" i="6"/>
  <c r="AO31" i="6"/>
  <c r="Y37" i="6"/>
  <c r="AB37" i="6"/>
  <c r="AF37" i="6"/>
  <c r="AG37" i="6"/>
  <c r="AH37" i="6"/>
  <c r="AN37" i="6"/>
  <c r="AO37" i="6"/>
  <c r="Y53" i="6"/>
  <c r="AB53" i="6"/>
  <c r="AF53" i="6"/>
  <c r="AG53" i="6"/>
  <c r="AH53" i="6"/>
  <c r="AN53" i="6"/>
  <c r="AO53" i="6"/>
  <c r="Y60" i="6"/>
  <c r="AB60" i="6"/>
  <c r="AF60" i="6"/>
  <c r="AG60" i="6"/>
  <c r="AH60" i="6"/>
  <c r="AN60" i="6"/>
  <c r="AO60" i="6"/>
  <c r="Y67" i="6"/>
  <c r="AB67" i="6"/>
  <c r="AF67" i="6"/>
  <c r="AG67" i="6"/>
  <c r="AH67" i="6"/>
  <c r="AN67" i="6"/>
  <c r="AO67" i="6"/>
  <c r="Y74" i="6"/>
  <c r="AB74" i="6"/>
  <c r="AF74" i="6"/>
  <c r="AG74" i="6"/>
  <c r="AH74" i="6"/>
  <c r="AN74" i="6"/>
  <c r="AO74" i="6"/>
  <c r="Y81" i="6"/>
  <c r="AB81" i="6"/>
  <c r="AF81" i="6"/>
  <c r="AG81" i="6"/>
  <c r="AH81" i="6"/>
  <c r="AN81" i="6"/>
  <c r="AO81" i="6"/>
  <c r="Y88" i="6"/>
  <c r="AB88" i="6"/>
  <c r="AF88" i="6"/>
  <c r="AG88" i="6"/>
  <c r="AH88" i="6"/>
  <c r="AN88" i="6"/>
  <c r="AO88" i="6"/>
  <c r="Y84" i="6"/>
  <c r="AB84" i="6"/>
  <c r="AF84" i="6"/>
  <c r="AG84" i="6"/>
  <c r="AH84" i="6"/>
  <c r="AN84" i="6"/>
  <c r="AO84" i="6"/>
  <c r="Y85" i="6"/>
  <c r="AB85" i="6"/>
  <c r="AF85" i="6"/>
  <c r="AG85" i="6"/>
  <c r="AH85" i="6"/>
  <c r="AN85" i="6"/>
  <c r="AW34" i="6" s="1"/>
  <c r="AO85" i="6"/>
  <c r="AX34" i="6" s="1"/>
  <c r="Y86" i="6"/>
  <c r="AB86" i="6"/>
  <c r="AF86" i="6"/>
  <c r="AG86" i="6"/>
  <c r="AH86" i="6"/>
  <c r="AN86" i="6"/>
  <c r="AO86" i="6"/>
  <c r="Y87" i="6"/>
  <c r="AB87" i="6"/>
  <c r="AF87" i="6"/>
  <c r="AG87" i="6"/>
  <c r="AH87" i="6"/>
  <c r="AN87" i="6"/>
  <c r="AO87" i="6"/>
  <c r="Y77" i="6"/>
  <c r="AB77" i="6"/>
  <c r="AF77" i="6"/>
  <c r="AG77" i="6"/>
  <c r="AH77" i="6"/>
  <c r="AN77" i="6"/>
  <c r="AW12" i="6" s="1"/>
  <c r="AO77" i="6"/>
  <c r="AX12" i="6" s="1"/>
  <c r="Y78" i="6"/>
  <c r="AB78" i="6"/>
  <c r="AF78" i="6"/>
  <c r="AG78" i="6"/>
  <c r="AH78" i="6"/>
  <c r="AN78" i="6"/>
  <c r="AW28" i="6" s="1"/>
  <c r="AO78" i="6"/>
  <c r="AX28" i="6" s="1"/>
  <c r="Y79" i="6"/>
  <c r="AB79" i="6"/>
  <c r="AF79" i="6"/>
  <c r="AG79" i="6"/>
  <c r="AH79" i="6"/>
  <c r="AN79" i="6"/>
  <c r="AO79" i="6"/>
  <c r="Y80" i="6"/>
  <c r="AB80" i="6"/>
  <c r="AF80" i="6"/>
  <c r="AG80" i="6"/>
  <c r="AH80" i="6"/>
  <c r="AN80" i="6"/>
  <c r="AO80" i="6"/>
  <c r="Y70" i="6"/>
  <c r="AB70" i="6"/>
  <c r="AF70" i="6"/>
  <c r="AG70" i="6"/>
  <c r="AH70" i="6"/>
  <c r="AN70" i="6"/>
  <c r="AO70" i="6"/>
  <c r="Y71" i="6"/>
  <c r="AB71" i="6"/>
  <c r="AF71" i="6"/>
  <c r="AG71" i="6"/>
  <c r="AH71" i="6"/>
  <c r="AN71" i="6"/>
  <c r="AW33" i="6" s="1"/>
  <c r="AO71" i="6"/>
  <c r="AX33" i="6" s="1"/>
  <c r="Y72" i="6"/>
  <c r="AB72" i="6"/>
  <c r="AF72" i="6"/>
  <c r="AG72" i="6"/>
  <c r="AH72" i="6"/>
  <c r="AN72" i="6"/>
  <c r="AO72" i="6"/>
  <c r="Y73" i="6"/>
  <c r="AB73" i="6"/>
  <c r="AF73" i="6"/>
  <c r="AG73" i="6"/>
  <c r="AH73" i="6"/>
  <c r="AN73" i="6"/>
  <c r="AO73" i="6"/>
  <c r="Y63" i="6"/>
  <c r="AB63" i="6"/>
  <c r="AF63" i="6"/>
  <c r="AG63" i="6"/>
  <c r="AH63" i="6"/>
  <c r="AN63" i="6"/>
  <c r="AW11" i="6" s="1"/>
  <c r="AO63" i="6"/>
  <c r="AX11" i="6" s="1"/>
  <c r="Y64" i="6"/>
  <c r="AB64" i="6"/>
  <c r="AF64" i="6"/>
  <c r="AG64" i="6"/>
  <c r="AH64" i="6"/>
  <c r="AN64" i="6"/>
  <c r="AW27" i="6" s="1"/>
  <c r="AO64" i="6"/>
  <c r="AX27" i="6" s="1"/>
  <c r="Y65" i="6"/>
  <c r="AB65" i="6"/>
  <c r="AF65" i="6"/>
  <c r="AG65" i="6"/>
  <c r="AH65" i="6"/>
  <c r="AN65" i="6"/>
  <c r="AO65" i="6"/>
  <c r="Y66" i="6"/>
  <c r="AB66" i="6"/>
  <c r="AF66" i="6"/>
  <c r="AG66" i="6"/>
  <c r="AH66" i="6"/>
  <c r="AN66" i="6"/>
  <c r="AO66" i="6"/>
  <c r="Y56" i="6"/>
  <c r="AB56" i="6"/>
  <c r="AF56" i="6"/>
  <c r="AG56" i="6"/>
  <c r="AH56" i="6"/>
  <c r="AN56" i="6"/>
  <c r="AW16" i="6" s="1"/>
  <c r="AO56" i="6"/>
  <c r="AX16" i="6" s="1"/>
  <c r="Y57" i="6"/>
  <c r="AB57" i="6"/>
  <c r="AF57" i="6"/>
  <c r="AG57" i="6"/>
  <c r="AH57" i="6"/>
  <c r="AN57" i="6"/>
  <c r="AW32" i="6" s="1"/>
  <c r="AO57" i="6"/>
  <c r="AX32" i="6" s="1"/>
  <c r="Y58" i="6"/>
  <c r="AB58" i="6"/>
  <c r="AF58" i="6"/>
  <c r="AG58" i="6"/>
  <c r="AH58" i="6"/>
  <c r="AN58" i="6"/>
  <c r="AO58" i="6"/>
  <c r="Y59" i="6"/>
  <c r="AB59" i="6"/>
  <c r="AF59" i="6"/>
  <c r="AG59" i="6"/>
  <c r="AH59" i="6"/>
  <c r="AN59" i="6"/>
  <c r="AO59" i="6"/>
  <c r="AN50" i="6"/>
  <c r="AW26" i="6" s="1"/>
  <c r="Y49" i="6"/>
  <c r="AB49" i="6"/>
  <c r="AF49" i="6"/>
  <c r="AG49" i="6"/>
  <c r="AH49" i="6"/>
  <c r="AN49" i="6"/>
  <c r="AO49" i="6"/>
  <c r="AX10" i="6" s="1"/>
  <c r="Y50" i="6"/>
  <c r="AB50" i="6"/>
  <c r="AF50" i="6"/>
  <c r="AG50" i="6"/>
  <c r="AH50" i="6"/>
  <c r="AO50" i="6"/>
  <c r="AX26" i="6" s="1"/>
  <c r="Y51" i="6"/>
  <c r="AB51" i="6"/>
  <c r="AF51" i="6"/>
  <c r="AG51" i="6"/>
  <c r="AH51" i="6"/>
  <c r="AN51" i="6"/>
  <c r="AO51" i="6"/>
  <c r="Y52" i="6"/>
  <c r="AB52" i="6"/>
  <c r="AF52" i="6"/>
  <c r="AG52" i="6"/>
  <c r="AH52" i="6"/>
  <c r="AN52" i="6"/>
  <c r="AO52" i="6"/>
  <c r="Y45" i="6"/>
  <c r="AB45" i="6"/>
  <c r="AF45" i="6"/>
  <c r="AG45" i="6"/>
  <c r="AH45" i="6"/>
  <c r="AN45" i="6"/>
  <c r="AW15" i="6" s="1"/>
  <c r="AO45" i="6"/>
  <c r="AX15" i="6" s="1"/>
  <c r="Y46" i="6"/>
  <c r="AB46" i="6"/>
  <c r="AF46" i="6"/>
  <c r="AG46" i="6"/>
  <c r="AH46" i="6"/>
  <c r="AN46" i="6"/>
  <c r="AW31" i="6" s="1"/>
  <c r="AO46" i="6"/>
  <c r="AX31" i="6" s="1"/>
  <c r="Y47" i="6"/>
  <c r="AB47" i="6"/>
  <c r="AF47" i="6"/>
  <c r="AG47" i="6"/>
  <c r="AH47" i="6"/>
  <c r="AN47" i="6"/>
  <c r="AO47" i="6"/>
  <c r="Y48" i="6"/>
  <c r="AB48" i="6"/>
  <c r="AF48" i="6"/>
  <c r="AG48" i="6"/>
  <c r="AH48" i="6"/>
  <c r="AN48" i="6"/>
  <c r="AO48" i="6"/>
  <c r="Y39" i="6"/>
  <c r="AB39" i="6"/>
  <c r="AF39" i="6"/>
  <c r="AG39" i="6"/>
  <c r="AH39" i="6"/>
  <c r="AN39" i="6"/>
  <c r="AW8" i="6" s="1"/>
  <c r="AO39" i="6"/>
  <c r="AX8" i="6" s="1"/>
  <c r="Y40" i="6"/>
  <c r="AB40" i="6"/>
  <c r="AF40" i="6"/>
  <c r="AG40" i="6"/>
  <c r="AH40" i="6"/>
  <c r="AN40" i="6"/>
  <c r="AW24" i="6" s="1"/>
  <c r="AO40" i="6"/>
  <c r="AX24" i="6" s="1"/>
  <c r="Y41" i="6"/>
  <c r="AB41" i="6"/>
  <c r="AF41" i="6"/>
  <c r="AG41" i="6"/>
  <c r="AH41" i="6"/>
  <c r="AN41" i="6"/>
  <c r="AO41" i="6"/>
  <c r="Y42" i="6"/>
  <c r="AB42" i="6"/>
  <c r="AF42" i="6"/>
  <c r="AG42" i="6"/>
  <c r="AH42" i="6"/>
  <c r="AN42" i="6"/>
  <c r="AO42" i="6"/>
  <c r="Y43" i="6"/>
  <c r="AB43" i="6"/>
  <c r="AF43" i="6"/>
  <c r="AG43" i="6"/>
  <c r="AH43" i="6"/>
  <c r="AN43" i="6"/>
  <c r="AO43" i="6"/>
  <c r="Y33" i="6"/>
  <c r="AB33" i="6"/>
  <c r="AF33" i="6"/>
  <c r="AG33" i="6"/>
  <c r="AH33" i="6"/>
  <c r="AN33" i="6"/>
  <c r="AW14" i="6" s="1"/>
  <c r="AO33" i="6"/>
  <c r="AX14" i="6" s="1"/>
  <c r="Y34" i="6"/>
  <c r="AB34" i="6"/>
  <c r="AF34" i="6"/>
  <c r="AG34" i="6"/>
  <c r="AH34" i="6"/>
  <c r="AN34" i="6"/>
  <c r="AW30" i="6" s="1"/>
  <c r="AO34" i="6"/>
  <c r="AX30" i="6" s="1"/>
  <c r="Y35" i="6"/>
  <c r="AB35" i="6"/>
  <c r="AF35" i="6"/>
  <c r="AG35" i="6"/>
  <c r="AH35" i="6"/>
  <c r="AN35" i="6"/>
  <c r="AO35" i="6"/>
  <c r="Y36" i="6"/>
  <c r="AB36" i="6"/>
  <c r="AF36" i="6"/>
  <c r="AG36" i="6"/>
  <c r="AH36" i="6"/>
  <c r="AN36" i="6"/>
  <c r="AO36" i="6"/>
  <c r="Y27" i="6"/>
  <c r="AB27" i="6"/>
  <c r="AF27" i="6"/>
  <c r="AG27" i="6"/>
  <c r="AH27" i="6"/>
  <c r="AN27" i="6"/>
  <c r="AW7" i="6" s="1"/>
  <c r="AO27" i="6"/>
  <c r="AX7" i="6" s="1"/>
  <c r="Y28" i="6"/>
  <c r="AB28" i="6"/>
  <c r="AF28" i="6"/>
  <c r="AG28" i="6"/>
  <c r="AH28" i="6"/>
  <c r="AN28" i="6"/>
  <c r="AW23" i="6" s="1"/>
  <c r="AO28" i="6"/>
  <c r="AX23" i="6" s="1"/>
  <c r="Y29" i="6"/>
  <c r="AB29" i="6"/>
  <c r="AF29" i="6"/>
  <c r="AG29" i="6"/>
  <c r="AH29" i="6"/>
  <c r="AN29" i="6"/>
  <c r="AO29" i="6"/>
  <c r="Y30" i="6"/>
  <c r="AB30" i="6"/>
  <c r="AF30" i="6"/>
  <c r="AG30" i="6"/>
  <c r="AH30" i="6"/>
  <c r="AN30" i="6"/>
  <c r="AO30" i="6"/>
  <c r="Y21" i="6"/>
  <c r="AB21" i="6"/>
  <c r="AF21" i="6"/>
  <c r="AG21" i="6"/>
  <c r="AH21" i="6"/>
  <c r="AN21" i="6"/>
  <c r="AW13" i="6" s="1"/>
  <c r="AO21" i="6"/>
  <c r="AX13" i="6" s="1"/>
  <c r="Y22" i="6"/>
  <c r="AB22" i="6"/>
  <c r="AF22" i="6"/>
  <c r="AG22" i="6"/>
  <c r="AH22" i="6"/>
  <c r="AN22" i="6"/>
  <c r="AW29" i="6" s="1"/>
  <c r="AO22" i="6"/>
  <c r="AX29" i="6" s="1"/>
  <c r="Y23" i="6"/>
  <c r="AB23" i="6"/>
  <c r="AF23" i="6"/>
  <c r="AG23" i="6"/>
  <c r="AH23" i="6"/>
  <c r="AN23" i="6"/>
  <c r="AO23" i="6"/>
  <c r="Y24" i="6"/>
  <c r="AB24" i="6"/>
  <c r="AF24" i="6"/>
  <c r="AG24" i="6"/>
  <c r="AH24" i="6"/>
  <c r="AN24" i="6"/>
  <c r="AO24" i="6"/>
  <c r="Y15" i="6"/>
  <c r="AB15" i="6"/>
  <c r="AF15" i="6"/>
  <c r="AG15" i="6"/>
  <c r="AH15" i="6"/>
  <c r="AN15" i="6"/>
  <c r="AW6" i="6" s="1"/>
  <c r="AO15" i="6"/>
  <c r="AX6" i="6" s="1"/>
  <c r="Y16" i="6"/>
  <c r="AB16" i="6"/>
  <c r="AF16" i="6"/>
  <c r="AG16" i="6"/>
  <c r="AH16" i="6"/>
  <c r="AN16" i="6"/>
  <c r="AW22" i="6" s="1"/>
  <c r="AO16" i="6"/>
  <c r="AX22" i="6" s="1"/>
  <c r="Y17" i="6"/>
  <c r="AB17" i="6"/>
  <c r="AF17" i="6"/>
  <c r="AG17" i="6"/>
  <c r="AH17" i="6"/>
  <c r="AN17" i="6"/>
  <c r="AO17" i="6"/>
  <c r="Y18" i="6"/>
  <c r="AB18" i="6"/>
  <c r="AF18" i="6"/>
  <c r="AG18" i="6"/>
  <c r="AH18" i="6"/>
  <c r="AN18" i="6"/>
  <c r="AO18" i="6"/>
  <c r="X15" i="6"/>
  <c r="Y9" i="6"/>
  <c r="AB9" i="6"/>
  <c r="AF9" i="6"/>
  <c r="AG9" i="6"/>
  <c r="AH9" i="6"/>
  <c r="AN9" i="6"/>
  <c r="AW5" i="6" s="1"/>
  <c r="AW9" i="6" s="1"/>
  <c r="AO9" i="6"/>
  <c r="AX5" i="6" s="1"/>
  <c r="AX9" i="6" s="1"/>
  <c r="Y10" i="6"/>
  <c r="AB10" i="6"/>
  <c r="AF10" i="6"/>
  <c r="AG10" i="6"/>
  <c r="AH10" i="6"/>
  <c r="AN10" i="6"/>
  <c r="AW21" i="6" s="1"/>
  <c r="AW25" i="6" s="1"/>
  <c r="AO10" i="6"/>
  <c r="AX21" i="6" s="1"/>
  <c r="AX25" i="6" s="1"/>
  <c r="Y11" i="6"/>
  <c r="AB11" i="6"/>
  <c r="AF11" i="6"/>
  <c r="AG11" i="6"/>
  <c r="AH11" i="6"/>
  <c r="AN11" i="6"/>
  <c r="AO11" i="6"/>
  <c r="Y12" i="6"/>
  <c r="AB12" i="6"/>
  <c r="AF12" i="6"/>
  <c r="AG12" i="6"/>
  <c r="AH12" i="6"/>
  <c r="AN12" i="6"/>
  <c r="AO12" i="6"/>
  <c r="Y7" i="6"/>
  <c r="AB7" i="6"/>
  <c r="AF7" i="6"/>
  <c r="AG7" i="6"/>
  <c r="AH7" i="6"/>
  <c r="AN7" i="6"/>
  <c r="AO7" i="6"/>
  <c r="Y6" i="6"/>
  <c r="AB6" i="6"/>
  <c r="AF6" i="6"/>
  <c r="AG6" i="6"/>
  <c r="AH6" i="6"/>
  <c r="AN6" i="6"/>
  <c r="AO6" i="6"/>
  <c r="Y5" i="6"/>
  <c r="AB5" i="6"/>
  <c r="AF5" i="6"/>
  <c r="AG5" i="6"/>
  <c r="AH5" i="6"/>
  <c r="AN5" i="6"/>
  <c r="AO5" i="6"/>
  <c r="AO4" i="6"/>
  <c r="F4" i="6"/>
  <c r="AN4" i="6"/>
  <c r="AH4" i="6"/>
  <c r="AG4" i="6"/>
  <c r="AF4" i="6"/>
  <c r="AB4" i="6"/>
  <c r="Y4" i="6"/>
  <c r="X88" i="6"/>
  <c r="X87" i="6"/>
  <c r="X86" i="6"/>
  <c r="X85" i="6"/>
  <c r="X81" i="6"/>
  <c r="X80" i="6"/>
  <c r="X79" i="6"/>
  <c r="X78" i="6"/>
  <c r="X77" i="6"/>
  <c r="X74" i="6"/>
  <c r="X73" i="6"/>
  <c r="X72" i="6"/>
  <c r="X71" i="6"/>
  <c r="X70" i="6"/>
  <c r="X67" i="6"/>
  <c r="X66" i="6"/>
  <c r="X65" i="6"/>
  <c r="X64" i="6"/>
  <c r="X63" i="6"/>
  <c r="X60" i="6"/>
  <c r="X59" i="6"/>
  <c r="X58" i="6"/>
  <c r="X57" i="6"/>
  <c r="X56" i="6"/>
  <c r="X53" i="6"/>
  <c r="X52" i="6"/>
  <c r="X51" i="6"/>
  <c r="X50" i="6"/>
  <c r="X49" i="6"/>
  <c r="X48" i="6"/>
  <c r="X47" i="6"/>
  <c r="X46" i="6"/>
  <c r="X45" i="6"/>
  <c r="X43" i="6"/>
  <c r="X42" i="6"/>
  <c r="X41" i="6"/>
  <c r="X40" i="6"/>
  <c r="X39" i="6"/>
  <c r="X37" i="6"/>
  <c r="X36" i="6"/>
  <c r="X35" i="6"/>
  <c r="X34" i="6"/>
  <c r="X33" i="6"/>
  <c r="X31" i="6"/>
  <c r="X30" i="6"/>
  <c r="X29" i="6"/>
  <c r="X28" i="6"/>
  <c r="X27" i="6"/>
  <c r="X25" i="6"/>
  <c r="X24" i="6"/>
  <c r="X23" i="6"/>
  <c r="X22" i="6"/>
  <c r="X21" i="6"/>
  <c r="X19" i="6"/>
  <c r="X18" i="6"/>
  <c r="X17" i="6"/>
  <c r="X16" i="6"/>
  <c r="X13" i="6"/>
  <c r="X12" i="6"/>
  <c r="X11" i="6"/>
  <c r="X10" i="6"/>
  <c r="X9" i="6"/>
  <c r="X8" i="6"/>
  <c r="X7" i="6"/>
  <c r="X6" i="6"/>
  <c r="X5" i="6"/>
  <c r="X4" i="6"/>
  <c r="P90" i="6"/>
  <c r="O90" i="6"/>
  <c r="Q90" i="6" s="1"/>
  <c r="R90" i="6" s="1"/>
  <c r="I90" i="6"/>
  <c r="J90" i="6" s="1"/>
  <c r="K90" i="6" s="1"/>
  <c r="F90" i="6"/>
  <c r="G90" i="6" s="1"/>
  <c r="P89" i="6"/>
  <c r="O89" i="6"/>
  <c r="Q89" i="6" s="1"/>
  <c r="R89" i="6" s="1"/>
  <c r="I89" i="6"/>
  <c r="J89" i="6" s="1"/>
  <c r="K89" i="6" s="1"/>
  <c r="F89" i="6"/>
  <c r="G89" i="6" s="1"/>
  <c r="I88" i="6"/>
  <c r="J88" i="6" s="1"/>
  <c r="K88" i="6" s="1"/>
  <c r="F88" i="6"/>
  <c r="G88" i="6" s="1"/>
  <c r="P87" i="6"/>
  <c r="O87" i="6"/>
  <c r="Q87" i="6" s="1"/>
  <c r="I87" i="6"/>
  <c r="J87" i="6" s="1"/>
  <c r="K87" i="6" s="1"/>
  <c r="F87" i="6"/>
  <c r="G87" i="6" s="1"/>
  <c r="P86" i="6"/>
  <c r="O86" i="6"/>
  <c r="I86" i="6"/>
  <c r="J86" i="6" s="1"/>
  <c r="F86" i="6"/>
  <c r="G86" i="6" s="1"/>
  <c r="P85" i="6"/>
  <c r="O85" i="6"/>
  <c r="Q85" i="6" s="1"/>
  <c r="R85" i="6" s="1"/>
  <c r="I85" i="6"/>
  <c r="J85" i="6" s="1"/>
  <c r="K85" i="6" s="1"/>
  <c r="F85" i="6"/>
  <c r="G85" i="6" s="1"/>
  <c r="P84" i="6"/>
  <c r="O84" i="6"/>
  <c r="Q84" i="6" s="1"/>
  <c r="R84" i="6" s="1"/>
  <c r="I84" i="6"/>
  <c r="J84" i="6" s="1"/>
  <c r="F84" i="6"/>
  <c r="P83" i="6"/>
  <c r="O83" i="6"/>
  <c r="Q83" i="6" s="1"/>
  <c r="R83" i="6" s="1"/>
  <c r="I83" i="6"/>
  <c r="J83" i="6" s="1"/>
  <c r="K83" i="6" s="1"/>
  <c r="F83" i="6"/>
  <c r="G83" i="6" s="1"/>
  <c r="P82" i="6"/>
  <c r="O82" i="6"/>
  <c r="Q82" i="6" s="1"/>
  <c r="R82" i="6" s="1"/>
  <c r="I82" i="6"/>
  <c r="J82" i="6" s="1"/>
  <c r="K82" i="6" s="1"/>
  <c r="F82" i="6"/>
  <c r="G82" i="6" s="1"/>
  <c r="I81" i="6"/>
  <c r="F81" i="6"/>
  <c r="G81" i="6" s="1"/>
  <c r="P80" i="6"/>
  <c r="O80" i="6"/>
  <c r="Q80" i="6" s="1"/>
  <c r="R80" i="6" s="1"/>
  <c r="I80" i="6"/>
  <c r="J80" i="6" s="1"/>
  <c r="K80" i="6" s="1"/>
  <c r="F80" i="6"/>
  <c r="G80" i="6" s="1"/>
  <c r="P79" i="6"/>
  <c r="O79" i="6"/>
  <c r="Q79" i="6" s="1"/>
  <c r="R79" i="6" s="1"/>
  <c r="I79" i="6"/>
  <c r="J79" i="6" s="1"/>
  <c r="K79" i="6" s="1"/>
  <c r="F79" i="6"/>
  <c r="G79" i="6" s="1"/>
  <c r="P78" i="6"/>
  <c r="O78" i="6"/>
  <c r="Q78" i="6" s="1"/>
  <c r="R78" i="6" s="1"/>
  <c r="I78" i="6"/>
  <c r="J78" i="6" s="1"/>
  <c r="K78" i="6" s="1"/>
  <c r="F78" i="6"/>
  <c r="P77" i="6"/>
  <c r="O77" i="6"/>
  <c r="Q77" i="6" s="1"/>
  <c r="R77" i="6" s="1"/>
  <c r="I77" i="6"/>
  <c r="J77" i="6" s="1"/>
  <c r="K77" i="6" s="1"/>
  <c r="F77" i="6"/>
  <c r="G77" i="6" s="1"/>
  <c r="P76" i="6"/>
  <c r="O76" i="6"/>
  <c r="Q76" i="6" s="1"/>
  <c r="R76" i="6" s="1"/>
  <c r="I76" i="6"/>
  <c r="J76" i="6" s="1"/>
  <c r="K76" i="6" s="1"/>
  <c r="F76" i="6"/>
  <c r="G76" i="6" s="1"/>
  <c r="P75" i="6"/>
  <c r="O75" i="6"/>
  <c r="Q75" i="6" s="1"/>
  <c r="R75" i="6" s="1"/>
  <c r="I75" i="6"/>
  <c r="J75" i="6" s="1"/>
  <c r="F75" i="6"/>
  <c r="G75" i="6" s="1"/>
  <c r="I74" i="6"/>
  <c r="J74" i="6" s="1"/>
  <c r="K74" i="6" s="1"/>
  <c r="F74" i="6"/>
  <c r="G74" i="6" s="1"/>
  <c r="P73" i="6"/>
  <c r="O73" i="6"/>
  <c r="Q73" i="6" s="1"/>
  <c r="R73" i="6" s="1"/>
  <c r="I73" i="6"/>
  <c r="J73" i="6" s="1"/>
  <c r="F73" i="6"/>
  <c r="G73" i="6" s="1"/>
  <c r="P72" i="6"/>
  <c r="O72" i="6"/>
  <c r="Q72" i="6" s="1"/>
  <c r="R72" i="6" s="1"/>
  <c r="I72" i="6"/>
  <c r="J72" i="6" s="1"/>
  <c r="K72" i="6" s="1"/>
  <c r="F72" i="6"/>
  <c r="G72" i="6" s="1"/>
  <c r="P71" i="6"/>
  <c r="O71" i="6"/>
  <c r="Q71" i="6" s="1"/>
  <c r="R71" i="6" s="1"/>
  <c r="I71" i="6"/>
  <c r="J71" i="6" s="1"/>
  <c r="K71" i="6" s="1"/>
  <c r="F71" i="6"/>
  <c r="G71" i="6" s="1"/>
  <c r="P70" i="6"/>
  <c r="O70" i="6"/>
  <c r="Q70" i="6" s="1"/>
  <c r="R70" i="6" s="1"/>
  <c r="I70" i="6"/>
  <c r="F70" i="6"/>
  <c r="P69" i="6"/>
  <c r="O69" i="6"/>
  <c r="Q69" i="6" s="1"/>
  <c r="R69" i="6" s="1"/>
  <c r="I69" i="6"/>
  <c r="J69" i="6" s="1"/>
  <c r="K69" i="6" s="1"/>
  <c r="F69" i="6"/>
  <c r="G69" i="6" s="1"/>
  <c r="I68" i="6"/>
  <c r="J68" i="6" s="1"/>
  <c r="K68" i="6" s="1"/>
  <c r="F68" i="6"/>
  <c r="G68" i="6" s="1"/>
  <c r="P67" i="6"/>
  <c r="O67" i="6"/>
  <c r="Q67" i="6" s="1"/>
  <c r="R67" i="6" s="1"/>
  <c r="I67" i="6"/>
  <c r="J67" i="6" s="1"/>
  <c r="K67" i="6" s="1"/>
  <c r="F67" i="6"/>
  <c r="G67" i="6" s="1"/>
  <c r="P66" i="6"/>
  <c r="O66" i="6"/>
  <c r="I66" i="6"/>
  <c r="J66" i="6" s="1"/>
  <c r="F66" i="6"/>
  <c r="G66" i="6" s="1"/>
  <c r="P65" i="6"/>
  <c r="O65" i="6"/>
  <c r="Q65" i="6" s="1"/>
  <c r="R65" i="6" s="1"/>
  <c r="I65" i="6"/>
  <c r="J65" i="6" s="1"/>
  <c r="F65" i="6"/>
  <c r="G65" i="6" s="1"/>
  <c r="P64" i="6"/>
  <c r="O64" i="6"/>
  <c r="Q64" i="6" s="1"/>
  <c r="R64" i="6" s="1"/>
  <c r="I64" i="6"/>
  <c r="J64" i="6" s="1"/>
  <c r="K64" i="6" s="1"/>
  <c r="F64" i="6"/>
  <c r="G64" i="6" s="1"/>
  <c r="P63" i="6"/>
  <c r="O63" i="6"/>
  <c r="Q63" i="6" s="1"/>
  <c r="R63" i="6" s="1"/>
  <c r="I63" i="6"/>
  <c r="F63" i="6"/>
  <c r="P62" i="6"/>
  <c r="O62" i="6"/>
  <c r="Q62" i="6" s="1"/>
  <c r="R62" i="6" s="1"/>
  <c r="I62" i="6"/>
  <c r="J62" i="6" s="1"/>
  <c r="K62" i="6" s="1"/>
  <c r="F62" i="6"/>
  <c r="G62" i="6" s="1"/>
  <c r="I61" i="6"/>
  <c r="J61" i="6" s="1"/>
  <c r="K61" i="6" s="1"/>
  <c r="F61" i="6"/>
  <c r="G61" i="6" s="1"/>
  <c r="P60" i="6"/>
  <c r="O60" i="6"/>
  <c r="Q60" i="6" s="1"/>
  <c r="R60" i="6" s="1"/>
  <c r="I60" i="6"/>
  <c r="J60" i="6" s="1"/>
  <c r="K60" i="6" s="1"/>
  <c r="F60" i="6"/>
  <c r="G60" i="6" s="1"/>
  <c r="P59" i="6"/>
  <c r="O59" i="6"/>
  <c r="Q59" i="6" s="1"/>
  <c r="R59" i="6" s="1"/>
  <c r="I59" i="6"/>
  <c r="J59" i="6" s="1"/>
  <c r="K59" i="6" s="1"/>
  <c r="F59" i="6"/>
  <c r="G59" i="6" s="1"/>
  <c r="P58" i="6"/>
  <c r="O58" i="6"/>
  <c r="Q58" i="6" s="1"/>
  <c r="R58" i="6" s="1"/>
  <c r="I58" i="6"/>
  <c r="J58" i="6" s="1"/>
  <c r="K58" i="6" s="1"/>
  <c r="F58" i="6"/>
  <c r="P57" i="6"/>
  <c r="O57" i="6"/>
  <c r="Q57" i="6" s="1"/>
  <c r="I57" i="6"/>
  <c r="J57" i="6" s="1"/>
  <c r="K57" i="6" s="1"/>
  <c r="F57" i="6"/>
  <c r="G57" i="6" s="1"/>
  <c r="P56" i="6"/>
  <c r="O56" i="6"/>
  <c r="Q56" i="6" s="1"/>
  <c r="R56" i="6" s="1"/>
  <c r="I56" i="6"/>
  <c r="F56" i="6"/>
  <c r="G56" i="6" s="1"/>
  <c r="P55" i="6"/>
  <c r="O55" i="6"/>
  <c r="Q55" i="6" s="1"/>
  <c r="I55" i="6"/>
  <c r="J55" i="6" s="1"/>
  <c r="K55" i="6" s="1"/>
  <c r="F55" i="6"/>
  <c r="G55" i="6" s="1"/>
  <c r="I54" i="6"/>
  <c r="J54" i="6" s="1"/>
  <c r="K54" i="6" s="1"/>
  <c r="F54" i="6"/>
  <c r="G54" i="6" s="1"/>
  <c r="P53" i="6"/>
  <c r="O53" i="6"/>
  <c r="Q53" i="6" s="1"/>
  <c r="R53" i="6" s="1"/>
  <c r="I53" i="6"/>
  <c r="J53" i="6" s="1"/>
  <c r="K53" i="6" s="1"/>
  <c r="F53" i="6"/>
  <c r="G53" i="6" s="1"/>
  <c r="P52" i="6"/>
  <c r="O52" i="6"/>
  <c r="Q52" i="6" s="1"/>
  <c r="R52" i="6" s="1"/>
  <c r="I52" i="6"/>
  <c r="J52" i="6" s="1"/>
  <c r="K52" i="6" s="1"/>
  <c r="F52" i="6"/>
  <c r="G52" i="6" s="1"/>
  <c r="P51" i="6"/>
  <c r="O51" i="6"/>
  <c r="Q51" i="6" s="1"/>
  <c r="R51" i="6" s="1"/>
  <c r="I51" i="6"/>
  <c r="J51" i="6" s="1"/>
  <c r="K51" i="6" s="1"/>
  <c r="F51" i="6"/>
  <c r="G51" i="6" s="1"/>
  <c r="P50" i="6"/>
  <c r="O50" i="6"/>
  <c r="Q50" i="6" s="1"/>
  <c r="I50" i="6"/>
  <c r="J50" i="6" s="1"/>
  <c r="K50" i="6" s="1"/>
  <c r="F50" i="6"/>
  <c r="G50" i="6" s="1"/>
  <c r="P49" i="6"/>
  <c r="O49" i="6"/>
  <c r="I49" i="6"/>
  <c r="F49" i="6"/>
  <c r="P48" i="6"/>
  <c r="O48" i="6"/>
  <c r="Q48" i="6" s="1"/>
  <c r="R48" i="6" s="1"/>
  <c r="I48" i="6"/>
  <c r="J48" i="6" s="1"/>
  <c r="K48" i="6" s="1"/>
  <c r="F48" i="6"/>
  <c r="G48" i="6" s="1"/>
  <c r="P47" i="6"/>
  <c r="O47" i="6"/>
  <c r="Q47" i="6" s="1"/>
  <c r="R47" i="6" s="1"/>
  <c r="I47" i="6"/>
  <c r="J47" i="6" s="1"/>
  <c r="F47" i="6"/>
  <c r="G47" i="6" s="1"/>
  <c r="P46" i="6"/>
  <c r="O46" i="6"/>
  <c r="Q46" i="6" s="1"/>
  <c r="R46" i="6" s="1"/>
  <c r="I46" i="6"/>
  <c r="J46" i="6" s="1"/>
  <c r="F46" i="6"/>
  <c r="G46" i="6" s="1"/>
  <c r="P45" i="6"/>
  <c r="O45" i="6"/>
  <c r="Q45" i="6" s="1"/>
  <c r="R45" i="6" s="1"/>
  <c r="I45" i="6"/>
  <c r="J45" i="6" s="1"/>
  <c r="F45" i="6"/>
  <c r="P44" i="6"/>
  <c r="O44" i="6"/>
  <c r="Q44" i="6" s="1"/>
  <c r="R44" i="6" s="1"/>
  <c r="I44" i="6"/>
  <c r="J44" i="6" s="1"/>
  <c r="F44" i="6"/>
  <c r="G44" i="6" s="1"/>
  <c r="P43" i="6"/>
  <c r="O43" i="6"/>
  <c r="Q43" i="6" s="1"/>
  <c r="R43" i="6" s="1"/>
  <c r="I43" i="6"/>
  <c r="J43" i="6" s="1"/>
  <c r="K43" i="6" s="1"/>
  <c r="F43" i="6"/>
  <c r="G43" i="6" s="1"/>
  <c r="P42" i="6"/>
  <c r="O42" i="6"/>
  <c r="Q42" i="6" s="1"/>
  <c r="R42" i="6" s="1"/>
  <c r="I42" i="6"/>
  <c r="J42" i="6" s="1"/>
  <c r="K42" i="6" s="1"/>
  <c r="F42" i="6"/>
  <c r="G42" i="6" s="1"/>
  <c r="P41" i="6"/>
  <c r="O41" i="6"/>
  <c r="Q41" i="6" s="1"/>
  <c r="R41" i="6" s="1"/>
  <c r="I41" i="6"/>
  <c r="J41" i="6" s="1"/>
  <c r="F41" i="6"/>
  <c r="G41" i="6" s="1"/>
  <c r="P40" i="6"/>
  <c r="O40" i="6"/>
  <c r="Q40" i="6" s="1"/>
  <c r="R40" i="6" s="1"/>
  <c r="I40" i="6"/>
  <c r="J40" i="6" s="1"/>
  <c r="F40" i="6"/>
  <c r="G40" i="6" s="1"/>
  <c r="P39" i="6"/>
  <c r="O39" i="6"/>
  <c r="Q39" i="6" s="1"/>
  <c r="R39" i="6" s="1"/>
  <c r="I39" i="6"/>
  <c r="J39" i="6" s="1"/>
  <c r="F39" i="6"/>
  <c r="P38" i="6"/>
  <c r="O38" i="6"/>
  <c r="Q38" i="6" s="1"/>
  <c r="R38" i="6" s="1"/>
  <c r="I38" i="6"/>
  <c r="J38" i="6" s="1"/>
  <c r="F38" i="6"/>
  <c r="G38" i="6" s="1"/>
  <c r="P37" i="6"/>
  <c r="O37" i="6"/>
  <c r="Q37" i="6" s="1"/>
  <c r="R37" i="6" s="1"/>
  <c r="I37" i="6"/>
  <c r="J37" i="6" s="1"/>
  <c r="K37" i="6" s="1"/>
  <c r="F37" i="6"/>
  <c r="G37" i="6" s="1"/>
  <c r="P36" i="6"/>
  <c r="O36" i="6"/>
  <c r="Q36" i="6" s="1"/>
  <c r="R36" i="6" s="1"/>
  <c r="I36" i="6"/>
  <c r="J36" i="6" s="1"/>
  <c r="K36" i="6" s="1"/>
  <c r="F36" i="6"/>
  <c r="G36" i="6" s="1"/>
  <c r="P35" i="6"/>
  <c r="O35" i="6"/>
  <c r="Q35" i="6" s="1"/>
  <c r="I35" i="6"/>
  <c r="J35" i="6" s="1"/>
  <c r="F35" i="6"/>
  <c r="G35" i="6" s="1"/>
  <c r="P34" i="6"/>
  <c r="O34" i="6"/>
  <c r="Q34" i="6" s="1"/>
  <c r="R34" i="6" s="1"/>
  <c r="I34" i="6"/>
  <c r="J34" i="6" s="1"/>
  <c r="F34" i="6"/>
  <c r="G34" i="6" s="1"/>
  <c r="P33" i="6"/>
  <c r="O33" i="6"/>
  <c r="Q33" i="6" s="1"/>
  <c r="R33" i="6" s="1"/>
  <c r="I33" i="6"/>
  <c r="F33" i="6"/>
  <c r="P32" i="6"/>
  <c r="O32" i="6"/>
  <c r="Q32" i="6" s="1"/>
  <c r="R32" i="6" s="1"/>
  <c r="I32" i="6"/>
  <c r="J32" i="6" s="1"/>
  <c r="F32" i="6"/>
  <c r="G32" i="6" s="1"/>
  <c r="P31" i="6"/>
  <c r="O31" i="6"/>
  <c r="Q31" i="6" s="1"/>
  <c r="R31" i="6" s="1"/>
  <c r="I31" i="6"/>
  <c r="J31" i="6" s="1"/>
  <c r="K31" i="6" s="1"/>
  <c r="F31" i="6"/>
  <c r="G31" i="6" s="1"/>
  <c r="P30" i="6"/>
  <c r="O30" i="6"/>
  <c r="Q30" i="6" s="1"/>
  <c r="R30" i="6" s="1"/>
  <c r="I30" i="6"/>
  <c r="J30" i="6" s="1"/>
  <c r="K30" i="6" s="1"/>
  <c r="F30" i="6"/>
  <c r="G30" i="6" s="1"/>
  <c r="P29" i="6"/>
  <c r="O29" i="6"/>
  <c r="Q29" i="6" s="1"/>
  <c r="R29" i="6" s="1"/>
  <c r="I29" i="6"/>
  <c r="J29" i="6" s="1"/>
  <c r="F29" i="6"/>
  <c r="G29" i="6" s="1"/>
  <c r="P28" i="6"/>
  <c r="O28" i="6"/>
  <c r="Q28" i="6" s="1"/>
  <c r="R28" i="6" s="1"/>
  <c r="I28" i="6"/>
  <c r="J28" i="6" s="1"/>
  <c r="F28" i="6"/>
  <c r="G28" i="6" s="1"/>
  <c r="P27" i="6"/>
  <c r="O27" i="6"/>
  <c r="I27" i="6"/>
  <c r="F27" i="6"/>
  <c r="P26" i="6"/>
  <c r="O26" i="6"/>
  <c r="Q26" i="6" s="1"/>
  <c r="R26" i="6" s="1"/>
  <c r="I26" i="6"/>
  <c r="J26" i="6" s="1"/>
  <c r="F26" i="6"/>
  <c r="G26" i="6" s="1"/>
  <c r="P25" i="6"/>
  <c r="O25" i="6"/>
  <c r="Q25" i="6" s="1"/>
  <c r="R25" i="6" s="1"/>
  <c r="I25" i="6"/>
  <c r="J25" i="6" s="1"/>
  <c r="K25" i="6" s="1"/>
  <c r="F25" i="6"/>
  <c r="G25" i="6" s="1"/>
  <c r="P24" i="6"/>
  <c r="O24" i="6"/>
  <c r="I24" i="6"/>
  <c r="J24" i="6" s="1"/>
  <c r="K24" i="6" s="1"/>
  <c r="F24" i="6"/>
  <c r="G24" i="6" s="1"/>
  <c r="P23" i="6"/>
  <c r="O23" i="6"/>
  <c r="Q23" i="6" s="1"/>
  <c r="R23" i="6" s="1"/>
  <c r="I23" i="6"/>
  <c r="J23" i="6" s="1"/>
  <c r="F23" i="6"/>
  <c r="G23" i="6" s="1"/>
  <c r="P22" i="6"/>
  <c r="O22" i="6"/>
  <c r="Q22" i="6" s="1"/>
  <c r="R22" i="6" s="1"/>
  <c r="I22" i="6"/>
  <c r="J22" i="6" s="1"/>
  <c r="F22" i="6"/>
  <c r="G22" i="6" s="1"/>
  <c r="P21" i="6"/>
  <c r="O21" i="6"/>
  <c r="Q21" i="6" s="1"/>
  <c r="R21" i="6" s="1"/>
  <c r="I21" i="6"/>
  <c r="AC24" i="6" s="1"/>
  <c r="F21" i="6"/>
  <c r="P20" i="6"/>
  <c r="O20" i="6"/>
  <c r="Q20" i="6" s="1"/>
  <c r="R20" i="6" s="1"/>
  <c r="I20" i="6"/>
  <c r="J20" i="6" s="1"/>
  <c r="F20" i="6"/>
  <c r="G20" i="6" s="1"/>
  <c r="P19" i="6"/>
  <c r="O19" i="6"/>
  <c r="Q19" i="6" s="1"/>
  <c r="R19" i="6" s="1"/>
  <c r="I19" i="6"/>
  <c r="J19" i="6" s="1"/>
  <c r="K19" i="6" s="1"/>
  <c r="F19" i="6"/>
  <c r="G19" i="6" s="1"/>
  <c r="P18" i="6"/>
  <c r="O18" i="6"/>
  <c r="Q18" i="6" s="1"/>
  <c r="R18" i="6" s="1"/>
  <c r="I18" i="6"/>
  <c r="J18" i="6" s="1"/>
  <c r="K18" i="6" s="1"/>
  <c r="F18" i="6"/>
  <c r="G18" i="6" s="1"/>
  <c r="P17" i="6"/>
  <c r="O17" i="6"/>
  <c r="Q17" i="6" s="1"/>
  <c r="I17" i="6"/>
  <c r="J17" i="6" s="1"/>
  <c r="K17" i="6" s="1"/>
  <c r="F17" i="6"/>
  <c r="G17" i="6" s="1"/>
  <c r="P16" i="6"/>
  <c r="O16" i="6"/>
  <c r="Q16" i="6" s="1"/>
  <c r="R16" i="6" s="1"/>
  <c r="I16" i="6"/>
  <c r="J16" i="6" s="1"/>
  <c r="F16" i="6"/>
  <c r="G16" i="6" s="1"/>
  <c r="P15" i="6"/>
  <c r="O15" i="6"/>
  <c r="Q15" i="6" s="1"/>
  <c r="R15" i="6" s="1"/>
  <c r="I15" i="6"/>
  <c r="J15" i="6" s="1"/>
  <c r="F15" i="6"/>
  <c r="G15" i="6" s="1"/>
  <c r="P14" i="6"/>
  <c r="O14" i="6"/>
  <c r="Q14" i="6" s="1"/>
  <c r="R14" i="6" s="1"/>
  <c r="I14" i="6"/>
  <c r="J14" i="6" s="1"/>
  <c r="F14" i="6"/>
  <c r="G14" i="6" s="1"/>
  <c r="P13" i="6"/>
  <c r="O13" i="6"/>
  <c r="Q13" i="6" s="1"/>
  <c r="R13" i="6" s="1"/>
  <c r="I13" i="6"/>
  <c r="J13" i="6" s="1"/>
  <c r="F13" i="6"/>
  <c r="G13" i="6" s="1"/>
  <c r="P12" i="6"/>
  <c r="O12" i="6"/>
  <c r="Q12" i="6" s="1"/>
  <c r="R12" i="6" s="1"/>
  <c r="I12" i="6"/>
  <c r="J12" i="6" s="1"/>
  <c r="K12" i="6" s="1"/>
  <c r="F12" i="6"/>
  <c r="G12" i="6" s="1"/>
  <c r="P11" i="6"/>
  <c r="O11" i="6"/>
  <c r="Q11" i="6" s="1"/>
  <c r="R11" i="6" s="1"/>
  <c r="I11" i="6"/>
  <c r="J11" i="6" s="1"/>
  <c r="K11" i="6" s="1"/>
  <c r="F11" i="6"/>
  <c r="G11" i="6" s="1"/>
  <c r="P10" i="6"/>
  <c r="O10" i="6"/>
  <c r="Q10" i="6" s="1"/>
  <c r="R10" i="6" s="1"/>
  <c r="I10" i="6"/>
  <c r="J10" i="6" s="1"/>
  <c r="K10" i="6" s="1"/>
  <c r="F10" i="6"/>
  <c r="G10" i="6" s="1"/>
  <c r="P9" i="6"/>
  <c r="O9" i="6"/>
  <c r="Q9" i="6" s="1"/>
  <c r="R9" i="6" s="1"/>
  <c r="I9" i="6"/>
  <c r="J9" i="6" s="1"/>
  <c r="F9" i="6"/>
  <c r="G9" i="6" s="1"/>
  <c r="P8" i="6"/>
  <c r="O8" i="6"/>
  <c r="Q8" i="6" s="1"/>
  <c r="R8" i="6" s="1"/>
  <c r="I8" i="6"/>
  <c r="J8" i="6" s="1"/>
  <c r="F8" i="6"/>
  <c r="G8" i="6" s="1"/>
  <c r="P7" i="6"/>
  <c r="O7" i="6"/>
  <c r="Q7" i="6" s="1"/>
  <c r="R7" i="6" s="1"/>
  <c r="I7" i="6"/>
  <c r="J7" i="6" s="1"/>
  <c r="K7" i="6" s="1"/>
  <c r="F7" i="6"/>
  <c r="G7" i="6" s="1"/>
  <c r="P6" i="6"/>
  <c r="O6" i="6"/>
  <c r="Q6" i="6" s="1"/>
  <c r="R6" i="6" s="1"/>
  <c r="I6" i="6"/>
  <c r="J6" i="6" s="1"/>
  <c r="K6" i="6" s="1"/>
  <c r="F6" i="6"/>
  <c r="G6" i="6" s="1"/>
  <c r="P5" i="6"/>
  <c r="O5" i="6"/>
  <c r="Q5" i="6" s="1"/>
  <c r="R5" i="6" s="1"/>
  <c r="I5" i="6"/>
  <c r="J5" i="6" s="1"/>
  <c r="F5" i="6"/>
  <c r="G5" i="6" s="1"/>
  <c r="P4" i="6"/>
  <c r="O4" i="6"/>
  <c r="I4" i="6"/>
  <c r="J4" i="6" s="1"/>
  <c r="X2" i="6"/>
  <c r="W2" i="6"/>
  <c r="T5" i="7" l="1"/>
  <c r="AW17" i="6"/>
  <c r="AW18" i="6"/>
  <c r="AX17" i="6"/>
  <c r="AI28" i="6"/>
  <c r="AX18" i="6"/>
  <c r="Z57" i="6"/>
  <c r="AD7" i="6"/>
  <c r="AJ8" i="6"/>
  <c r="AI6" i="6"/>
  <c r="AC19" i="6"/>
  <c r="AJ67" i="6"/>
  <c r="S40" i="6"/>
  <c r="AI15" i="6"/>
  <c r="AL77" i="6"/>
  <c r="AL43" i="6"/>
  <c r="AJ22" i="6"/>
  <c r="AC57" i="6"/>
  <c r="AJ46" i="6"/>
  <c r="S17" i="6"/>
  <c r="J56" i="6"/>
  <c r="AD57" i="6" s="1"/>
  <c r="AC56" i="6"/>
  <c r="Z22" i="6"/>
  <c r="AJ27" i="6"/>
  <c r="Z66" i="6"/>
  <c r="AL11" i="6"/>
  <c r="Z35" i="6"/>
  <c r="Z48" i="6"/>
  <c r="AL9" i="6"/>
  <c r="AD18" i="6"/>
  <c r="S39" i="6"/>
  <c r="AI66" i="6"/>
  <c r="S65" i="6"/>
  <c r="K65" i="6"/>
  <c r="AJ41" i="6"/>
  <c r="S73" i="6"/>
  <c r="Z24" i="6"/>
  <c r="AK39" i="6"/>
  <c r="AL48" i="6"/>
  <c r="AK80" i="6"/>
  <c r="AC79" i="6"/>
  <c r="Z7" i="6"/>
  <c r="AK58" i="6"/>
  <c r="AI80" i="6"/>
  <c r="AC36" i="6"/>
  <c r="AL41" i="6"/>
  <c r="Z29" i="6"/>
  <c r="AJ33" i="6"/>
  <c r="AD45" i="6"/>
  <c r="AJ78" i="6"/>
  <c r="AJ85" i="6"/>
  <c r="Z11" i="6"/>
  <c r="AK35" i="6"/>
  <c r="AK43" i="6"/>
  <c r="AD42" i="6"/>
  <c r="AA9" i="6"/>
  <c r="AC27" i="6"/>
  <c r="Z41" i="6"/>
  <c r="Z47" i="6"/>
  <c r="AD8" i="6"/>
  <c r="G45" i="6"/>
  <c r="AA47" i="6" s="1"/>
  <c r="AK19" i="6"/>
  <c r="AJ13" i="6"/>
  <c r="AJ12" i="6"/>
  <c r="AI22" i="6"/>
  <c r="J27" i="6"/>
  <c r="AD29" i="6" s="1"/>
  <c r="AA16" i="6"/>
  <c r="AL39" i="6"/>
  <c r="S45" i="6"/>
  <c r="G63" i="6"/>
  <c r="AA65" i="6" s="1"/>
  <c r="AJ88" i="6"/>
  <c r="AK17" i="6"/>
  <c r="AC40" i="6"/>
  <c r="AK81" i="6"/>
  <c r="AC63" i="6"/>
  <c r="AI17" i="6"/>
  <c r="AC43" i="6"/>
  <c r="AJ81" i="6"/>
  <c r="AI37" i="6"/>
  <c r="AA12" i="6"/>
  <c r="S5" i="6"/>
  <c r="AJ47" i="6"/>
  <c r="AL71" i="6"/>
  <c r="S75" i="6"/>
  <c r="K75" i="6"/>
  <c r="S46" i="6"/>
  <c r="G49" i="6"/>
  <c r="Z50" i="6"/>
  <c r="Z53" i="6"/>
  <c r="Z51" i="6"/>
  <c r="Z49" i="6"/>
  <c r="G58" i="6"/>
  <c r="AA60" i="6" s="1"/>
  <c r="J70" i="6"/>
  <c r="S70" i="6" s="1"/>
  <c r="AC70" i="6"/>
  <c r="AC73" i="6"/>
  <c r="AC72" i="6"/>
  <c r="AC74" i="6"/>
  <c r="AL79" i="6"/>
  <c r="J81" i="6"/>
  <c r="K81" i="6" s="1"/>
  <c r="AE78" i="6" s="1"/>
  <c r="AV28" i="6" s="1"/>
  <c r="AC78" i="6"/>
  <c r="G84" i="6"/>
  <c r="Z88" i="6"/>
  <c r="Z86" i="6"/>
  <c r="Z84" i="6"/>
  <c r="Q86" i="6"/>
  <c r="R86" i="6" s="1"/>
  <c r="AI85" i="6"/>
  <c r="AC7" i="6"/>
  <c r="AK46" i="6"/>
  <c r="AI58" i="6"/>
  <c r="Z85" i="6"/>
  <c r="Z19" i="6"/>
  <c r="K86" i="6"/>
  <c r="AD86" i="6"/>
  <c r="AD87" i="6"/>
  <c r="Z79" i="6"/>
  <c r="AD11" i="6"/>
  <c r="Q49" i="6"/>
  <c r="AI53" i="6"/>
  <c r="AI51" i="6"/>
  <c r="AI49" i="6"/>
  <c r="AJ70" i="6"/>
  <c r="AD5" i="6"/>
  <c r="AJ9" i="6"/>
  <c r="AI33" i="6"/>
  <c r="AI47" i="6"/>
  <c r="AC45" i="6"/>
  <c r="Z52" i="6"/>
  <c r="AJ64" i="6"/>
  <c r="AK77" i="6"/>
  <c r="AI88" i="6"/>
  <c r="AJ30" i="6"/>
  <c r="AA17" i="6"/>
  <c r="AL12" i="6"/>
  <c r="AC17" i="6"/>
  <c r="AC15" i="6"/>
  <c r="AC16" i="6"/>
  <c r="G21" i="6"/>
  <c r="Z25" i="6"/>
  <c r="Z23" i="6"/>
  <c r="Z21" i="6"/>
  <c r="R35" i="6"/>
  <c r="AL34" i="6" s="1"/>
  <c r="AK37" i="6"/>
  <c r="AJ50" i="6"/>
  <c r="AJ53" i="6"/>
  <c r="AJ51" i="6"/>
  <c r="AJ52" i="6"/>
  <c r="AC60" i="6"/>
  <c r="AJ86" i="6"/>
  <c r="AC5" i="6"/>
  <c r="Z6" i="6"/>
  <c r="AI9" i="6"/>
  <c r="AD16" i="6"/>
  <c r="AC29" i="6"/>
  <c r="AJ49" i="6"/>
  <c r="AI64" i="6"/>
  <c r="AI77" i="6"/>
  <c r="AC87" i="6"/>
  <c r="G70" i="6"/>
  <c r="Z72" i="6"/>
  <c r="Z70" i="6"/>
  <c r="Z73" i="6"/>
  <c r="Z74" i="6"/>
  <c r="AI50" i="6"/>
  <c r="Z39" i="6"/>
  <c r="Z42" i="6"/>
  <c r="Z40" i="6"/>
  <c r="G39" i="6"/>
  <c r="AK11" i="6"/>
  <c r="AI35" i="6"/>
  <c r="Z43" i="6"/>
  <c r="AJ39" i="6"/>
  <c r="AC59" i="6"/>
  <c r="Z63" i="6"/>
  <c r="AL72" i="6"/>
  <c r="Z87" i="6"/>
  <c r="J21" i="6"/>
  <c r="K21" i="6" s="1"/>
  <c r="AC22" i="6"/>
  <c r="AC25" i="6"/>
  <c r="AC23" i="6"/>
  <c r="G33" i="6"/>
  <c r="Z33" i="6"/>
  <c r="Z36" i="6"/>
  <c r="Z34" i="6"/>
  <c r="AJ4" i="6"/>
  <c r="AJ5" i="6"/>
  <c r="AJ7" i="6"/>
  <c r="AJ6" i="6"/>
  <c r="AD13" i="6"/>
  <c r="AJ18" i="6"/>
  <c r="AJ16" i="6"/>
  <c r="AJ19" i="6"/>
  <c r="AJ17" i="6"/>
  <c r="AJ23" i="6"/>
  <c r="AJ21" i="6"/>
  <c r="AJ24" i="6"/>
  <c r="Q24" i="6"/>
  <c r="AK22" i="6" s="1"/>
  <c r="AI25" i="6"/>
  <c r="AD27" i="6"/>
  <c r="J33" i="6"/>
  <c r="K33" i="6" s="1"/>
  <c r="AC37" i="6"/>
  <c r="AC35" i="6"/>
  <c r="AC33" i="6"/>
  <c r="AC34" i="6"/>
  <c r="AJ56" i="6"/>
  <c r="AL78" i="6"/>
  <c r="G4" i="6"/>
  <c r="AA4" i="6" s="1"/>
  <c r="Z5" i="6"/>
  <c r="Z8" i="6"/>
  <c r="AC18" i="6"/>
  <c r="Z17" i="6"/>
  <c r="AD48" i="6"/>
  <c r="AK72" i="6"/>
  <c r="Q66" i="6"/>
  <c r="S66" i="6" s="1"/>
  <c r="AI67" i="6"/>
  <c r="AL70" i="6"/>
  <c r="G27" i="6"/>
  <c r="Z30" i="6"/>
  <c r="Z28" i="6"/>
  <c r="Z31" i="6"/>
  <c r="Z27" i="6"/>
  <c r="K13" i="6"/>
  <c r="S13" i="6"/>
  <c r="Q27" i="6"/>
  <c r="AI31" i="6"/>
  <c r="AI29" i="6"/>
  <c r="AI27" i="6"/>
  <c r="AI30" i="6"/>
  <c r="Z67" i="6"/>
  <c r="AD10" i="6"/>
  <c r="AC21" i="6"/>
  <c r="AC48" i="6"/>
  <c r="AI72" i="6"/>
  <c r="AC71" i="6"/>
  <c r="AJ65" i="6"/>
  <c r="AJ63" i="6"/>
  <c r="AJ66" i="6"/>
  <c r="K15" i="6"/>
  <c r="AD19" i="6"/>
  <c r="AD17" i="6"/>
  <c r="AD15" i="6"/>
  <c r="AJ28" i="6"/>
  <c r="AJ36" i="6"/>
  <c r="AJ42" i="6"/>
  <c r="AL47" i="6"/>
  <c r="Z81" i="6"/>
  <c r="AI12" i="6"/>
  <c r="AD84" i="6"/>
  <c r="AC49" i="6"/>
  <c r="AC52" i="6"/>
  <c r="AC50" i="6"/>
  <c r="AC53" i="6"/>
  <c r="AC51" i="6"/>
  <c r="J49" i="6"/>
  <c r="Q4" i="6"/>
  <c r="R4" i="6" s="1"/>
  <c r="AI5" i="6"/>
  <c r="AI7" i="6"/>
  <c r="AI8" i="6"/>
  <c r="R57" i="6"/>
  <c r="AL56" i="6" s="1"/>
  <c r="AK60" i="6"/>
  <c r="J63" i="6"/>
  <c r="S63" i="6" s="1"/>
  <c r="AC66" i="6"/>
  <c r="AC67" i="6"/>
  <c r="AC64" i="6"/>
  <c r="AC65" i="6"/>
  <c r="G78" i="6"/>
  <c r="AA81" i="6" s="1"/>
  <c r="AC11" i="6"/>
  <c r="Z9" i="6"/>
  <c r="AJ15" i="6"/>
  <c r="AI41" i="6"/>
  <c r="AI52" i="6"/>
  <c r="Z71" i="6"/>
  <c r="AL80" i="6"/>
  <c r="Z37" i="6"/>
  <c r="AJ25" i="6"/>
  <c r="AA11" i="6"/>
  <c r="AK9" i="6"/>
  <c r="AJ35" i="6"/>
  <c r="AK41" i="6"/>
  <c r="AD40" i="6"/>
  <c r="AI39" i="6"/>
  <c r="AL46" i="6"/>
  <c r="Z46" i="6"/>
  <c r="AJ58" i="6"/>
  <c r="AJ72" i="6"/>
  <c r="AJ80" i="6"/>
  <c r="AJ77" i="6"/>
  <c r="AC84" i="6"/>
  <c r="AL81" i="6"/>
  <c r="Z60" i="6"/>
  <c r="AJ37" i="6"/>
  <c r="AC31" i="6"/>
  <c r="AA19" i="6"/>
  <c r="K66" i="6"/>
  <c r="S76" i="6"/>
  <c r="AJ11" i="6"/>
  <c r="AC10" i="6"/>
  <c r="Z16" i="6"/>
  <c r="AJ43" i="6"/>
  <c r="AC42" i="6"/>
  <c r="AK48" i="6"/>
  <c r="AD47" i="6"/>
  <c r="AI46" i="6"/>
  <c r="AK57" i="6"/>
  <c r="Z65" i="6"/>
  <c r="AK71" i="6"/>
  <c r="AK79" i="6"/>
  <c r="AC86" i="6"/>
  <c r="AD88" i="6"/>
  <c r="AI81" i="6"/>
  <c r="AJ60" i="6"/>
  <c r="AC13" i="6"/>
  <c r="AD12" i="6"/>
  <c r="AI11" i="6"/>
  <c r="AA18" i="6"/>
  <c r="AK16" i="6"/>
  <c r="AI24" i="6"/>
  <c r="AJ29" i="6"/>
  <c r="AC28" i="6"/>
  <c r="AK34" i="6"/>
  <c r="AI43" i="6"/>
  <c r="AL40" i="6"/>
  <c r="AJ48" i="6"/>
  <c r="AC47" i="6"/>
  <c r="AA45" i="6"/>
  <c r="AJ57" i="6"/>
  <c r="AI63" i="6"/>
  <c r="AJ71" i="6"/>
  <c r="AJ79" i="6"/>
  <c r="AJ87" i="6"/>
  <c r="AC88" i="6"/>
  <c r="AL74" i="6"/>
  <c r="AI60" i="6"/>
  <c r="AI19" i="6"/>
  <c r="S28" i="6"/>
  <c r="AC12" i="6"/>
  <c r="AA10" i="6"/>
  <c r="Z18" i="6"/>
  <c r="AJ34" i="6"/>
  <c r="AK40" i="6"/>
  <c r="AD39" i="6"/>
  <c r="AI48" i="6"/>
  <c r="AL45" i="6"/>
  <c r="Z45" i="6"/>
  <c r="Z59" i="6"/>
  <c r="AI57" i="6"/>
  <c r="Z56" i="6"/>
  <c r="AI71" i="6"/>
  <c r="AI79" i="6"/>
  <c r="Z78" i="6"/>
  <c r="AI87" i="6"/>
  <c r="AJ84" i="6"/>
  <c r="AK74" i="6"/>
  <c r="AJ31" i="6"/>
  <c r="AA13" i="6"/>
  <c r="K73" i="6"/>
  <c r="S34" i="6"/>
  <c r="AD6" i="6"/>
  <c r="AL10" i="6"/>
  <c r="Z10" i="6"/>
  <c r="AK18" i="6"/>
  <c r="AI16" i="6"/>
  <c r="AC30" i="6"/>
  <c r="AK36" i="6"/>
  <c r="AI34" i="6"/>
  <c r="AL42" i="6"/>
  <c r="AJ40" i="6"/>
  <c r="AC39" i="6"/>
  <c r="AK45" i="6"/>
  <c r="AC58" i="6"/>
  <c r="AI65" i="6"/>
  <c r="AL73" i="6"/>
  <c r="AC80" i="6"/>
  <c r="AC77" i="6"/>
  <c r="AD85" i="6"/>
  <c r="AI84" i="6"/>
  <c r="AJ74" i="6"/>
  <c r="AL13" i="6"/>
  <c r="Z13" i="6"/>
  <c r="K84" i="6"/>
  <c r="AE87" i="6" s="1"/>
  <c r="AC6" i="6"/>
  <c r="AK10" i="6"/>
  <c r="AD9" i="6"/>
  <c r="AA15" i="6"/>
  <c r="AI21" i="6"/>
  <c r="AK42" i="6"/>
  <c r="AD41" i="6"/>
  <c r="AI40" i="6"/>
  <c r="AJ45" i="6"/>
  <c r="AK59" i="6"/>
  <c r="AK56" i="6"/>
  <c r="AK73" i="6"/>
  <c r="AK70" i="6"/>
  <c r="AK78" i="6"/>
  <c r="AC85" i="6"/>
  <c r="AI74" i="6"/>
  <c r="AK13" i="6"/>
  <c r="S85" i="6"/>
  <c r="Z12" i="6"/>
  <c r="AJ10" i="6"/>
  <c r="AC9" i="6"/>
  <c r="AI18" i="6"/>
  <c r="Z15" i="6"/>
  <c r="AI36" i="6"/>
  <c r="AC41" i="6"/>
  <c r="AK47" i="6"/>
  <c r="AD46" i="6"/>
  <c r="AI45" i="6"/>
  <c r="AJ59" i="6"/>
  <c r="Z64" i="6"/>
  <c r="AJ73" i="6"/>
  <c r="AC81" i="6"/>
  <c r="AC8" i="6"/>
  <c r="AD4" i="6"/>
  <c r="AK12" i="6"/>
  <c r="AI10" i="6"/>
  <c r="AK15" i="6"/>
  <c r="AI23" i="6"/>
  <c r="AK33" i="6"/>
  <c r="AD43" i="6"/>
  <c r="AI42" i="6"/>
  <c r="AC46" i="6"/>
  <c r="AI59" i="6"/>
  <c r="Z58" i="6"/>
  <c r="AI56" i="6"/>
  <c r="AI73" i="6"/>
  <c r="AI70" i="6"/>
  <c r="Z80" i="6"/>
  <c r="AI78" i="6"/>
  <c r="Z77" i="6"/>
  <c r="AI86" i="6"/>
  <c r="AI13" i="6"/>
  <c r="AB10" i="7"/>
  <c r="AF27" i="7"/>
  <c r="AZ8" i="7" s="1"/>
  <c r="AL9" i="7"/>
  <c r="AE16" i="7"/>
  <c r="AE13" i="7"/>
  <c r="AL8" i="7"/>
  <c r="AE15" i="7"/>
  <c r="AL7" i="7"/>
  <c r="AL31" i="7"/>
  <c r="T31" i="7"/>
  <c r="S31" i="7"/>
  <c r="AL34" i="7"/>
  <c r="AL33" i="7"/>
  <c r="AL32" i="7"/>
  <c r="AL4" i="7"/>
  <c r="AL2" i="7"/>
  <c r="AL5" i="7"/>
  <c r="AL3" i="7"/>
  <c r="AL23" i="7"/>
  <c r="AL21" i="7"/>
  <c r="AL22" i="7"/>
  <c r="AL20" i="7"/>
  <c r="AM13" i="7"/>
  <c r="AE4" i="7"/>
  <c r="AE2" i="7"/>
  <c r="AE5" i="7"/>
  <c r="AE3" i="7"/>
  <c r="AE23" i="7"/>
  <c r="AE21" i="7"/>
  <c r="AE22" i="7"/>
  <c r="AE20" i="7"/>
  <c r="AF29" i="7"/>
  <c r="AF28" i="7"/>
  <c r="AZ16" i="7" s="1"/>
  <c r="AF30" i="7"/>
  <c r="AM15" i="7"/>
  <c r="AB23" i="7"/>
  <c r="AB21" i="7"/>
  <c r="AB22" i="7"/>
  <c r="AB20" i="7"/>
  <c r="AB13" i="7"/>
  <c r="AB14" i="7"/>
  <c r="AB15" i="7"/>
  <c r="AB16" i="7"/>
  <c r="L19" i="7"/>
  <c r="AF15" i="7" s="1"/>
  <c r="T19" i="7"/>
  <c r="AN16" i="7" s="1"/>
  <c r="AM10" i="7"/>
  <c r="AM7" i="7"/>
  <c r="AM8" i="7"/>
  <c r="AM9" i="7"/>
  <c r="AN29" i="7"/>
  <c r="AN28" i="7"/>
  <c r="AR30" i="7"/>
  <c r="AN30" i="7"/>
  <c r="AE10" i="7"/>
  <c r="L7" i="7"/>
  <c r="T7" i="7"/>
  <c r="AE7" i="7"/>
  <c r="AE9" i="7"/>
  <c r="AE8" i="7"/>
  <c r="AB30" i="7"/>
  <c r="AB29" i="7"/>
  <c r="AB28" i="7"/>
  <c r="AN27" i="7"/>
  <c r="S64" i="6"/>
  <c r="S78" i="6"/>
  <c r="S80" i="6"/>
  <c r="S90" i="6"/>
  <c r="K5" i="6"/>
  <c r="AI4" i="6"/>
  <c r="S83" i="6"/>
  <c r="S6" i="6"/>
  <c r="AC4" i="6"/>
  <c r="Z4" i="6"/>
  <c r="S22" i="6"/>
  <c r="S53" i="6"/>
  <c r="S58" i="6"/>
  <c r="S84" i="6"/>
  <c r="R50" i="6"/>
  <c r="S50" i="6"/>
  <c r="S71" i="6"/>
  <c r="R87" i="6"/>
  <c r="S87" i="6"/>
  <c r="S60" i="6"/>
  <c r="S52" i="6"/>
  <c r="S57" i="6"/>
  <c r="S62" i="6"/>
  <c r="S59" i="6"/>
  <c r="S67" i="6"/>
  <c r="S89" i="6"/>
  <c r="S77" i="6"/>
  <c r="S79" i="6"/>
  <c r="S69" i="6"/>
  <c r="S82" i="6"/>
  <c r="R55" i="6"/>
  <c r="S55" i="6"/>
  <c r="S72" i="6"/>
  <c r="S51" i="6"/>
  <c r="S14" i="6"/>
  <c r="K14" i="6"/>
  <c r="S20" i="6"/>
  <c r="K20" i="6"/>
  <c r="S9" i="6"/>
  <c r="K9" i="6"/>
  <c r="K4" i="6"/>
  <c r="R17" i="6"/>
  <c r="AL16" i="6" s="1"/>
  <c r="K45" i="6"/>
  <c r="S25" i="6"/>
  <c r="S31" i="6"/>
  <c r="S37" i="6"/>
  <c r="S12" i="6"/>
  <c r="S15" i="6"/>
  <c r="S18" i="6"/>
  <c r="S16" i="6"/>
  <c r="S43" i="6"/>
  <c r="S11" i="6"/>
  <c r="S24" i="6"/>
  <c r="S30" i="6"/>
  <c r="S36" i="6"/>
  <c r="S42" i="6"/>
  <c r="S48" i="6"/>
  <c r="S8" i="6"/>
  <c r="K8" i="6"/>
  <c r="S10" i="6"/>
  <c r="S23" i="6"/>
  <c r="K23" i="6"/>
  <c r="S29" i="6"/>
  <c r="K29" i="6"/>
  <c r="S35" i="6"/>
  <c r="K35" i="6"/>
  <c r="S41" i="6"/>
  <c r="K41" i="6"/>
  <c r="S47" i="6"/>
  <c r="K47" i="6"/>
  <c r="K39" i="6"/>
  <c r="S19" i="6"/>
  <c r="K16" i="6"/>
  <c r="S26" i="6"/>
  <c r="K26" i="6"/>
  <c r="S32" i="6"/>
  <c r="K32" i="6"/>
  <c r="S38" i="6"/>
  <c r="K38" i="6"/>
  <c r="S44" i="6"/>
  <c r="K44" i="6"/>
  <c r="K34" i="6"/>
  <c r="K40" i="6"/>
  <c r="K46" i="6"/>
  <c r="S7" i="6"/>
  <c r="K22" i="6"/>
  <c r="K28" i="6"/>
  <c r="AZ6" i="5"/>
  <c r="AZ5" i="5"/>
  <c r="AZ4" i="5"/>
  <c r="AY7" i="5"/>
  <c r="AY6" i="5"/>
  <c r="AY5" i="5"/>
  <c r="AY4" i="5"/>
  <c r="AX8" i="5"/>
  <c r="AX7" i="5"/>
  <c r="AX5" i="5"/>
  <c r="AN34" i="5"/>
  <c r="AO34" i="5"/>
  <c r="AN33" i="5"/>
  <c r="AO33" i="5"/>
  <c r="AN32" i="5"/>
  <c r="AO32" i="5"/>
  <c r="AZ16" i="5" s="1"/>
  <c r="AO31" i="5"/>
  <c r="AZ8" i="5" s="1"/>
  <c r="AN31" i="5"/>
  <c r="AN23" i="5"/>
  <c r="AO23" i="5"/>
  <c r="AN22" i="5"/>
  <c r="AO22" i="5"/>
  <c r="AN21" i="5"/>
  <c r="AO21" i="5"/>
  <c r="AZ15" i="5" s="1"/>
  <c r="AN20" i="5"/>
  <c r="AO20" i="5"/>
  <c r="AZ7" i="5" s="1"/>
  <c r="AN16" i="5"/>
  <c r="AO16" i="5"/>
  <c r="AN15" i="5"/>
  <c r="AO15" i="5"/>
  <c r="AN14" i="5"/>
  <c r="AO14" i="5"/>
  <c r="AN13" i="5"/>
  <c r="AO13" i="5"/>
  <c r="AN10" i="5"/>
  <c r="AO10" i="5"/>
  <c r="AN9" i="5"/>
  <c r="AO9" i="5"/>
  <c r="AN8" i="5"/>
  <c r="AO8" i="5"/>
  <c r="AN7" i="5"/>
  <c r="AO7" i="5"/>
  <c r="AN5" i="5"/>
  <c r="AO5" i="5"/>
  <c r="AN4" i="5"/>
  <c r="AO4" i="5"/>
  <c r="AN3" i="5"/>
  <c r="AO3" i="5"/>
  <c r="AN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L26" i="5" s="1"/>
  <c r="K27" i="5"/>
  <c r="K28" i="5"/>
  <c r="K29" i="5"/>
  <c r="K30" i="5"/>
  <c r="L12" i="5"/>
  <c r="L8" i="5"/>
  <c r="L24" i="5"/>
  <c r="L11" i="5"/>
  <c r="L23" i="5"/>
  <c r="L25" i="5"/>
  <c r="K2" i="5"/>
  <c r="L3" i="5"/>
  <c r="L5" i="5"/>
  <c r="L6" i="5"/>
  <c r="L7" i="5"/>
  <c r="L9" i="5"/>
  <c r="L10" i="5"/>
  <c r="L15" i="5"/>
  <c r="L18" i="5"/>
  <c r="L19" i="5"/>
  <c r="L20" i="5"/>
  <c r="L21" i="5"/>
  <c r="L22" i="5"/>
  <c r="L27" i="5"/>
  <c r="L28" i="5"/>
  <c r="L29" i="5"/>
  <c r="L30" i="5"/>
  <c r="X30" i="5"/>
  <c r="X29" i="5"/>
  <c r="X28" i="5"/>
  <c r="Y27" i="5"/>
  <c r="AB27" i="5"/>
  <c r="AF27" i="5"/>
  <c r="AG27" i="5"/>
  <c r="AH27" i="5"/>
  <c r="X27" i="5"/>
  <c r="X23" i="5"/>
  <c r="X22" i="5"/>
  <c r="X21" i="5"/>
  <c r="Y20" i="5"/>
  <c r="AB20" i="5"/>
  <c r="AF20" i="5"/>
  <c r="AG20" i="5"/>
  <c r="AH20" i="5"/>
  <c r="X20" i="5"/>
  <c r="Y34" i="5"/>
  <c r="AF34" i="5"/>
  <c r="AG34" i="5"/>
  <c r="AH34" i="5"/>
  <c r="Y33" i="5"/>
  <c r="AF33" i="5"/>
  <c r="AG33" i="5"/>
  <c r="AH33" i="5"/>
  <c r="Y32" i="5"/>
  <c r="AF32" i="5"/>
  <c r="AG32" i="5"/>
  <c r="AH32" i="5"/>
  <c r="Y31" i="5"/>
  <c r="AF31" i="5"/>
  <c r="AG31" i="5"/>
  <c r="AH31" i="5"/>
  <c r="X34" i="5"/>
  <c r="X33" i="5"/>
  <c r="X32" i="5"/>
  <c r="X31" i="5"/>
  <c r="Y30" i="5"/>
  <c r="AB30" i="5"/>
  <c r="AF30" i="5"/>
  <c r="AG30" i="5"/>
  <c r="AH30" i="5"/>
  <c r="Y29" i="5"/>
  <c r="AB29" i="5"/>
  <c r="AF29" i="5"/>
  <c r="AG29" i="5"/>
  <c r="AH29" i="5"/>
  <c r="Y28" i="5"/>
  <c r="AB28" i="5"/>
  <c r="AF28" i="5"/>
  <c r="AG28" i="5"/>
  <c r="AH28" i="5"/>
  <c r="Y23" i="5"/>
  <c r="AB23" i="5"/>
  <c r="AF23" i="5"/>
  <c r="AG23" i="5"/>
  <c r="AH23" i="5"/>
  <c r="Y22" i="5"/>
  <c r="AB22" i="5"/>
  <c r="AF22" i="5"/>
  <c r="AG22" i="5"/>
  <c r="AH22" i="5"/>
  <c r="Y21" i="5"/>
  <c r="AB21" i="5"/>
  <c r="AF21" i="5"/>
  <c r="AG21" i="5"/>
  <c r="AH21" i="5"/>
  <c r="Y16" i="5"/>
  <c r="AB16" i="5"/>
  <c r="AF16" i="5"/>
  <c r="AG16" i="5"/>
  <c r="AH16" i="5"/>
  <c r="Y15" i="5"/>
  <c r="AB15" i="5"/>
  <c r="AF15" i="5"/>
  <c r="AG15" i="5"/>
  <c r="AH15" i="5"/>
  <c r="Y14" i="5"/>
  <c r="AB14" i="5"/>
  <c r="AF14" i="5"/>
  <c r="AG14" i="5"/>
  <c r="AH14" i="5"/>
  <c r="Y13" i="5"/>
  <c r="AB13" i="5"/>
  <c r="AF13" i="5"/>
  <c r="AG13" i="5"/>
  <c r="AH13" i="5"/>
  <c r="X16" i="5"/>
  <c r="X15" i="5"/>
  <c r="X14" i="5"/>
  <c r="X13" i="5"/>
  <c r="Y10" i="5"/>
  <c r="AB10" i="5"/>
  <c r="AF10" i="5"/>
  <c r="AG10" i="5"/>
  <c r="AH10" i="5"/>
  <c r="Y9" i="5"/>
  <c r="AB9" i="5"/>
  <c r="AF9" i="5"/>
  <c r="AG9" i="5"/>
  <c r="AH9" i="5"/>
  <c r="Y8" i="5"/>
  <c r="AB8" i="5"/>
  <c r="AF8" i="5"/>
  <c r="AG8" i="5"/>
  <c r="AH8" i="5"/>
  <c r="X10" i="5"/>
  <c r="X9" i="5"/>
  <c r="X8" i="5"/>
  <c r="Y7" i="5"/>
  <c r="AB7" i="5"/>
  <c r="AF7" i="5"/>
  <c r="AG7" i="5"/>
  <c r="AH7" i="5"/>
  <c r="X7" i="5"/>
  <c r="Y5" i="5"/>
  <c r="AB5" i="5"/>
  <c r="AF5" i="5"/>
  <c r="AG5" i="5"/>
  <c r="AH5" i="5"/>
  <c r="Y4" i="5"/>
  <c r="AB4" i="5"/>
  <c r="AF4" i="5"/>
  <c r="AG4" i="5"/>
  <c r="AH4" i="5"/>
  <c r="Y3" i="5"/>
  <c r="AB3" i="5"/>
  <c r="AF3" i="5"/>
  <c r="AG3" i="5"/>
  <c r="AH3" i="5"/>
  <c r="X5" i="5"/>
  <c r="X4" i="5"/>
  <c r="X3" i="5"/>
  <c r="X2" i="5"/>
  <c r="Y2" i="5"/>
  <c r="AB2" i="5"/>
  <c r="AF2" i="5"/>
  <c r="AG2" i="5"/>
  <c r="AH2" i="5"/>
  <c r="Q34" i="5"/>
  <c r="P34" i="5"/>
  <c r="R34" i="5" s="1"/>
  <c r="Q33" i="5"/>
  <c r="P33" i="5"/>
  <c r="R33" i="5" s="1"/>
  <c r="Q32" i="5"/>
  <c r="P32" i="5"/>
  <c r="R32" i="5" s="1"/>
  <c r="Q31" i="5"/>
  <c r="AJ32" i="5" s="1"/>
  <c r="P31" i="5"/>
  <c r="R31" i="5" s="1"/>
  <c r="S31" i="5" s="1"/>
  <c r="Q30" i="5"/>
  <c r="P30" i="5"/>
  <c r="R30" i="5" s="1"/>
  <c r="S30" i="5" s="1"/>
  <c r="J30" i="5"/>
  <c r="G30" i="5"/>
  <c r="H30" i="5" s="1"/>
  <c r="Q29" i="5"/>
  <c r="P29" i="5"/>
  <c r="R29" i="5" s="1"/>
  <c r="S29" i="5" s="1"/>
  <c r="J29" i="5"/>
  <c r="G29" i="5"/>
  <c r="H29" i="5" s="1"/>
  <c r="Q28" i="5"/>
  <c r="P28" i="5"/>
  <c r="R28" i="5" s="1"/>
  <c r="S28" i="5" s="1"/>
  <c r="J28" i="5"/>
  <c r="G28" i="5"/>
  <c r="H28" i="5" s="1"/>
  <c r="Q27" i="5"/>
  <c r="P27" i="5"/>
  <c r="R27" i="5" s="1"/>
  <c r="S27" i="5" s="1"/>
  <c r="J27" i="5"/>
  <c r="G27" i="5"/>
  <c r="H27" i="5" s="1"/>
  <c r="Q26" i="5"/>
  <c r="P26" i="5"/>
  <c r="R26" i="5" s="1"/>
  <c r="S26" i="5" s="1"/>
  <c r="AL29" i="5" s="1"/>
  <c r="J26" i="5"/>
  <c r="G26" i="5"/>
  <c r="H26" i="5" s="1"/>
  <c r="Q25" i="5"/>
  <c r="P25" i="5"/>
  <c r="R25" i="5" s="1"/>
  <c r="S25" i="5" s="1"/>
  <c r="J25" i="5"/>
  <c r="G25" i="5"/>
  <c r="H25" i="5" s="1"/>
  <c r="Q24" i="5"/>
  <c r="P24" i="5"/>
  <c r="R24" i="5" s="1"/>
  <c r="S24" i="5" s="1"/>
  <c r="J24" i="5"/>
  <c r="G24" i="5"/>
  <c r="H24" i="5" s="1"/>
  <c r="Q23" i="5"/>
  <c r="P23" i="5"/>
  <c r="R23" i="5" s="1"/>
  <c r="S23" i="5" s="1"/>
  <c r="J23" i="5"/>
  <c r="G23" i="5"/>
  <c r="H23" i="5" s="1"/>
  <c r="Q22" i="5"/>
  <c r="P22" i="5"/>
  <c r="R22" i="5" s="1"/>
  <c r="S22" i="5" s="1"/>
  <c r="J22" i="5"/>
  <c r="G22" i="5"/>
  <c r="H22" i="5" s="1"/>
  <c r="Q21" i="5"/>
  <c r="P21" i="5"/>
  <c r="R21" i="5" s="1"/>
  <c r="S21" i="5" s="1"/>
  <c r="J21" i="5"/>
  <c r="G21" i="5"/>
  <c r="H21" i="5" s="1"/>
  <c r="Q20" i="5"/>
  <c r="AJ21" i="5" s="1"/>
  <c r="P20" i="5"/>
  <c r="R20" i="5" s="1"/>
  <c r="S20" i="5" s="1"/>
  <c r="AL20" i="5" s="1"/>
  <c r="J20" i="5"/>
  <c r="G20" i="5"/>
  <c r="H20" i="5" s="1"/>
  <c r="Q19" i="5"/>
  <c r="P19" i="5"/>
  <c r="R19" i="5" s="1"/>
  <c r="S19" i="5" s="1"/>
  <c r="J19" i="5"/>
  <c r="G19" i="5"/>
  <c r="H19" i="5" s="1"/>
  <c r="Q18" i="5"/>
  <c r="P18" i="5"/>
  <c r="R18" i="5" s="1"/>
  <c r="S18" i="5" s="1"/>
  <c r="J18" i="5"/>
  <c r="G18" i="5"/>
  <c r="H18" i="5" s="1"/>
  <c r="Q17" i="5"/>
  <c r="P17" i="5"/>
  <c r="R17" i="5" s="1"/>
  <c r="S17" i="5" s="1"/>
  <c r="J17" i="5"/>
  <c r="H17" i="5"/>
  <c r="G17" i="5"/>
  <c r="Q16" i="5"/>
  <c r="P16" i="5"/>
  <c r="R16" i="5" s="1"/>
  <c r="S16" i="5" s="1"/>
  <c r="J16" i="5"/>
  <c r="G16" i="5"/>
  <c r="H16" i="5" s="1"/>
  <c r="Q15" i="5"/>
  <c r="P15" i="5"/>
  <c r="R15" i="5" s="1"/>
  <c r="S15" i="5" s="1"/>
  <c r="J15" i="5"/>
  <c r="G15" i="5"/>
  <c r="H15" i="5" s="1"/>
  <c r="Q14" i="5"/>
  <c r="P14" i="5"/>
  <c r="R14" i="5" s="1"/>
  <c r="S14" i="5" s="1"/>
  <c r="J14" i="5"/>
  <c r="G14" i="5"/>
  <c r="H14" i="5" s="1"/>
  <c r="Q13" i="5"/>
  <c r="P13" i="5"/>
  <c r="R13" i="5" s="1"/>
  <c r="S13" i="5" s="1"/>
  <c r="AL14" i="5" s="1"/>
  <c r="J13" i="5"/>
  <c r="AC15" i="5" s="1"/>
  <c r="G13" i="5"/>
  <c r="H13" i="5" s="1"/>
  <c r="F5" i="3"/>
  <c r="Q12" i="5"/>
  <c r="P12" i="5"/>
  <c r="R12" i="5" s="1"/>
  <c r="S12" i="5" s="1"/>
  <c r="J12" i="5"/>
  <c r="G12" i="5"/>
  <c r="H12" i="5" s="1"/>
  <c r="Q11" i="5"/>
  <c r="P11" i="5"/>
  <c r="R11" i="5" s="1"/>
  <c r="S11" i="5" s="1"/>
  <c r="J11" i="5"/>
  <c r="G11" i="5"/>
  <c r="H11" i="5" s="1"/>
  <c r="Q10" i="5"/>
  <c r="P10" i="5"/>
  <c r="R10" i="5" s="1"/>
  <c r="S10" i="5" s="1"/>
  <c r="J10" i="5"/>
  <c r="G10" i="5"/>
  <c r="H10" i="5" s="1"/>
  <c r="Q9" i="5"/>
  <c r="P9" i="5"/>
  <c r="R9" i="5" s="1"/>
  <c r="S9" i="5" s="1"/>
  <c r="J9" i="5"/>
  <c r="G9" i="5"/>
  <c r="H9" i="5" s="1"/>
  <c r="Q8" i="5"/>
  <c r="P8" i="5"/>
  <c r="R8" i="5" s="1"/>
  <c r="S8" i="5" s="1"/>
  <c r="J8" i="5"/>
  <c r="G8" i="5"/>
  <c r="H8" i="5" s="1"/>
  <c r="Q7" i="5"/>
  <c r="AJ8" i="5" s="1"/>
  <c r="P7" i="5"/>
  <c r="R7" i="5" s="1"/>
  <c r="AK7" i="5" s="1"/>
  <c r="J7" i="5"/>
  <c r="G7" i="5"/>
  <c r="H7" i="5" s="1"/>
  <c r="Q6" i="5"/>
  <c r="P6" i="5"/>
  <c r="R6" i="5" s="1"/>
  <c r="S6" i="5" s="1"/>
  <c r="J6" i="5"/>
  <c r="H6" i="5"/>
  <c r="G6" i="5"/>
  <c r="Q5" i="5"/>
  <c r="P5" i="5"/>
  <c r="R5" i="5" s="1"/>
  <c r="S5" i="5" s="1"/>
  <c r="J5" i="5"/>
  <c r="G5" i="5"/>
  <c r="H5" i="5" s="1"/>
  <c r="Q4" i="5"/>
  <c r="P4" i="5"/>
  <c r="R4" i="5" s="1"/>
  <c r="J4" i="5"/>
  <c r="G4" i="5"/>
  <c r="H4" i="5" s="1"/>
  <c r="Q3" i="5"/>
  <c r="P3" i="5"/>
  <c r="R3" i="5" s="1"/>
  <c r="S3" i="5" s="1"/>
  <c r="J3" i="5"/>
  <c r="G3" i="5"/>
  <c r="H3" i="5" s="1"/>
  <c r="Q2" i="5"/>
  <c r="P2" i="5"/>
  <c r="R2" i="5" s="1"/>
  <c r="AK5" i="5" s="1"/>
  <c r="J2" i="5"/>
  <c r="H2" i="5"/>
  <c r="AA5" i="5" s="1"/>
  <c r="E55" i="1"/>
  <c r="AA8" i="4"/>
  <c r="AC8" i="4" s="1"/>
  <c r="P8" i="4"/>
  <c r="O8" i="4"/>
  <c r="Q8" i="4" s="1"/>
  <c r="AB7" i="4"/>
  <c r="AA7" i="4"/>
  <c r="AC7" i="4" s="1"/>
  <c r="P7" i="4"/>
  <c r="O7" i="4"/>
  <c r="Q7" i="4" s="1"/>
  <c r="AB6" i="4"/>
  <c r="AA6" i="4"/>
  <c r="AC6" i="4" s="1"/>
  <c r="P6" i="4"/>
  <c r="O6" i="4"/>
  <c r="Q6" i="4" s="1"/>
  <c r="AA5" i="4"/>
  <c r="AC5" i="4" s="1"/>
  <c r="P5" i="4"/>
  <c r="O5" i="4"/>
  <c r="Q5" i="4" s="1"/>
  <c r="S5" i="4" s="1"/>
  <c r="AB4" i="4"/>
  <c r="AA4" i="4"/>
  <c r="AC4" i="4" s="1"/>
  <c r="P4" i="4"/>
  <c r="O4" i="4"/>
  <c r="Q4" i="4" s="1"/>
  <c r="W2" i="4"/>
  <c r="V2" i="4"/>
  <c r="O22" i="3"/>
  <c r="O21" i="3"/>
  <c r="Q21" i="3" s="1"/>
  <c r="R21" i="3" s="1"/>
  <c r="Z36" i="3"/>
  <c r="Y36" i="3"/>
  <c r="X36" i="3"/>
  <c r="W36" i="3"/>
  <c r="V36" i="3"/>
  <c r="U36" i="3"/>
  <c r="T36" i="3"/>
  <c r="N36" i="3"/>
  <c r="M36" i="3"/>
  <c r="L36" i="3"/>
  <c r="H36" i="3"/>
  <c r="E36" i="3"/>
  <c r="D36" i="3"/>
  <c r="Z35" i="3"/>
  <c r="Y35" i="3"/>
  <c r="X35" i="3"/>
  <c r="W35" i="3"/>
  <c r="V35" i="3"/>
  <c r="U35" i="3"/>
  <c r="T35" i="3"/>
  <c r="N35" i="3"/>
  <c r="M35" i="3"/>
  <c r="L35" i="3"/>
  <c r="H35" i="3"/>
  <c r="E35" i="3"/>
  <c r="D35" i="3"/>
  <c r="Z34" i="3"/>
  <c r="Y34" i="3"/>
  <c r="X34" i="3"/>
  <c r="W34" i="3"/>
  <c r="V34" i="3"/>
  <c r="U34" i="3"/>
  <c r="T34" i="3"/>
  <c r="N34" i="3"/>
  <c r="M34" i="3"/>
  <c r="L34" i="3"/>
  <c r="H34" i="3"/>
  <c r="E34" i="3"/>
  <c r="D34" i="3"/>
  <c r="Z33" i="3"/>
  <c r="Y33" i="3"/>
  <c r="X33" i="3"/>
  <c r="W33" i="3"/>
  <c r="V33" i="3"/>
  <c r="U33" i="3"/>
  <c r="T33" i="3"/>
  <c r="N33" i="3"/>
  <c r="M33" i="3"/>
  <c r="L33" i="3"/>
  <c r="H33" i="3"/>
  <c r="E33" i="3"/>
  <c r="D33" i="3"/>
  <c r="Z32" i="3"/>
  <c r="Y32" i="3"/>
  <c r="X32" i="3"/>
  <c r="W32" i="3"/>
  <c r="V32" i="3"/>
  <c r="U32" i="3"/>
  <c r="T32" i="3"/>
  <c r="N32" i="3"/>
  <c r="M32" i="3"/>
  <c r="L32" i="3"/>
  <c r="H32" i="3"/>
  <c r="E32" i="3"/>
  <c r="D32" i="3"/>
  <c r="Z31" i="3"/>
  <c r="Y31" i="3"/>
  <c r="AA31" i="3" s="1"/>
  <c r="X31" i="3"/>
  <c r="W31" i="3"/>
  <c r="V31" i="3"/>
  <c r="U31" i="3"/>
  <c r="T31" i="3"/>
  <c r="N31" i="3"/>
  <c r="M31" i="3"/>
  <c r="L31" i="3"/>
  <c r="H31" i="3"/>
  <c r="E31" i="3"/>
  <c r="D31" i="3"/>
  <c r="Z30" i="3"/>
  <c r="Y30" i="3"/>
  <c r="X30" i="3"/>
  <c r="W30" i="3"/>
  <c r="V30" i="3"/>
  <c r="U30" i="3"/>
  <c r="T30" i="3"/>
  <c r="N30" i="3"/>
  <c r="M30" i="3"/>
  <c r="L30" i="3"/>
  <c r="H30" i="3"/>
  <c r="E30" i="3"/>
  <c r="D30" i="3"/>
  <c r="Z29" i="3"/>
  <c r="Y29" i="3"/>
  <c r="X29" i="3"/>
  <c r="W29" i="3"/>
  <c r="V29" i="3"/>
  <c r="U29" i="3"/>
  <c r="T29" i="3"/>
  <c r="N29" i="3"/>
  <c r="M29" i="3"/>
  <c r="L29" i="3"/>
  <c r="H29" i="3"/>
  <c r="E29" i="3"/>
  <c r="D29" i="3"/>
  <c r="Z28" i="3"/>
  <c r="Y28" i="3"/>
  <c r="X28" i="3"/>
  <c r="W28" i="3"/>
  <c r="V28" i="3"/>
  <c r="U28" i="3"/>
  <c r="T28" i="3"/>
  <c r="N28" i="3"/>
  <c r="M28" i="3"/>
  <c r="L28" i="3"/>
  <c r="H28" i="3"/>
  <c r="E28" i="3"/>
  <c r="D28" i="3"/>
  <c r="Z27" i="3"/>
  <c r="Y27" i="3"/>
  <c r="X27" i="3"/>
  <c r="W27" i="3"/>
  <c r="V27" i="3"/>
  <c r="U27" i="3"/>
  <c r="T27" i="3"/>
  <c r="N27" i="3"/>
  <c r="M27" i="3"/>
  <c r="L27" i="3"/>
  <c r="H27" i="3"/>
  <c r="E27" i="3"/>
  <c r="D27" i="3"/>
  <c r="Z26" i="3"/>
  <c r="Y26" i="3"/>
  <c r="X26" i="3"/>
  <c r="W26" i="3"/>
  <c r="V26" i="3"/>
  <c r="U26" i="3"/>
  <c r="T26" i="3"/>
  <c r="N26" i="3"/>
  <c r="M26" i="3"/>
  <c r="L26" i="3"/>
  <c r="H26" i="3"/>
  <c r="E26" i="3"/>
  <c r="D26" i="3"/>
  <c r="Z25" i="3"/>
  <c r="Y25" i="3"/>
  <c r="X25" i="3"/>
  <c r="W25" i="3"/>
  <c r="V25" i="3"/>
  <c r="U25" i="3"/>
  <c r="T25" i="3"/>
  <c r="N25" i="3"/>
  <c r="M25" i="3"/>
  <c r="L25" i="3"/>
  <c r="H25" i="3"/>
  <c r="E25" i="3"/>
  <c r="D25" i="3"/>
  <c r="AA24" i="3"/>
  <c r="AB24" i="3" s="1"/>
  <c r="P24" i="3"/>
  <c r="O24" i="3"/>
  <c r="Q24" i="3" s="1"/>
  <c r="R24" i="3" s="1"/>
  <c r="I24" i="3"/>
  <c r="J24" i="3" s="1"/>
  <c r="F24" i="3"/>
  <c r="G24" i="3" s="1"/>
  <c r="AA23" i="3"/>
  <c r="AC23" i="3" s="1"/>
  <c r="I23" i="3"/>
  <c r="J23" i="3" s="1"/>
  <c r="K23" i="3" s="1"/>
  <c r="F23" i="3"/>
  <c r="G23" i="3" s="1"/>
  <c r="AA22" i="3"/>
  <c r="AC22" i="3" s="1"/>
  <c r="P22" i="3"/>
  <c r="Q22" i="3"/>
  <c r="I22" i="3"/>
  <c r="J22" i="3" s="1"/>
  <c r="K22" i="3" s="1"/>
  <c r="F22" i="3"/>
  <c r="G22" i="3" s="1"/>
  <c r="AA21" i="3"/>
  <c r="AC21" i="3" s="1"/>
  <c r="P21" i="3"/>
  <c r="I21" i="3"/>
  <c r="J21" i="3" s="1"/>
  <c r="F21" i="3"/>
  <c r="G21" i="3" s="1"/>
  <c r="AC20" i="3"/>
  <c r="AB20" i="3"/>
  <c r="AA20" i="3"/>
  <c r="P20" i="3"/>
  <c r="O20" i="3"/>
  <c r="Q20" i="3" s="1"/>
  <c r="R20" i="3" s="1"/>
  <c r="I20" i="3"/>
  <c r="J20" i="3" s="1"/>
  <c r="F20" i="3"/>
  <c r="G20" i="3" s="1"/>
  <c r="AA19" i="3"/>
  <c r="AB19" i="3" s="1"/>
  <c r="P19" i="3"/>
  <c r="O19" i="3"/>
  <c r="I19" i="3"/>
  <c r="I34" i="3" s="1"/>
  <c r="F19" i="3"/>
  <c r="AA18" i="3"/>
  <c r="AC18" i="3" s="1"/>
  <c r="P18" i="3"/>
  <c r="O18" i="3"/>
  <c r="Q18" i="3" s="1"/>
  <c r="R18" i="3" s="1"/>
  <c r="I18" i="3"/>
  <c r="J18" i="3" s="1"/>
  <c r="F18" i="3"/>
  <c r="G18" i="3" s="1"/>
  <c r="AA17" i="3"/>
  <c r="AC17" i="3" s="1"/>
  <c r="P17" i="3"/>
  <c r="O17" i="3"/>
  <c r="Q17" i="3" s="1"/>
  <c r="R17" i="3" s="1"/>
  <c r="I17" i="3"/>
  <c r="F17" i="3"/>
  <c r="G17" i="3" s="1"/>
  <c r="AA16" i="3"/>
  <c r="AC16" i="3" s="1"/>
  <c r="P16" i="3"/>
  <c r="O16" i="3"/>
  <c r="Q16" i="3" s="1"/>
  <c r="R16" i="3" s="1"/>
  <c r="I16" i="3"/>
  <c r="J16" i="3" s="1"/>
  <c r="K16" i="3" s="1"/>
  <c r="F16" i="3"/>
  <c r="G16" i="3" s="1"/>
  <c r="AA15" i="3"/>
  <c r="AC15" i="3" s="1"/>
  <c r="P15" i="3"/>
  <c r="O15" i="3"/>
  <c r="I15" i="3"/>
  <c r="J15" i="3" s="1"/>
  <c r="F15" i="3"/>
  <c r="G15" i="3" s="1"/>
  <c r="AA14" i="3"/>
  <c r="AB14" i="3" s="1"/>
  <c r="P14" i="3"/>
  <c r="O14" i="3"/>
  <c r="Q14" i="3" s="1"/>
  <c r="R14" i="3" s="1"/>
  <c r="I14" i="3"/>
  <c r="J14" i="3" s="1"/>
  <c r="F14" i="3"/>
  <c r="G14" i="3" s="1"/>
  <c r="AA13" i="3"/>
  <c r="AC13" i="3" s="1"/>
  <c r="P13" i="3"/>
  <c r="O13" i="3"/>
  <c r="Q13" i="3" s="1"/>
  <c r="I13" i="3"/>
  <c r="J13" i="3" s="1"/>
  <c r="K13" i="3" s="1"/>
  <c r="F13" i="3"/>
  <c r="G13" i="3" s="1"/>
  <c r="AA12" i="3"/>
  <c r="AC12" i="3" s="1"/>
  <c r="P12" i="3"/>
  <c r="O12" i="3"/>
  <c r="Q12" i="3" s="1"/>
  <c r="R12" i="3" s="1"/>
  <c r="I12" i="3"/>
  <c r="J12" i="3" s="1"/>
  <c r="F12" i="3"/>
  <c r="G12" i="3" s="1"/>
  <c r="AA11" i="3"/>
  <c r="AB11" i="3" s="1"/>
  <c r="P11" i="3"/>
  <c r="O11" i="3"/>
  <c r="I11" i="3"/>
  <c r="F11" i="3"/>
  <c r="F30" i="3" s="1"/>
  <c r="AA10" i="3"/>
  <c r="P10" i="3"/>
  <c r="O10" i="3"/>
  <c r="Q10" i="3" s="1"/>
  <c r="R10" i="3" s="1"/>
  <c r="I10" i="3"/>
  <c r="J10" i="3" s="1"/>
  <c r="F10" i="3"/>
  <c r="G10" i="3" s="1"/>
  <c r="AA9" i="3"/>
  <c r="AC9" i="3" s="1"/>
  <c r="P9" i="3"/>
  <c r="O9" i="3"/>
  <c r="Q9" i="3" s="1"/>
  <c r="R9" i="3" s="1"/>
  <c r="I9" i="3"/>
  <c r="J9" i="3" s="1"/>
  <c r="F9" i="3"/>
  <c r="G9" i="3" s="1"/>
  <c r="AC8" i="3"/>
  <c r="AB8" i="3"/>
  <c r="AA8" i="3"/>
  <c r="P8" i="3"/>
  <c r="O8" i="3"/>
  <c r="Q8" i="3" s="1"/>
  <c r="R8" i="3" s="1"/>
  <c r="I8" i="3"/>
  <c r="J8" i="3" s="1"/>
  <c r="F8" i="3"/>
  <c r="AA7" i="3"/>
  <c r="AB7" i="3" s="1"/>
  <c r="P7" i="3"/>
  <c r="O7" i="3"/>
  <c r="Q7" i="3" s="1"/>
  <c r="R7" i="3" s="1"/>
  <c r="I7" i="3"/>
  <c r="J7" i="3" s="1"/>
  <c r="F7" i="3"/>
  <c r="G7" i="3" s="1"/>
  <c r="AA6" i="3"/>
  <c r="AC6" i="3" s="1"/>
  <c r="P6" i="3"/>
  <c r="O6" i="3"/>
  <c r="Q6" i="3" s="1"/>
  <c r="R6" i="3" s="1"/>
  <c r="I6" i="3"/>
  <c r="J6" i="3" s="1"/>
  <c r="G6" i="3"/>
  <c r="F6" i="3"/>
  <c r="AB5" i="3"/>
  <c r="AA5" i="3"/>
  <c r="AC5" i="3" s="1"/>
  <c r="P5" i="3"/>
  <c r="O5" i="3"/>
  <c r="Q5" i="3" s="1"/>
  <c r="R5" i="3" s="1"/>
  <c r="I5" i="3"/>
  <c r="J5" i="3" s="1"/>
  <c r="K5" i="3" s="1"/>
  <c r="G5" i="3"/>
  <c r="AA4" i="3"/>
  <c r="P4" i="3"/>
  <c r="O4" i="3"/>
  <c r="I4" i="3"/>
  <c r="I27" i="3" s="1"/>
  <c r="F4" i="3"/>
  <c r="G4" i="3" s="1"/>
  <c r="W2" i="3"/>
  <c r="V2" i="3"/>
  <c r="F5" i="2"/>
  <c r="AA55" i="2"/>
  <c r="AC55" i="2" s="1"/>
  <c r="P55" i="2"/>
  <c r="O55" i="2"/>
  <c r="Q55" i="2" s="1"/>
  <c r="R55" i="2" s="1"/>
  <c r="J55" i="2"/>
  <c r="S55" i="2" s="1"/>
  <c r="I55" i="2"/>
  <c r="G55" i="2"/>
  <c r="F55" i="2"/>
  <c r="AA54" i="2"/>
  <c r="AC54" i="2" s="1"/>
  <c r="P54" i="2"/>
  <c r="O54" i="2"/>
  <c r="Q54" i="2" s="1"/>
  <c r="R54" i="2" s="1"/>
  <c r="I54" i="2"/>
  <c r="J54" i="2" s="1"/>
  <c r="G54" i="2"/>
  <c r="F54" i="2"/>
  <c r="AB53" i="2"/>
  <c r="AA53" i="2"/>
  <c r="AC53" i="2" s="1"/>
  <c r="P53" i="2"/>
  <c r="O53" i="2"/>
  <c r="Q53" i="2" s="1"/>
  <c r="R53" i="2" s="1"/>
  <c r="J53" i="2"/>
  <c r="I53" i="2"/>
  <c r="G53" i="2"/>
  <c r="F53" i="2"/>
  <c r="AC52" i="2"/>
  <c r="AB52" i="2"/>
  <c r="AA52" i="2"/>
  <c r="P52" i="2"/>
  <c r="O52" i="2"/>
  <c r="Q52" i="2" s="1"/>
  <c r="R52" i="2" s="1"/>
  <c r="K52" i="2"/>
  <c r="J52" i="2"/>
  <c r="S52" i="2" s="1"/>
  <c r="I52" i="2"/>
  <c r="F52" i="2"/>
  <c r="G52" i="2" s="1"/>
  <c r="AC51" i="2"/>
  <c r="AA51" i="2"/>
  <c r="AB51" i="2" s="1"/>
  <c r="P51" i="2"/>
  <c r="O51" i="2"/>
  <c r="Q51" i="2" s="1"/>
  <c r="R51" i="2" s="1"/>
  <c r="K51" i="2"/>
  <c r="J51" i="2"/>
  <c r="S51" i="2" s="1"/>
  <c r="I51" i="2"/>
  <c r="G51" i="2"/>
  <c r="F51" i="2"/>
  <c r="AA50" i="2"/>
  <c r="AC50" i="2" s="1"/>
  <c r="R50" i="2"/>
  <c r="Q50" i="2"/>
  <c r="P50" i="2"/>
  <c r="O50" i="2"/>
  <c r="I50" i="2"/>
  <c r="J50" i="2" s="1"/>
  <c r="G50" i="2"/>
  <c r="F50" i="2"/>
  <c r="AB49" i="2"/>
  <c r="AA49" i="2"/>
  <c r="AC49" i="2" s="1"/>
  <c r="Q49" i="2"/>
  <c r="S49" i="2" s="1"/>
  <c r="P49" i="2"/>
  <c r="O49" i="2"/>
  <c r="J49" i="2"/>
  <c r="K49" i="2" s="1"/>
  <c r="I49" i="2"/>
  <c r="G49" i="2"/>
  <c r="F49" i="2"/>
  <c r="AA48" i="2"/>
  <c r="AC48" i="2" s="1"/>
  <c r="R48" i="2"/>
  <c r="Q48" i="2"/>
  <c r="P48" i="2"/>
  <c r="O48" i="2"/>
  <c r="K48" i="2"/>
  <c r="J48" i="2"/>
  <c r="S48" i="2" s="1"/>
  <c r="I48" i="2"/>
  <c r="F48" i="2"/>
  <c r="G48" i="2" s="1"/>
  <c r="AB47" i="2"/>
  <c r="AA47" i="2"/>
  <c r="AC47" i="2" s="1"/>
  <c r="P47" i="2"/>
  <c r="O47" i="2"/>
  <c r="Q47" i="2" s="1"/>
  <c r="K47" i="2"/>
  <c r="J47" i="2"/>
  <c r="I47" i="2"/>
  <c r="G47" i="2"/>
  <c r="F47" i="2"/>
  <c r="AA46" i="2"/>
  <c r="AC46" i="2" s="1"/>
  <c r="P46" i="2"/>
  <c r="O46" i="2"/>
  <c r="Q46" i="2" s="1"/>
  <c r="R46" i="2" s="1"/>
  <c r="I46" i="2"/>
  <c r="J46" i="2" s="1"/>
  <c r="F46" i="2"/>
  <c r="G46" i="2" s="1"/>
  <c r="AC45" i="2"/>
  <c r="AB45" i="2"/>
  <c r="AA45" i="2"/>
  <c r="Q45" i="2"/>
  <c r="S45" i="2" s="1"/>
  <c r="P45" i="2"/>
  <c r="O45" i="2"/>
  <c r="J45" i="2"/>
  <c r="K45" i="2" s="1"/>
  <c r="I45" i="2"/>
  <c r="G45" i="2"/>
  <c r="F45" i="2"/>
  <c r="AC44" i="2"/>
  <c r="AB44" i="2"/>
  <c r="AA44" i="2"/>
  <c r="P44" i="2"/>
  <c r="O44" i="2"/>
  <c r="Q44" i="2" s="1"/>
  <c r="R44" i="2" s="1"/>
  <c r="I44" i="2"/>
  <c r="J44" i="2" s="1"/>
  <c r="F44" i="2"/>
  <c r="G44" i="2" s="1"/>
  <c r="AC43" i="2"/>
  <c r="AB43" i="2"/>
  <c r="AA43" i="2"/>
  <c r="K43" i="2"/>
  <c r="J43" i="2"/>
  <c r="I43" i="2"/>
  <c r="F43" i="2"/>
  <c r="G43" i="2" s="1"/>
  <c r="AB42" i="2"/>
  <c r="AA42" i="2"/>
  <c r="AC42" i="2" s="1"/>
  <c r="P42" i="2"/>
  <c r="O42" i="2"/>
  <c r="Q42" i="2" s="1"/>
  <c r="K42" i="2"/>
  <c r="J42" i="2"/>
  <c r="I42" i="2"/>
  <c r="G42" i="2"/>
  <c r="F42" i="2"/>
  <c r="AA41" i="2"/>
  <c r="AC41" i="2" s="1"/>
  <c r="P41" i="2"/>
  <c r="O41" i="2"/>
  <c r="Q41" i="2" s="1"/>
  <c r="R41" i="2" s="1"/>
  <c r="I41" i="2"/>
  <c r="J41" i="2" s="1"/>
  <c r="F41" i="2"/>
  <c r="G41" i="2" s="1"/>
  <c r="AB40" i="2"/>
  <c r="AA40" i="2"/>
  <c r="AC40" i="2" s="1"/>
  <c r="P40" i="2"/>
  <c r="O40" i="2"/>
  <c r="Q40" i="2" s="1"/>
  <c r="S40" i="2" s="1"/>
  <c r="J40" i="2"/>
  <c r="K40" i="2" s="1"/>
  <c r="I40" i="2"/>
  <c r="G40" i="2"/>
  <c r="F40" i="2"/>
  <c r="AC39" i="2"/>
  <c r="AB39" i="2"/>
  <c r="AA39" i="2"/>
  <c r="R39" i="2"/>
  <c r="Q39" i="2"/>
  <c r="P39" i="2"/>
  <c r="O39" i="2"/>
  <c r="I39" i="2"/>
  <c r="J39" i="2" s="1"/>
  <c r="F39" i="2"/>
  <c r="G39" i="2" s="1"/>
  <c r="AC38" i="2"/>
  <c r="AB38" i="2"/>
  <c r="AA38" i="2"/>
  <c r="P38" i="2"/>
  <c r="O38" i="2"/>
  <c r="Q38" i="2" s="1"/>
  <c r="R38" i="2" s="1"/>
  <c r="J38" i="2"/>
  <c r="I38" i="2"/>
  <c r="G38" i="2"/>
  <c r="F38" i="2"/>
  <c r="AA37" i="2"/>
  <c r="AC37" i="2" s="1"/>
  <c r="P37" i="2"/>
  <c r="O37" i="2"/>
  <c r="Q37" i="2" s="1"/>
  <c r="R37" i="2" s="1"/>
  <c r="I37" i="2"/>
  <c r="J37" i="2" s="1"/>
  <c r="G37" i="2"/>
  <c r="F37" i="2"/>
  <c r="AB36" i="2"/>
  <c r="AA36" i="2"/>
  <c r="AC36" i="2" s="1"/>
  <c r="I36" i="2"/>
  <c r="J36" i="2" s="1"/>
  <c r="K36" i="2" s="1"/>
  <c r="F36" i="2"/>
  <c r="G36" i="2" s="1"/>
  <c r="AB35" i="2"/>
  <c r="AA35" i="2"/>
  <c r="AC35" i="2" s="1"/>
  <c r="P35" i="2"/>
  <c r="O35" i="2"/>
  <c r="Q35" i="2" s="1"/>
  <c r="J35" i="2"/>
  <c r="K35" i="2" s="1"/>
  <c r="I35" i="2"/>
  <c r="G35" i="2"/>
  <c r="F35" i="2"/>
  <c r="AC34" i="2"/>
  <c r="AB34" i="2"/>
  <c r="AA34" i="2"/>
  <c r="P34" i="2"/>
  <c r="O34" i="2"/>
  <c r="Q34" i="2" s="1"/>
  <c r="R34" i="2" s="1"/>
  <c r="I34" i="2"/>
  <c r="J34" i="2" s="1"/>
  <c r="F34" i="2"/>
  <c r="G34" i="2" s="1"/>
  <c r="AC33" i="2"/>
  <c r="AB33" i="2"/>
  <c r="AA33" i="2"/>
  <c r="Q33" i="2"/>
  <c r="R33" i="2" s="1"/>
  <c r="P33" i="2"/>
  <c r="O33" i="2"/>
  <c r="J33" i="2"/>
  <c r="I33" i="2"/>
  <c r="G33" i="2"/>
  <c r="F33" i="2"/>
  <c r="AA32" i="2"/>
  <c r="AC32" i="2" s="1"/>
  <c r="P32" i="2"/>
  <c r="O32" i="2"/>
  <c r="Q32" i="2" s="1"/>
  <c r="R32" i="2" s="1"/>
  <c r="I32" i="2"/>
  <c r="J32" i="2" s="1"/>
  <c r="G32" i="2"/>
  <c r="F32" i="2"/>
  <c r="AB31" i="2"/>
  <c r="AA31" i="2"/>
  <c r="AC31" i="2" s="1"/>
  <c r="P31" i="2"/>
  <c r="O31" i="2"/>
  <c r="Q31" i="2" s="1"/>
  <c r="R31" i="2" s="1"/>
  <c r="J31" i="2"/>
  <c r="I31" i="2"/>
  <c r="G31" i="2"/>
  <c r="F31" i="2"/>
  <c r="AC30" i="2"/>
  <c r="AA30" i="2"/>
  <c r="AB30" i="2" s="1"/>
  <c r="P30" i="2"/>
  <c r="O30" i="2"/>
  <c r="Q30" i="2" s="1"/>
  <c r="R30" i="2" s="1"/>
  <c r="K30" i="2"/>
  <c r="J30" i="2"/>
  <c r="I30" i="2"/>
  <c r="F30" i="2"/>
  <c r="G30" i="2" s="1"/>
  <c r="AC29" i="2"/>
  <c r="AB29" i="2"/>
  <c r="AA29" i="2"/>
  <c r="I29" i="2"/>
  <c r="J29" i="2" s="1"/>
  <c r="K29" i="2" s="1"/>
  <c r="F29" i="2"/>
  <c r="G29" i="2" s="1"/>
  <c r="AC28" i="2"/>
  <c r="AB28" i="2"/>
  <c r="AA28" i="2"/>
  <c r="P28" i="2"/>
  <c r="O28" i="2"/>
  <c r="Q28" i="2" s="1"/>
  <c r="R28" i="2" s="1"/>
  <c r="J28" i="2"/>
  <c r="I28" i="2"/>
  <c r="G28" i="2"/>
  <c r="F28" i="2"/>
  <c r="AA27" i="2"/>
  <c r="AC27" i="2" s="1"/>
  <c r="P27" i="2"/>
  <c r="O27" i="2"/>
  <c r="Q27" i="2" s="1"/>
  <c r="R27" i="2" s="1"/>
  <c r="I27" i="2"/>
  <c r="J27" i="2" s="1"/>
  <c r="G27" i="2"/>
  <c r="F27" i="2"/>
  <c r="AB26" i="2"/>
  <c r="AA26" i="2"/>
  <c r="AC26" i="2" s="1"/>
  <c r="P26" i="2"/>
  <c r="O26" i="2"/>
  <c r="Q26" i="2" s="1"/>
  <c r="R26" i="2" s="1"/>
  <c r="J26" i="2"/>
  <c r="I26" i="2"/>
  <c r="G26" i="2"/>
  <c r="F26" i="2"/>
  <c r="AC25" i="2"/>
  <c r="AA25" i="2"/>
  <c r="AB25" i="2" s="1"/>
  <c r="P25" i="2"/>
  <c r="O25" i="2"/>
  <c r="Q25" i="2" s="1"/>
  <c r="R25" i="2" s="1"/>
  <c r="K25" i="2"/>
  <c r="J25" i="2"/>
  <c r="S25" i="2" s="1"/>
  <c r="I25" i="2"/>
  <c r="F25" i="2"/>
  <c r="G25" i="2" s="1"/>
  <c r="AC24" i="2"/>
  <c r="AB24" i="2"/>
  <c r="AA24" i="2"/>
  <c r="P24" i="2"/>
  <c r="O24" i="2"/>
  <c r="Q24" i="2" s="1"/>
  <c r="R24" i="2" s="1"/>
  <c r="K24" i="2"/>
  <c r="J24" i="2"/>
  <c r="S24" i="2" s="1"/>
  <c r="I24" i="2"/>
  <c r="G24" i="2"/>
  <c r="F24" i="2"/>
  <c r="AC23" i="2"/>
  <c r="AA23" i="2"/>
  <c r="AB23" i="2" s="1"/>
  <c r="J23" i="2"/>
  <c r="K23" i="2" s="1"/>
  <c r="I23" i="2"/>
  <c r="G23" i="2"/>
  <c r="F23" i="2"/>
  <c r="AA22" i="2"/>
  <c r="AC22" i="2" s="1"/>
  <c r="P22" i="2"/>
  <c r="O22" i="2"/>
  <c r="Q22" i="2" s="1"/>
  <c r="R22" i="2" s="1"/>
  <c r="I22" i="2"/>
  <c r="J22" i="2" s="1"/>
  <c r="G22" i="2"/>
  <c r="F22" i="2"/>
  <c r="AB21" i="2"/>
  <c r="AA21" i="2"/>
  <c r="AC21" i="2" s="1"/>
  <c r="P21" i="2"/>
  <c r="O21" i="2"/>
  <c r="Q21" i="2" s="1"/>
  <c r="R21" i="2" s="1"/>
  <c r="J21" i="2"/>
  <c r="I21" i="2"/>
  <c r="G21" i="2"/>
  <c r="F21" i="2"/>
  <c r="AA20" i="2"/>
  <c r="AC20" i="2" s="1"/>
  <c r="P20" i="2"/>
  <c r="O20" i="2"/>
  <c r="Q20" i="2" s="1"/>
  <c r="R20" i="2" s="1"/>
  <c r="K20" i="2"/>
  <c r="J20" i="2"/>
  <c r="I20" i="2"/>
  <c r="F20" i="2"/>
  <c r="G20" i="2" s="1"/>
  <c r="AC19" i="2"/>
  <c r="AB19" i="2"/>
  <c r="AA19" i="2"/>
  <c r="P19" i="2"/>
  <c r="O19" i="2"/>
  <c r="Q19" i="2" s="1"/>
  <c r="R19" i="2" s="1"/>
  <c r="K19" i="2"/>
  <c r="J19" i="2"/>
  <c r="I19" i="2"/>
  <c r="G19" i="2"/>
  <c r="F19" i="2"/>
  <c r="AC18" i="2"/>
  <c r="AA18" i="2"/>
  <c r="AB18" i="2" s="1"/>
  <c r="P18" i="2"/>
  <c r="O18" i="2"/>
  <c r="Q18" i="2" s="1"/>
  <c r="R18" i="2" s="1"/>
  <c r="I18" i="2"/>
  <c r="J18" i="2" s="1"/>
  <c r="F18" i="2"/>
  <c r="G18" i="2" s="1"/>
  <c r="AA17" i="2"/>
  <c r="AC17" i="2" s="1"/>
  <c r="Q17" i="2"/>
  <c r="S17" i="2" s="1"/>
  <c r="P17" i="2"/>
  <c r="O17" i="2"/>
  <c r="J17" i="2"/>
  <c r="K17" i="2" s="1"/>
  <c r="I17" i="2"/>
  <c r="G17" i="2"/>
  <c r="F17" i="2"/>
  <c r="AA16" i="2"/>
  <c r="AC16" i="2" s="1"/>
  <c r="J16" i="2"/>
  <c r="K16" i="2" s="1"/>
  <c r="I16" i="2"/>
  <c r="G16" i="2"/>
  <c r="F16" i="2"/>
  <c r="AA15" i="2"/>
  <c r="AC15" i="2" s="1"/>
  <c r="P15" i="2"/>
  <c r="O15" i="2"/>
  <c r="Q15" i="2" s="1"/>
  <c r="R15" i="2" s="1"/>
  <c r="K15" i="2"/>
  <c r="J15" i="2"/>
  <c r="I15" i="2"/>
  <c r="F15" i="2"/>
  <c r="G15" i="2" s="1"/>
  <c r="AC14" i="2"/>
  <c r="AB14" i="2"/>
  <c r="AA14" i="2"/>
  <c r="P14" i="2"/>
  <c r="O14" i="2"/>
  <c r="Q14" i="2" s="1"/>
  <c r="R14" i="2" s="1"/>
  <c r="K14" i="2"/>
  <c r="J14" i="2"/>
  <c r="I14" i="2"/>
  <c r="G14" i="2"/>
  <c r="F14" i="2"/>
  <c r="AC13" i="2"/>
  <c r="AA13" i="2"/>
  <c r="AB13" i="2" s="1"/>
  <c r="P13" i="2"/>
  <c r="O13" i="2"/>
  <c r="Q13" i="2" s="1"/>
  <c r="R13" i="2" s="1"/>
  <c r="I13" i="2"/>
  <c r="J13" i="2" s="1"/>
  <c r="F13" i="2"/>
  <c r="G13" i="2" s="1"/>
  <c r="AA12" i="2"/>
  <c r="AC12" i="2" s="1"/>
  <c r="Q12" i="2"/>
  <c r="S12" i="2" s="1"/>
  <c r="P12" i="2"/>
  <c r="O12" i="2"/>
  <c r="J12" i="2"/>
  <c r="K12" i="2" s="1"/>
  <c r="I12" i="2"/>
  <c r="G12" i="2"/>
  <c r="F12" i="2"/>
  <c r="AA11" i="2"/>
  <c r="AC11" i="2" s="1"/>
  <c r="P11" i="2"/>
  <c r="O11" i="2"/>
  <c r="Q11" i="2" s="1"/>
  <c r="R11" i="2" s="1"/>
  <c r="I11" i="2"/>
  <c r="J11" i="2" s="1"/>
  <c r="F11" i="2"/>
  <c r="G11" i="2" s="1"/>
  <c r="AB10" i="2"/>
  <c r="AA10" i="2"/>
  <c r="AC10" i="2" s="1"/>
  <c r="P10" i="2"/>
  <c r="O10" i="2"/>
  <c r="Q10" i="2" s="1"/>
  <c r="J10" i="2"/>
  <c r="K10" i="2" s="1"/>
  <c r="I10" i="2"/>
  <c r="G10" i="2"/>
  <c r="F10" i="2"/>
  <c r="AA9" i="2"/>
  <c r="AC9" i="2" s="1"/>
  <c r="K9" i="2"/>
  <c r="J9" i="2"/>
  <c r="I9" i="2"/>
  <c r="G9" i="2"/>
  <c r="F9" i="2"/>
  <c r="AC8" i="2"/>
  <c r="AA8" i="2"/>
  <c r="AB8" i="2" s="1"/>
  <c r="P8" i="2"/>
  <c r="O8" i="2"/>
  <c r="Q8" i="2" s="1"/>
  <c r="R8" i="2" s="1"/>
  <c r="I8" i="2"/>
  <c r="J8" i="2" s="1"/>
  <c r="F8" i="2"/>
  <c r="G8" i="2" s="1"/>
  <c r="AC7" i="2"/>
  <c r="AB7" i="2"/>
  <c r="AA7" i="2"/>
  <c r="P7" i="2"/>
  <c r="O7" i="2"/>
  <c r="Q7" i="2" s="1"/>
  <c r="S7" i="2" s="1"/>
  <c r="J7" i="2"/>
  <c r="K7" i="2" s="1"/>
  <c r="I7" i="2"/>
  <c r="G7" i="2"/>
  <c r="F7" i="2"/>
  <c r="AA6" i="2"/>
  <c r="AC6" i="2" s="1"/>
  <c r="P6" i="2"/>
  <c r="O6" i="2"/>
  <c r="Q6" i="2" s="1"/>
  <c r="R6" i="2" s="1"/>
  <c r="I6" i="2"/>
  <c r="J6" i="2" s="1"/>
  <c r="F6" i="2"/>
  <c r="G6" i="2" s="1"/>
  <c r="AB5" i="2"/>
  <c r="AA5" i="2"/>
  <c r="AC5" i="2" s="1"/>
  <c r="P5" i="2"/>
  <c r="O5" i="2"/>
  <c r="Q5" i="2" s="1"/>
  <c r="J5" i="2"/>
  <c r="K5" i="2" s="1"/>
  <c r="I5" i="2"/>
  <c r="G5" i="2"/>
  <c r="AA4" i="2"/>
  <c r="AC4" i="2" s="1"/>
  <c r="P4" i="2"/>
  <c r="O4" i="2"/>
  <c r="Q4" i="2" s="1"/>
  <c r="R4" i="2" s="1"/>
  <c r="I4" i="2"/>
  <c r="J4" i="2" s="1"/>
  <c r="F4" i="2"/>
  <c r="G4" i="2" s="1"/>
  <c r="W2" i="2"/>
  <c r="V2" i="2"/>
  <c r="H74" i="1"/>
  <c r="E74" i="1"/>
  <c r="D74" i="1"/>
  <c r="H73" i="1"/>
  <c r="E73" i="1"/>
  <c r="D73" i="1"/>
  <c r="H72" i="1"/>
  <c r="E72" i="1"/>
  <c r="D72" i="1"/>
  <c r="H71" i="1"/>
  <c r="E71" i="1"/>
  <c r="D71" i="1"/>
  <c r="H70" i="1"/>
  <c r="E70" i="1"/>
  <c r="D70" i="1"/>
  <c r="I69" i="1"/>
  <c r="H69" i="1"/>
  <c r="E69" i="1"/>
  <c r="D69" i="1"/>
  <c r="H68" i="1"/>
  <c r="E68" i="1"/>
  <c r="D68" i="1"/>
  <c r="H67" i="1"/>
  <c r="E67" i="1"/>
  <c r="D67" i="1"/>
  <c r="AC62" i="1"/>
  <c r="AB62" i="1"/>
  <c r="AA62" i="1"/>
  <c r="Z62" i="1"/>
  <c r="Y62" i="1"/>
  <c r="X62" i="1"/>
  <c r="W62" i="1"/>
  <c r="V62" i="1"/>
  <c r="U62" i="1"/>
  <c r="T62" i="1"/>
  <c r="N62" i="1"/>
  <c r="M62" i="1"/>
  <c r="L62" i="1"/>
  <c r="H62" i="1"/>
  <c r="E62" i="1"/>
  <c r="D62" i="1"/>
  <c r="AC61" i="1"/>
  <c r="AB61" i="1"/>
  <c r="AA61" i="1"/>
  <c r="Z61" i="1"/>
  <c r="Y61" i="1"/>
  <c r="X61" i="1"/>
  <c r="W61" i="1"/>
  <c r="V61" i="1"/>
  <c r="U61" i="1"/>
  <c r="T61" i="1"/>
  <c r="N61" i="1"/>
  <c r="M61" i="1"/>
  <c r="L61" i="1"/>
  <c r="H61" i="1"/>
  <c r="E61" i="1"/>
  <c r="D61" i="1"/>
  <c r="AC60" i="1"/>
  <c r="AB60" i="1"/>
  <c r="AA60" i="1"/>
  <c r="Z60" i="1"/>
  <c r="Y60" i="1"/>
  <c r="X60" i="1"/>
  <c r="W60" i="1"/>
  <c r="V60" i="1"/>
  <c r="U60" i="1"/>
  <c r="T60" i="1"/>
  <c r="N60" i="1"/>
  <c r="M60" i="1"/>
  <c r="L60" i="1"/>
  <c r="H60" i="1"/>
  <c r="E60" i="1"/>
  <c r="D60" i="1"/>
  <c r="AC59" i="1"/>
  <c r="AB59" i="1"/>
  <c r="AA59" i="1"/>
  <c r="Z59" i="1"/>
  <c r="Y59" i="1"/>
  <c r="X59" i="1"/>
  <c r="W59" i="1"/>
  <c r="V59" i="1"/>
  <c r="U59" i="1"/>
  <c r="T59" i="1"/>
  <c r="N59" i="1"/>
  <c r="M59" i="1"/>
  <c r="L59" i="1"/>
  <c r="I59" i="1"/>
  <c r="H59" i="1"/>
  <c r="E59" i="1"/>
  <c r="D59" i="1"/>
  <c r="AC58" i="1"/>
  <c r="AB58" i="1"/>
  <c r="AA58" i="1"/>
  <c r="Z58" i="1"/>
  <c r="Y58" i="1"/>
  <c r="X58" i="1"/>
  <c r="W58" i="1"/>
  <c r="V58" i="1"/>
  <c r="U58" i="1"/>
  <c r="T58" i="1"/>
  <c r="N58" i="1"/>
  <c r="M58" i="1"/>
  <c r="L58" i="1"/>
  <c r="H58" i="1"/>
  <c r="E58" i="1"/>
  <c r="D58" i="1"/>
  <c r="AC57" i="1"/>
  <c r="AB57" i="1"/>
  <c r="AA57" i="1"/>
  <c r="Z57" i="1"/>
  <c r="Y57" i="1"/>
  <c r="X57" i="1"/>
  <c r="W57" i="1"/>
  <c r="V57" i="1"/>
  <c r="U57" i="1"/>
  <c r="T57" i="1"/>
  <c r="N57" i="1"/>
  <c r="M57" i="1"/>
  <c r="L57" i="1"/>
  <c r="H57" i="1"/>
  <c r="E57" i="1"/>
  <c r="D57" i="1"/>
  <c r="AC56" i="1"/>
  <c r="AB56" i="1"/>
  <c r="AA56" i="1"/>
  <c r="Z56" i="1"/>
  <c r="Y56" i="1"/>
  <c r="X56" i="1"/>
  <c r="W56" i="1"/>
  <c r="V56" i="1"/>
  <c r="U56" i="1"/>
  <c r="T56" i="1"/>
  <c r="N56" i="1"/>
  <c r="M56" i="1"/>
  <c r="L56" i="1"/>
  <c r="H56" i="1"/>
  <c r="E56" i="1"/>
  <c r="D56" i="1"/>
  <c r="AC55" i="1"/>
  <c r="AB55" i="1"/>
  <c r="AA55" i="1"/>
  <c r="Z55" i="1"/>
  <c r="Y55" i="1"/>
  <c r="X55" i="1"/>
  <c r="W55" i="1"/>
  <c r="V55" i="1"/>
  <c r="U55" i="1"/>
  <c r="T55" i="1"/>
  <c r="N55" i="1"/>
  <c r="M55" i="1"/>
  <c r="L55" i="1"/>
  <c r="H55" i="1"/>
  <c r="D55" i="1"/>
  <c r="Q50" i="1"/>
  <c r="R50" i="1" s="1"/>
  <c r="P50" i="1"/>
  <c r="O50" i="1"/>
  <c r="I50" i="1"/>
  <c r="J50" i="1" s="1"/>
  <c r="F50" i="1"/>
  <c r="G50" i="1" s="1"/>
  <c r="P49" i="1"/>
  <c r="O49" i="1"/>
  <c r="Q49" i="1" s="1"/>
  <c r="R49" i="1" s="1"/>
  <c r="I49" i="1"/>
  <c r="J49" i="1" s="1"/>
  <c r="F49" i="1"/>
  <c r="G49" i="1" s="1"/>
  <c r="Q48" i="1"/>
  <c r="R48" i="1" s="1"/>
  <c r="P48" i="1"/>
  <c r="O48" i="1"/>
  <c r="J48" i="1"/>
  <c r="S48" i="1" s="1"/>
  <c r="I48" i="1"/>
  <c r="F48" i="1"/>
  <c r="G48" i="1" s="1"/>
  <c r="P47" i="1"/>
  <c r="O47" i="1"/>
  <c r="I47" i="1"/>
  <c r="J47" i="1" s="1"/>
  <c r="G47" i="1"/>
  <c r="F47" i="1"/>
  <c r="P46" i="1"/>
  <c r="O46" i="1"/>
  <c r="Q46" i="1" s="1"/>
  <c r="R46" i="1" s="1"/>
  <c r="J46" i="1"/>
  <c r="I46" i="1"/>
  <c r="F46" i="1"/>
  <c r="G46" i="1" s="1"/>
  <c r="P45" i="1"/>
  <c r="P62" i="1" s="1"/>
  <c r="O45" i="1"/>
  <c r="Q45" i="1" s="1"/>
  <c r="I45" i="1"/>
  <c r="J45" i="1" s="1"/>
  <c r="G45" i="1"/>
  <c r="F45" i="1"/>
  <c r="Q44" i="1"/>
  <c r="R44" i="1" s="1"/>
  <c r="P44" i="1"/>
  <c r="O44" i="1"/>
  <c r="I44" i="1"/>
  <c r="J44" i="1" s="1"/>
  <c r="F44" i="1"/>
  <c r="G44" i="1" s="1"/>
  <c r="P43" i="1"/>
  <c r="O43" i="1"/>
  <c r="Q43" i="1" s="1"/>
  <c r="R43" i="1" s="1"/>
  <c r="I43" i="1"/>
  <c r="J43" i="1" s="1"/>
  <c r="F43" i="1"/>
  <c r="G43" i="1" s="1"/>
  <c r="Q42" i="1"/>
  <c r="R42" i="1" s="1"/>
  <c r="P42" i="1"/>
  <c r="O42" i="1"/>
  <c r="J42" i="1"/>
  <c r="S42" i="1" s="1"/>
  <c r="I42" i="1"/>
  <c r="F42" i="1"/>
  <c r="G42" i="1" s="1"/>
  <c r="P41" i="1"/>
  <c r="O41" i="1"/>
  <c r="Q41" i="1" s="1"/>
  <c r="R41" i="1" s="1"/>
  <c r="I41" i="1"/>
  <c r="J41" i="1" s="1"/>
  <c r="G41" i="1"/>
  <c r="F41" i="1"/>
  <c r="P40" i="1"/>
  <c r="O40" i="1"/>
  <c r="Q40" i="1" s="1"/>
  <c r="R40" i="1" s="1"/>
  <c r="J40" i="1"/>
  <c r="I40" i="1"/>
  <c r="F40" i="1"/>
  <c r="G40" i="1" s="1"/>
  <c r="P39" i="1"/>
  <c r="O39" i="1"/>
  <c r="Q39" i="1" s="1"/>
  <c r="I39" i="1"/>
  <c r="J39" i="1" s="1"/>
  <c r="G39" i="1"/>
  <c r="F39" i="1"/>
  <c r="P38" i="1"/>
  <c r="O38" i="1"/>
  <c r="Q38" i="1" s="1"/>
  <c r="R38" i="1" s="1"/>
  <c r="I38" i="1"/>
  <c r="J38" i="1" s="1"/>
  <c r="F38" i="1"/>
  <c r="G38" i="1" s="1"/>
  <c r="P37" i="1"/>
  <c r="O37" i="1"/>
  <c r="Q37" i="1" s="1"/>
  <c r="R37" i="1" s="1"/>
  <c r="I37" i="1"/>
  <c r="J37" i="1" s="1"/>
  <c r="F37" i="1"/>
  <c r="G37" i="1" s="1"/>
  <c r="P36" i="1"/>
  <c r="O36" i="1"/>
  <c r="Q36" i="1" s="1"/>
  <c r="R36" i="1" s="1"/>
  <c r="J36" i="1"/>
  <c r="I36" i="1"/>
  <c r="F36" i="1"/>
  <c r="G36" i="1" s="1"/>
  <c r="P35" i="1"/>
  <c r="O35" i="1"/>
  <c r="Q35" i="1" s="1"/>
  <c r="R35" i="1" s="1"/>
  <c r="I35" i="1"/>
  <c r="J35" i="1" s="1"/>
  <c r="G35" i="1"/>
  <c r="F35" i="1"/>
  <c r="P34" i="1"/>
  <c r="O34" i="1"/>
  <c r="Q34" i="1" s="1"/>
  <c r="R34" i="1" s="1"/>
  <c r="J34" i="1"/>
  <c r="I34" i="1"/>
  <c r="F34" i="1"/>
  <c r="G34" i="1" s="1"/>
  <c r="P33" i="1"/>
  <c r="P60" i="1" s="1"/>
  <c r="O33" i="1"/>
  <c r="Q33" i="1" s="1"/>
  <c r="I33" i="1"/>
  <c r="J33" i="1" s="1"/>
  <c r="G33" i="1"/>
  <c r="F33" i="1"/>
  <c r="Q32" i="1"/>
  <c r="R32" i="1" s="1"/>
  <c r="P32" i="1"/>
  <c r="O32" i="1"/>
  <c r="I32" i="1"/>
  <c r="J32" i="1" s="1"/>
  <c r="F32" i="1"/>
  <c r="G32" i="1" s="1"/>
  <c r="P31" i="1"/>
  <c r="O31" i="1"/>
  <c r="Q31" i="1" s="1"/>
  <c r="R31" i="1" s="1"/>
  <c r="I31" i="1"/>
  <c r="J31" i="1" s="1"/>
  <c r="F31" i="1"/>
  <c r="G31" i="1" s="1"/>
  <c r="Q30" i="1"/>
  <c r="R30" i="1" s="1"/>
  <c r="P30" i="1"/>
  <c r="O30" i="1"/>
  <c r="J30" i="1"/>
  <c r="S30" i="1" s="1"/>
  <c r="I30" i="1"/>
  <c r="F30" i="1"/>
  <c r="G30" i="1" s="1"/>
  <c r="P29" i="1"/>
  <c r="O29" i="1"/>
  <c r="Q29" i="1" s="1"/>
  <c r="R29" i="1" s="1"/>
  <c r="I29" i="1"/>
  <c r="J29" i="1" s="1"/>
  <c r="G29" i="1"/>
  <c r="F29" i="1"/>
  <c r="P28" i="1"/>
  <c r="O28" i="1"/>
  <c r="Q28" i="1" s="1"/>
  <c r="R28" i="1" s="1"/>
  <c r="J28" i="1"/>
  <c r="I28" i="1"/>
  <c r="F28" i="1"/>
  <c r="G28" i="1" s="1"/>
  <c r="P27" i="1"/>
  <c r="O27" i="1"/>
  <c r="I27" i="1"/>
  <c r="J27" i="1" s="1"/>
  <c r="G27" i="1"/>
  <c r="F27" i="1"/>
  <c r="Q26" i="1"/>
  <c r="R26" i="1" s="1"/>
  <c r="P26" i="1"/>
  <c r="O26" i="1"/>
  <c r="I26" i="1"/>
  <c r="J26" i="1" s="1"/>
  <c r="F26" i="1"/>
  <c r="G26" i="1" s="1"/>
  <c r="P25" i="1"/>
  <c r="O25" i="1"/>
  <c r="Q25" i="1" s="1"/>
  <c r="R25" i="1" s="1"/>
  <c r="I25" i="1"/>
  <c r="J25" i="1" s="1"/>
  <c r="F25" i="1"/>
  <c r="G25" i="1" s="1"/>
  <c r="P24" i="1"/>
  <c r="O24" i="1"/>
  <c r="Q24" i="1" s="1"/>
  <c r="R24" i="1" s="1"/>
  <c r="J24" i="1"/>
  <c r="I24" i="1"/>
  <c r="F24" i="1"/>
  <c r="G24" i="1" s="1"/>
  <c r="P23" i="1"/>
  <c r="O23" i="1"/>
  <c r="Q23" i="1" s="1"/>
  <c r="R23" i="1" s="1"/>
  <c r="I23" i="1"/>
  <c r="I74" i="1" s="1"/>
  <c r="G23" i="1"/>
  <c r="G74" i="1" s="1"/>
  <c r="F23" i="1"/>
  <c r="F74" i="1" s="1"/>
  <c r="P22" i="1"/>
  <c r="O22" i="1"/>
  <c r="Q22" i="1" s="1"/>
  <c r="R22" i="1" s="1"/>
  <c r="J22" i="1"/>
  <c r="I22" i="1"/>
  <c r="I73" i="1" s="1"/>
  <c r="F22" i="1"/>
  <c r="F73" i="1" s="1"/>
  <c r="P21" i="1"/>
  <c r="P58" i="1" s="1"/>
  <c r="O21" i="1"/>
  <c r="Q21" i="1" s="1"/>
  <c r="I21" i="1"/>
  <c r="J21" i="1" s="1"/>
  <c r="G21" i="1"/>
  <c r="F21" i="1"/>
  <c r="F72" i="1" s="1"/>
  <c r="Q20" i="1"/>
  <c r="R20" i="1" s="1"/>
  <c r="P20" i="1"/>
  <c r="O20" i="1"/>
  <c r="I20" i="1"/>
  <c r="I71" i="1" s="1"/>
  <c r="F20" i="1"/>
  <c r="G20" i="1" s="1"/>
  <c r="P19" i="1"/>
  <c r="O19" i="1"/>
  <c r="Q19" i="1" s="1"/>
  <c r="R19" i="1" s="1"/>
  <c r="I19" i="1"/>
  <c r="J19" i="1" s="1"/>
  <c r="F19" i="1"/>
  <c r="F70" i="1" s="1"/>
  <c r="Q18" i="1"/>
  <c r="R18" i="1" s="1"/>
  <c r="P18" i="1"/>
  <c r="O18" i="1"/>
  <c r="J18" i="1"/>
  <c r="S18" i="1" s="1"/>
  <c r="I18" i="1"/>
  <c r="F18" i="1"/>
  <c r="G18" i="1" s="1"/>
  <c r="P17" i="1"/>
  <c r="O17" i="1"/>
  <c r="Q17" i="1" s="1"/>
  <c r="R17" i="1" s="1"/>
  <c r="I17" i="1"/>
  <c r="I68" i="1" s="1"/>
  <c r="G17" i="1"/>
  <c r="F17" i="1"/>
  <c r="F68" i="1" s="1"/>
  <c r="P16" i="1"/>
  <c r="O16" i="1"/>
  <c r="Q16" i="1" s="1"/>
  <c r="R16" i="1" s="1"/>
  <c r="J16" i="1"/>
  <c r="I16" i="1"/>
  <c r="I67" i="1" s="1"/>
  <c r="F16" i="1"/>
  <c r="F67" i="1" s="1"/>
  <c r="P15" i="1"/>
  <c r="O15" i="1"/>
  <c r="Q15" i="1" s="1"/>
  <c r="I15" i="1"/>
  <c r="J15" i="1" s="1"/>
  <c r="G15" i="1"/>
  <c r="F15" i="1"/>
  <c r="Q14" i="1"/>
  <c r="R14" i="1" s="1"/>
  <c r="P14" i="1"/>
  <c r="O14" i="1"/>
  <c r="I14" i="1"/>
  <c r="J14" i="1" s="1"/>
  <c r="F14" i="1"/>
  <c r="G14" i="1" s="1"/>
  <c r="P13" i="1"/>
  <c r="O13" i="1"/>
  <c r="Q13" i="1" s="1"/>
  <c r="R13" i="1" s="1"/>
  <c r="I13" i="1"/>
  <c r="J13" i="1" s="1"/>
  <c r="F13" i="1"/>
  <c r="G13" i="1" s="1"/>
  <c r="P12" i="1"/>
  <c r="O12" i="1"/>
  <c r="Q12" i="1" s="1"/>
  <c r="R12" i="1" s="1"/>
  <c r="J12" i="1"/>
  <c r="I12" i="1"/>
  <c r="F12" i="1"/>
  <c r="G12" i="1" s="1"/>
  <c r="P11" i="1"/>
  <c r="O11" i="1"/>
  <c r="I11" i="1"/>
  <c r="I62" i="1" s="1"/>
  <c r="F11" i="1"/>
  <c r="F62" i="1" s="1"/>
  <c r="P10" i="1"/>
  <c r="O10" i="1"/>
  <c r="Q10" i="1" s="1"/>
  <c r="R10" i="1" s="1"/>
  <c r="J10" i="1"/>
  <c r="I10" i="1"/>
  <c r="I61" i="1" s="1"/>
  <c r="F10" i="1"/>
  <c r="F61" i="1" s="1"/>
  <c r="P9" i="1"/>
  <c r="O9" i="1"/>
  <c r="Q9" i="1" s="1"/>
  <c r="I9" i="1"/>
  <c r="I60" i="1" s="1"/>
  <c r="G9" i="1"/>
  <c r="F9" i="1"/>
  <c r="F60" i="1" s="1"/>
  <c r="P8" i="1"/>
  <c r="O8" i="1"/>
  <c r="Q8" i="1" s="1"/>
  <c r="R8" i="1" s="1"/>
  <c r="I8" i="1"/>
  <c r="J8" i="1" s="1"/>
  <c r="F8" i="1"/>
  <c r="G8" i="1" s="1"/>
  <c r="P7" i="1"/>
  <c r="O7" i="1"/>
  <c r="Q7" i="1" s="1"/>
  <c r="R7" i="1" s="1"/>
  <c r="I7" i="1"/>
  <c r="J7" i="1" s="1"/>
  <c r="F7" i="1"/>
  <c r="G7" i="1" s="1"/>
  <c r="P6" i="1"/>
  <c r="O6" i="1"/>
  <c r="Q6" i="1" s="1"/>
  <c r="R6" i="1" s="1"/>
  <c r="I6" i="1"/>
  <c r="J6" i="1" s="1"/>
  <c r="F6" i="1"/>
  <c r="G6" i="1" s="1"/>
  <c r="P5" i="1"/>
  <c r="O5" i="1"/>
  <c r="Q5" i="1" s="1"/>
  <c r="R5" i="1" s="1"/>
  <c r="I5" i="1"/>
  <c r="I56" i="1" s="1"/>
  <c r="F5" i="1"/>
  <c r="F56" i="1" s="1"/>
  <c r="P4" i="1"/>
  <c r="P55" i="1" s="1"/>
  <c r="O4" i="1"/>
  <c r="Q4" i="1" s="1"/>
  <c r="J4" i="1"/>
  <c r="S4" i="1" s="1"/>
  <c r="I4" i="1"/>
  <c r="I55" i="1" s="1"/>
  <c r="F4" i="1"/>
  <c r="F55" i="1" s="1"/>
  <c r="W2" i="1"/>
  <c r="V2" i="1"/>
  <c r="AK67" i="6" l="1"/>
  <c r="AK65" i="6"/>
  <c r="AK87" i="6"/>
  <c r="AL86" i="6"/>
  <c r="AL36" i="6"/>
  <c r="AD58" i="6"/>
  <c r="AK64" i="6"/>
  <c r="AL33" i="6"/>
  <c r="S56" i="6"/>
  <c r="AM58" i="6" s="1"/>
  <c r="AD60" i="6"/>
  <c r="AE81" i="6"/>
  <c r="S4" i="6"/>
  <c r="AM6" i="6" s="1"/>
  <c r="AK25" i="6"/>
  <c r="AA46" i="6"/>
  <c r="K27" i="6"/>
  <c r="AK4" i="6"/>
  <c r="AK21" i="6"/>
  <c r="AD31" i="6"/>
  <c r="AD28" i="6"/>
  <c r="AA80" i="6"/>
  <c r="AA57" i="6"/>
  <c r="AL18" i="6"/>
  <c r="AA59" i="6"/>
  <c r="AA56" i="6"/>
  <c r="AM40" i="6"/>
  <c r="AA63" i="6"/>
  <c r="AA64" i="6"/>
  <c r="AA67" i="6"/>
  <c r="AL15" i="6"/>
  <c r="AA66" i="6"/>
  <c r="K56" i="6"/>
  <c r="AK23" i="6"/>
  <c r="AA79" i="6"/>
  <c r="AD56" i="6"/>
  <c r="AD59" i="6"/>
  <c r="AD30" i="6"/>
  <c r="AE79" i="6"/>
  <c r="AD79" i="6"/>
  <c r="AE88" i="6"/>
  <c r="AE77" i="6"/>
  <c r="AV12" i="6" s="1"/>
  <c r="AM45" i="6"/>
  <c r="AD78" i="6"/>
  <c r="AL85" i="6"/>
  <c r="AD81" i="6"/>
  <c r="AD77" i="6"/>
  <c r="AM43" i="6"/>
  <c r="AE80" i="6"/>
  <c r="AA77" i="6"/>
  <c r="AA48" i="6"/>
  <c r="AE85" i="6"/>
  <c r="AV34" i="6" s="1"/>
  <c r="AD80" i="6"/>
  <c r="AE37" i="6"/>
  <c r="AE35" i="6"/>
  <c r="AE33" i="6"/>
  <c r="AV14" i="6" s="1"/>
  <c r="AE36" i="6"/>
  <c r="AE34" i="6"/>
  <c r="AV30" i="6" s="1"/>
  <c r="AE43" i="6"/>
  <c r="AE41" i="6"/>
  <c r="AE39" i="6"/>
  <c r="AV8" i="6" s="1"/>
  <c r="AE40" i="6"/>
  <c r="AV24" i="6" s="1"/>
  <c r="AE42" i="6"/>
  <c r="AM12" i="6"/>
  <c r="AM13" i="6"/>
  <c r="AM10" i="6"/>
  <c r="AM11" i="6"/>
  <c r="AM9" i="6"/>
  <c r="AM72" i="6"/>
  <c r="AM70" i="6"/>
  <c r="AM73" i="6"/>
  <c r="AM74" i="6"/>
  <c r="AM71" i="6"/>
  <c r="AA37" i="6"/>
  <c r="AA35" i="6"/>
  <c r="AA33" i="6"/>
  <c r="AA36" i="6"/>
  <c r="AA34" i="6"/>
  <c r="AK50" i="6"/>
  <c r="AK53" i="6"/>
  <c r="AK51" i="6"/>
  <c r="AK52" i="6"/>
  <c r="AK49" i="6"/>
  <c r="AD71" i="6"/>
  <c r="K70" i="6"/>
  <c r="AD72" i="6"/>
  <c r="AD74" i="6"/>
  <c r="AD70" i="6"/>
  <c r="AD73" i="6"/>
  <c r="AM17" i="6"/>
  <c r="AM15" i="6"/>
  <c r="AM18" i="6"/>
  <c r="AM19" i="6"/>
  <c r="AM16" i="6"/>
  <c r="AM77" i="6"/>
  <c r="AM80" i="6"/>
  <c r="AM78" i="6"/>
  <c r="AM81" i="6"/>
  <c r="AM79" i="6"/>
  <c r="AL84" i="6"/>
  <c r="AD63" i="6"/>
  <c r="AD66" i="6"/>
  <c r="AD67" i="6"/>
  <c r="AD64" i="6"/>
  <c r="K63" i="6"/>
  <c r="AD65" i="6"/>
  <c r="AA25" i="6"/>
  <c r="AA23" i="6"/>
  <c r="AA21" i="6"/>
  <c r="AA24" i="6"/>
  <c r="AA22" i="6"/>
  <c r="AK86" i="6"/>
  <c r="AK85" i="6"/>
  <c r="AA85" i="6"/>
  <c r="AA88" i="6"/>
  <c r="AA86" i="6"/>
  <c r="AA84" i="6"/>
  <c r="AA87" i="6"/>
  <c r="S33" i="6"/>
  <c r="AD37" i="6"/>
  <c r="AD35" i="6"/>
  <c r="AD33" i="6"/>
  <c r="AD36" i="6"/>
  <c r="AD34" i="6"/>
  <c r="AM41" i="6"/>
  <c r="AM57" i="6"/>
  <c r="R49" i="6"/>
  <c r="AM47" i="6"/>
  <c r="AA6" i="6"/>
  <c r="AA5" i="6"/>
  <c r="AA8" i="6"/>
  <c r="AA7" i="6"/>
  <c r="AA72" i="6"/>
  <c r="AA74" i="6"/>
  <c r="AA70" i="6"/>
  <c r="AA73" i="6"/>
  <c r="AA71" i="6"/>
  <c r="AE24" i="6"/>
  <c r="AE22" i="6"/>
  <c r="AV29" i="6" s="1"/>
  <c r="AE25" i="6"/>
  <c r="AE23" i="6"/>
  <c r="AE21" i="6"/>
  <c r="AV13" i="6" s="1"/>
  <c r="AE48" i="6"/>
  <c r="AE46" i="6"/>
  <c r="AV31" i="6" s="1"/>
  <c r="AE45" i="6"/>
  <c r="AV15" i="6" s="1"/>
  <c r="AE47" i="6"/>
  <c r="S49" i="6"/>
  <c r="AM66" i="6"/>
  <c r="AM67" i="6"/>
  <c r="AM64" i="6"/>
  <c r="AM63" i="6"/>
  <c r="AM65" i="6"/>
  <c r="AA30" i="6"/>
  <c r="AA28" i="6"/>
  <c r="AA31" i="6"/>
  <c r="AA29" i="6"/>
  <c r="AA27" i="6"/>
  <c r="S21" i="6"/>
  <c r="AD24" i="6"/>
  <c r="AD22" i="6"/>
  <c r="AD25" i="6"/>
  <c r="AD21" i="6"/>
  <c r="AD23" i="6"/>
  <c r="AL88" i="6"/>
  <c r="AA52" i="6"/>
  <c r="AA50" i="6"/>
  <c r="AA53" i="6"/>
  <c r="AA49" i="6"/>
  <c r="AA51" i="6"/>
  <c r="R27" i="6"/>
  <c r="AK28" i="6"/>
  <c r="AK31" i="6"/>
  <c r="AK29" i="6"/>
  <c r="AK27" i="6"/>
  <c r="AK30" i="6"/>
  <c r="AL57" i="6"/>
  <c r="AL60" i="6"/>
  <c r="AL58" i="6"/>
  <c r="AE29" i="6"/>
  <c r="AE27" i="6"/>
  <c r="AV7" i="6" s="1"/>
  <c r="AE30" i="6"/>
  <c r="AE31" i="6"/>
  <c r="AE28" i="6"/>
  <c r="AV23" i="6" s="1"/>
  <c r="S86" i="6"/>
  <c r="AM88" i="6" s="1"/>
  <c r="AM42" i="6"/>
  <c r="AL87" i="6"/>
  <c r="AK5" i="6"/>
  <c r="AK7" i="6"/>
  <c r="AK8" i="6"/>
  <c r="AK6" i="6"/>
  <c r="AE19" i="6"/>
  <c r="AE17" i="6"/>
  <c r="AE15" i="6"/>
  <c r="AV6" i="6" s="1"/>
  <c r="AE18" i="6"/>
  <c r="AE16" i="6"/>
  <c r="AV22" i="6" s="1"/>
  <c r="AA39" i="6"/>
  <c r="AA42" i="6"/>
  <c r="AA40" i="6"/>
  <c r="AA43" i="6"/>
  <c r="AA41" i="6"/>
  <c r="AR49" i="6"/>
  <c r="AM48" i="6"/>
  <c r="AM46" i="6"/>
  <c r="AL19" i="6"/>
  <c r="AL17" i="6"/>
  <c r="AE84" i="6"/>
  <c r="AE86" i="6"/>
  <c r="AL59" i="6"/>
  <c r="AK84" i="6"/>
  <c r="AD49" i="6"/>
  <c r="AD52" i="6"/>
  <c r="AD50" i="6"/>
  <c r="K49" i="6"/>
  <c r="AD53" i="6"/>
  <c r="AD51" i="6"/>
  <c r="R24" i="6"/>
  <c r="AK24" i="6"/>
  <c r="AA58" i="6"/>
  <c r="AE7" i="6"/>
  <c r="AE8" i="6"/>
  <c r="AE6" i="6"/>
  <c r="AE5" i="6"/>
  <c r="S27" i="6"/>
  <c r="AK88" i="6"/>
  <c r="R66" i="6"/>
  <c r="AK63" i="6"/>
  <c r="AK66" i="6"/>
  <c r="AM39" i="6"/>
  <c r="AE11" i="6"/>
  <c r="AE9" i="6"/>
  <c r="AV5" i="6" s="1"/>
  <c r="AV9" i="6" s="1"/>
  <c r="AE12" i="6"/>
  <c r="AE13" i="6"/>
  <c r="AE10" i="6"/>
  <c r="AV21" i="6" s="1"/>
  <c r="AV25" i="6" s="1"/>
  <c r="AM7" i="6"/>
  <c r="AL4" i="6"/>
  <c r="AL5" i="6"/>
  <c r="AL8" i="6"/>
  <c r="AL6" i="6"/>
  <c r="AL7" i="6"/>
  <c r="AA78" i="6"/>
  <c r="AL37" i="6"/>
  <c r="AL35" i="6"/>
  <c r="AN13" i="7"/>
  <c r="AF14" i="7"/>
  <c r="AZ14" i="7" s="1"/>
  <c r="AF13" i="7"/>
  <c r="AZ6" i="7" s="1"/>
  <c r="AF16" i="7"/>
  <c r="AN15" i="7"/>
  <c r="AF4" i="7"/>
  <c r="AF2" i="7"/>
  <c r="AF5" i="7"/>
  <c r="AF3" i="7"/>
  <c r="AM4" i="7"/>
  <c r="AM2" i="7"/>
  <c r="AM5" i="7"/>
  <c r="AM3" i="7"/>
  <c r="AN10" i="7"/>
  <c r="AN7" i="7"/>
  <c r="Y11" i="7"/>
  <c r="AN8" i="7"/>
  <c r="AN9" i="7"/>
  <c r="AM23" i="7"/>
  <c r="AM21" i="7"/>
  <c r="AM22" i="7"/>
  <c r="AM20" i="7"/>
  <c r="AF10" i="7"/>
  <c r="AF7" i="7"/>
  <c r="AZ5" i="7" s="1"/>
  <c r="AF8" i="7"/>
  <c r="AZ13" i="7" s="1"/>
  <c r="AF9" i="7"/>
  <c r="AN14" i="7"/>
  <c r="AN22" i="7"/>
  <c r="Y24" i="7"/>
  <c r="AN20" i="7"/>
  <c r="AN23" i="7"/>
  <c r="AN21" i="7"/>
  <c r="AM34" i="7"/>
  <c r="AM33" i="7"/>
  <c r="AM32" i="7"/>
  <c r="AM31" i="7"/>
  <c r="AF20" i="7"/>
  <c r="AZ7" i="7" s="1"/>
  <c r="AF22" i="7"/>
  <c r="AF23" i="7"/>
  <c r="AF21" i="7"/>
  <c r="AZ15" i="7" s="1"/>
  <c r="AN4" i="7"/>
  <c r="AN2" i="7"/>
  <c r="Y6" i="7"/>
  <c r="AN5" i="7"/>
  <c r="AN3" i="7"/>
  <c r="Y35" i="7"/>
  <c r="AN34" i="7"/>
  <c r="AN33" i="7"/>
  <c r="AN32" i="7"/>
  <c r="AN31" i="7"/>
  <c r="AE4" i="6"/>
  <c r="AE2" i="5"/>
  <c r="AX4" i="5" s="1"/>
  <c r="AL15" i="5"/>
  <c r="AJ13" i="5"/>
  <c r="AA20" i="5"/>
  <c r="AK10" i="5"/>
  <c r="AC3" i="5"/>
  <c r="AC23" i="5"/>
  <c r="AC30" i="5"/>
  <c r="AI22" i="5"/>
  <c r="AI20" i="5"/>
  <c r="AI14" i="5"/>
  <c r="AJ33" i="5"/>
  <c r="AA9" i="5"/>
  <c r="AC27" i="5"/>
  <c r="AC10" i="5"/>
  <c r="AL27" i="5"/>
  <c r="AK9" i="5"/>
  <c r="AA14" i="5"/>
  <c r="AJ27" i="5"/>
  <c r="AL23" i="5"/>
  <c r="AA27" i="5"/>
  <c r="AA7" i="5"/>
  <c r="AJ9" i="5"/>
  <c r="AA10" i="5"/>
  <c r="AK14" i="5"/>
  <c r="AK22" i="5"/>
  <c r="AI32" i="5"/>
  <c r="AK20" i="5"/>
  <c r="Z7" i="5"/>
  <c r="AI9" i="5"/>
  <c r="Z10" i="5"/>
  <c r="AJ14" i="5"/>
  <c r="AA15" i="5"/>
  <c r="AJ22" i="5"/>
  <c r="AA23" i="5"/>
  <c r="AK33" i="5"/>
  <c r="AJ20" i="5"/>
  <c r="AC16" i="5"/>
  <c r="Z23" i="5"/>
  <c r="AC5" i="5"/>
  <c r="AJ7" i="5"/>
  <c r="AJ10" i="5"/>
  <c r="AK15" i="5"/>
  <c r="AK23" i="5"/>
  <c r="AI33" i="5"/>
  <c r="AI7" i="5"/>
  <c r="AC8" i="5"/>
  <c r="AI10" i="5"/>
  <c r="AJ15" i="5"/>
  <c r="AA16" i="5"/>
  <c r="AJ23" i="5"/>
  <c r="AL30" i="5"/>
  <c r="AK34" i="5"/>
  <c r="Z15" i="5"/>
  <c r="AJ2" i="5"/>
  <c r="AC13" i="5"/>
  <c r="AI15" i="5"/>
  <c r="AL16" i="5"/>
  <c r="Z16" i="5"/>
  <c r="AC21" i="5"/>
  <c r="AI23" i="5"/>
  <c r="AK30" i="5"/>
  <c r="AJ34" i="5"/>
  <c r="X17" i="5"/>
  <c r="AA30" i="5"/>
  <c r="AA8" i="5"/>
  <c r="AK16" i="5"/>
  <c r="AI30" i="5"/>
  <c r="AI34" i="5"/>
  <c r="AA3" i="5"/>
  <c r="Z8" i="5"/>
  <c r="AC9" i="5"/>
  <c r="AA13" i="5"/>
  <c r="AJ16" i="5"/>
  <c r="AA21" i="5"/>
  <c r="AC28" i="5"/>
  <c r="AK31" i="5"/>
  <c r="Z27" i="5"/>
  <c r="AK8" i="5"/>
  <c r="AL13" i="5"/>
  <c r="Z13" i="5"/>
  <c r="AC14" i="5"/>
  <c r="AI16" i="5"/>
  <c r="AL21" i="5"/>
  <c r="Z21" i="5"/>
  <c r="AC22" i="5"/>
  <c r="AJ31" i="5"/>
  <c r="AC20" i="5"/>
  <c r="AK27" i="5"/>
  <c r="AJ29" i="5"/>
  <c r="AK13" i="5"/>
  <c r="AK21" i="5"/>
  <c r="AI31" i="5"/>
  <c r="AC7" i="5"/>
  <c r="AI8" i="5"/>
  <c r="Z9" i="5"/>
  <c r="AA22" i="5"/>
  <c r="AI29" i="5"/>
  <c r="AK32" i="5"/>
  <c r="AI27" i="5"/>
  <c r="Z5" i="5"/>
  <c r="AI13" i="5"/>
  <c r="Z14" i="5"/>
  <c r="AI21" i="5"/>
  <c r="AL22" i="5"/>
  <c r="Z22" i="5"/>
  <c r="Z30" i="5"/>
  <c r="Z20" i="5"/>
  <c r="AJ30" i="5"/>
  <c r="AA28" i="5"/>
  <c r="AL28" i="5"/>
  <c r="Z28" i="5"/>
  <c r="AC29" i="5"/>
  <c r="AK28" i="5"/>
  <c r="AJ28" i="5"/>
  <c r="AA29" i="5"/>
  <c r="AI28" i="5"/>
  <c r="Z29" i="5"/>
  <c r="AK29" i="5"/>
  <c r="AJ5" i="5"/>
  <c r="AI5" i="5"/>
  <c r="Z3" i="5"/>
  <c r="AK3" i="5"/>
  <c r="AC4" i="5"/>
  <c r="AC2" i="5"/>
  <c r="AJ3" i="5"/>
  <c r="AI2" i="5"/>
  <c r="AI3" i="5"/>
  <c r="AA4" i="5"/>
  <c r="AA2" i="5"/>
  <c r="Z4" i="5"/>
  <c r="Z2" i="5"/>
  <c r="AK4" i="5"/>
  <c r="AJ4" i="5"/>
  <c r="T9" i="5"/>
  <c r="AK2" i="5"/>
  <c r="AI4" i="5"/>
  <c r="T29" i="5"/>
  <c r="T12" i="5"/>
  <c r="T31" i="5"/>
  <c r="T18" i="5"/>
  <c r="T5" i="5"/>
  <c r="T25" i="5"/>
  <c r="T14" i="5"/>
  <c r="T23" i="5"/>
  <c r="T19" i="5"/>
  <c r="T24" i="5"/>
  <c r="T33" i="5"/>
  <c r="S33" i="5"/>
  <c r="T32" i="5"/>
  <c r="S32" i="5"/>
  <c r="T34" i="5"/>
  <c r="S34" i="5"/>
  <c r="T20" i="5"/>
  <c r="S7" i="5"/>
  <c r="S6" i="4"/>
  <c r="R6" i="4"/>
  <c r="R4" i="4"/>
  <c r="S4" i="4"/>
  <c r="R7" i="4"/>
  <c r="S7" i="4"/>
  <c r="S8" i="4"/>
  <c r="R8" i="4"/>
  <c r="R5" i="4"/>
  <c r="AB5" i="4"/>
  <c r="AB8" i="4"/>
  <c r="F25" i="3"/>
  <c r="AB9" i="3"/>
  <c r="F35" i="3"/>
  <c r="AC14" i="3"/>
  <c r="I30" i="3"/>
  <c r="F31" i="3"/>
  <c r="AB31" i="3"/>
  <c r="J4" i="3"/>
  <c r="K4" i="3" s="1"/>
  <c r="AC7" i="3"/>
  <c r="J17" i="3"/>
  <c r="S17" i="3" s="1"/>
  <c r="G19" i="3"/>
  <c r="G35" i="3" s="1"/>
  <c r="AC31" i="3"/>
  <c r="S13" i="3"/>
  <c r="AB15" i="3"/>
  <c r="AC24" i="3"/>
  <c r="AA25" i="3"/>
  <c r="AB17" i="3"/>
  <c r="AC19" i="3"/>
  <c r="AC34" i="3" s="1"/>
  <c r="I28" i="3"/>
  <c r="AB21" i="3"/>
  <c r="AA26" i="3"/>
  <c r="F29" i="3"/>
  <c r="I32" i="3"/>
  <c r="J11" i="3"/>
  <c r="J31" i="3" s="1"/>
  <c r="I29" i="3"/>
  <c r="AA30" i="3"/>
  <c r="AC30" i="3" s="1"/>
  <c r="O33" i="3"/>
  <c r="O36" i="3"/>
  <c r="P36" i="3"/>
  <c r="S16" i="3"/>
  <c r="P32" i="3"/>
  <c r="O31" i="3"/>
  <c r="P30" i="3"/>
  <c r="O25" i="3"/>
  <c r="Q19" i="3"/>
  <c r="Q36" i="3" s="1"/>
  <c r="P28" i="3"/>
  <c r="P25" i="3"/>
  <c r="O32" i="3"/>
  <c r="S22" i="3"/>
  <c r="R22" i="3"/>
  <c r="AB30" i="3"/>
  <c r="K14" i="3"/>
  <c r="S14" i="3"/>
  <c r="S7" i="3"/>
  <c r="K7" i="3"/>
  <c r="S9" i="3"/>
  <c r="K9" i="3"/>
  <c r="S21" i="3"/>
  <c r="K21" i="3"/>
  <c r="S18" i="3"/>
  <c r="K18" i="3"/>
  <c r="S20" i="3"/>
  <c r="K20" i="3"/>
  <c r="K6" i="3"/>
  <c r="S6" i="3"/>
  <c r="S10" i="3"/>
  <c r="K10" i="3"/>
  <c r="S8" i="3"/>
  <c r="K8" i="3"/>
  <c r="K15" i="3"/>
  <c r="K24" i="3"/>
  <c r="S24" i="3"/>
  <c r="S12" i="3"/>
  <c r="K12" i="3"/>
  <c r="P31" i="3"/>
  <c r="F36" i="3"/>
  <c r="G8" i="3"/>
  <c r="G28" i="3" s="1"/>
  <c r="Q15" i="3"/>
  <c r="R15" i="3" s="1"/>
  <c r="AB10" i="3"/>
  <c r="AB22" i="3"/>
  <c r="I35" i="3"/>
  <c r="AB12" i="3"/>
  <c r="G11" i="3"/>
  <c r="AB13" i="3"/>
  <c r="F26" i="3"/>
  <c r="P27" i="3"/>
  <c r="F32" i="3"/>
  <c r="P33" i="3"/>
  <c r="K17" i="3"/>
  <c r="O26" i="3"/>
  <c r="I36" i="3"/>
  <c r="I25" i="3"/>
  <c r="O28" i="3"/>
  <c r="AA28" i="3"/>
  <c r="I31" i="3"/>
  <c r="O34" i="3"/>
  <c r="AA34" i="3"/>
  <c r="AA32" i="3"/>
  <c r="AB32" i="3" s="1"/>
  <c r="AC10" i="3"/>
  <c r="P26" i="3"/>
  <c r="AA27" i="3"/>
  <c r="S5" i="3"/>
  <c r="F27" i="3"/>
  <c r="F33" i="3"/>
  <c r="P34" i="3"/>
  <c r="R13" i="3"/>
  <c r="AB4" i="3"/>
  <c r="AB16" i="3"/>
  <c r="I26" i="3"/>
  <c r="O29" i="3"/>
  <c r="AA29" i="3"/>
  <c r="AC29" i="3" s="1"/>
  <c r="G33" i="3"/>
  <c r="O35" i="3"/>
  <c r="AA35" i="3"/>
  <c r="AC4" i="3"/>
  <c r="J26" i="3"/>
  <c r="F28" i="3"/>
  <c r="P29" i="3"/>
  <c r="F34" i="3"/>
  <c r="P35" i="3"/>
  <c r="J28" i="3"/>
  <c r="AB6" i="3"/>
  <c r="AB18" i="3"/>
  <c r="AB23" i="3"/>
  <c r="O30" i="3"/>
  <c r="I33" i="3"/>
  <c r="AA36" i="3"/>
  <c r="Q4" i="3"/>
  <c r="AC11" i="3"/>
  <c r="O27" i="3"/>
  <c r="AA33" i="3"/>
  <c r="Q11" i="3"/>
  <c r="J19" i="3"/>
  <c r="S38" i="2"/>
  <c r="S31" i="2"/>
  <c r="S28" i="2"/>
  <c r="S33" i="2"/>
  <c r="S27" i="2"/>
  <c r="K27" i="2"/>
  <c r="S54" i="2"/>
  <c r="K54" i="2"/>
  <c r="K32" i="2"/>
  <c r="S32" i="2"/>
  <c r="S41" i="2"/>
  <c r="K41" i="2"/>
  <c r="K13" i="2"/>
  <c r="S13" i="2"/>
  <c r="K18" i="2"/>
  <c r="S18" i="2"/>
  <c r="S37" i="2"/>
  <c r="K37" i="2"/>
  <c r="R47" i="2"/>
  <c r="S47" i="2"/>
  <c r="K50" i="2"/>
  <c r="S50" i="2"/>
  <c r="K8" i="2"/>
  <c r="S8" i="2"/>
  <c r="S21" i="2"/>
  <c r="S35" i="2"/>
  <c r="R35" i="2"/>
  <c r="S34" i="2"/>
  <c r="K34" i="2"/>
  <c r="R5" i="2"/>
  <c r="S5" i="2"/>
  <c r="S26" i="2"/>
  <c r="S46" i="2"/>
  <c r="K46" i="2"/>
  <c r="S53" i="2"/>
  <c r="R10" i="2"/>
  <c r="S10" i="2"/>
  <c r="S15" i="2"/>
  <c r="S20" i="2"/>
  <c r="S39" i="2"/>
  <c r="K39" i="2"/>
  <c r="K11" i="2"/>
  <c r="S11" i="2"/>
  <c r="S4" i="2"/>
  <c r="K4" i="2"/>
  <c r="S30" i="2"/>
  <c r="K6" i="2"/>
  <c r="S6" i="2"/>
  <c r="S14" i="2"/>
  <c r="S19" i="2"/>
  <c r="S22" i="2"/>
  <c r="K22" i="2"/>
  <c r="R42" i="2"/>
  <c r="S42" i="2"/>
  <c r="S44" i="2"/>
  <c r="K44" i="2"/>
  <c r="AB4" i="2"/>
  <c r="R7" i="2"/>
  <c r="AB9" i="2"/>
  <c r="R12" i="2"/>
  <c r="R17" i="2"/>
  <c r="K21" i="2"/>
  <c r="K26" i="2"/>
  <c r="K31" i="2"/>
  <c r="AB41" i="2"/>
  <c r="AB46" i="2"/>
  <c r="R49" i="2"/>
  <c r="K53" i="2"/>
  <c r="AB6" i="2"/>
  <c r="AB11" i="2"/>
  <c r="AB16" i="2"/>
  <c r="K28" i="2"/>
  <c r="K33" i="2"/>
  <c r="K38" i="2"/>
  <c r="AB48" i="2"/>
  <c r="K55" i="2"/>
  <c r="AB12" i="2"/>
  <c r="AB17" i="2"/>
  <c r="AB50" i="2"/>
  <c r="AB15" i="2"/>
  <c r="AB20" i="2"/>
  <c r="AB22" i="2"/>
  <c r="AB27" i="2"/>
  <c r="AB32" i="2"/>
  <c r="AB37" i="2"/>
  <c r="R40" i="2"/>
  <c r="R45" i="2"/>
  <c r="AB54" i="2"/>
  <c r="AB55" i="2"/>
  <c r="P56" i="1"/>
  <c r="S12" i="1"/>
  <c r="S24" i="1"/>
  <c r="S36" i="1"/>
  <c r="S10" i="1"/>
  <c r="O59" i="1"/>
  <c r="P57" i="1"/>
  <c r="P59" i="1"/>
  <c r="P61" i="1"/>
  <c r="O56" i="1"/>
  <c r="O62" i="1"/>
  <c r="S43" i="1"/>
  <c r="K43" i="1"/>
  <c r="R9" i="1"/>
  <c r="S29" i="1"/>
  <c r="K29" i="1"/>
  <c r="S41" i="1"/>
  <c r="K41" i="1"/>
  <c r="S22" i="1"/>
  <c r="S34" i="1"/>
  <c r="S46" i="1"/>
  <c r="K27" i="1"/>
  <c r="K32" i="1"/>
  <c r="S32" i="1"/>
  <c r="K39" i="1"/>
  <c r="S39" i="1"/>
  <c r="K44" i="1"/>
  <c r="S44" i="1"/>
  <c r="K15" i="1"/>
  <c r="S15" i="1"/>
  <c r="K8" i="1"/>
  <c r="S8" i="1"/>
  <c r="Q57" i="1"/>
  <c r="R15" i="1"/>
  <c r="R57" i="1" s="1"/>
  <c r="Q61" i="1"/>
  <c r="R39" i="1"/>
  <c r="R61" i="1" s="1"/>
  <c r="S31" i="1"/>
  <c r="K31" i="1"/>
  <c r="R4" i="1"/>
  <c r="R55" i="1" s="1"/>
  <c r="Q55" i="1"/>
  <c r="S13" i="1"/>
  <c r="K13" i="1"/>
  <c r="S25" i="1"/>
  <c r="K25" i="1"/>
  <c r="S37" i="1"/>
  <c r="K37" i="1"/>
  <c r="S49" i="1"/>
  <c r="K49" i="1"/>
  <c r="S7" i="1"/>
  <c r="K7" i="1"/>
  <c r="S6" i="1"/>
  <c r="K6" i="1"/>
  <c r="S35" i="1"/>
  <c r="K35" i="1"/>
  <c r="K47" i="1"/>
  <c r="S19" i="1"/>
  <c r="K19" i="1"/>
  <c r="S16" i="1"/>
  <c r="G72" i="1"/>
  <c r="S28" i="1"/>
  <c r="S40" i="1"/>
  <c r="K14" i="1"/>
  <c r="S14" i="1"/>
  <c r="K33" i="1"/>
  <c r="S33" i="1"/>
  <c r="K38" i="1"/>
  <c r="S38" i="1"/>
  <c r="K45" i="1"/>
  <c r="S45" i="1"/>
  <c r="K50" i="1"/>
  <c r="S50" i="1"/>
  <c r="K21" i="1"/>
  <c r="S21" i="1"/>
  <c r="K26" i="1"/>
  <c r="S26" i="1"/>
  <c r="Q58" i="1"/>
  <c r="R21" i="1"/>
  <c r="R58" i="1" s="1"/>
  <c r="Q60" i="1"/>
  <c r="R33" i="1"/>
  <c r="R60" i="1" s="1"/>
  <c r="Q62" i="1"/>
  <c r="R45" i="1"/>
  <c r="R62" i="1" s="1"/>
  <c r="F58" i="1"/>
  <c r="G5" i="1"/>
  <c r="G56" i="1" s="1"/>
  <c r="G11" i="1"/>
  <c r="G62" i="1" s="1"/>
  <c r="I57" i="1"/>
  <c r="O60" i="1"/>
  <c r="I70" i="1"/>
  <c r="K12" i="1"/>
  <c r="K18" i="1"/>
  <c r="K24" i="1"/>
  <c r="K30" i="1"/>
  <c r="K36" i="1"/>
  <c r="K42" i="1"/>
  <c r="K48" i="1"/>
  <c r="F59" i="1"/>
  <c r="F69" i="1"/>
  <c r="G4" i="1"/>
  <c r="G55" i="1" s="1"/>
  <c r="J5" i="1"/>
  <c r="G10" i="1"/>
  <c r="G61" i="1" s="1"/>
  <c r="J11" i="1"/>
  <c r="G16" i="1"/>
  <c r="G67" i="1" s="1"/>
  <c r="J17" i="1"/>
  <c r="G22" i="1"/>
  <c r="G73" i="1" s="1"/>
  <c r="J23" i="1"/>
  <c r="J72" i="1" s="1"/>
  <c r="O55" i="1"/>
  <c r="I58" i="1"/>
  <c r="O61" i="1"/>
  <c r="I72" i="1"/>
  <c r="K4" i="1"/>
  <c r="K10" i="1"/>
  <c r="K16" i="1"/>
  <c r="K22" i="1"/>
  <c r="K28" i="1"/>
  <c r="K34" i="1"/>
  <c r="K40" i="1"/>
  <c r="K46" i="1"/>
  <c r="F71" i="1"/>
  <c r="J9" i="1"/>
  <c r="J58" i="1" s="1"/>
  <c r="Q11" i="1"/>
  <c r="R11" i="1" s="1"/>
  <c r="Q47" i="1"/>
  <c r="R47" i="1" s="1"/>
  <c r="O57" i="1"/>
  <c r="G19" i="1"/>
  <c r="G70" i="1" s="1"/>
  <c r="J20" i="1"/>
  <c r="O58" i="1"/>
  <c r="J55" i="1"/>
  <c r="F57" i="1"/>
  <c r="Q27" i="1"/>
  <c r="S27" i="1" s="1"/>
  <c r="S59" i="1" s="1"/>
  <c r="AM4" i="6" l="1"/>
  <c r="AM8" i="6"/>
  <c r="AM5" i="6"/>
  <c r="AM60" i="6"/>
  <c r="AM59" i="6"/>
  <c r="AM56" i="6"/>
  <c r="AV18" i="6"/>
  <c r="AM87" i="6"/>
  <c r="AE60" i="6"/>
  <c r="AE56" i="6"/>
  <c r="AV16" i="6" s="1"/>
  <c r="AE59" i="6"/>
  <c r="AE58" i="6"/>
  <c r="AE57" i="6"/>
  <c r="AV32" i="6" s="1"/>
  <c r="AM84" i="6"/>
  <c r="AM30" i="6"/>
  <c r="AM28" i="6"/>
  <c r="AM31" i="6"/>
  <c r="AM29" i="6"/>
  <c r="AM27" i="6"/>
  <c r="AM85" i="6"/>
  <c r="AM86" i="6"/>
  <c r="AE74" i="6"/>
  <c r="AE73" i="6"/>
  <c r="AE70" i="6"/>
  <c r="AE72" i="6"/>
  <c r="AE71" i="6"/>
  <c r="AV33" i="6" s="1"/>
  <c r="AM52" i="6"/>
  <c r="AM50" i="6"/>
  <c r="AM53" i="6"/>
  <c r="AM51" i="6"/>
  <c r="AM49" i="6"/>
  <c r="AL30" i="6"/>
  <c r="AL28" i="6"/>
  <c r="AL31" i="6"/>
  <c r="AL27" i="6"/>
  <c r="AL29" i="6"/>
  <c r="AM25" i="6"/>
  <c r="AM23" i="6"/>
  <c r="AM21" i="6"/>
  <c r="AM24" i="6"/>
  <c r="AM22" i="6"/>
  <c r="AL50" i="6"/>
  <c r="AL53" i="6"/>
  <c r="AL51" i="6"/>
  <c r="AL49" i="6"/>
  <c r="AL52" i="6"/>
  <c r="AM37" i="6"/>
  <c r="AM35" i="6"/>
  <c r="AM33" i="6"/>
  <c r="AM36" i="6"/>
  <c r="AM34" i="6"/>
  <c r="AL24" i="6"/>
  <c r="AL22" i="6"/>
  <c r="AL21" i="6"/>
  <c r="AL23" i="6"/>
  <c r="AL25" i="6"/>
  <c r="AE63" i="6"/>
  <c r="AV11" i="6" s="1"/>
  <c r="AE66" i="6"/>
  <c r="AE67" i="6"/>
  <c r="AE64" i="6"/>
  <c r="AV27" i="6" s="1"/>
  <c r="AE65" i="6"/>
  <c r="AL66" i="6"/>
  <c r="AL63" i="6"/>
  <c r="AL67" i="6"/>
  <c r="AL65" i="6"/>
  <c r="AL64" i="6"/>
  <c r="AE49" i="6"/>
  <c r="AV10" i="6" s="1"/>
  <c r="AE52" i="6"/>
  <c r="AE53" i="6"/>
  <c r="AE50" i="6"/>
  <c r="AV26" i="6" s="1"/>
  <c r="AE51" i="6"/>
  <c r="T11" i="5"/>
  <c r="T4" i="5"/>
  <c r="T3" i="5"/>
  <c r="AL32" i="5"/>
  <c r="AM33" i="5"/>
  <c r="X35" i="5"/>
  <c r="AM32" i="5"/>
  <c r="AM31" i="5"/>
  <c r="AM34" i="5"/>
  <c r="AE27" i="5"/>
  <c r="AD27" i="5"/>
  <c r="AL31" i="5"/>
  <c r="AL34" i="5"/>
  <c r="AD10" i="5"/>
  <c r="AD7" i="5"/>
  <c r="AD9" i="5"/>
  <c r="AD8" i="5"/>
  <c r="AD15" i="5"/>
  <c r="AD14" i="5"/>
  <c r="AD13" i="5"/>
  <c r="AD16" i="5"/>
  <c r="AL33" i="5"/>
  <c r="AD23" i="5"/>
  <c r="AD20" i="5"/>
  <c r="AD22" i="5"/>
  <c r="AD21" i="5"/>
  <c r="AL9" i="5"/>
  <c r="AL8" i="5"/>
  <c r="AL10" i="5"/>
  <c r="AL7" i="5"/>
  <c r="T13" i="5"/>
  <c r="AD30" i="5"/>
  <c r="AD29" i="5"/>
  <c r="AD28" i="5"/>
  <c r="AL5" i="5"/>
  <c r="AL2" i="5"/>
  <c r="AL4" i="5"/>
  <c r="AL3" i="5"/>
  <c r="T22" i="5"/>
  <c r="AD3" i="5"/>
  <c r="AD5" i="5"/>
  <c r="AD2" i="5"/>
  <c r="AD4" i="5"/>
  <c r="T30" i="5"/>
  <c r="T7" i="5"/>
  <c r="T6" i="5"/>
  <c r="T28" i="5"/>
  <c r="T10" i="5"/>
  <c r="T27" i="5"/>
  <c r="T26" i="5"/>
  <c r="T15" i="5"/>
  <c r="T21" i="5"/>
  <c r="T16" i="5"/>
  <c r="T17" i="5"/>
  <c r="T2" i="5"/>
  <c r="T8" i="5"/>
  <c r="K27" i="3"/>
  <c r="K11" i="3"/>
  <c r="J30" i="3"/>
  <c r="Q33" i="3"/>
  <c r="G34" i="3"/>
  <c r="G36" i="3"/>
  <c r="J27" i="3"/>
  <c r="J25" i="3"/>
  <c r="K28" i="3"/>
  <c r="AC36" i="3"/>
  <c r="AC35" i="3"/>
  <c r="J32" i="3"/>
  <c r="J29" i="3"/>
  <c r="K25" i="3"/>
  <c r="K26" i="3"/>
  <c r="AC33" i="3"/>
  <c r="R19" i="3"/>
  <c r="R35" i="3" s="1"/>
  <c r="Q35" i="3"/>
  <c r="Q34" i="3"/>
  <c r="J33" i="3"/>
  <c r="K19" i="3"/>
  <c r="J34" i="3"/>
  <c r="S19" i="3"/>
  <c r="J36" i="3"/>
  <c r="J35" i="3"/>
  <c r="AB36" i="3"/>
  <c r="AB35" i="3"/>
  <c r="AB34" i="3"/>
  <c r="AB33" i="3"/>
  <c r="G25" i="3"/>
  <c r="G26" i="3"/>
  <c r="AB26" i="3"/>
  <c r="AB28" i="3"/>
  <c r="AB25" i="3"/>
  <c r="AB27" i="3"/>
  <c r="G29" i="3"/>
  <c r="G30" i="3"/>
  <c r="G31" i="3"/>
  <c r="G32" i="3"/>
  <c r="AB29" i="3"/>
  <c r="G27" i="3"/>
  <c r="AC28" i="3"/>
  <c r="AC25" i="3"/>
  <c r="AC27" i="3"/>
  <c r="AC26" i="3"/>
  <c r="Q30" i="3"/>
  <c r="R11" i="3"/>
  <c r="S11" i="3"/>
  <c r="Q29" i="3"/>
  <c r="Q31" i="3"/>
  <c r="Q32" i="3"/>
  <c r="Q26" i="3"/>
  <c r="Q28" i="3"/>
  <c r="Q25" i="3"/>
  <c r="Q27" i="3"/>
  <c r="R4" i="3"/>
  <c r="S4" i="3"/>
  <c r="K32" i="3"/>
  <c r="K31" i="3"/>
  <c r="K30" i="3"/>
  <c r="K29" i="3"/>
  <c r="S15" i="3"/>
  <c r="AC32" i="3"/>
  <c r="S60" i="1"/>
  <c r="S61" i="1"/>
  <c r="J71" i="1"/>
  <c r="K20" i="1"/>
  <c r="S20" i="1"/>
  <c r="G59" i="1"/>
  <c r="K69" i="1"/>
  <c r="G71" i="1"/>
  <c r="J68" i="1"/>
  <c r="S17" i="1"/>
  <c r="S57" i="1" s="1"/>
  <c r="K17" i="1"/>
  <c r="K68" i="1" s="1"/>
  <c r="J70" i="1"/>
  <c r="S11" i="1"/>
  <c r="K11" i="1"/>
  <c r="K62" i="1" s="1"/>
  <c r="J62" i="1"/>
  <c r="J73" i="1"/>
  <c r="G69" i="1"/>
  <c r="S5" i="1"/>
  <c r="S55" i="1" s="1"/>
  <c r="K5" i="1"/>
  <c r="J56" i="1"/>
  <c r="J60" i="1"/>
  <c r="K9" i="1"/>
  <c r="K60" i="1" s="1"/>
  <c r="S9" i="1"/>
  <c r="S47" i="1"/>
  <c r="S62" i="1" s="1"/>
  <c r="J67" i="1"/>
  <c r="R56" i="1"/>
  <c r="J69" i="1"/>
  <c r="G60" i="1"/>
  <c r="Q56" i="1"/>
  <c r="K61" i="1"/>
  <c r="Q59" i="1"/>
  <c r="R27" i="1"/>
  <c r="R59" i="1" s="1"/>
  <c r="G57" i="1"/>
  <c r="G58" i="1"/>
  <c r="J59" i="1"/>
  <c r="J61" i="1"/>
  <c r="J74" i="1"/>
  <c r="S23" i="1"/>
  <c r="S58" i="1" s="1"/>
  <c r="K23" i="1"/>
  <c r="K74" i="1" s="1"/>
  <c r="J57" i="1"/>
  <c r="G68" i="1"/>
  <c r="AV17" i="6" l="1"/>
  <c r="AM22" i="5"/>
  <c r="AE23" i="5"/>
  <c r="X24" i="5"/>
  <c r="AM20" i="5"/>
  <c r="AM21" i="5"/>
  <c r="AE10" i="5"/>
  <c r="AE7" i="5"/>
  <c r="AE9" i="5"/>
  <c r="AE8" i="5"/>
  <c r="AE15" i="5"/>
  <c r="AE14" i="5"/>
  <c r="AX14" i="5" s="1"/>
  <c r="AE13" i="5"/>
  <c r="AX6" i="5" s="1"/>
  <c r="AE16" i="5"/>
  <c r="AE21" i="5"/>
  <c r="AM27" i="5"/>
  <c r="AM14" i="5"/>
  <c r="AM13" i="5"/>
  <c r="AM16" i="5"/>
  <c r="AM15" i="5"/>
  <c r="AE22" i="5"/>
  <c r="AM23" i="5"/>
  <c r="AE20" i="5"/>
  <c r="AM9" i="5"/>
  <c r="X11" i="5"/>
  <c r="AM8" i="5"/>
  <c r="AM10" i="5"/>
  <c r="AM7" i="5"/>
  <c r="X6" i="5"/>
  <c r="AM30" i="5"/>
  <c r="AP30" i="5"/>
  <c r="AM29" i="5"/>
  <c r="AM28" i="5"/>
  <c r="AE30" i="5"/>
  <c r="AE29" i="5"/>
  <c r="AE28" i="5"/>
  <c r="AM5" i="5"/>
  <c r="AM2" i="5"/>
  <c r="AM3" i="5"/>
  <c r="AM4" i="5"/>
  <c r="AE3" i="5"/>
  <c r="AX12" i="5" s="1"/>
  <c r="AE4" i="5"/>
  <c r="AE5" i="5"/>
  <c r="R33" i="3"/>
  <c r="R36" i="3"/>
  <c r="R34" i="3"/>
  <c r="S29" i="3"/>
  <c r="S31" i="3"/>
  <c r="S32" i="3"/>
  <c r="S30" i="3"/>
  <c r="R29" i="3"/>
  <c r="R30" i="3"/>
  <c r="R31" i="3"/>
  <c r="R32" i="3"/>
  <c r="S35" i="3"/>
  <c r="S34" i="3"/>
  <c r="S33" i="3"/>
  <c r="S36" i="3"/>
  <c r="S28" i="3"/>
  <c r="S25" i="3"/>
  <c r="S27" i="3"/>
  <c r="S26" i="3"/>
  <c r="K33" i="3"/>
  <c r="K34" i="3"/>
  <c r="K35" i="3"/>
  <c r="K36" i="3"/>
  <c r="R28" i="3"/>
  <c r="R27" i="3"/>
  <c r="R26" i="3"/>
  <c r="R25" i="3"/>
  <c r="S56" i="1"/>
  <c r="K72" i="1"/>
  <c r="K70" i="1"/>
  <c r="K67" i="1"/>
  <c r="K59" i="1"/>
  <c r="K71" i="1"/>
  <c r="K56" i="1"/>
  <c r="K55" i="1"/>
  <c r="K57" i="1"/>
  <c r="K73" i="1"/>
  <c r="K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tc={41D9BD2B-B423-4509-B12D-7612C0E73483}</author>
    <author>tc={159C396F-7908-4310-9212-08CCBBE2E1E9}</author>
  </authors>
  <commentList>
    <comment ref="A15" authorId="0" shapeId="0" xr:uid="{41D9BD2B-B423-4509-B12D-7612C0E734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Check the R2 value for this batch
</t>
      </text>
    </comment>
    <comment ref="A39" authorId="1" shapeId="0" xr:uid="{159C396F-7908-4310-9212-08CCBBE2E1E9}">
      <text>
        <t>[Threaded comment]
Your version of Excel allows you to read this threaded comment; however, any edits to it will get removed if the file is opened in a newer version of Excel. Learn more: https://go.microsoft.com/fwlink/?linkid=870924
Comment:
    Chek R2 value for this batch</t>
      </text>
    </comment>
  </commentList>
</comments>
</file>

<file path=xl/sharedStrings.xml><?xml version="1.0" encoding="utf-8"?>
<sst xmlns="http://schemas.openxmlformats.org/spreadsheetml/2006/main" count="820" uniqueCount="145">
  <si>
    <t>Freezer Test</t>
  </si>
  <si>
    <t>mineral oil density</t>
  </si>
  <si>
    <t>Theortical max density</t>
  </si>
  <si>
    <t>Press Area</t>
  </si>
  <si>
    <t>Die Area</t>
  </si>
  <si>
    <t>g/cm^3</t>
  </si>
  <si>
    <t>Sample (B2.)</t>
  </si>
  <si>
    <t>Notes</t>
  </si>
  <si>
    <t>Initial mass</t>
  </si>
  <si>
    <t>Post Press Dry Mass</t>
  </si>
  <si>
    <t xml:space="preserve">Change in mass after pressing </t>
  </si>
  <si>
    <t>Percent lost</t>
  </si>
  <si>
    <t>Post Press Wet Mass</t>
  </si>
  <si>
    <t>Change in dry vs wet mass</t>
  </si>
  <si>
    <t xml:space="preserve">Archemedies density </t>
  </si>
  <si>
    <t>%TMD</t>
  </si>
  <si>
    <t>Aproximate Length</t>
  </si>
  <si>
    <t>Aproximate Width</t>
  </si>
  <si>
    <t>Aproximate Height</t>
  </si>
  <si>
    <t>Aproximate vol</t>
  </si>
  <si>
    <t>Aproximate Base Area</t>
  </si>
  <si>
    <t>Approximate density</t>
  </si>
  <si>
    <t>Approximate %TMD</t>
  </si>
  <si>
    <t>Percent diffrence between archmedies and approximate method</t>
  </si>
  <si>
    <t>Press Location</t>
  </si>
  <si>
    <t>Press Pressure kg/cm^2</t>
  </si>
  <si>
    <t>Press Pressure Mpa</t>
  </si>
  <si>
    <t>Die Pressure Mpa</t>
  </si>
  <si>
    <t>dwell time min</t>
  </si>
  <si>
    <t xml:space="preserve">2 Hour Oven 0 Freezer </t>
  </si>
  <si>
    <t>severe capping</t>
  </si>
  <si>
    <t xml:space="preserve">4 Hour Oven 0 Freezer </t>
  </si>
  <si>
    <t xml:space="preserve">4 Hour Oven 24 Freezer </t>
  </si>
  <si>
    <t>2 Hour Oven+ 24 Freezer +2 Hour Oven</t>
  </si>
  <si>
    <t xml:space="preserve">4 Hour Oven 48 Freezer </t>
  </si>
  <si>
    <t>2 Hour Oven+ 48 Freezer +2 Hour Oven</t>
  </si>
  <si>
    <t xml:space="preserve">4 Hour Oven 168 Freezer </t>
  </si>
  <si>
    <t>2 Hour Oven+ 168 Freezer +2 Hour Oven</t>
  </si>
  <si>
    <t xml:space="preserve"> </t>
  </si>
  <si>
    <t>average</t>
  </si>
  <si>
    <t>Post-Press Main Pellet Mass</t>
  </si>
  <si>
    <t>Post-Press Shavings Mass</t>
  </si>
  <si>
    <t>Total Post-Press Mass</t>
  </si>
  <si>
    <t>%lost</t>
  </si>
  <si>
    <t>Overall Change in Mass</t>
  </si>
  <si>
    <t xml:space="preserve">2 Hour Oven 0 Fridge </t>
  </si>
  <si>
    <t xml:space="preserve">4 Hour Oven 0 Fridge </t>
  </si>
  <si>
    <t xml:space="preserve">4 Hour Oven 24 Fridge </t>
  </si>
  <si>
    <t>2 Hour Oven+ 24 Fridge +2 Hour Oven</t>
  </si>
  <si>
    <t xml:space="preserve">4 Hour Oven 48 Fridge </t>
  </si>
  <si>
    <t>2 Hour Oven+ 48 Fridge +2 Hour Oven</t>
  </si>
  <si>
    <t xml:space="preserve">4 Hour Oven 168 Fridge </t>
  </si>
  <si>
    <t>2 Hour Oven+ 168 Fridge +2 Hour Oven</t>
  </si>
  <si>
    <t>Fridge Test</t>
  </si>
  <si>
    <t>section density test?</t>
  </si>
  <si>
    <t>0, 8, 24 hour tests</t>
  </si>
  <si>
    <t xml:space="preserve">8 hour </t>
  </si>
  <si>
    <t xml:space="preserve">12 hour </t>
  </si>
  <si>
    <t>shiny white bottom</t>
  </si>
  <si>
    <t xml:space="preserve">24 hour </t>
  </si>
  <si>
    <t>standard deviation</t>
  </si>
  <si>
    <t>min</t>
  </si>
  <si>
    <t>max</t>
  </si>
  <si>
    <t>Batch 2</t>
  </si>
  <si>
    <t>Batch 4</t>
  </si>
  <si>
    <t>Batch 6</t>
  </si>
  <si>
    <t>Average</t>
  </si>
  <si>
    <t>Std</t>
  </si>
  <si>
    <t>num samples</t>
  </si>
  <si>
    <t>Max stress</t>
  </si>
  <si>
    <t>Youngs modulus</t>
  </si>
  <si>
    <t xml:space="preserve">Did not test because wanted to get samples without mineral oil for the stress strain testing </t>
  </si>
  <si>
    <t>TMD</t>
  </si>
  <si>
    <t>Cure time</t>
  </si>
  <si>
    <t>Max Stress</t>
  </si>
  <si>
    <t>^will likely change</t>
  </si>
  <si>
    <t xml:space="preserve">I want to do a batch 7 with the undergrads. Test more of the 2 4 and 24 hour stuff. </t>
  </si>
  <si>
    <t xml:space="preserve">Then later this summer do batch 8, for paper 2 </t>
  </si>
  <si>
    <t>Density vs cure time, max stress vs cure time, 2481224 stress strain</t>
  </si>
  <si>
    <t>profilimeter with sticking and non sticking</t>
  </si>
  <si>
    <t>use standard deviation for error bars</t>
  </si>
  <si>
    <t>count</t>
  </si>
  <si>
    <t>4 hour only</t>
  </si>
  <si>
    <t>Fridge</t>
  </si>
  <si>
    <t>Freezer</t>
  </si>
  <si>
    <t>2+ store+2</t>
  </si>
  <si>
    <t>Youngs Modulus</t>
  </si>
  <si>
    <t>Young Modulus</t>
  </si>
  <si>
    <t>STD</t>
  </si>
  <si>
    <t>Compression all</t>
  </si>
  <si>
    <t>b2</t>
  </si>
  <si>
    <t>b4</t>
  </si>
  <si>
    <t xml:space="preserve">I am showing sample 8 on the profilieter </t>
  </si>
  <si>
    <t>b6</t>
  </si>
  <si>
    <t>24 hour too</t>
  </si>
  <si>
    <t>R^2</t>
  </si>
  <si>
    <t>Batch 5 Data</t>
  </si>
  <si>
    <t>Sample (B5)</t>
  </si>
  <si>
    <t>%mass lost</t>
  </si>
  <si>
    <t>%Overall Change in Mass</t>
  </si>
  <si>
    <t>1s preflash</t>
  </si>
  <si>
    <t>pressed next day</t>
  </si>
  <si>
    <t>5s preflash</t>
  </si>
  <si>
    <t>25s preflash</t>
  </si>
  <si>
    <t>10s preflash</t>
  </si>
  <si>
    <t>0.5s preflash</t>
  </si>
  <si>
    <t>microstructure of the samples</t>
  </si>
  <si>
    <t>leak through top during pressing</t>
  </si>
  <si>
    <t>cracked</t>
  </si>
  <si>
    <t>rest of undried powder, damaged (?)</t>
  </si>
  <si>
    <t>originally 8.3's mass</t>
  </si>
  <si>
    <t>Preflash time</t>
  </si>
  <si>
    <t>2+2 24, 48, 168 &amp; 4,24 &amp; 4,48 hour tests</t>
  </si>
  <si>
    <t>Sample (B9)</t>
  </si>
  <si>
    <t>Slope</t>
  </si>
  <si>
    <t xml:space="preserve">2+2, 24 hour </t>
  </si>
  <si>
    <t xml:space="preserve">4, 24 hour </t>
  </si>
  <si>
    <t xml:space="preserve">2+2, 48 hour </t>
  </si>
  <si>
    <t>4, 48 hour freezer</t>
  </si>
  <si>
    <t>2+2, 168 hour</t>
  </si>
  <si>
    <t xml:space="preserve">4, 48 hour freezer </t>
  </si>
  <si>
    <t xml:space="preserve">2+2, 168 hour </t>
  </si>
  <si>
    <t>Composition</t>
  </si>
  <si>
    <t>8 hour</t>
  </si>
  <si>
    <t>24 hour</t>
  </si>
  <si>
    <t>8 &amp; 24 hour</t>
  </si>
  <si>
    <t>2+2, 24 hour  Fridge B9</t>
  </si>
  <si>
    <t>2+2, 48 hour  Fridge B9</t>
  </si>
  <si>
    <t>4, 24 hr Fridge B9</t>
  </si>
  <si>
    <t>4, 48 hour freezer B9</t>
  </si>
  <si>
    <t>2+2, 168 hour Fridge B9</t>
  </si>
  <si>
    <t>2+ store+2 B9</t>
  </si>
  <si>
    <t>4 hourB9</t>
  </si>
  <si>
    <t xml:space="preserve">Fridge </t>
  </si>
  <si>
    <t>L</t>
  </si>
  <si>
    <t>H</t>
  </si>
  <si>
    <t>W</t>
  </si>
  <si>
    <t>A</t>
  </si>
  <si>
    <t>V</t>
  </si>
  <si>
    <t>Base Area</t>
  </si>
  <si>
    <t>Height</t>
  </si>
  <si>
    <t>AvHeight</t>
  </si>
  <si>
    <t>AvBaseArea</t>
  </si>
  <si>
    <t>STDHeight</t>
  </si>
  <si>
    <t>STDBaseArea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</si>
</sst>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0"/>
    <numFmt numFmtId="166" formatCode="0.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40"/>
      <color rgb="FF595959"/>
      <name val="Arial"/>
      <charset val="1"/>
    </font>
    <font>
      <b/>
      <sz val="12"/>
      <color rgb="FFFFFFFF"/>
      <name val="Aptos"/>
    </font>
    <font>
      <sz val="10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0" fontId="2" fillId="0" borderId="0" xfId="0" applyFont="1"/>
    <xf numFmtId="164" fontId="2" fillId="0" borderId="0" xfId="0" applyNumberFormat="1" applyFont="1"/>
    <xf numFmtId="0" fontId="2" fillId="0" borderId="2" xfId="0" applyFont="1" applyBorder="1"/>
    <xf numFmtId="164" fontId="2" fillId="0" borderId="2" xfId="0" applyNumberFormat="1" applyFont="1" applyBorder="1"/>
    <xf numFmtId="0" fontId="0" fillId="0" borderId="2" xfId="0" applyBorder="1"/>
    <xf numFmtId="164" fontId="2" fillId="0" borderId="1" xfId="0" applyNumberFormat="1" applyFont="1" applyBorder="1"/>
    <xf numFmtId="0" fontId="2" fillId="0" borderId="0" xfId="0" applyFont="1" applyAlignment="1">
      <alignment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164" fontId="0" fillId="0" borderId="0" xfId="0" applyNumberFormat="1"/>
    <xf numFmtId="165" fontId="2" fillId="0" borderId="0" xfId="0" applyNumberFormat="1" applyFont="1"/>
    <xf numFmtId="0" fontId="2" fillId="0" borderId="3" xfId="0" applyFont="1" applyBorder="1"/>
    <xf numFmtId="164" fontId="2" fillId="0" borderId="3" xfId="0" applyNumberFormat="1" applyFont="1" applyBorder="1"/>
    <xf numFmtId="0" fontId="2" fillId="0" borderId="0" xfId="0" applyFont="1" applyAlignment="1">
      <alignment wrapText="1"/>
    </xf>
    <xf numFmtId="0" fontId="2" fillId="2" borderId="0" xfId="0" applyFont="1" applyFill="1"/>
    <xf numFmtId="164" fontId="2" fillId="2" borderId="0" xfId="0" applyNumberFormat="1" applyFont="1" applyFill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3" borderId="1" xfId="0" applyFont="1" applyFill="1" applyBorder="1"/>
    <xf numFmtId="0" fontId="2" fillId="3" borderId="0" xfId="0" applyFont="1" applyFill="1"/>
    <xf numFmtId="0" fontId="2" fillId="3" borderId="2" xfId="0" applyFont="1" applyFill="1" applyBorder="1"/>
    <xf numFmtId="0" fontId="0" fillId="3" borderId="0" xfId="0" applyFill="1"/>
    <xf numFmtId="164" fontId="2" fillId="3" borderId="0" xfId="0" applyNumberFormat="1" applyFont="1" applyFill="1"/>
    <xf numFmtId="0" fontId="3" fillId="0" borderId="1" xfId="0" applyFont="1" applyBorder="1"/>
    <xf numFmtId="164" fontId="3" fillId="0" borderId="0" xfId="0" applyNumberFormat="1" applyFont="1"/>
    <xf numFmtId="0" fontId="3" fillId="0" borderId="0" xfId="0" applyFont="1"/>
    <xf numFmtId="0" fontId="1" fillId="0" borderId="0" xfId="0" applyFont="1"/>
    <xf numFmtId="0" fontId="1" fillId="0" borderId="1" xfId="0" applyFont="1" applyBorder="1"/>
    <xf numFmtId="0" fontId="3" fillId="3" borderId="1" xfId="0" applyFont="1" applyFill="1" applyBorder="1"/>
    <xf numFmtId="0" fontId="3" fillId="3" borderId="0" xfId="0" applyFont="1" applyFill="1"/>
    <xf numFmtId="0" fontId="3" fillId="3" borderId="2" xfId="0" applyFont="1" applyFill="1" applyBorder="1"/>
    <xf numFmtId="0" fontId="1" fillId="3" borderId="0" xfId="0" applyFont="1" applyFill="1"/>
    <xf numFmtId="0" fontId="0" fillId="2" borderId="0" xfId="0" applyFill="1"/>
    <xf numFmtId="0" fontId="2" fillId="2" borderId="3" xfId="0" applyFont="1" applyFill="1" applyBorder="1"/>
    <xf numFmtId="164" fontId="2" fillId="2" borderId="3" xfId="0" applyNumberFormat="1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7" xfId="0" applyBorder="1"/>
    <xf numFmtId="0" fontId="0" fillId="0" borderId="10" xfId="0" applyBorder="1"/>
    <xf numFmtId="0" fontId="0" fillId="0" borderId="12" xfId="0" applyBorder="1"/>
    <xf numFmtId="2" fontId="2" fillId="2" borderId="0" xfId="0" applyNumberFormat="1" applyFont="1" applyFill="1"/>
    <xf numFmtId="166" fontId="2" fillId="2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0" fontId="3" fillId="4" borderId="0" xfId="0" applyFont="1" applyFill="1"/>
    <xf numFmtId="0" fontId="2" fillId="4" borderId="0" xfId="0" applyFont="1" applyFill="1"/>
    <xf numFmtId="0" fontId="2" fillId="5" borderId="0" xfId="0" applyFont="1" applyFill="1"/>
    <xf numFmtId="166" fontId="2" fillId="4" borderId="0" xfId="0" applyNumberFormat="1" applyFont="1" applyFill="1"/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0" xfId="0" applyFont="1"/>
    <xf numFmtId="0" fontId="0" fillId="6" borderId="0" xfId="0" applyFill="1"/>
    <xf numFmtId="0" fontId="0" fillId="0" borderId="3" xfId="0" applyBorder="1"/>
    <xf numFmtId="166" fontId="0" fillId="0" borderId="0" xfId="0" applyNumberFormat="1"/>
    <xf numFmtId="0" fontId="2" fillId="7" borderId="0" xfId="0" applyFont="1" applyFill="1"/>
    <xf numFmtId="164" fontId="2" fillId="7" borderId="0" xfId="0" applyNumberFormat="1" applyFont="1" applyFill="1"/>
    <xf numFmtId="0" fontId="0" fillId="7" borderId="0" xfId="0" applyFill="1"/>
    <xf numFmtId="166" fontId="0" fillId="7" borderId="0" xfId="0" applyNumberFormat="1" applyFill="1"/>
    <xf numFmtId="0" fontId="3" fillId="0" borderId="2" xfId="0" applyFont="1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 wrapText="1" readingOrder="1"/>
    </xf>
    <xf numFmtId="0" fontId="5" fillId="8" borderId="16" xfId="0" applyFont="1" applyFill="1" applyBorder="1" applyAlignment="1">
      <alignment horizontal="center" vertical="center" wrapText="1" readingOrder="1"/>
    </xf>
    <xf numFmtId="0" fontId="5" fillId="8" borderId="17" xfId="0" applyFont="1" applyFill="1" applyBorder="1" applyAlignment="1">
      <alignment horizontal="center" vertical="center" wrapText="1" readingOrder="1"/>
    </xf>
    <xf numFmtId="166" fontId="0" fillId="3" borderId="0" xfId="0" applyNumberFormat="1" applyFill="1"/>
    <xf numFmtId="166" fontId="0" fillId="2" borderId="0" xfId="0" applyNumberFormat="1" applyFill="1"/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0" fontId="6" fillId="0" borderId="0" xfId="0" applyFont="1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  <a:r>
              <a:rPr lang="en-US" baseline="0"/>
              <a:t> Vs Cure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AllPaper1Data!$AW$4:$AW$8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AllPaper1Data!$AX$4:$AX$8</c:f>
              <c:numCache>
                <c:formatCode>General</c:formatCode>
                <c:ptCount val="5"/>
                <c:pt idx="0" formatCode="0.0000">
                  <c:v>90.69518969208157</c:v>
                </c:pt>
                <c:pt idx="1">
                  <c:v>91.078605244596801</c:v>
                </c:pt>
                <c:pt idx="2">
                  <c:v>90.464920989250942</c:v>
                </c:pt>
                <c:pt idx="3" formatCode="0.0000">
                  <c:v>90.328302384954995</c:v>
                </c:pt>
                <c:pt idx="4">
                  <c:v>89.841415685498333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9-43B4-AC7D-58F357066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068831"/>
        <c:axId val="1229067391"/>
      </c:scatterChart>
      <c:valAx>
        <c:axId val="122906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67391"/>
        <c:crosses val="autoZero"/>
        <c:crossBetween val="midCat"/>
      </c:valAx>
      <c:valAx>
        <c:axId val="122906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6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Stress vs cure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AllPaper1Data!$AY$3</c:f>
              <c:strCache>
                <c:ptCount val="1"/>
                <c:pt idx="0">
                  <c:v>Max Stress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AllPaper1Data!$AW$4:$AW$8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AllPaper1Data!$AY$4:$AY$8</c:f>
              <c:numCache>
                <c:formatCode>General</c:formatCode>
                <c:ptCount val="5"/>
                <c:pt idx="0" formatCode="0.0000">
                  <c:v>1.74</c:v>
                </c:pt>
                <c:pt idx="1">
                  <c:v>1.736</c:v>
                </c:pt>
                <c:pt idx="2">
                  <c:v>2.6300000000000003</c:v>
                </c:pt>
                <c:pt idx="3" formatCode="0.0000">
                  <c:v>2.7383333333333333</c:v>
                </c:pt>
                <c:pt idx="4">
                  <c:v>1.4524999999999999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C-4DF5-96B4-3C78B0B86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881343"/>
        <c:axId val="12298818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AllPaper1Data!$AX$3</c15:sqref>
                        </c15:formulaRef>
                      </c:ext>
                    </c:extLst>
                    <c:strCache>
                      <c:ptCount val="1"/>
                      <c:pt idx="0">
                        <c:v>TMD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AllPaper1Data!$AW$4:$AW$8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AllPaper1Data!$AX$4:$AX$8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0.0000">
                        <c:v>90.69518969208157</c:v>
                      </c:pt>
                      <c:pt idx="1">
                        <c:v>91.078605244596801</c:v>
                      </c:pt>
                      <c:pt idx="2">
                        <c:v>90.464920989250942</c:v>
                      </c:pt>
                      <c:pt idx="3" formatCode="0.0000">
                        <c:v>90.328302384954995</c:v>
                      </c:pt>
                      <c:pt idx="4">
                        <c:v>89.841415685498333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35C-4DF5-96B4-3C78B0B86A5F}"/>
                  </c:ext>
                </c:extLst>
              </c15:ser>
            </c15:filteredScatterSeries>
          </c:ext>
        </c:extLst>
      </c:scatterChart>
      <c:valAx>
        <c:axId val="122988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81823"/>
        <c:crosses val="autoZero"/>
        <c:crossBetween val="midCat"/>
      </c:valAx>
      <c:valAx>
        <c:axId val="12298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8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Young</a:t>
            </a:r>
            <a:r>
              <a:rPr lang="en-US" baseline="0"/>
              <a:t> Modulus vs Cure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AllPaper1Data!$AW$4:$AW$8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AllPaper1Data!$AZ$4:$AZ$8</c:f>
              <c:numCache>
                <c:formatCode>General</c:formatCode>
                <c:ptCount val="5"/>
                <c:pt idx="0" formatCode="0.0000">
                  <c:v>27.47666666666667</c:v>
                </c:pt>
                <c:pt idx="1">
                  <c:v>27.248000000000001</c:v>
                </c:pt>
                <c:pt idx="2">
                  <c:v>47.556666666666672</c:v>
                </c:pt>
                <c:pt idx="3" formatCode="0.0000">
                  <c:v>52.331666666666671</c:v>
                </c:pt>
                <c:pt idx="4">
                  <c:v>4.1169750000000001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D9-43B1-A291-949F59D01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586575"/>
        <c:axId val="12495884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AllPaper1Data!$AW$4:$AW$8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AllPaper1Data!$AX$4:$AX$8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0.0000">
                        <c:v>90.69518969208157</c:v>
                      </c:pt>
                      <c:pt idx="1">
                        <c:v>91.078605244596801</c:v>
                      </c:pt>
                      <c:pt idx="2">
                        <c:v>90.464920989250942</c:v>
                      </c:pt>
                      <c:pt idx="3" formatCode="0.0000">
                        <c:v>90.328302384954995</c:v>
                      </c:pt>
                      <c:pt idx="4">
                        <c:v>89.841415685498333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FD9-43B1-A291-949F59D014BB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AllPaper1Data!$AW$4:$AW$8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AllPaper1Data!$AY$4:$AY$8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0.0000">
                        <c:v>1.74</c:v>
                      </c:pt>
                      <c:pt idx="1">
                        <c:v>1.736</c:v>
                      </c:pt>
                      <c:pt idx="2">
                        <c:v>2.6300000000000003</c:v>
                      </c:pt>
                      <c:pt idx="3" formatCode="0.0000">
                        <c:v>2.7383333333333333</c:v>
                      </c:pt>
                      <c:pt idx="4">
                        <c:v>1.4524999999999999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FD9-43B1-A291-949F59D014BB}"/>
                  </c:ext>
                </c:extLst>
              </c15:ser>
            </c15:filteredScatterSeries>
          </c:ext>
        </c:extLst>
      </c:scatterChart>
      <c:valAx>
        <c:axId val="124958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88495"/>
        <c:crosses val="autoZero"/>
        <c:crossBetween val="midCat"/>
      </c:valAx>
      <c:valAx>
        <c:axId val="12495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8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Stress vs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AllPaper1Data!$AX$4:$AX$8</c:f>
              <c:numCache>
                <c:formatCode>General</c:formatCode>
                <c:ptCount val="5"/>
                <c:pt idx="0" formatCode="0.0000">
                  <c:v>90.69518969208157</c:v>
                </c:pt>
                <c:pt idx="1">
                  <c:v>91.078605244596801</c:v>
                </c:pt>
                <c:pt idx="2">
                  <c:v>90.464920989250942</c:v>
                </c:pt>
                <c:pt idx="3" formatCode="0.0000">
                  <c:v>90.328302384954995</c:v>
                </c:pt>
                <c:pt idx="4">
                  <c:v>89.841415685498333</c:v>
                </c:pt>
              </c:numCache>
            </c:numRef>
          </c:xVal>
          <c:yVal>
            <c:numRef>
              <c:f>AllPaper1Data!$AY$4:$AY$8</c:f>
              <c:numCache>
                <c:formatCode>General</c:formatCode>
                <c:ptCount val="5"/>
                <c:pt idx="0" formatCode="0.0000">
                  <c:v>1.74</c:v>
                </c:pt>
                <c:pt idx="1">
                  <c:v>1.736</c:v>
                </c:pt>
                <c:pt idx="2">
                  <c:v>2.6300000000000003</c:v>
                </c:pt>
                <c:pt idx="3" formatCode="0.0000">
                  <c:v>2.7383333333333333</c:v>
                </c:pt>
                <c:pt idx="4">
                  <c:v>1.4524999999999999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6-45D5-957C-04BC70494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008959"/>
        <c:axId val="1248903263"/>
      </c:scatterChart>
      <c:valAx>
        <c:axId val="79200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03263"/>
        <c:crosses val="autoZero"/>
        <c:crossBetween val="midCat"/>
      </c:valAx>
      <c:valAx>
        <c:axId val="12489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0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Young</a:t>
            </a:r>
            <a:r>
              <a:rPr lang="en-US" baseline="0"/>
              <a:t> Modulus vs Cure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AllPaper1Data!$AW$4:$AW$8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AllPaper1Data!$AZ$4:$AZ$8</c:f>
              <c:numCache>
                <c:formatCode>General</c:formatCode>
                <c:ptCount val="5"/>
                <c:pt idx="0" formatCode="0.0000">
                  <c:v>27.47666666666667</c:v>
                </c:pt>
                <c:pt idx="1">
                  <c:v>27.248000000000001</c:v>
                </c:pt>
                <c:pt idx="2">
                  <c:v>47.556666666666672</c:v>
                </c:pt>
                <c:pt idx="3" formatCode="0.0000">
                  <c:v>52.331666666666671</c:v>
                </c:pt>
                <c:pt idx="4">
                  <c:v>4.1169750000000001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D-44BF-A253-77067921C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586575"/>
        <c:axId val="12495884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AllPaper1Data!$AW$4:$AW$8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AllPaper1Data!$AX$4:$AX$8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0.0000">
                        <c:v>90.69518969208157</c:v>
                      </c:pt>
                      <c:pt idx="1">
                        <c:v>91.078605244596801</c:v>
                      </c:pt>
                      <c:pt idx="2">
                        <c:v>90.464920989250942</c:v>
                      </c:pt>
                      <c:pt idx="3" formatCode="0.0000">
                        <c:v>90.328302384954995</c:v>
                      </c:pt>
                      <c:pt idx="4">
                        <c:v>89.841415685498333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C6D-44BF-A253-77067921C4D6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AllPaper1Data!$AW$4:$AW$8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AllPaper1Data!$AY$4:$AY$8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0.0000">
                        <c:v>1.74</c:v>
                      </c:pt>
                      <c:pt idx="1">
                        <c:v>1.736</c:v>
                      </c:pt>
                      <c:pt idx="2">
                        <c:v>2.6300000000000003</c:v>
                      </c:pt>
                      <c:pt idx="3" formatCode="0.0000">
                        <c:v>2.7383333333333333</c:v>
                      </c:pt>
                      <c:pt idx="4">
                        <c:v>1.4524999999999999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D-44BF-A253-77067921C4D6}"/>
                  </c:ext>
                </c:extLst>
              </c15:ser>
            </c15:filteredScatterSeries>
          </c:ext>
        </c:extLst>
      </c:scatterChart>
      <c:valAx>
        <c:axId val="124958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88495"/>
        <c:crosses val="autoZero"/>
        <c:crossBetween val="midCat"/>
      </c:valAx>
      <c:valAx>
        <c:axId val="12495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8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Stress vs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AllPaper1Data!$AX$4:$AX$8</c:f>
              <c:numCache>
                <c:formatCode>General</c:formatCode>
                <c:ptCount val="5"/>
                <c:pt idx="0" formatCode="0.0000">
                  <c:v>90.69518969208157</c:v>
                </c:pt>
                <c:pt idx="1">
                  <c:v>91.078605244596801</c:v>
                </c:pt>
                <c:pt idx="2">
                  <c:v>90.464920989250942</c:v>
                </c:pt>
                <c:pt idx="3" formatCode="0.0000">
                  <c:v>90.328302384954995</c:v>
                </c:pt>
                <c:pt idx="4">
                  <c:v>89.841415685498333</c:v>
                </c:pt>
              </c:numCache>
            </c:numRef>
          </c:xVal>
          <c:yVal>
            <c:numRef>
              <c:f>AllPaper1Data!$AY$4:$AY$8</c:f>
              <c:numCache>
                <c:formatCode>General</c:formatCode>
                <c:ptCount val="5"/>
                <c:pt idx="0" formatCode="0.0000">
                  <c:v>1.74</c:v>
                </c:pt>
                <c:pt idx="1">
                  <c:v>1.736</c:v>
                </c:pt>
                <c:pt idx="2">
                  <c:v>2.6300000000000003</c:v>
                </c:pt>
                <c:pt idx="3" formatCode="0.0000">
                  <c:v>2.7383333333333333</c:v>
                </c:pt>
                <c:pt idx="4">
                  <c:v>1.4524999999999999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1-4E13-9776-6EE352810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008959"/>
        <c:axId val="1248903263"/>
      </c:scatterChart>
      <c:valAx>
        <c:axId val="79200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03263"/>
        <c:crosses val="autoZero"/>
        <c:crossBetween val="midCat"/>
      </c:valAx>
      <c:valAx>
        <c:axId val="12489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0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TMD Freezer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Paper2!$AU$5:$AU$8</c:f>
              <c:numCache>
                <c:formatCode>General</c:formatCode>
                <c:ptCount val="4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168</c:v>
                </c:pt>
              </c:numCache>
            </c:numRef>
          </c:xVal>
          <c:yVal>
            <c:numRef>
              <c:f>Paper2!$AV$5:$AV$8</c:f>
              <c:numCache>
                <c:formatCode>General</c:formatCode>
                <c:ptCount val="4"/>
                <c:pt idx="0">
                  <c:v>91.078605244596801</c:v>
                </c:pt>
                <c:pt idx="1">
                  <c:v>91.611968011715078</c:v>
                </c:pt>
                <c:pt idx="2">
                  <c:v>91.235538281502102</c:v>
                </c:pt>
                <c:pt idx="3">
                  <c:v>91.270926716730898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3-4D85-B513-713834428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649408"/>
        <c:axId val="15286214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Paper2!$AU$5:$AX$5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91.078605244596801</c:v>
                      </c:pt>
                      <c:pt idx="2">
                        <c:v>1.736</c:v>
                      </c:pt>
                      <c:pt idx="3">
                        <c:v>27.248000000000001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Paper2!$AU$7:$AX$7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48</c:v>
                      </c:pt>
                      <c:pt idx="1">
                        <c:v>91.235538281502102</c:v>
                      </c:pt>
                      <c:pt idx="2">
                        <c:v>1.5719999999999998</c:v>
                      </c:pt>
                      <c:pt idx="3">
                        <c:v>64.244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C53-4D85-B513-71383442850D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Paper2!$AU$5:$AX$5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91.078605244596801</c:v>
                      </c:pt>
                      <c:pt idx="2">
                        <c:v>1.736</c:v>
                      </c:pt>
                      <c:pt idx="3">
                        <c:v>27.248000000000001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Paper2!$AU$8:$AX$8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168</c:v>
                      </c:pt>
                      <c:pt idx="1">
                        <c:v>91.270926716730898</c:v>
                      </c:pt>
                      <c:pt idx="2">
                        <c:v>1.22</c:v>
                      </c:pt>
                      <c:pt idx="3">
                        <c:v>20.350000000000001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C53-4D85-B513-71383442850D}"/>
                  </c:ext>
                </c:extLst>
              </c15:ser>
            </c15:filteredScatterSeries>
          </c:ext>
        </c:extLst>
      </c:scatterChart>
      <c:valAx>
        <c:axId val="162464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21408"/>
        <c:crosses val="autoZero"/>
        <c:crossBetween val="midCat"/>
      </c:valAx>
      <c:valAx>
        <c:axId val="15286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64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Paper2!$AU$5:$AU$8</c:f>
              <c:numCache>
                <c:formatCode>General</c:formatCode>
                <c:ptCount val="4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168</c:v>
                </c:pt>
              </c:numCache>
            </c:numRef>
          </c:xVal>
          <c:yVal>
            <c:numRef>
              <c:f>Paper2!$AW$5:$AW$8</c:f>
              <c:numCache>
                <c:formatCode>General</c:formatCode>
                <c:ptCount val="4"/>
                <c:pt idx="0">
                  <c:v>1.736</c:v>
                </c:pt>
                <c:pt idx="1">
                  <c:v>2.0175000000000001</c:v>
                </c:pt>
                <c:pt idx="2">
                  <c:v>1.5719999999999998</c:v>
                </c:pt>
                <c:pt idx="3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C-4334-B309-B48954FBB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616064"/>
        <c:axId val="1528614624"/>
      </c:scatterChart>
      <c:valAx>
        <c:axId val="152861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14624"/>
        <c:crosses val="autoZero"/>
        <c:crossBetween val="midCat"/>
      </c:valAx>
      <c:valAx>
        <c:axId val="15286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409510</xdr:colOff>
      <xdr:row>1</xdr:row>
      <xdr:rowOff>196461</xdr:rowOff>
    </xdr:from>
    <xdr:to>
      <xdr:col>61</xdr:col>
      <xdr:colOff>108857</xdr:colOff>
      <xdr:row>11</xdr:row>
      <xdr:rowOff>218233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628B3AE4-3BFD-6E83-FD9E-439E7896C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435428</xdr:colOff>
      <xdr:row>13</xdr:row>
      <xdr:rowOff>15033</xdr:rowOff>
    </xdr:from>
    <xdr:to>
      <xdr:col>61</xdr:col>
      <xdr:colOff>134775</xdr:colOff>
      <xdr:row>23</xdr:row>
      <xdr:rowOff>36804</xdr:rowOff>
    </xdr:to>
    <xdr:graphicFrame macro="">
      <xdr:nvGraphicFramePr>
        <xdr:cNvPr id="53" name="Chart 2">
          <a:extLst>
            <a:ext uri="{FF2B5EF4-FFF2-40B4-BE49-F238E27FC236}">
              <a16:creationId xmlns:a16="http://schemas.microsoft.com/office/drawing/2014/main" id="{A61F3232-1AC1-DD84-7B73-5B79A835C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370633</xdr:colOff>
      <xdr:row>13</xdr:row>
      <xdr:rowOff>15033</xdr:rowOff>
    </xdr:from>
    <xdr:to>
      <xdr:col>69</xdr:col>
      <xdr:colOff>69980</xdr:colOff>
      <xdr:row>23</xdr:row>
      <xdr:rowOff>36804</xdr:rowOff>
    </xdr:to>
    <xdr:graphicFrame macro="">
      <xdr:nvGraphicFramePr>
        <xdr:cNvPr id="91" name="Chart 3">
          <a:extLst>
            <a:ext uri="{FF2B5EF4-FFF2-40B4-BE49-F238E27FC236}">
              <a16:creationId xmlns:a16="http://schemas.microsoft.com/office/drawing/2014/main" id="{5E37C459-85E3-2D6C-049F-F52A7E2C2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565020</xdr:colOff>
      <xdr:row>24</xdr:row>
      <xdr:rowOff>79828</xdr:rowOff>
    </xdr:from>
    <xdr:to>
      <xdr:col>61</xdr:col>
      <xdr:colOff>264367</xdr:colOff>
      <xdr:row>34</xdr:row>
      <xdr:rowOff>101600</xdr:rowOff>
    </xdr:to>
    <xdr:graphicFrame macro="">
      <xdr:nvGraphicFramePr>
        <xdr:cNvPr id="114" name="Chart 4">
          <a:extLst>
            <a:ext uri="{FF2B5EF4-FFF2-40B4-BE49-F238E27FC236}">
              <a16:creationId xmlns:a16="http://schemas.microsoft.com/office/drawing/2014/main" id="{73E7C490-1E54-2251-F385-8C14CFE2E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370633</xdr:colOff>
      <xdr:row>13</xdr:row>
      <xdr:rowOff>15033</xdr:rowOff>
    </xdr:from>
    <xdr:to>
      <xdr:col>71</xdr:col>
      <xdr:colOff>69980</xdr:colOff>
      <xdr:row>23</xdr:row>
      <xdr:rowOff>36804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80EFFB-CBCA-4E83-B99C-755381003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565020</xdr:colOff>
      <xdr:row>24</xdr:row>
      <xdr:rowOff>79828</xdr:rowOff>
    </xdr:from>
    <xdr:to>
      <xdr:col>63</xdr:col>
      <xdr:colOff>264367</xdr:colOff>
      <xdr:row>34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66E54B-F855-4CCE-BBDB-865DBC926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485775</xdr:colOff>
      <xdr:row>6</xdr:row>
      <xdr:rowOff>138112</xdr:rowOff>
    </xdr:from>
    <xdr:to>
      <xdr:col>92</xdr:col>
      <xdr:colOff>180975</xdr:colOff>
      <xdr:row>16</xdr:row>
      <xdr:rowOff>204787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5D3D0-B18E-180F-22E3-CD2297190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83</xdr:col>
      <xdr:colOff>310242</xdr:colOff>
      <xdr:row>16</xdr:row>
      <xdr:rowOff>181655</xdr:rowOff>
    </xdr:from>
    <xdr:to>
      <xdr:col>91</xdr:col>
      <xdr:colOff>8164</xdr:colOff>
      <xdr:row>26</xdr:row>
      <xdr:rowOff>223837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46DA9B-3618-ADF3-7D5A-7257ABCB0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smar Leonel Chew Jr" id="{365DA45C-6B6D-4185-9EF5-45D12A1BFE62}" userId="S::ichew@purdue.edu::9fa1210e-6dfb-4be5-8775-f4109de973f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25-05-22T14:28:35.48" personId="{365DA45C-6B6D-4185-9EF5-45D12A1BFE62}" id="{41D9BD2B-B423-4509-B12D-7612C0E73483}">
    <text xml:space="preserve">Check the R2 value for this batch
</text>
  </threadedComment>
  <threadedComment ref="A39" dT="2025-05-22T14:36:31.03" personId="{365DA45C-6B6D-4185-9EF5-45D12A1BFE62}" id="{159C396F-7908-4310-9212-08CCBBE2E1E9}">
    <text>Chek R2 value for this batch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6861F-D8EC-42A9-A7DF-68369A400B08}">
  <dimension ref="A1:AZ36"/>
  <sheetViews>
    <sheetView zoomScale="59" zoomScaleNormal="100" workbookViewId="0">
      <selection activeCell="G21" sqref="G21"/>
    </sheetView>
  </sheetViews>
  <sheetFormatPr defaultRowHeight="15" x14ac:dyDescent="0.25"/>
  <cols>
    <col min="5" max="7" width="9.85546875" bestFit="1" customWidth="1"/>
    <col min="11" max="11" width="10.42578125" bestFit="1" customWidth="1"/>
    <col min="12" max="12" width="9.140625" style="37"/>
    <col min="18" max="18" width="10.42578125" bestFit="1" customWidth="1"/>
    <col min="24" max="24" width="11" bestFit="1" customWidth="1"/>
    <col min="25" max="25" width="10.85546875" bestFit="1" customWidth="1"/>
    <col min="26" max="30" width="11.85546875" bestFit="1" customWidth="1"/>
    <col min="31" max="31" width="12.140625" style="32" bestFit="1" customWidth="1"/>
    <col min="32" max="34" width="11.7109375" bestFit="1" customWidth="1"/>
    <col min="35" max="35" width="15" bestFit="1" customWidth="1"/>
    <col min="36" max="36" width="13.28515625" bestFit="1" customWidth="1"/>
    <col min="37" max="38" width="10.140625" bestFit="1" customWidth="1"/>
    <col min="39" max="39" width="11.7109375" bestFit="1" customWidth="1"/>
    <col min="40" max="40" width="9.85546875" bestFit="1" customWidth="1"/>
    <col min="41" max="41" width="11.42578125" bestFit="1" customWidth="1"/>
  </cols>
  <sheetData>
    <row r="1" spans="1:52" ht="294" x14ac:dyDescent="0.35">
      <c r="B1" s="1"/>
      <c r="C1" s="1" t="s">
        <v>6</v>
      </c>
      <c r="D1" s="2" t="s">
        <v>7</v>
      </c>
      <c r="E1" s="1" t="s">
        <v>8</v>
      </c>
      <c r="F1" s="2" t="s">
        <v>9</v>
      </c>
      <c r="G1" s="2" t="s">
        <v>10</v>
      </c>
      <c r="H1" s="1" t="s">
        <v>11</v>
      </c>
      <c r="I1" s="3" t="s">
        <v>12</v>
      </c>
      <c r="J1" s="2" t="s">
        <v>13</v>
      </c>
      <c r="K1" s="2" t="s">
        <v>14</v>
      </c>
      <c r="L1" s="34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69</v>
      </c>
      <c r="V1" s="2" t="s">
        <v>70</v>
      </c>
      <c r="W1" s="2"/>
      <c r="X1" s="1" t="s">
        <v>8</v>
      </c>
      <c r="Y1" s="2" t="s">
        <v>9</v>
      </c>
      <c r="Z1" s="2" t="s">
        <v>10</v>
      </c>
      <c r="AA1" s="1" t="s">
        <v>11</v>
      </c>
      <c r="AB1" s="3" t="s">
        <v>12</v>
      </c>
      <c r="AC1" s="2" t="s">
        <v>13</v>
      </c>
      <c r="AD1" s="2" t="s">
        <v>14</v>
      </c>
      <c r="AE1" s="29" t="s">
        <v>15</v>
      </c>
      <c r="AF1" s="2" t="s">
        <v>16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  <c r="AL1" s="2" t="s">
        <v>22</v>
      </c>
      <c r="AM1" s="2" t="s">
        <v>23</v>
      </c>
      <c r="AP1" t="s">
        <v>1</v>
      </c>
      <c r="AQ1" t="s">
        <v>2</v>
      </c>
    </row>
    <row r="2" spans="1:52" ht="21" x14ac:dyDescent="0.35">
      <c r="A2" s="79" t="s">
        <v>63</v>
      </c>
      <c r="B2" s="80" t="s">
        <v>29</v>
      </c>
      <c r="C2" s="5">
        <v>1</v>
      </c>
      <c r="D2" s="5" t="s">
        <v>30</v>
      </c>
      <c r="E2" s="6">
        <v>1.504</v>
      </c>
      <c r="F2" s="5">
        <v>1.4118999999999999</v>
      </c>
      <c r="G2" s="6">
        <f>ABS(E2-F2)</f>
        <v>9.2100000000000071E-2</v>
      </c>
      <c r="H2" s="5">
        <f>G2/E2*100</f>
        <v>6.1236702127659619</v>
      </c>
      <c r="I2" s="5">
        <v>0.54969999999999997</v>
      </c>
      <c r="J2" s="5">
        <f>ABS(F2-I2)</f>
        <v>0.86219999999999997</v>
      </c>
      <c r="K2" s="5">
        <f>F2*$AP$2/J2</f>
        <v>1.3591707260496404</v>
      </c>
      <c r="L2" s="35">
        <f>K2/$AQ$2*100</f>
        <v>89.419126713792124</v>
      </c>
      <c r="M2" s="5">
        <v>10.118</v>
      </c>
      <c r="N2" s="5">
        <v>10.151999999999999</v>
      </c>
      <c r="O2" s="5">
        <v>11.462</v>
      </c>
      <c r="P2" s="5">
        <f>M2*N2*O2</f>
        <v>1177.3529824319999</v>
      </c>
      <c r="Q2" s="5">
        <f>M2*N2</f>
        <v>102.71793599999999</v>
      </c>
      <c r="R2" s="5">
        <f>F2/(P2*0.001)</f>
        <v>1.1992155462871532</v>
      </c>
      <c r="S2" s="5">
        <f>R2/$M$2</f>
        <v>0.11852298342430848</v>
      </c>
      <c r="T2" s="5">
        <f>ABS(K2-R2)/((K2+R2)/2)*100</f>
        <v>12.504380709984533</v>
      </c>
      <c r="U2" s="5"/>
      <c r="V2" s="5"/>
      <c r="W2" s="5" t="s">
        <v>66</v>
      </c>
      <c r="X2" s="6">
        <f>AVERAGE(E2:E6)</f>
        <v>1.4987000000000001</v>
      </c>
      <c r="Y2" s="6">
        <f t="shared" ref="Y2:AM2" si="0">AVERAGE(F2:F6)</f>
        <v>1.4238199999999999</v>
      </c>
      <c r="Z2" s="6">
        <f t="shared" si="0"/>
        <v>7.4880000000000058E-2</v>
      </c>
      <c r="AA2" s="6">
        <f t="shared" si="0"/>
        <v>4.9995289629123745</v>
      </c>
      <c r="AB2" s="6">
        <f t="shared" si="0"/>
        <v>0.56640000000000001</v>
      </c>
      <c r="AC2" s="6">
        <f t="shared" si="0"/>
        <v>0.85741999999999996</v>
      </c>
      <c r="AD2" s="6">
        <f t="shared" si="0"/>
        <v>1.3785668833196396</v>
      </c>
      <c r="AE2" s="30">
        <f>AVERAGE(L2:L6)</f>
        <v>90.69518969208157</v>
      </c>
      <c r="AF2" s="6">
        <f t="shared" si="0"/>
        <v>10.1912</v>
      </c>
      <c r="AG2" s="6">
        <f t="shared" si="0"/>
        <v>10.1584</v>
      </c>
      <c r="AH2" s="6">
        <f t="shared" si="0"/>
        <v>10.663399999999999</v>
      </c>
      <c r="AI2" s="6">
        <f>AVERAGE(P2:P6)</f>
        <v>1103.67969419</v>
      </c>
      <c r="AJ2" s="6">
        <f t="shared" si="0"/>
        <v>103.5181352</v>
      </c>
      <c r="AK2" s="6">
        <f t="shared" si="0"/>
        <v>1.291936369128869</v>
      </c>
      <c r="AL2" s="6">
        <f t="shared" si="0"/>
        <v>0.12768693112560475</v>
      </c>
      <c r="AM2" s="6">
        <f t="shared" si="0"/>
        <v>6.5613206688083867</v>
      </c>
      <c r="AN2" s="6">
        <f>AVERAGE(U2:U6)</f>
        <v>1.74</v>
      </c>
      <c r="AO2" s="6">
        <f>AVERAGE(V2:V6)</f>
        <v>27.47666666666667</v>
      </c>
      <c r="AP2">
        <v>0.83</v>
      </c>
      <c r="AQ2">
        <v>1.52</v>
      </c>
      <c r="AR2" t="s">
        <v>5</v>
      </c>
      <c r="AW2" s="78" t="s">
        <v>66</v>
      </c>
      <c r="AX2" s="78"/>
    </row>
    <row r="3" spans="1:52" ht="31.5" x14ac:dyDescent="0.35">
      <c r="A3" s="79"/>
      <c r="B3" s="80"/>
      <c r="C3" s="20">
        <v>2</v>
      </c>
      <c r="D3" s="20"/>
      <c r="E3" s="20">
        <v>1.4992000000000001</v>
      </c>
      <c r="F3" s="20">
        <v>1.4542999999999999</v>
      </c>
      <c r="G3" s="21">
        <f t="shared" ref="G3:G30" si="1">ABS(E3-F3)</f>
        <v>4.4900000000000162E-2</v>
      </c>
      <c r="H3" s="20">
        <f t="shared" ref="H3:H30" si="2">G3/E3*100</f>
        <v>2.9949306296691676</v>
      </c>
      <c r="I3" s="20">
        <v>0.58560000000000001</v>
      </c>
      <c r="J3" s="20">
        <f t="shared" ref="J3:J30" si="3">ABS(F3-I3)</f>
        <v>0.86869999999999992</v>
      </c>
      <c r="K3" s="20">
        <f t="shared" ref="K3:K30" si="4">F3*$AP$2/J3</f>
        <v>1.3895119143547832</v>
      </c>
      <c r="L3" s="35">
        <f t="shared" ref="L3:L30" si="5">K3/$AQ$2*100</f>
        <v>91.415257523340998</v>
      </c>
      <c r="M3" s="20">
        <v>10.141</v>
      </c>
      <c r="N3" s="20">
        <v>10.122</v>
      </c>
      <c r="O3" s="20">
        <v>10.448</v>
      </c>
      <c r="P3" s="20">
        <f t="shared" ref="P3:P24" si="6">M3*N3*O3</f>
        <v>1072.4579664959999</v>
      </c>
      <c r="Q3" s="20">
        <f t="shared" ref="Q3:Q24" si="7">M3*N3</f>
        <v>102.64720199999999</v>
      </c>
      <c r="R3" s="20">
        <f>F3/(P3*0.001)</f>
        <v>1.356043822166362</v>
      </c>
      <c r="S3" s="20">
        <f t="shared" ref="S3:S24" si="8">R3/$M$2</f>
        <v>0.13402291185672682</v>
      </c>
      <c r="T3" s="20">
        <f t="shared" ref="T3:T24" si="9">ABS(K3-R3)/((K3+R3)/2)*100</f>
        <v>2.4379830824944841</v>
      </c>
      <c r="U3" s="20">
        <v>1.79</v>
      </c>
      <c r="V3" s="20">
        <v>30.04</v>
      </c>
      <c r="W3" s="5" t="s">
        <v>67</v>
      </c>
      <c r="X3" s="5">
        <f>_xlfn.STDEV.S(E2:E6)</f>
        <v>7.2580989246496305E-3</v>
      </c>
      <c r="Y3" s="5">
        <f t="shared" ref="Y3:AM3" si="10">_xlfn.STDEV.S(F2:F6)</f>
        <v>3.1862940856110543E-2</v>
      </c>
      <c r="Z3" s="5">
        <f t="shared" si="10"/>
        <v>2.8102704496186799E-2</v>
      </c>
      <c r="AA3" s="5">
        <f t="shared" si="10"/>
        <v>1.8869973443753789</v>
      </c>
      <c r="AB3" s="5">
        <f t="shared" si="10"/>
        <v>1.5052408445162547E-2</v>
      </c>
      <c r="AC3" s="5">
        <f t="shared" si="10"/>
        <v>2.4418578992234565E-2</v>
      </c>
      <c r="AD3" s="5">
        <f t="shared" si="10"/>
        <v>1.8749245716347753E-2</v>
      </c>
      <c r="AE3" s="31">
        <f t="shared" si="10"/>
        <v>1.23350300765446</v>
      </c>
      <c r="AF3" s="5">
        <f t="shared" si="10"/>
        <v>0.11113595277856801</v>
      </c>
      <c r="AG3" s="5">
        <f t="shared" si="10"/>
        <v>0.14181431521535454</v>
      </c>
      <c r="AH3" s="5">
        <f t="shared" si="10"/>
        <v>0.519198709551555</v>
      </c>
      <c r="AI3" s="5">
        <f t="shared" si="10"/>
        <v>50.3263222449987</v>
      </c>
      <c r="AJ3" s="5">
        <f t="shared" si="10"/>
        <v>1.1092048163678803</v>
      </c>
      <c r="AK3" s="5">
        <f t="shared" si="10"/>
        <v>5.8254291543491633E-2</v>
      </c>
      <c r="AL3" s="5">
        <f t="shared" si="10"/>
        <v>5.7574907633417324E-3</v>
      </c>
      <c r="AM3" s="5">
        <f t="shared" si="10"/>
        <v>3.9738837480321005</v>
      </c>
      <c r="AN3" s="5">
        <f>_xlfn.STDEV.S(U2:U6)</f>
        <v>4.5825756949558441E-2</v>
      </c>
      <c r="AO3" s="5">
        <f>_xlfn.STDEV.S(V2:V6)</f>
        <v>2.2602286020076225</v>
      </c>
      <c r="AW3" t="s">
        <v>73</v>
      </c>
      <c r="AX3" t="s">
        <v>72</v>
      </c>
      <c r="AY3" s="42" t="s">
        <v>74</v>
      </c>
      <c r="AZ3" s="42" t="s">
        <v>86</v>
      </c>
    </row>
    <row r="4" spans="1:52" ht="21" x14ac:dyDescent="0.35">
      <c r="A4" s="79"/>
      <c r="B4" s="80"/>
      <c r="C4" s="5">
        <v>3</v>
      </c>
      <c r="D4" s="5"/>
      <c r="E4" s="5">
        <v>1.5016</v>
      </c>
      <c r="F4" s="5">
        <v>1.4108000000000001</v>
      </c>
      <c r="G4" s="6">
        <f t="shared" si="1"/>
        <v>9.0799999999999992E-2</v>
      </c>
      <c r="H4" s="5">
        <f t="shared" si="2"/>
        <v>6.0468833244539155</v>
      </c>
      <c r="I4" s="5">
        <v>0.55379999999999996</v>
      </c>
      <c r="J4" s="5">
        <f t="shared" si="3"/>
        <v>0.8570000000000001</v>
      </c>
      <c r="K4" s="5">
        <f t="shared" si="4"/>
        <v>1.366352392065344</v>
      </c>
      <c r="L4" s="35">
        <f t="shared" si="5"/>
        <v>89.891604741141052</v>
      </c>
      <c r="M4" s="5">
        <v>10.233000000000001</v>
      </c>
      <c r="N4" s="5">
        <v>10.047000000000001</v>
      </c>
      <c r="O4" s="5">
        <v>10.401</v>
      </c>
      <c r="P4" s="5">
        <f t="shared" si="6"/>
        <v>1069.3367013510001</v>
      </c>
      <c r="Q4" s="5">
        <f t="shared" si="7"/>
        <v>102.81095100000002</v>
      </c>
      <c r="R4" s="5">
        <f t="shared" ref="R4:R24" si="11">F4/(P4*0.001)</f>
        <v>1.3193225278975229</v>
      </c>
      <c r="S4" s="5">
        <f t="shared" si="8"/>
        <v>0.13039360821284077</v>
      </c>
      <c r="T4" s="5">
        <f t="shared" si="9"/>
        <v>3.5022752618527129</v>
      </c>
      <c r="U4" s="5"/>
      <c r="V4" s="5"/>
      <c r="W4" s="5" t="s">
        <v>61</v>
      </c>
      <c r="X4" s="6">
        <f>MIN(E2:E6)</f>
        <v>1.4861</v>
      </c>
      <c r="Y4" s="6">
        <f t="shared" ref="Y4:AM4" si="12">MIN(F2:F6)</f>
        <v>1.3835999999999999</v>
      </c>
      <c r="Z4" s="6">
        <f t="shared" si="12"/>
        <v>4.4100000000000028E-2</v>
      </c>
      <c r="AA4" s="6">
        <f t="shared" si="12"/>
        <v>2.9349128177825126</v>
      </c>
      <c r="AB4" s="6">
        <f t="shared" si="12"/>
        <v>0.54969999999999997</v>
      </c>
      <c r="AC4" s="6">
        <f t="shared" si="12"/>
        <v>0.81709999999999994</v>
      </c>
      <c r="AD4" s="6">
        <f t="shared" si="12"/>
        <v>1.3591707260496404</v>
      </c>
      <c r="AE4" s="30">
        <f t="shared" si="12"/>
        <v>89.419126713792124</v>
      </c>
      <c r="AF4" s="6">
        <f t="shared" si="12"/>
        <v>10.097</v>
      </c>
      <c r="AG4" s="6">
        <f t="shared" si="12"/>
        <v>10.047000000000001</v>
      </c>
      <c r="AH4" s="6">
        <f t="shared" si="12"/>
        <v>10.132999999999999</v>
      </c>
      <c r="AI4" s="6">
        <f t="shared" si="12"/>
        <v>1064.1564833009998</v>
      </c>
      <c r="AJ4" s="6">
        <f t="shared" si="12"/>
        <v>102.64720199999999</v>
      </c>
      <c r="AK4" s="6">
        <f t="shared" si="12"/>
        <v>1.1992155462871532</v>
      </c>
      <c r="AL4" s="6">
        <f t="shared" si="12"/>
        <v>0.11852298342430848</v>
      </c>
      <c r="AM4" s="6">
        <f t="shared" si="12"/>
        <v>2.4379830824944841</v>
      </c>
      <c r="AN4" s="6">
        <f>MIN(U2:U6)</f>
        <v>1.7</v>
      </c>
      <c r="AO4" s="6">
        <f>MIN(V2:V6)</f>
        <v>25.77</v>
      </c>
      <c r="AW4">
        <v>2</v>
      </c>
      <c r="AX4" s="15">
        <f>AE2</f>
        <v>90.69518969208157</v>
      </c>
      <c r="AY4" s="15">
        <f>AN2</f>
        <v>1.74</v>
      </c>
      <c r="AZ4" s="15">
        <f>AO2</f>
        <v>27.47666666666667</v>
      </c>
    </row>
    <row r="5" spans="1:52" ht="21" x14ac:dyDescent="0.35">
      <c r="A5" s="79"/>
      <c r="B5" s="80"/>
      <c r="C5" s="20">
        <v>4</v>
      </c>
      <c r="D5" s="20"/>
      <c r="E5" s="20">
        <v>1.5025999999999999</v>
      </c>
      <c r="F5" s="20">
        <v>1.4584999999999999</v>
      </c>
      <c r="G5" s="21">
        <f t="shared" si="1"/>
        <v>4.4100000000000028E-2</v>
      </c>
      <c r="H5" s="20">
        <f t="shared" si="2"/>
        <v>2.9349128177825126</v>
      </c>
      <c r="I5" s="20">
        <v>0.57640000000000002</v>
      </c>
      <c r="J5" s="20">
        <f t="shared" si="3"/>
        <v>0.88209999999999988</v>
      </c>
      <c r="K5" s="20">
        <f t="shared" si="4"/>
        <v>1.3723557419793675</v>
      </c>
      <c r="L5" s="35">
        <f t="shared" si="5"/>
        <v>90.286561972326808</v>
      </c>
      <c r="M5" s="20">
        <v>10.367000000000001</v>
      </c>
      <c r="N5" s="20">
        <v>10.07</v>
      </c>
      <c r="O5" s="20">
        <v>10.872999999999999</v>
      </c>
      <c r="P5" s="20">
        <f t="shared" si="6"/>
        <v>1135.0943373700002</v>
      </c>
      <c r="Q5" s="20">
        <f t="shared" si="7"/>
        <v>104.39569000000002</v>
      </c>
      <c r="R5" s="20">
        <f t="shared" si="11"/>
        <v>1.2849152286137968</v>
      </c>
      <c r="S5" s="20">
        <f t="shared" si="8"/>
        <v>0.12699300539768696</v>
      </c>
      <c r="T5" s="20">
        <f t="shared" si="9"/>
        <v>6.5812267046331323</v>
      </c>
      <c r="U5" s="20">
        <v>1.73</v>
      </c>
      <c r="V5" s="20">
        <v>25.77</v>
      </c>
      <c r="W5" s="5" t="s">
        <v>62</v>
      </c>
      <c r="X5" s="6">
        <f>MAX(E2:E6)</f>
        <v>1.504</v>
      </c>
      <c r="Y5" s="6">
        <f t="shared" ref="Y5:AM5" si="13">MAX(F2:F6)</f>
        <v>1.4584999999999999</v>
      </c>
      <c r="Z5" s="6">
        <f t="shared" si="13"/>
        <v>0.10250000000000004</v>
      </c>
      <c r="AA5" s="6">
        <f t="shared" si="13"/>
        <v>6.8972478298903201</v>
      </c>
      <c r="AB5" s="6">
        <f t="shared" si="13"/>
        <v>0.58560000000000001</v>
      </c>
      <c r="AC5" s="6">
        <f t="shared" si="13"/>
        <v>0.88209999999999988</v>
      </c>
      <c r="AD5" s="6">
        <f t="shared" si="13"/>
        <v>1.4054436421490639</v>
      </c>
      <c r="AE5" s="30">
        <f t="shared" si="13"/>
        <v>92.463397509806839</v>
      </c>
      <c r="AF5" s="6">
        <f t="shared" si="13"/>
        <v>10.367000000000001</v>
      </c>
      <c r="AG5" s="6">
        <f t="shared" si="13"/>
        <v>10.401</v>
      </c>
      <c r="AH5" s="6">
        <f t="shared" si="13"/>
        <v>11.462</v>
      </c>
      <c r="AI5" s="6">
        <f t="shared" si="13"/>
        <v>1177.3529824319999</v>
      </c>
      <c r="AJ5" s="6">
        <f t="shared" si="13"/>
        <v>105.018897</v>
      </c>
      <c r="AK5" s="6">
        <f t="shared" si="13"/>
        <v>1.356043822166362</v>
      </c>
      <c r="AL5" s="6">
        <f t="shared" si="13"/>
        <v>0.13402291185672682</v>
      </c>
      <c r="AM5" s="6">
        <f t="shared" si="13"/>
        <v>12.504380709984533</v>
      </c>
      <c r="AN5" s="6">
        <f>MAX(U2:U6)</f>
        <v>1.79</v>
      </c>
      <c r="AO5" s="6">
        <f>MAX(V2:V6)</f>
        <v>30.04</v>
      </c>
      <c r="AW5">
        <v>4</v>
      </c>
      <c r="AX5">
        <f>AE7</f>
        <v>91.078605244596801</v>
      </c>
      <c r="AY5">
        <f>AN7</f>
        <v>1.736</v>
      </c>
      <c r="AZ5">
        <f>AO7</f>
        <v>27.248000000000001</v>
      </c>
    </row>
    <row r="6" spans="1:52" ht="21" x14ac:dyDescent="0.35">
      <c r="A6" s="79"/>
      <c r="B6" s="80"/>
      <c r="C6" s="20">
        <v>5</v>
      </c>
      <c r="D6" s="20"/>
      <c r="E6" s="20">
        <v>1.4861</v>
      </c>
      <c r="F6" s="20">
        <v>1.3835999999999999</v>
      </c>
      <c r="G6" s="21">
        <f t="shared" si="1"/>
        <v>0.10250000000000004</v>
      </c>
      <c r="H6" s="20">
        <f t="shared" si="2"/>
        <v>6.8972478298903201</v>
      </c>
      <c r="I6" s="20">
        <v>0.5665</v>
      </c>
      <c r="J6" s="20">
        <f t="shared" si="3"/>
        <v>0.81709999999999994</v>
      </c>
      <c r="K6" s="12">
        <f t="shared" si="4"/>
        <v>1.4054436421490639</v>
      </c>
      <c r="L6" s="35">
        <f t="shared" si="5"/>
        <v>92.463397509806839</v>
      </c>
      <c r="M6" s="20">
        <v>10.097</v>
      </c>
      <c r="N6" s="20">
        <v>10.401</v>
      </c>
      <c r="O6" s="20">
        <v>10.132999999999999</v>
      </c>
      <c r="P6" s="20">
        <f t="shared" si="6"/>
        <v>1064.1564833009998</v>
      </c>
      <c r="Q6" s="20">
        <f t="shared" si="7"/>
        <v>105.018897</v>
      </c>
      <c r="R6" s="20">
        <f t="shared" si="11"/>
        <v>1.3001847206795099</v>
      </c>
      <c r="S6" s="20">
        <f t="shared" si="8"/>
        <v>0.12850214673646074</v>
      </c>
      <c r="T6" s="20">
        <f t="shared" si="9"/>
        <v>7.7807375850770661</v>
      </c>
      <c r="U6" s="20">
        <v>1.7</v>
      </c>
      <c r="V6" s="20">
        <v>26.62</v>
      </c>
      <c r="W6" s="5" t="s">
        <v>68</v>
      </c>
      <c r="X6" s="5">
        <f>COUNT(T2:T6)</f>
        <v>5</v>
      </c>
      <c r="Y6" s="5"/>
      <c r="Z6" s="5"/>
      <c r="AA6" s="5"/>
      <c r="AB6" s="5"/>
      <c r="AC6" s="5"/>
      <c r="AD6" s="5"/>
      <c r="AE6" s="31"/>
      <c r="AF6" s="5"/>
      <c r="AG6" s="5"/>
      <c r="AH6" s="5"/>
      <c r="AI6" s="5"/>
      <c r="AJ6" s="5"/>
      <c r="AK6" s="5"/>
      <c r="AL6" s="5"/>
      <c r="AM6" s="5"/>
      <c r="AW6">
        <v>8</v>
      </c>
      <c r="AX6">
        <f>AE13</f>
        <v>90.464920989250942</v>
      </c>
      <c r="AY6">
        <f>AN13</f>
        <v>2.6300000000000003</v>
      </c>
      <c r="AZ6">
        <f>AO13</f>
        <v>47.556666666666672</v>
      </c>
    </row>
    <row r="7" spans="1:52" ht="21" x14ac:dyDescent="0.35">
      <c r="A7" s="79"/>
      <c r="B7" s="80" t="s">
        <v>31</v>
      </c>
      <c r="C7" s="22">
        <v>6</v>
      </c>
      <c r="D7" s="22"/>
      <c r="E7" s="22">
        <v>1.5017</v>
      </c>
      <c r="F7" s="22">
        <v>1.4841</v>
      </c>
      <c r="G7" s="23">
        <f t="shared" si="1"/>
        <v>1.760000000000006E-2</v>
      </c>
      <c r="H7" s="22">
        <f t="shared" si="2"/>
        <v>1.1720050609309489</v>
      </c>
      <c r="I7" s="22">
        <v>0.59370000000000001</v>
      </c>
      <c r="J7" s="22">
        <f t="shared" si="3"/>
        <v>0.89039999999999997</v>
      </c>
      <c r="K7" s="20">
        <f t="shared" si="4"/>
        <v>1.3834265498652292</v>
      </c>
      <c r="L7" s="35">
        <f t="shared" si="5"/>
        <v>91.014904596396647</v>
      </c>
      <c r="M7" s="22">
        <v>10.067</v>
      </c>
      <c r="N7" s="22">
        <v>10.231999999999999</v>
      </c>
      <c r="O7" s="22">
        <v>10.672000000000001</v>
      </c>
      <c r="P7" s="22">
        <f t="shared" si="6"/>
        <v>1099.2751655680001</v>
      </c>
      <c r="Q7" s="22">
        <f t="shared" si="7"/>
        <v>103.005544</v>
      </c>
      <c r="R7" s="22">
        <f t="shared" si="11"/>
        <v>1.3500714347832639</v>
      </c>
      <c r="S7" s="22">
        <f t="shared" si="8"/>
        <v>0.1334326383458454</v>
      </c>
      <c r="T7" s="22">
        <f t="shared" si="9"/>
        <v>2.4404711669289578</v>
      </c>
      <c r="U7" s="20">
        <v>1.52</v>
      </c>
      <c r="V7" s="20">
        <v>21.8</v>
      </c>
      <c r="W7" s="5" t="s">
        <v>66</v>
      </c>
      <c r="X7" s="5">
        <f>AVERAGE(E7:E12)</f>
        <v>1.5016766666666668</v>
      </c>
      <c r="Y7" s="5">
        <f t="shared" ref="Y7:AM7" si="14">AVERAGE(F7:F12)</f>
        <v>1.4749999999999999</v>
      </c>
      <c r="Z7" s="5">
        <f t="shared" si="14"/>
        <v>2.6676666666666609E-2</v>
      </c>
      <c r="AA7" s="5">
        <f t="shared" si="14"/>
        <v>1.776374716677048</v>
      </c>
      <c r="AB7" s="5">
        <f t="shared" si="14"/>
        <v>0.59066666666666656</v>
      </c>
      <c r="AC7" s="5">
        <f t="shared" si="14"/>
        <v>0.8843333333333333</v>
      </c>
      <c r="AD7" s="5">
        <f t="shared" si="14"/>
        <v>1.3843947997178712</v>
      </c>
      <c r="AE7" s="31">
        <f t="shared" si="14"/>
        <v>91.078605244596801</v>
      </c>
      <c r="AF7" s="5">
        <f t="shared" si="14"/>
        <v>10.126833333333332</v>
      </c>
      <c r="AG7" s="5">
        <f t="shared" si="14"/>
        <v>10.271500000000001</v>
      </c>
      <c r="AH7" s="5">
        <f t="shared" si="14"/>
        <v>10.631500000000001</v>
      </c>
      <c r="AI7" s="5">
        <f t="shared" si="14"/>
        <v>1105.8049537155</v>
      </c>
      <c r="AJ7" s="5">
        <f t="shared" si="14"/>
        <v>104.0175845</v>
      </c>
      <c r="AK7" s="5">
        <f t="shared" si="14"/>
        <v>1.3343261596583791</v>
      </c>
      <c r="AL7" s="5">
        <f t="shared" si="14"/>
        <v>0.131876473577622</v>
      </c>
      <c r="AM7" s="5">
        <f t="shared" si="14"/>
        <v>3.7022964408793708</v>
      </c>
      <c r="AN7" s="5">
        <f>AVERAGE(U7:U12)</f>
        <v>1.736</v>
      </c>
      <c r="AO7" s="5">
        <f>AVERAGE(V7:V12)</f>
        <v>27.248000000000001</v>
      </c>
      <c r="AW7">
        <v>12</v>
      </c>
      <c r="AX7" s="15">
        <f>AE20</f>
        <v>90.328302384954995</v>
      </c>
      <c r="AY7" s="15">
        <f>AN20</f>
        <v>2.7383333333333333</v>
      </c>
      <c r="AZ7" s="15">
        <f>AO20</f>
        <v>52.331666666666671</v>
      </c>
    </row>
    <row r="8" spans="1:52" ht="21" x14ac:dyDescent="0.35">
      <c r="A8" s="79"/>
      <c r="B8" s="80"/>
      <c r="C8" s="20">
        <v>7</v>
      </c>
      <c r="D8" s="20"/>
      <c r="E8" s="20">
        <v>1.5027999999999999</v>
      </c>
      <c r="F8" s="20">
        <v>1.4778</v>
      </c>
      <c r="G8" s="21">
        <f t="shared" si="1"/>
        <v>2.4999999999999911E-2</v>
      </c>
      <c r="H8" s="20">
        <f t="shared" si="2"/>
        <v>1.6635613521426611</v>
      </c>
      <c r="I8" s="20">
        <v>0.5948</v>
      </c>
      <c r="J8" s="20">
        <f t="shared" si="3"/>
        <v>0.88300000000000001</v>
      </c>
      <c r="K8" s="20">
        <f t="shared" si="4"/>
        <v>1.3890985277463195</v>
      </c>
      <c r="L8" s="35">
        <f t="shared" si="5"/>
        <v>91.388061035942073</v>
      </c>
      <c r="M8" s="20">
        <v>10.164999999999999</v>
      </c>
      <c r="N8" s="20">
        <v>10.425000000000001</v>
      </c>
      <c r="O8" s="20">
        <v>10.401</v>
      </c>
      <c r="P8" s="20">
        <f t="shared" si="6"/>
        <v>1102.195270125</v>
      </c>
      <c r="Q8" s="20">
        <f t="shared" si="7"/>
        <v>105.970125</v>
      </c>
      <c r="R8" s="20">
        <f t="shared" si="11"/>
        <v>1.3407787531445337</v>
      </c>
      <c r="S8" s="20">
        <f t="shared" si="8"/>
        <v>0.13251420766401795</v>
      </c>
      <c r="T8" s="20">
        <f t="shared" si="9"/>
        <v>3.5400693606283591</v>
      </c>
      <c r="U8" s="20">
        <v>1.76</v>
      </c>
      <c r="V8" s="20">
        <v>30.55</v>
      </c>
      <c r="W8" s="5" t="s">
        <v>67</v>
      </c>
      <c r="X8" s="5">
        <f>_xlfn.STDEV.S(E7:E12)</f>
        <v>9.2739779311073317E-4</v>
      </c>
      <c r="Y8" s="5">
        <f t="shared" ref="Y8:AM8" si="15">_xlfn.STDEV.S(F7:F12)</f>
        <v>6.5059972333224789E-3</v>
      </c>
      <c r="Z8" s="5">
        <f t="shared" si="15"/>
        <v>6.7856957393229956E-3</v>
      </c>
      <c r="AA8" s="5">
        <f t="shared" si="15"/>
        <v>0.45142243605327398</v>
      </c>
      <c r="AB8" s="5">
        <f t="shared" si="15"/>
        <v>4.9479962274305046E-3</v>
      </c>
      <c r="AC8" s="5">
        <f t="shared" si="15"/>
        <v>5.0606982390443049E-3</v>
      </c>
      <c r="AD8" s="5">
        <f t="shared" si="15"/>
        <v>6.0211181987358392E-3</v>
      </c>
      <c r="AE8" s="31">
        <f t="shared" si="15"/>
        <v>0.39612619728525311</v>
      </c>
      <c r="AF8" s="5">
        <f t="shared" si="15"/>
        <v>7.7049118532704283E-2</v>
      </c>
      <c r="AG8" s="5">
        <f t="shared" si="15"/>
        <v>0.17605879699691215</v>
      </c>
      <c r="AH8" s="5">
        <f t="shared" si="15"/>
        <v>0.12190939258318056</v>
      </c>
      <c r="AI8" s="5">
        <f t="shared" si="15"/>
        <v>20.89888510304262</v>
      </c>
      <c r="AJ8" s="5">
        <f t="shared" si="15"/>
        <v>1.944532739893442</v>
      </c>
      <c r="AK8" s="5">
        <f t="shared" si="15"/>
        <v>2.9258034154784375E-2</v>
      </c>
      <c r="AL8" s="5">
        <f t="shared" si="15"/>
        <v>2.8916815729180035E-3</v>
      </c>
      <c r="AM8" s="5">
        <f t="shared" si="15"/>
        <v>2.1583538596718168</v>
      </c>
      <c r="AN8" s="5">
        <f>_xlfn.STDEV.S(U7:U12)</f>
        <v>0.22634045153264118</v>
      </c>
      <c r="AO8" s="5">
        <f>_xlfn.STDEV.S(V7:V12)</f>
        <v>5.5405974407098002</v>
      </c>
      <c r="AW8">
        <v>24</v>
      </c>
      <c r="AX8">
        <f>AE27</f>
        <v>89.841415685498333</v>
      </c>
      <c r="AY8">
        <f>AN31</f>
        <v>1.4524999999999999</v>
      </c>
      <c r="AZ8">
        <f>AO31</f>
        <v>4.1169750000000001</v>
      </c>
    </row>
    <row r="9" spans="1:52" ht="21" x14ac:dyDescent="0.35">
      <c r="A9" s="79"/>
      <c r="B9" s="80"/>
      <c r="C9" s="20">
        <v>8</v>
      </c>
      <c r="D9" s="20"/>
      <c r="E9" s="20">
        <v>1.5003</v>
      </c>
      <c r="F9" s="20">
        <v>1.4775</v>
      </c>
      <c r="G9" s="21">
        <f t="shared" si="1"/>
        <v>2.2799999999999931E-2</v>
      </c>
      <c r="H9" s="20">
        <f t="shared" si="2"/>
        <v>1.5196960607878378</v>
      </c>
      <c r="I9" s="20">
        <v>0.59470000000000001</v>
      </c>
      <c r="J9" s="20">
        <f t="shared" si="3"/>
        <v>0.88280000000000003</v>
      </c>
      <c r="K9" s="20">
        <f t="shared" si="4"/>
        <v>1.3891311735387402</v>
      </c>
      <c r="L9" s="35">
        <f t="shared" si="5"/>
        <v>91.390208785443434</v>
      </c>
      <c r="M9" s="20">
        <v>10.23</v>
      </c>
      <c r="N9" s="20">
        <v>10.028</v>
      </c>
      <c r="O9" s="20">
        <v>10.661</v>
      </c>
      <c r="P9" s="20">
        <f t="shared" si="6"/>
        <v>1093.6740368400001</v>
      </c>
      <c r="Q9" s="20">
        <f t="shared" si="7"/>
        <v>102.58644000000001</v>
      </c>
      <c r="R9" s="20">
        <f t="shared" si="11"/>
        <v>1.3509509691470822</v>
      </c>
      <c r="S9" s="20">
        <f t="shared" si="8"/>
        <v>0.13351956603548945</v>
      </c>
      <c r="T9" s="20">
        <f t="shared" si="9"/>
        <v>2.7867926874800748</v>
      </c>
      <c r="U9" s="20">
        <v>1.98</v>
      </c>
      <c r="V9" s="20">
        <v>31.57</v>
      </c>
      <c r="W9" s="5" t="s">
        <v>61</v>
      </c>
      <c r="X9" s="5">
        <f>MIN(E7:E12)</f>
        <v>1.5003</v>
      </c>
      <c r="Y9" s="5">
        <f t="shared" ref="Y9:AM9" si="16">MIN(F7:F12)</f>
        <v>1.4671000000000001</v>
      </c>
      <c r="Z9" s="5">
        <f t="shared" si="16"/>
        <v>1.760000000000006E-2</v>
      </c>
      <c r="AA9" s="5">
        <f t="shared" si="16"/>
        <v>1.1720050609309489</v>
      </c>
      <c r="AB9" s="5">
        <f t="shared" si="16"/>
        <v>0.58240000000000003</v>
      </c>
      <c r="AC9" s="5">
        <f t="shared" si="16"/>
        <v>0.87600000000000011</v>
      </c>
      <c r="AD9" s="5">
        <f t="shared" si="16"/>
        <v>1.3759588886379037</v>
      </c>
      <c r="AE9" s="31">
        <f t="shared" si="16"/>
        <v>90.523611094598934</v>
      </c>
      <c r="AF9" s="5">
        <f t="shared" si="16"/>
        <v>10.048999999999999</v>
      </c>
      <c r="AG9" s="5">
        <f t="shared" si="16"/>
        <v>10.028</v>
      </c>
      <c r="AH9" s="5">
        <f t="shared" si="16"/>
        <v>10.401</v>
      </c>
      <c r="AI9" s="5">
        <f t="shared" si="16"/>
        <v>1080.582852024</v>
      </c>
      <c r="AJ9" s="5">
        <f t="shared" si="16"/>
        <v>101.807316</v>
      </c>
      <c r="AK9" s="5">
        <f t="shared" si="16"/>
        <v>1.2875787099321587</v>
      </c>
      <c r="AL9" s="5">
        <f t="shared" si="16"/>
        <v>0.12725624727536655</v>
      </c>
      <c r="AM9" s="5">
        <f t="shared" si="16"/>
        <v>0.9504110591137187</v>
      </c>
      <c r="AN9" s="5">
        <f>MIN(U7:U12)</f>
        <v>1.49</v>
      </c>
      <c r="AO9" s="5">
        <f>MIN(V7:V12)</f>
        <v>20.63</v>
      </c>
    </row>
    <row r="10" spans="1:52" ht="21" x14ac:dyDescent="0.35">
      <c r="A10" s="79"/>
      <c r="B10" s="80"/>
      <c r="C10" s="20">
        <v>9</v>
      </c>
      <c r="D10" s="20"/>
      <c r="E10" s="20">
        <v>1.5024999999999999</v>
      </c>
      <c r="F10" s="20">
        <v>1.4678</v>
      </c>
      <c r="G10" s="21">
        <f t="shared" si="1"/>
        <v>3.4699999999999953E-2</v>
      </c>
      <c r="H10" s="20">
        <f t="shared" si="2"/>
        <v>2.3094841930116443</v>
      </c>
      <c r="I10" s="20">
        <v>0.58240000000000003</v>
      </c>
      <c r="J10" s="20">
        <f t="shared" si="3"/>
        <v>0.88539999999999996</v>
      </c>
      <c r="K10" s="20">
        <f t="shared" si="4"/>
        <v>1.3759588886379037</v>
      </c>
      <c r="L10" s="35">
        <f t="shared" si="5"/>
        <v>90.523611094598934</v>
      </c>
      <c r="M10" s="20">
        <v>10.188000000000001</v>
      </c>
      <c r="N10" s="20">
        <v>10.472</v>
      </c>
      <c r="O10" s="20">
        <v>10.685</v>
      </c>
      <c r="P10" s="20">
        <f t="shared" si="6"/>
        <v>1139.96914416</v>
      </c>
      <c r="Q10" s="20">
        <f t="shared" si="7"/>
        <v>106.68873600000001</v>
      </c>
      <c r="R10" s="20">
        <f t="shared" si="11"/>
        <v>1.2875787099321587</v>
      </c>
      <c r="S10" s="20">
        <f t="shared" si="8"/>
        <v>0.12725624727536655</v>
      </c>
      <c r="T10" s="20">
        <f t="shared" si="9"/>
        <v>6.636300441427406</v>
      </c>
      <c r="U10" s="20">
        <v>1.93</v>
      </c>
      <c r="V10" s="20">
        <v>31.69</v>
      </c>
      <c r="W10" s="5" t="s">
        <v>62</v>
      </c>
      <c r="X10" s="5">
        <f>MAX(E7:E12)</f>
        <v>1.5027999999999999</v>
      </c>
      <c r="Y10" s="5">
        <f t="shared" ref="Y10:AM10" si="17">MAX(F7:F12)</f>
        <v>1.4841</v>
      </c>
      <c r="Z10" s="5">
        <f t="shared" si="17"/>
        <v>3.4699999999999953E-2</v>
      </c>
      <c r="AA10" s="5">
        <f t="shared" si="17"/>
        <v>2.3094841930116443</v>
      </c>
      <c r="AB10" s="5">
        <f t="shared" si="17"/>
        <v>0.5948</v>
      </c>
      <c r="AC10" s="5">
        <f t="shared" si="17"/>
        <v>0.89039999999999997</v>
      </c>
      <c r="AD10" s="5">
        <f t="shared" si="17"/>
        <v>1.3900605022831047</v>
      </c>
      <c r="AE10" s="31">
        <f t="shared" si="17"/>
        <v>91.451348834414787</v>
      </c>
      <c r="AF10" s="5">
        <f t="shared" si="17"/>
        <v>10.23</v>
      </c>
      <c r="AG10" s="5">
        <f t="shared" si="17"/>
        <v>10.472</v>
      </c>
      <c r="AH10" s="5">
        <f t="shared" si="17"/>
        <v>10.756</v>
      </c>
      <c r="AI10" s="5">
        <f t="shared" si="17"/>
        <v>1139.96914416</v>
      </c>
      <c r="AJ10" s="5">
        <f t="shared" si="17"/>
        <v>106.68873600000001</v>
      </c>
      <c r="AK10" s="5">
        <f t="shared" si="17"/>
        <v>1.3656518768884041</v>
      </c>
      <c r="AL10" s="5">
        <f t="shared" si="17"/>
        <v>0.13497251204668947</v>
      </c>
      <c r="AM10" s="5">
        <f t="shared" si="17"/>
        <v>6.636300441427406</v>
      </c>
      <c r="AN10" s="5">
        <f>MAX(U7:U12)</f>
        <v>1.98</v>
      </c>
      <c r="AO10" s="5">
        <f>MAX(V7:V12)</f>
        <v>31.69</v>
      </c>
      <c r="AQ10" s="82" t="s">
        <v>76</v>
      </c>
      <c r="AR10" s="82"/>
      <c r="AS10" s="82"/>
      <c r="AW10" s="78" t="s">
        <v>67</v>
      </c>
      <c r="AX10" s="78"/>
    </row>
    <row r="11" spans="1:52" ht="31.5" x14ac:dyDescent="0.35">
      <c r="A11" s="79"/>
      <c r="B11" s="80"/>
      <c r="C11" s="20">
        <v>10</v>
      </c>
      <c r="D11" s="20"/>
      <c r="E11" s="21">
        <v>1.50176</v>
      </c>
      <c r="F11" s="20">
        <v>1.4671000000000001</v>
      </c>
      <c r="G11" s="21">
        <f t="shared" si="1"/>
        <v>3.4659999999999913E-2</v>
      </c>
      <c r="H11" s="20">
        <f t="shared" si="2"/>
        <v>2.3079586618367722</v>
      </c>
      <c r="I11" s="20">
        <v>0.59109999999999996</v>
      </c>
      <c r="J11" s="20">
        <f t="shared" si="3"/>
        <v>0.87600000000000011</v>
      </c>
      <c r="K11" s="20">
        <f t="shared" si="4"/>
        <v>1.3900605022831047</v>
      </c>
      <c r="L11" s="35">
        <f t="shared" si="5"/>
        <v>91.451348834414787</v>
      </c>
      <c r="M11" s="20">
        <v>10.048999999999999</v>
      </c>
      <c r="N11" s="20">
        <v>10.353999999999999</v>
      </c>
      <c r="O11" s="20">
        <v>10.756</v>
      </c>
      <c r="P11" s="20">
        <f t="shared" si="6"/>
        <v>1119.133253576</v>
      </c>
      <c r="Q11" s="20">
        <f t="shared" si="7"/>
        <v>104.04734599999999</v>
      </c>
      <c r="R11" s="20">
        <f t="shared" si="11"/>
        <v>1.3109252140548333</v>
      </c>
      <c r="S11" s="20">
        <f t="shared" si="8"/>
        <v>0.12956367009832312</v>
      </c>
      <c r="T11" s="20">
        <f t="shared" si="9"/>
        <v>5.8597339296977085</v>
      </c>
      <c r="U11" s="20">
        <v>1.49</v>
      </c>
      <c r="V11" s="20">
        <v>20.63</v>
      </c>
      <c r="W11" s="5" t="s">
        <v>68</v>
      </c>
      <c r="X11" s="5">
        <f>COUNT(T7:T12)</f>
        <v>6</v>
      </c>
      <c r="Y11" s="5"/>
      <c r="Z11" s="5"/>
      <c r="AA11" s="5"/>
      <c r="AB11" s="5"/>
      <c r="AC11" s="5"/>
      <c r="AD11" s="5"/>
      <c r="AE11" s="31"/>
      <c r="AF11" s="5"/>
      <c r="AG11" s="5"/>
      <c r="AH11" s="5"/>
      <c r="AI11" s="5"/>
      <c r="AJ11" s="5"/>
      <c r="AK11" s="5"/>
      <c r="AL11" s="5"/>
      <c r="AM11" s="5"/>
      <c r="AQ11" s="82"/>
      <c r="AR11" s="82"/>
      <c r="AS11" s="82"/>
      <c r="AW11" t="s">
        <v>73</v>
      </c>
      <c r="AX11" t="s">
        <v>72</v>
      </c>
      <c r="AY11" s="42" t="s">
        <v>74</v>
      </c>
      <c r="AZ11" s="42" t="s">
        <v>86</v>
      </c>
    </row>
    <row r="12" spans="1:52" ht="21" x14ac:dyDescent="0.35">
      <c r="A12" s="79"/>
      <c r="B12" s="80"/>
      <c r="C12" s="5">
        <v>11</v>
      </c>
      <c r="D12" s="5"/>
      <c r="E12" s="6">
        <v>1.5009999999999999</v>
      </c>
      <c r="F12" s="5">
        <v>1.4757</v>
      </c>
      <c r="G12" s="6">
        <f t="shared" si="1"/>
        <v>2.5299999999999878E-2</v>
      </c>
      <c r="H12" s="5">
        <f t="shared" si="2"/>
        <v>1.6855429713524237</v>
      </c>
      <c r="I12" s="5">
        <v>0.58730000000000004</v>
      </c>
      <c r="J12" s="5">
        <f t="shared" si="3"/>
        <v>0.88839999999999997</v>
      </c>
      <c r="K12" s="1">
        <f t="shared" si="4"/>
        <v>1.3786931562359299</v>
      </c>
      <c r="L12" s="35">
        <f t="shared" si="5"/>
        <v>90.70349712078486</v>
      </c>
      <c r="M12" s="5">
        <v>10.061999999999999</v>
      </c>
      <c r="N12" s="5">
        <v>10.118</v>
      </c>
      <c r="O12" s="5">
        <v>10.614000000000001</v>
      </c>
      <c r="P12" s="5">
        <f t="shared" si="6"/>
        <v>1080.582852024</v>
      </c>
      <c r="Q12" s="5">
        <f t="shared" si="7"/>
        <v>101.807316</v>
      </c>
      <c r="R12" s="5">
        <f t="shared" si="11"/>
        <v>1.3656518768884041</v>
      </c>
      <c r="S12" s="5">
        <f t="shared" si="8"/>
        <v>0.13497251204668947</v>
      </c>
      <c r="T12" s="5">
        <f t="shared" si="9"/>
        <v>0.9504110591137187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31"/>
      <c r="AF12" s="5"/>
      <c r="AG12" s="5"/>
      <c r="AH12" s="5"/>
      <c r="AI12" s="5"/>
      <c r="AJ12" s="5"/>
      <c r="AK12" s="5"/>
      <c r="AL12" s="5"/>
      <c r="AM12" s="5"/>
      <c r="AQ12" s="82" t="s">
        <v>77</v>
      </c>
      <c r="AR12" s="82"/>
      <c r="AS12" s="82"/>
      <c r="AW12">
        <v>2</v>
      </c>
      <c r="AX12" s="15">
        <f>AE3</f>
        <v>1.23350300765446</v>
      </c>
      <c r="AY12" s="15">
        <f>AN3</f>
        <v>4.5825756949558441E-2</v>
      </c>
      <c r="AZ12" s="15">
        <f>AO3</f>
        <v>2.2602286020076225</v>
      </c>
    </row>
    <row r="13" spans="1:52" ht="21" x14ac:dyDescent="0.35">
      <c r="A13" s="79" t="s">
        <v>64</v>
      </c>
      <c r="B13" s="80" t="s">
        <v>56</v>
      </c>
      <c r="C13" s="7">
        <v>1</v>
      </c>
      <c r="D13" s="7"/>
      <c r="E13" s="7">
        <v>1.5028999999999999</v>
      </c>
      <c r="F13" s="7">
        <v>1.5029999999999999</v>
      </c>
      <c r="G13" s="8">
        <f t="shared" si="1"/>
        <v>9.9999999999988987E-5</v>
      </c>
      <c r="H13" s="7">
        <f t="shared" si="2"/>
        <v>6.6538026482127217E-3</v>
      </c>
      <c r="I13" s="7">
        <v>0.58409999999999995</v>
      </c>
      <c r="J13" s="7">
        <f t="shared" si="3"/>
        <v>0.91889999999999994</v>
      </c>
      <c r="K13" s="5">
        <f t="shared" si="4"/>
        <v>1.3575905974534768</v>
      </c>
      <c r="L13" s="35">
        <f t="shared" si="5"/>
        <v>89.315170885097146</v>
      </c>
      <c r="M13" s="7">
        <v>10.353999999999999</v>
      </c>
      <c r="N13" s="7">
        <v>10.212</v>
      </c>
      <c r="O13" s="7">
        <v>11.298</v>
      </c>
      <c r="P13" s="7">
        <f t="shared" si="6"/>
        <v>1194.5945723039999</v>
      </c>
      <c r="Q13" s="7">
        <f t="shared" si="7"/>
        <v>105.73504799999999</v>
      </c>
      <c r="R13" s="7">
        <f t="shared" si="11"/>
        <v>1.2581674442913149</v>
      </c>
      <c r="S13" s="7">
        <f t="shared" si="8"/>
        <v>0.12434942125828374</v>
      </c>
      <c r="T13" s="7">
        <f t="shared" si="9"/>
        <v>7.6018616076465211</v>
      </c>
      <c r="U13" s="5"/>
      <c r="V13" s="5"/>
      <c r="W13" s="5" t="s">
        <v>66</v>
      </c>
      <c r="X13" s="5">
        <f>AVERAGE(E13:E19)</f>
        <v>1.5016999999999998</v>
      </c>
      <c r="Y13" s="5">
        <f t="shared" ref="Y13:AM13" si="18">AVERAGE(F13:F19)</f>
        <v>1.5139142857142858</v>
      </c>
      <c r="Z13" s="5">
        <f t="shared" si="18"/>
        <v>1.3442857142857121E-2</v>
      </c>
      <c r="AA13" s="5">
        <f t="shared" si="18"/>
        <v>0.89552723327425254</v>
      </c>
      <c r="AB13" s="5">
        <f t="shared" si="18"/>
        <v>0.60001428571428572</v>
      </c>
      <c r="AC13" s="5">
        <f t="shared" si="18"/>
        <v>0.91389999999999993</v>
      </c>
      <c r="AD13" s="5">
        <f t="shared" si="18"/>
        <v>1.3750667990366146</v>
      </c>
      <c r="AE13" s="31">
        <f t="shared" si="18"/>
        <v>90.464920989250942</v>
      </c>
      <c r="AF13" s="5">
        <f t="shared" si="18"/>
        <v>10.319714285714285</v>
      </c>
      <c r="AG13" s="5">
        <f t="shared" si="18"/>
        <v>10.182285714285713</v>
      </c>
      <c r="AH13" s="5">
        <f t="shared" si="18"/>
        <v>10.959714285714288</v>
      </c>
      <c r="AI13" s="5">
        <f t="shared" si="18"/>
        <v>1151.690901182857</v>
      </c>
      <c r="AJ13" s="5">
        <f t="shared" si="18"/>
        <v>105.08171642857145</v>
      </c>
      <c r="AK13" s="5">
        <f t="shared" si="18"/>
        <v>1.3155198635766323</v>
      </c>
      <c r="AL13" s="5">
        <f t="shared" si="18"/>
        <v>0.13001777659385569</v>
      </c>
      <c r="AM13" s="5">
        <f t="shared" si="18"/>
        <v>4.4610695380859235</v>
      </c>
      <c r="AN13" s="5">
        <f>AVERAGE(U13:U19)</f>
        <v>2.6300000000000003</v>
      </c>
      <c r="AO13" s="5">
        <f>AVERAGE(V13:V19)</f>
        <v>47.556666666666672</v>
      </c>
      <c r="AQ13" s="82"/>
      <c r="AR13" s="82"/>
      <c r="AS13" s="82"/>
      <c r="AW13">
        <v>4</v>
      </c>
      <c r="AX13">
        <f>AE8</f>
        <v>0.39612619728525311</v>
      </c>
      <c r="AY13">
        <f>AN8</f>
        <v>0.22634045153264118</v>
      </c>
      <c r="AZ13">
        <f>AO8</f>
        <v>5.5405974407098002</v>
      </c>
    </row>
    <row r="14" spans="1:52" ht="21" x14ac:dyDescent="0.35">
      <c r="A14" s="79"/>
      <c r="B14" s="80"/>
      <c r="C14" s="5">
        <v>2</v>
      </c>
      <c r="D14" s="5"/>
      <c r="E14" s="5">
        <v>1.5016</v>
      </c>
      <c r="F14" s="5">
        <v>1.5350999999999999</v>
      </c>
      <c r="G14" s="6">
        <f>ABS(E14-F14)</f>
        <v>3.3499999999999863E-2</v>
      </c>
      <c r="H14" s="5">
        <f t="shared" si="2"/>
        <v>2.2309536494405875</v>
      </c>
      <c r="I14" s="5">
        <v>0.60260000000000002</v>
      </c>
      <c r="J14" s="5">
        <f t="shared" si="3"/>
        <v>0.93249999999999988</v>
      </c>
      <c r="K14" s="5">
        <f t="shared" si="4"/>
        <v>1.3663624664879357</v>
      </c>
      <c r="L14" s="35">
        <f t="shared" si="5"/>
        <v>89.89226753210103</v>
      </c>
      <c r="M14" s="5">
        <v>10.303000000000001</v>
      </c>
      <c r="N14" s="5">
        <v>10.25</v>
      </c>
      <c r="O14" s="5">
        <v>11.228999999999999</v>
      </c>
      <c r="P14" s="5">
        <f t="shared" si="6"/>
        <v>1185.8469667500001</v>
      </c>
      <c r="Q14" s="5">
        <f t="shared" si="7"/>
        <v>105.60575000000001</v>
      </c>
      <c r="R14" s="5">
        <f t="shared" si="11"/>
        <v>1.2945177944901125</v>
      </c>
      <c r="S14" s="5">
        <f t="shared" si="8"/>
        <v>0.12794206310437956</v>
      </c>
      <c r="T14" s="5">
        <f t="shared" si="9"/>
        <v>5.4000680189506571</v>
      </c>
      <c r="U14" s="5"/>
      <c r="V14" s="5"/>
      <c r="W14" s="5" t="s">
        <v>67</v>
      </c>
      <c r="X14" s="5">
        <f>_xlfn.STDEV.S(E13:E19)</f>
        <v>9.9331096171673973E-4</v>
      </c>
      <c r="Y14" s="5">
        <f t="shared" ref="Y14:AM14" si="19">_xlfn.STDEV.S(F13:F19)</f>
        <v>1.3562869481471413E-2</v>
      </c>
      <c r="Z14" s="5">
        <f t="shared" si="19"/>
        <v>1.293185435824486E-2</v>
      </c>
      <c r="AA14" s="5">
        <f t="shared" si="19"/>
        <v>0.86162959456895583</v>
      </c>
      <c r="AB14" s="5">
        <f t="shared" si="19"/>
        <v>8.1091365285149535E-3</v>
      </c>
      <c r="AC14" s="5">
        <f t="shared" si="19"/>
        <v>1.3726859315468605E-2</v>
      </c>
      <c r="AD14" s="5">
        <f t="shared" si="19"/>
        <v>1.2717257716993342E-2</v>
      </c>
      <c r="AE14" s="31">
        <f t="shared" si="19"/>
        <v>0.83666169190745754</v>
      </c>
      <c r="AF14" s="5">
        <f t="shared" si="19"/>
        <v>0.15675534471027769</v>
      </c>
      <c r="AG14" s="5">
        <f t="shared" si="19"/>
        <v>4.6557184500046984E-2</v>
      </c>
      <c r="AH14" s="5">
        <f t="shared" si="19"/>
        <v>0.26321012789893056</v>
      </c>
      <c r="AI14" s="5">
        <f t="shared" si="19"/>
        <v>35.437532466085784</v>
      </c>
      <c r="AJ14" s="5">
        <f t="shared" si="19"/>
        <v>1.9017299486795174</v>
      </c>
      <c r="AK14" s="5">
        <f t="shared" si="19"/>
        <v>3.9713207360847165E-2</v>
      </c>
      <c r="AL14" s="5">
        <f t="shared" si="19"/>
        <v>3.925005669188293E-3</v>
      </c>
      <c r="AM14" s="5">
        <f t="shared" si="19"/>
        <v>2.3255765067999108</v>
      </c>
      <c r="AN14" s="5">
        <f>_xlfn.STDEV.S(U13:U19)</f>
        <v>0.41073105555825629</v>
      </c>
      <c r="AO14" s="5">
        <f>_xlfn.STDEV.S(V13:V19)</f>
        <v>6.303239907645322</v>
      </c>
      <c r="AW14">
        <v>8</v>
      </c>
      <c r="AX14">
        <f>AE14</f>
        <v>0.83666169190745754</v>
      </c>
      <c r="AY14">
        <f>AN14</f>
        <v>0.41073105555825629</v>
      </c>
      <c r="AZ14">
        <f>AO14</f>
        <v>6.303239907645322</v>
      </c>
    </row>
    <row r="15" spans="1:52" ht="21" x14ac:dyDescent="0.35">
      <c r="A15" s="79"/>
      <c r="B15" s="80"/>
      <c r="C15" s="20">
        <v>3</v>
      </c>
      <c r="D15" s="20"/>
      <c r="E15" s="20">
        <v>1.5008999999999999</v>
      </c>
      <c r="F15" s="20">
        <v>1.5145</v>
      </c>
      <c r="G15" s="21">
        <f t="shared" si="1"/>
        <v>1.3600000000000056E-2</v>
      </c>
      <c r="H15" s="20">
        <f t="shared" si="2"/>
        <v>0.906122992870948</v>
      </c>
      <c r="I15" s="20">
        <v>0.60229999999999995</v>
      </c>
      <c r="J15" s="20">
        <f t="shared" si="3"/>
        <v>0.91220000000000001</v>
      </c>
      <c r="K15" s="20">
        <f t="shared" si="4"/>
        <v>1.3780256522692391</v>
      </c>
      <c r="L15" s="35">
        <f t="shared" si="5"/>
        <v>90.659582386134147</v>
      </c>
      <c r="M15" s="20">
        <v>10.236000000000001</v>
      </c>
      <c r="N15" s="20">
        <v>10.137</v>
      </c>
      <c r="O15" s="20">
        <v>10.864000000000001</v>
      </c>
      <c r="P15" s="20">
        <f t="shared" si="6"/>
        <v>1127.2739748480003</v>
      </c>
      <c r="Q15" s="20">
        <f t="shared" si="7"/>
        <v>103.76233200000001</v>
      </c>
      <c r="R15" s="20">
        <f t="shared" si="11"/>
        <v>1.3435065776305291</v>
      </c>
      <c r="S15" s="20">
        <f t="shared" si="8"/>
        <v>0.13278380881898882</v>
      </c>
      <c r="T15" s="20">
        <f t="shared" si="9"/>
        <v>2.5367382579174067</v>
      </c>
      <c r="U15" s="20">
        <v>2.92</v>
      </c>
      <c r="V15" s="20">
        <v>54.79</v>
      </c>
      <c r="W15" s="5" t="s">
        <v>61</v>
      </c>
      <c r="X15" s="5">
        <f>MIN(E13:E19)</f>
        <v>1.5</v>
      </c>
      <c r="Y15" s="5">
        <f t="shared" ref="Y15:AM15" si="20">MIN(F13:F19)</f>
        <v>1.4983</v>
      </c>
      <c r="Z15" s="5">
        <f t="shared" si="20"/>
        <v>9.9999999999988987E-5</v>
      </c>
      <c r="AA15" s="5">
        <f t="shared" si="20"/>
        <v>6.6538026482127217E-3</v>
      </c>
      <c r="AB15" s="5">
        <f t="shared" si="20"/>
        <v>0.58409999999999995</v>
      </c>
      <c r="AC15" s="5">
        <f t="shared" si="20"/>
        <v>0.89529999999999987</v>
      </c>
      <c r="AD15" s="5">
        <f t="shared" si="20"/>
        <v>1.3575905974534768</v>
      </c>
      <c r="AE15" s="31">
        <f t="shared" si="20"/>
        <v>89.315170885097146</v>
      </c>
      <c r="AF15" s="5">
        <f t="shared" si="20"/>
        <v>10.118</v>
      </c>
      <c r="AG15" s="5">
        <f t="shared" si="20"/>
        <v>10.118</v>
      </c>
      <c r="AH15" s="5">
        <f t="shared" si="20"/>
        <v>10.59</v>
      </c>
      <c r="AI15" s="5">
        <f t="shared" si="20"/>
        <v>1091.6403285600002</v>
      </c>
      <c r="AJ15" s="5">
        <f t="shared" si="20"/>
        <v>102.79888000000001</v>
      </c>
      <c r="AK15" s="5">
        <f t="shared" si="20"/>
        <v>1.2581674442913149</v>
      </c>
      <c r="AL15" s="5">
        <f t="shared" si="20"/>
        <v>0.12434942125828374</v>
      </c>
      <c r="AM15" s="5">
        <f t="shared" si="20"/>
        <v>1.1948154624004177</v>
      </c>
      <c r="AN15" s="5">
        <f>MIN(U13:U19)</f>
        <v>2.16</v>
      </c>
      <c r="AO15" s="5">
        <f>MIN(V13:V19)</f>
        <v>43.24</v>
      </c>
      <c r="AW15">
        <v>12</v>
      </c>
      <c r="AX15" s="15">
        <f>AE21</f>
        <v>0.6218378235810077</v>
      </c>
      <c r="AY15" s="15">
        <f>AN21</f>
        <v>0.16754103974847467</v>
      </c>
      <c r="AZ15" s="15">
        <f>AO21</f>
        <v>5.6496902569963838</v>
      </c>
    </row>
    <row r="16" spans="1:52" ht="21" x14ac:dyDescent="0.35">
      <c r="A16" s="79"/>
      <c r="B16" s="80"/>
      <c r="C16" s="5">
        <v>4</v>
      </c>
      <c r="D16" s="5"/>
      <c r="E16" s="5">
        <v>1.502</v>
      </c>
      <c r="F16" s="5">
        <v>1.5048999999999999</v>
      </c>
      <c r="G16" s="6">
        <f t="shared" si="1"/>
        <v>2.8999999999999027E-3</v>
      </c>
      <c r="H16" s="5">
        <f t="shared" si="2"/>
        <v>0.1930758988015914</v>
      </c>
      <c r="I16" s="5">
        <v>0.60960000000000003</v>
      </c>
      <c r="J16" s="5">
        <f t="shared" si="3"/>
        <v>0.89529999999999987</v>
      </c>
      <c r="K16" s="5">
        <f t="shared" si="4"/>
        <v>1.3951379425890764</v>
      </c>
      <c r="L16" s="35">
        <f t="shared" si="5"/>
        <v>91.785390959807657</v>
      </c>
      <c r="M16" s="5">
        <v>10.188000000000001</v>
      </c>
      <c r="N16" s="5">
        <v>10.118</v>
      </c>
      <c r="O16" s="5">
        <v>10.59</v>
      </c>
      <c r="P16" s="5">
        <f t="shared" si="6"/>
        <v>1091.6403285600002</v>
      </c>
      <c r="Q16" s="5">
        <f t="shared" si="7"/>
        <v>103.08218400000001</v>
      </c>
      <c r="R16" s="5">
        <f t="shared" si="11"/>
        <v>1.378567611170189</v>
      </c>
      <c r="S16" s="5">
        <f t="shared" si="8"/>
        <v>0.13624902264975183</v>
      </c>
      <c r="T16" s="5">
        <f t="shared" si="9"/>
        <v>1.1948154624004177</v>
      </c>
      <c r="U16" s="5"/>
      <c r="V16" s="5"/>
      <c r="W16" s="5" t="s">
        <v>62</v>
      </c>
      <c r="X16" s="5">
        <f>MAX(E13:E19)</f>
        <v>1.5028999999999999</v>
      </c>
      <c r="Y16" s="5">
        <f t="shared" ref="Y16:AM16" si="21">MAX(F13:F19)</f>
        <v>1.5350999999999999</v>
      </c>
      <c r="Z16" s="5">
        <f t="shared" si="21"/>
        <v>3.3499999999999863E-2</v>
      </c>
      <c r="AA16" s="5">
        <f t="shared" si="21"/>
        <v>2.2309536494405875</v>
      </c>
      <c r="AB16" s="5">
        <f t="shared" si="21"/>
        <v>0.60960000000000003</v>
      </c>
      <c r="AC16" s="5">
        <f t="shared" si="21"/>
        <v>0.93249999999999988</v>
      </c>
      <c r="AD16" s="5">
        <f t="shared" si="21"/>
        <v>1.3951379425890764</v>
      </c>
      <c r="AE16" s="31">
        <f t="shared" si="21"/>
        <v>91.785390959807657</v>
      </c>
      <c r="AF16" s="5">
        <f t="shared" si="21"/>
        <v>10.542999999999999</v>
      </c>
      <c r="AG16" s="5">
        <f t="shared" si="21"/>
        <v>10.25</v>
      </c>
      <c r="AH16" s="5">
        <f t="shared" si="21"/>
        <v>11.298</v>
      </c>
      <c r="AI16" s="5">
        <f t="shared" si="21"/>
        <v>1194.5945723039999</v>
      </c>
      <c r="AJ16" s="5">
        <f t="shared" si="21"/>
        <v>107.654573</v>
      </c>
      <c r="AK16" s="5">
        <f t="shared" si="21"/>
        <v>1.378567611170189</v>
      </c>
      <c r="AL16" s="5">
        <f t="shared" si="21"/>
        <v>0.13624902264975183</v>
      </c>
      <c r="AM16" s="5">
        <f t="shared" si="21"/>
        <v>7.6018616076465211</v>
      </c>
      <c r="AN16" s="5">
        <f>MAX(U13:U19)</f>
        <v>2.92</v>
      </c>
      <c r="AO16" s="5">
        <f>MAX(V13:V19)</f>
        <v>54.79</v>
      </c>
      <c r="AQ16" t="s">
        <v>78</v>
      </c>
      <c r="AW16">
        <v>24</v>
      </c>
      <c r="AX16">
        <f>AE28</f>
        <v>1.228864715054081</v>
      </c>
      <c r="AY16">
        <f>AN32</f>
        <v>0.15755951256588724</v>
      </c>
      <c r="AZ16">
        <f>AO32</f>
        <v>0.60640195896231441</v>
      </c>
    </row>
    <row r="17" spans="1:48" ht="21" x14ac:dyDescent="0.35">
      <c r="A17" s="79"/>
      <c r="B17" s="80"/>
      <c r="C17" s="5">
        <v>5</v>
      </c>
      <c r="D17" s="5"/>
      <c r="E17" s="6">
        <v>1.5019</v>
      </c>
      <c r="F17" s="5">
        <v>1.5132000000000001</v>
      </c>
      <c r="G17" s="6">
        <f t="shared" si="1"/>
        <v>1.1300000000000088E-2</v>
      </c>
      <c r="H17" s="5">
        <f t="shared" si="2"/>
        <v>0.75238031826353868</v>
      </c>
      <c r="I17" s="5">
        <v>0.5958</v>
      </c>
      <c r="J17" s="5">
        <f t="shared" si="3"/>
        <v>0.9174000000000001</v>
      </c>
      <c r="K17" s="5">
        <f t="shared" si="4"/>
        <v>1.3690385873119686</v>
      </c>
      <c r="L17" s="35">
        <f t="shared" si="5"/>
        <v>90.068328112629516</v>
      </c>
      <c r="M17" s="5">
        <v>10.542999999999999</v>
      </c>
      <c r="N17" s="5">
        <v>10.211</v>
      </c>
      <c r="O17" s="5">
        <v>10.85</v>
      </c>
      <c r="P17" s="5">
        <f t="shared" si="6"/>
        <v>1168.0521170499999</v>
      </c>
      <c r="Q17" s="5">
        <f t="shared" si="7"/>
        <v>107.654573</v>
      </c>
      <c r="R17" s="5">
        <f t="shared" si="11"/>
        <v>1.2954901394483116</v>
      </c>
      <c r="S17" s="5">
        <f t="shared" si="8"/>
        <v>0.1280381636141838</v>
      </c>
      <c r="T17" s="5">
        <f t="shared" si="9"/>
        <v>5.5205595740063442</v>
      </c>
      <c r="U17" s="5"/>
      <c r="V17" s="5"/>
      <c r="W17" s="5" t="s">
        <v>68</v>
      </c>
      <c r="X17" s="5">
        <f>COUNT(G13:G19)</f>
        <v>7</v>
      </c>
      <c r="Y17" s="5"/>
      <c r="Z17" s="5"/>
      <c r="AA17" s="5"/>
      <c r="AB17" s="5"/>
      <c r="AC17" s="5"/>
      <c r="AD17" s="5"/>
      <c r="AE17" s="31"/>
      <c r="AF17" s="5"/>
      <c r="AG17" s="5"/>
      <c r="AH17" s="5"/>
      <c r="AI17" s="5"/>
      <c r="AJ17" s="5"/>
      <c r="AK17" s="5"/>
      <c r="AL17" s="5"/>
      <c r="AM17" s="5"/>
      <c r="AQ17" t="s">
        <v>79</v>
      </c>
    </row>
    <row r="18" spans="1:48" ht="21" x14ac:dyDescent="0.35">
      <c r="A18" s="79"/>
      <c r="B18" s="80"/>
      <c r="C18" s="20">
        <v>6</v>
      </c>
      <c r="D18" s="20"/>
      <c r="E18" s="21">
        <v>1.5</v>
      </c>
      <c r="F18" s="20">
        <v>1.5284</v>
      </c>
      <c r="G18" s="21">
        <f t="shared" si="1"/>
        <v>2.8399999999999981E-2</v>
      </c>
      <c r="H18" s="20">
        <f t="shared" si="2"/>
        <v>1.893333333333332</v>
      </c>
      <c r="I18" s="20">
        <v>0.60419999999999996</v>
      </c>
      <c r="J18" s="20">
        <f t="shared" si="3"/>
        <v>0.92420000000000002</v>
      </c>
      <c r="K18" s="20">
        <f t="shared" si="4"/>
        <v>1.3726163168145422</v>
      </c>
      <c r="L18" s="35">
        <f t="shared" si="5"/>
        <v>90.303705053588303</v>
      </c>
      <c r="M18" s="20">
        <v>10.118</v>
      </c>
      <c r="N18" s="20">
        <v>10.16</v>
      </c>
      <c r="O18" s="20">
        <v>11.131</v>
      </c>
      <c r="P18" s="20">
        <f t="shared" si="6"/>
        <v>1144.2543332800001</v>
      </c>
      <c r="Q18" s="20">
        <f t="shared" si="7"/>
        <v>102.79888000000001</v>
      </c>
      <c r="R18" s="20">
        <f t="shared" si="11"/>
        <v>1.3357170303378689</v>
      </c>
      <c r="S18" s="20">
        <f t="shared" si="8"/>
        <v>0.13201393855879312</v>
      </c>
      <c r="T18" s="20">
        <f t="shared" si="9"/>
        <v>2.7248703720662624</v>
      </c>
      <c r="U18" s="20">
        <v>2.16</v>
      </c>
      <c r="V18" s="20">
        <v>43.24</v>
      </c>
      <c r="W18" s="5"/>
      <c r="X18" s="5"/>
      <c r="Y18" s="5"/>
      <c r="Z18" s="5"/>
      <c r="AA18" s="5"/>
      <c r="AB18" s="5"/>
      <c r="AC18" s="5"/>
      <c r="AD18" s="5"/>
      <c r="AE18" s="31"/>
      <c r="AF18" s="5"/>
      <c r="AG18" s="5"/>
      <c r="AH18" s="5"/>
      <c r="AI18" s="5"/>
      <c r="AJ18" s="5"/>
      <c r="AK18" s="5"/>
      <c r="AL18" s="5"/>
      <c r="AM18" s="5"/>
      <c r="AQ18" t="s">
        <v>80</v>
      </c>
    </row>
    <row r="19" spans="1:48" ht="21" x14ac:dyDescent="0.35">
      <c r="A19" s="79"/>
      <c r="B19" s="80"/>
      <c r="C19" s="20">
        <v>7</v>
      </c>
      <c r="D19" s="20"/>
      <c r="E19" s="21">
        <v>1.5025999999999999</v>
      </c>
      <c r="F19" s="20">
        <v>1.4983</v>
      </c>
      <c r="G19" s="21">
        <f t="shared" si="1"/>
        <v>4.2999999999999705E-3</v>
      </c>
      <c r="H19" s="20">
        <f t="shared" si="2"/>
        <v>0.28617063756155803</v>
      </c>
      <c r="I19" s="20">
        <v>0.60150000000000003</v>
      </c>
      <c r="J19" s="20">
        <f t="shared" si="3"/>
        <v>0.89679999999999993</v>
      </c>
      <c r="K19" s="12">
        <f t="shared" si="4"/>
        <v>1.3866960303300624</v>
      </c>
      <c r="L19" s="35">
        <f t="shared" si="5"/>
        <v>91.230001995398837</v>
      </c>
      <c r="M19" s="20">
        <v>10.496</v>
      </c>
      <c r="N19" s="20">
        <v>10.188000000000001</v>
      </c>
      <c r="O19" s="20">
        <v>10.756</v>
      </c>
      <c r="P19" s="20">
        <f t="shared" si="6"/>
        <v>1150.1740154880001</v>
      </c>
      <c r="Q19" s="20">
        <f t="shared" si="7"/>
        <v>106.93324800000001</v>
      </c>
      <c r="R19" s="20">
        <f t="shared" si="11"/>
        <v>1.3026724476680995</v>
      </c>
      <c r="S19" s="20">
        <f t="shared" si="8"/>
        <v>0.12874801815260917</v>
      </c>
      <c r="T19" s="20">
        <f t="shared" si="9"/>
        <v>6.2485734736138516</v>
      </c>
      <c r="U19" s="20">
        <v>2.81</v>
      </c>
      <c r="V19" s="20">
        <v>44.64</v>
      </c>
      <c r="W19" s="5"/>
      <c r="X19" s="5"/>
      <c r="Y19" s="5"/>
      <c r="Z19" s="5"/>
      <c r="AA19" s="5"/>
      <c r="AB19" s="5"/>
      <c r="AC19" s="5"/>
      <c r="AD19" s="5"/>
      <c r="AE19" s="31"/>
      <c r="AF19" s="5"/>
      <c r="AG19" s="5"/>
      <c r="AH19" s="5"/>
      <c r="AI19" s="5"/>
      <c r="AJ19" s="5"/>
      <c r="AK19" s="5"/>
      <c r="AL19" s="5"/>
      <c r="AM19" s="5"/>
    </row>
    <row r="20" spans="1:48" ht="21" x14ac:dyDescent="0.35">
      <c r="A20" s="79"/>
      <c r="B20" s="80" t="s">
        <v>57</v>
      </c>
      <c r="C20" s="22">
        <v>8</v>
      </c>
      <c r="D20" s="22"/>
      <c r="E20" s="22">
        <v>1.4993000000000001</v>
      </c>
      <c r="F20" s="22">
        <v>1.5296000000000001</v>
      </c>
      <c r="G20" s="23">
        <f t="shared" si="1"/>
        <v>3.0299999999999994E-2</v>
      </c>
      <c r="H20" s="22">
        <f t="shared" si="2"/>
        <v>2.0209431067831649</v>
      </c>
      <c r="I20" s="22">
        <v>0.61209999999999998</v>
      </c>
      <c r="J20" s="22">
        <f t="shared" si="3"/>
        <v>0.91750000000000009</v>
      </c>
      <c r="K20" s="20">
        <f t="shared" si="4"/>
        <v>1.383725340599455</v>
      </c>
      <c r="L20" s="35">
        <f t="shared" si="5"/>
        <v>91.034561881543084</v>
      </c>
      <c r="M20" s="22">
        <v>10.542999999999999</v>
      </c>
      <c r="N20" s="22">
        <v>10.307</v>
      </c>
      <c r="O20" s="22">
        <v>10.803000000000001</v>
      </c>
      <c r="P20" s="22">
        <f t="shared" si="6"/>
        <v>1173.9263709030001</v>
      </c>
      <c r="Q20" s="22">
        <f>M20*N20</f>
        <v>108.666701</v>
      </c>
      <c r="R20" s="22">
        <f t="shared" si="11"/>
        <v>1.302977799896778</v>
      </c>
      <c r="S20" s="22">
        <f t="shared" si="8"/>
        <v>0.12877819726198636</v>
      </c>
      <c r="T20" s="22">
        <f t="shared" si="9"/>
        <v>6.0109015756584814</v>
      </c>
      <c r="U20" s="20">
        <v>3.03</v>
      </c>
      <c r="V20" s="20">
        <v>47.33</v>
      </c>
      <c r="W20" s="5" t="s">
        <v>66</v>
      </c>
      <c r="X20" s="6">
        <f>AVERAGE(E20:E26)</f>
        <v>1.5018857142857143</v>
      </c>
      <c r="Y20" s="6">
        <f t="shared" ref="Y20:AM20" si="22">AVERAGE(F20:F26)</f>
        <v>1.5294142857142856</v>
      </c>
      <c r="Z20" s="6">
        <f t="shared" si="22"/>
        <v>2.8900000000000019E-2</v>
      </c>
      <c r="AA20" s="6">
        <f t="shared" si="22"/>
        <v>1.9235672600795546</v>
      </c>
      <c r="AB20" s="6">
        <f t="shared" si="22"/>
        <v>0.60470000000000013</v>
      </c>
      <c r="AC20" s="6">
        <f t="shared" si="22"/>
        <v>0.92471428571428582</v>
      </c>
      <c r="AD20" s="6">
        <f t="shared" si="22"/>
        <v>1.3729901962513158</v>
      </c>
      <c r="AE20" s="30">
        <f t="shared" si="22"/>
        <v>90.328302384954995</v>
      </c>
      <c r="AF20" s="6">
        <f t="shared" si="22"/>
        <v>10.450285714285714</v>
      </c>
      <c r="AG20" s="6">
        <f t="shared" si="22"/>
        <v>10.339857142857143</v>
      </c>
      <c r="AH20" s="6">
        <f t="shared" si="22"/>
        <v>10.884</v>
      </c>
      <c r="AI20" s="6">
        <f t="shared" si="22"/>
        <v>1175.4586290168572</v>
      </c>
      <c r="AJ20" s="6">
        <f t="shared" si="22"/>
        <v>108.09243957142859</v>
      </c>
      <c r="AK20" s="6">
        <f t="shared" si="22"/>
        <v>1.3020717230288441</v>
      </c>
      <c r="AL20" s="6">
        <f t="shared" si="22"/>
        <v>0.12868864627681795</v>
      </c>
      <c r="AM20" s="6">
        <f t="shared" si="22"/>
        <v>5.3442129674428829</v>
      </c>
      <c r="AN20" s="6">
        <f>AVERAGE(U20:U26)</f>
        <v>2.7383333333333333</v>
      </c>
      <c r="AO20" s="6">
        <f>AVERAGE(V20:V26)</f>
        <v>52.331666666666671</v>
      </c>
    </row>
    <row r="21" spans="1:48" ht="21" x14ac:dyDescent="0.35">
      <c r="A21" s="79"/>
      <c r="B21" s="80"/>
      <c r="C21" s="20">
        <v>9</v>
      </c>
      <c r="D21" s="20"/>
      <c r="E21" s="20">
        <v>1.5012000000000001</v>
      </c>
      <c r="F21" s="20">
        <v>1.5107999999999999</v>
      </c>
      <c r="G21" s="21">
        <f t="shared" si="1"/>
        <v>9.5999999999998309E-3</v>
      </c>
      <c r="H21" s="20">
        <f t="shared" si="2"/>
        <v>0.63948840927257067</v>
      </c>
      <c r="I21" s="20">
        <v>0.60540000000000005</v>
      </c>
      <c r="J21" s="20">
        <f t="shared" si="3"/>
        <v>0.90539999999999987</v>
      </c>
      <c r="K21" s="20">
        <f t="shared" si="4"/>
        <v>1.3849834327369119</v>
      </c>
      <c r="L21" s="35">
        <f t="shared" si="5"/>
        <v>91.117331101112626</v>
      </c>
      <c r="M21" s="20">
        <v>10.282999999999999</v>
      </c>
      <c r="N21" s="20">
        <v>10.259</v>
      </c>
      <c r="O21" s="20">
        <v>10.625</v>
      </c>
      <c r="P21" s="20">
        <f t="shared" si="6"/>
        <v>1120.8662806249999</v>
      </c>
      <c r="Q21" s="20">
        <f t="shared" si="7"/>
        <v>105.493297</v>
      </c>
      <c r="R21" s="20">
        <f t="shared" si="11"/>
        <v>1.3478860289717798</v>
      </c>
      <c r="S21" s="20">
        <f t="shared" si="8"/>
        <v>0.1332166464688456</v>
      </c>
      <c r="T21" s="20">
        <f t="shared" si="9"/>
        <v>2.7149049220914838</v>
      </c>
      <c r="U21" s="20">
        <v>2.71</v>
      </c>
      <c r="V21" s="20">
        <v>40.96</v>
      </c>
      <c r="W21" s="5" t="s">
        <v>67</v>
      </c>
      <c r="X21" s="5">
        <f>_xlfn.STDEV.S(E20:E26)</f>
        <v>1.6324098458296915E-3</v>
      </c>
      <c r="Y21" s="5">
        <f t="shared" ref="Y21:AM21" si="23">_xlfn.STDEV.S(F20:F25)</f>
        <v>1.9513115247614055E-2</v>
      </c>
      <c r="Z21" s="5">
        <f t="shared" si="23"/>
        <v>1.7079773612863485E-2</v>
      </c>
      <c r="AA21" s="5">
        <f t="shared" si="23"/>
        <v>1.1358586435399998</v>
      </c>
      <c r="AB21" s="5">
        <f t="shared" si="23"/>
        <v>9.631562697714216E-3</v>
      </c>
      <c r="AC21" s="5">
        <f t="shared" si="23"/>
        <v>1.3727150711879986E-2</v>
      </c>
      <c r="AD21" s="5">
        <f t="shared" si="23"/>
        <v>9.4519349184313158E-3</v>
      </c>
      <c r="AE21" s="31">
        <f t="shared" si="23"/>
        <v>0.6218378235810077</v>
      </c>
      <c r="AF21" s="5">
        <f t="shared" si="23"/>
        <v>0.27292343248610995</v>
      </c>
      <c r="AG21" s="5">
        <f t="shared" si="23"/>
        <v>0.17964678306796003</v>
      </c>
      <c r="AH21" s="5">
        <f t="shared" si="23"/>
        <v>0.2172182466246029</v>
      </c>
      <c r="AI21" s="5">
        <f t="shared" si="23"/>
        <v>38.044705045165259</v>
      </c>
      <c r="AJ21" s="5">
        <f t="shared" si="23"/>
        <v>4.6913850570228641</v>
      </c>
      <c r="AK21" s="5">
        <f t="shared" si="23"/>
        <v>4.6349469102293012E-2</v>
      </c>
      <c r="AL21" s="5">
        <f t="shared" si="23"/>
        <v>4.5808923801436037E-3</v>
      </c>
      <c r="AM21" s="5">
        <f t="shared" si="23"/>
        <v>3.2765798433951789</v>
      </c>
      <c r="AN21" s="5">
        <f>_xlfn.STDEV.S(U20:U25)</f>
        <v>0.16754103974847467</v>
      </c>
      <c r="AO21" s="5">
        <f>_xlfn.STDEV.S(V20:V25)</f>
        <v>5.6496902569963838</v>
      </c>
      <c r="AQ21" t="s">
        <v>89</v>
      </c>
      <c r="AS21" t="s">
        <v>90</v>
      </c>
      <c r="AT21">
        <v>5</v>
      </c>
    </row>
    <row r="22" spans="1:48" ht="21" x14ac:dyDescent="0.35">
      <c r="A22" s="79"/>
      <c r="B22" s="80"/>
      <c r="C22" s="20">
        <v>10</v>
      </c>
      <c r="D22" s="20"/>
      <c r="E22" s="20">
        <v>1.5046999999999999</v>
      </c>
      <c r="F22" s="20">
        <v>1.5502</v>
      </c>
      <c r="G22" s="21">
        <f t="shared" si="1"/>
        <v>4.5500000000000096E-2</v>
      </c>
      <c r="H22" s="20">
        <f t="shared" si="2"/>
        <v>3.0238585764604307</v>
      </c>
      <c r="I22" s="20">
        <v>0.61280000000000001</v>
      </c>
      <c r="J22" s="20">
        <f t="shared" si="3"/>
        <v>0.93740000000000001</v>
      </c>
      <c r="K22" s="20">
        <f t="shared" si="4"/>
        <v>1.3725901429485809</v>
      </c>
      <c r="L22" s="35">
        <f t="shared" si="5"/>
        <v>90.301983088722423</v>
      </c>
      <c r="M22" s="20">
        <v>10.225</v>
      </c>
      <c r="N22" s="20">
        <v>10.188000000000001</v>
      </c>
      <c r="O22" s="20">
        <v>11.085000000000001</v>
      </c>
      <c r="P22" s="20">
        <f t="shared" si="6"/>
        <v>1154.7499455000002</v>
      </c>
      <c r="Q22" s="20">
        <f t="shared" si="7"/>
        <v>104.17230000000001</v>
      </c>
      <c r="R22" s="20">
        <f t="shared" si="11"/>
        <v>1.3424551402154621</v>
      </c>
      <c r="S22" s="20">
        <f t="shared" si="8"/>
        <v>0.13267989130415714</v>
      </c>
      <c r="T22" s="20">
        <f t="shared" si="9"/>
        <v>2.2198526794367361</v>
      </c>
      <c r="U22" s="20">
        <v>2.82</v>
      </c>
      <c r="V22" s="20">
        <v>52.34</v>
      </c>
      <c r="W22" s="5" t="s">
        <v>61</v>
      </c>
      <c r="X22" s="5">
        <f>MIN(E20:E26)</f>
        <v>1.4993000000000001</v>
      </c>
      <c r="Y22" s="5">
        <f t="shared" ref="Y22:AM22" si="24">MIN(F20:F25)</f>
        <v>1.4968999999999999</v>
      </c>
      <c r="Z22" s="5">
        <f t="shared" si="24"/>
        <v>2.0000000000000018E-3</v>
      </c>
      <c r="AA22" s="5">
        <f t="shared" si="24"/>
        <v>0.13320900492873328</v>
      </c>
      <c r="AB22" s="5">
        <f t="shared" si="24"/>
        <v>0.59040000000000004</v>
      </c>
      <c r="AC22" s="5">
        <f t="shared" si="24"/>
        <v>0.89869999999999994</v>
      </c>
      <c r="AD22" s="5">
        <f t="shared" si="24"/>
        <v>1.3611424235855194</v>
      </c>
      <c r="AE22" s="31">
        <f t="shared" si="24"/>
        <v>89.548843656942068</v>
      </c>
      <c r="AF22" s="5">
        <f t="shared" si="24"/>
        <v>10.225</v>
      </c>
      <c r="AG22" s="5">
        <f t="shared" si="24"/>
        <v>10.188000000000001</v>
      </c>
      <c r="AH22" s="5">
        <f t="shared" si="24"/>
        <v>10.462</v>
      </c>
      <c r="AI22" s="5">
        <f t="shared" si="24"/>
        <v>1120.8662806249999</v>
      </c>
      <c r="AJ22" s="5">
        <f t="shared" si="24"/>
        <v>104.17230000000001</v>
      </c>
      <c r="AK22" s="5">
        <f t="shared" si="24"/>
        <v>1.2235129883084623</v>
      </c>
      <c r="AL22" s="5">
        <f t="shared" si="24"/>
        <v>0.12092439101684743</v>
      </c>
      <c r="AM22" s="5">
        <f t="shared" si="24"/>
        <v>2.2198526794367361</v>
      </c>
      <c r="AN22" s="5">
        <f>MIN(U20:U25)</f>
        <v>2.58</v>
      </c>
      <c r="AO22" s="5">
        <f>MIN(V20:V25)</f>
        <v>40.96</v>
      </c>
      <c r="AS22" t="s">
        <v>90</v>
      </c>
      <c r="AT22">
        <v>7</v>
      </c>
    </row>
    <row r="23" spans="1:48" ht="21" x14ac:dyDescent="0.35">
      <c r="A23" s="79"/>
      <c r="B23" s="80"/>
      <c r="C23" s="20">
        <v>11</v>
      </c>
      <c r="D23" s="20"/>
      <c r="E23" s="21">
        <v>1.5017</v>
      </c>
      <c r="F23" s="20">
        <v>1.4968999999999999</v>
      </c>
      <c r="G23" s="21">
        <f t="shared" si="1"/>
        <v>4.8000000000001375E-3</v>
      </c>
      <c r="H23" s="20">
        <f t="shared" si="2"/>
        <v>0.31963774389026683</v>
      </c>
      <c r="I23" s="20">
        <v>0.59819999999999995</v>
      </c>
      <c r="J23" s="20">
        <f t="shared" si="3"/>
        <v>0.89869999999999994</v>
      </c>
      <c r="K23" s="20">
        <f t="shared" si="4"/>
        <v>1.3824713475019472</v>
      </c>
      <c r="L23" s="35">
        <f t="shared" si="5"/>
        <v>90.952062335654432</v>
      </c>
      <c r="M23" s="20">
        <v>10.425000000000001</v>
      </c>
      <c r="N23" s="20">
        <v>10.282999999999999</v>
      </c>
      <c r="O23" s="20">
        <v>10.638</v>
      </c>
      <c r="P23" s="20">
        <f t="shared" si="6"/>
        <v>1140.3965254500001</v>
      </c>
      <c r="Q23" s="20">
        <f t="shared" si="7"/>
        <v>107.200275</v>
      </c>
      <c r="R23" s="20">
        <f t="shared" si="11"/>
        <v>1.3126136099102228</v>
      </c>
      <c r="S23" s="20">
        <f t="shared" si="8"/>
        <v>0.129730540611803</v>
      </c>
      <c r="T23" s="20">
        <f t="shared" si="9"/>
        <v>5.1840842641786002</v>
      </c>
      <c r="U23" s="20">
        <v>2.85</v>
      </c>
      <c r="V23" s="20">
        <v>55.82</v>
      </c>
      <c r="W23" s="5" t="s">
        <v>62</v>
      </c>
      <c r="X23" s="5">
        <f>MAX(E20:E26)</f>
        <v>1.5046999999999999</v>
      </c>
      <c r="Y23" s="5">
        <f t="shared" ref="Y23:AM23" si="25">MAX(F20:F25)</f>
        <v>1.5502</v>
      </c>
      <c r="Z23" s="5">
        <f t="shared" si="25"/>
        <v>4.5500000000000096E-2</v>
      </c>
      <c r="AA23" s="5">
        <f t="shared" si="25"/>
        <v>3.0238585764604307</v>
      </c>
      <c r="AB23" s="5">
        <f t="shared" si="25"/>
        <v>0.61280000000000001</v>
      </c>
      <c r="AC23" s="5">
        <f t="shared" si="25"/>
        <v>0.93740000000000001</v>
      </c>
      <c r="AD23" s="5">
        <f t="shared" si="25"/>
        <v>1.3849834327369119</v>
      </c>
      <c r="AE23" s="31">
        <f t="shared" si="25"/>
        <v>91.117331101112626</v>
      </c>
      <c r="AF23" s="5">
        <f t="shared" si="25"/>
        <v>10.992000000000001</v>
      </c>
      <c r="AG23" s="5">
        <f t="shared" si="25"/>
        <v>10.685</v>
      </c>
      <c r="AH23" s="5">
        <f t="shared" si="25"/>
        <v>11.085000000000001</v>
      </c>
      <c r="AI23" s="5">
        <f t="shared" si="25"/>
        <v>1228.7568782400001</v>
      </c>
      <c r="AJ23" s="5">
        <f t="shared" si="25"/>
        <v>117.44952000000002</v>
      </c>
      <c r="AK23" s="5">
        <f t="shared" si="25"/>
        <v>1.3478860289717798</v>
      </c>
      <c r="AL23" s="5">
        <f t="shared" si="25"/>
        <v>0.1332166464688456</v>
      </c>
      <c r="AM23" s="5">
        <f t="shared" si="25"/>
        <v>11.320384187962715</v>
      </c>
      <c r="AN23" s="5">
        <f>MAX(U20:U25)</f>
        <v>3.03</v>
      </c>
      <c r="AO23" s="5">
        <f>MAX(V20:V25)</f>
        <v>55.82</v>
      </c>
      <c r="AS23" t="s">
        <v>91</v>
      </c>
      <c r="AT23">
        <v>7</v>
      </c>
    </row>
    <row r="24" spans="1:48" ht="21" x14ac:dyDescent="0.35">
      <c r="A24" s="79"/>
      <c r="B24" s="80"/>
      <c r="C24" s="20">
        <v>12</v>
      </c>
      <c r="D24" s="20"/>
      <c r="E24" s="20">
        <v>1.5024</v>
      </c>
      <c r="F24" s="20">
        <v>1.5129999999999999</v>
      </c>
      <c r="G24" s="21">
        <f t="shared" si="1"/>
        <v>1.0599999999999943E-2</v>
      </c>
      <c r="H24" s="20">
        <f t="shared" si="2"/>
        <v>0.70553780617678008</v>
      </c>
      <c r="I24" s="20">
        <v>0.59040000000000004</v>
      </c>
      <c r="J24" s="20">
        <f t="shared" si="3"/>
        <v>0.92259999999999986</v>
      </c>
      <c r="K24" s="20">
        <f t="shared" si="4"/>
        <v>1.3611424235855194</v>
      </c>
      <c r="L24" s="35">
        <f t="shared" si="5"/>
        <v>89.548843656942068</v>
      </c>
      <c r="M24" s="20">
        <v>10.472</v>
      </c>
      <c r="N24" s="20">
        <v>10.445</v>
      </c>
      <c r="O24" s="20">
        <v>10.85</v>
      </c>
      <c r="P24" s="20">
        <f t="shared" si="6"/>
        <v>1186.773434</v>
      </c>
      <c r="Q24" s="20">
        <f t="shared" si="7"/>
        <v>109.38003999999999</v>
      </c>
      <c r="R24" s="20">
        <f t="shared" si="11"/>
        <v>1.2748852954185692</v>
      </c>
      <c r="S24" s="20">
        <f t="shared" si="8"/>
        <v>0.12600170937127586</v>
      </c>
      <c r="T24" s="20">
        <f t="shared" si="9"/>
        <v>6.5444780830710538</v>
      </c>
      <c r="U24" s="20">
        <v>2.58</v>
      </c>
      <c r="V24" s="20">
        <v>47.3</v>
      </c>
      <c r="W24" s="5" t="s">
        <v>68</v>
      </c>
      <c r="X24" s="5">
        <f>COUNT(T20:T26)</f>
        <v>7</v>
      </c>
      <c r="Y24" s="5"/>
      <c r="Z24" s="5"/>
      <c r="AA24" s="5"/>
      <c r="AB24" s="5"/>
      <c r="AC24" s="5"/>
      <c r="AD24" s="5"/>
      <c r="AE24" s="31"/>
      <c r="AF24" s="5"/>
      <c r="AG24" s="5"/>
      <c r="AH24" s="5"/>
      <c r="AI24" s="5"/>
      <c r="AJ24" s="5"/>
      <c r="AK24" s="5"/>
      <c r="AL24" s="5"/>
      <c r="AM24" s="5"/>
      <c r="AS24" t="s">
        <v>91</v>
      </c>
      <c r="AT24">
        <v>11</v>
      </c>
      <c r="AV24" t="s">
        <v>92</v>
      </c>
    </row>
    <row r="25" spans="1:48" ht="21" x14ac:dyDescent="0.35">
      <c r="A25" s="79"/>
      <c r="B25" s="80"/>
      <c r="C25" s="5">
        <v>13</v>
      </c>
      <c r="D25" s="5"/>
      <c r="E25" s="5">
        <v>1.5014000000000001</v>
      </c>
      <c r="F25" s="5">
        <v>1.5034000000000001</v>
      </c>
      <c r="G25" s="6">
        <f t="shared" si="1"/>
        <v>2.0000000000000018E-3</v>
      </c>
      <c r="H25" s="5">
        <f t="shared" si="2"/>
        <v>0.13320900492873328</v>
      </c>
      <c r="I25" s="5">
        <v>0.59279999999999999</v>
      </c>
      <c r="J25" s="5">
        <f t="shared" si="3"/>
        <v>0.91060000000000008</v>
      </c>
      <c r="K25" s="5">
        <f t="shared" si="4"/>
        <v>1.3703294531078409</v>
      </c>
      <c r="L25" s="35">
        <f t="shared" si="5"/>
        <v>90.153253493936901</v>
      </c>
      <c r="M25" s="5">
        <v>10.992000000000001</v>
      </c>
      <c r="N25" s="5">
        <v>10.685</v>
      </c>
      <c r="O25" s="5">
        <v>10.462</v>
      </c>
      <c r="P25" s="5">
        <f>M25*N25*O25</f>
        <v>1228.7568782400001</v>
      </c>
      <c r="Q25" s="5">
        <f>M25*N25</f>
        <v>117.44952000000002</v>
      </c>
      <c r="R25" s="5">
        <f>F25/(P25*0.001)</f>
        <v>1.2235129883084623</v>
      </c>
      <c r="S25" s="5">
        <f>R25/$M$2</f>
        <v>0.12092439101684743</v>
      </c>
      <c r="T25" s="5">
        <f>ABS(K25-R25)/((K25+R25)/2)*100</f>
        <v>11.320384187962715</v>
      </c>
      <c r="U25" s="5"/>
      <c r="V25" s="5"/>
      <c r="W25" s="5"/>
      <c r="AS25" t="s">
        <v>93</v>
      </c>
      <c r="AT25">
        <v>2</v>
      </c>
    </row>
    <row r="26" spans="1:48" ht="21" x14ac:dyDescent="0.35">
      <c r="A26" s="79"/>
      <c r="B26" s="80"/>
      <c r="C26" s="12">
        <v>14</v>
      </c>
      <c r="D26" s="12" t="s">
        <v>58</v>
      </c>
      <c r="E26" s="12">
        <v>1.5024999999999999</v>
      </c>
      <c r="F26" s="12">
        <v>1.6020000000000001</v>
      </c>
      <c r="G26" s="12">
        <f t="shared" si="1"/>
        <v>9.9500000000000144E-2</v>
      </c>
      <c r="H26" s="12">
        <f t="shared" si="2"/>
        <v>6.6222961730449352</v>
      </c>
      <c r="I26" s="12">
        <v>0.62119999999999997</v>
      </c>
      <c r="J26" s="12">
        <f t="shared" si="3"/>
        <v>0.98080000000000012</v>
      </c>
      <c r="K26" s="20">
        <f t="shared" si="4"/>
        <v>1.3556892332789559</v>
      </c>
      <c r="L26" s="35">
        <f t="shared" si="5"/>
        <v>89.190081136773415</v>
      </c>
      <c r="M26" s="12">
        <v>10.212</v>
      </c>
      <c r="N26" s="12">
        <v>10.212</v>
      </c>
      <c r="O26" s="12">
        <v>11.725</v>
      </c>
      <c r="P26" s="12">
        <f t="shared" ref="P26" si="26">M26*N26*O26</f>
        <v>1222.7409683999999</v>
      </c>
      <c r="Q26" s="12">
        <f t="shared" ref="Q26" si="27">M26*N26</f>
        <v>104.284944</v>
      </c>
      <c r="R26" s="12">
        <f t="shared" ref="R26:R30" si="28">F26/(P26*0.001)</f>
        <v>1.310171198480635</v>
      </c>
      <c r="S26" s="12">
        <f t="shared" ref="S26:S30" si="29">R26/$M$2</f>
        <v>0.12948914790281033</v>
      </c>
      <c r="T26" s="12">
        <f t="shared" ref="T26:T30" si="30">ABS(K26-R26)/((K26+R26)/2)*100</f>
        <v>3.4148850597011062</v>
      </c>
      <c r="U26" s="12">
        <v>2.44</v>
      </c>
      <c r="V26" s="12">
        <v>70.239999999999995</v>
      </c>
      <c r="W26" s="4"/>
      <c r="X26" s="4"/>
      <c r="Y26" s="4"/>
      <c r="Z26" s="4"/>
      <c r="AA26" s="4"/>
      <c r="AB26" s="4"/>
      <c r="AC26" s="4"/>
      <c r="AD26" s="4"/>
      <c r="AE26" s="33"/>
      <c r="AF26" s="4"/>
      <c r="AG26" s="4"/>
      <c r="AH26" s="4"/>
      <c r="AI26" s="4"/>
      <c r="AJ26" s="4"/>
      <c r="AK26" s="4"/>
      <c r="AL26" s="4"/>
      <c r="AM26" s="4"/>
      <c r="AN26" s="4"/>
    </row>
    <row r="27" spans="1:48" ht="21" x14ac:dyDescent="0.35">
      <c r="A27" s="79"/>
      <c r="B27" s="80" t="s">
        <v>94</v>
      </c>
      <c r="C27" s="5">
        <v>16</v>
      </c>
      <c r="D27" s="5"/>
      <c r="E27" s="5">
        <v>1.5025999999999999</v>
      </c>
      <c r="F27" s="5">
        <v>1.5102</v>
      </c>
      <c r="G27" s="6">
        <f t="shared" si="1"/>
        <v>7.6000000000000512E-3</v>
      </c>
      <c r="H27" s="5">
        <f t="shared" si="2"/>
        <v>0.50578996406229537</v>
      </c>
      <c r="I27" s="5">
        <v>0.58199999999999996</v>
      </c>
      <c r="J27" s="5">
        <f t="shared" si="3"/>
        <v>0.92820000000000003</v>
      </c>
      <c r="K27" s="5">
        <f t="shared" si="4"/>
        <v>1.3504266321913381</v>
      </c>
      <c r="L27" s="35">
        <f t="shared" si="5"/>
        <v>88.843857381009087</v>
      </c>
      <c r="M27" s="5">
        <v>11.205</v>
      </c>
      <c r="N27" s="5">
        <v>11.071999999999999</v>
      </c>
      <c r="O27" s="5">
        <v>12.971</v>
      </c>
      <c r="P27" s="5">
        <f t="shared" ref="P27:P34" si="31">M27*N27*O27</f>
        <v>1609.20508896</v>
      </c>
      <c r="Q27" s="5">
        <f t="shared" ref="Q27:Q34" si="32">M27*N27</f>
        <v>124.06175999999999</v>
      </c>
      <c r="R27" s="5">
        <f t="shared" si="28"/>
        <v>0.93847577935265836</v>
      </c>
      <c r="S27" s="5">
        <f t="shared" si="29"/>
        <v>9.2753091456084041E-2</v>
      </c>
      <c r="T27" s="5">
        <f t="shared" si="30"/>
        <v>35.995492928053245</v>
      </c>
      <c r="U27" s="5"/>
      <c r="V27" s="5"/>
      <c r="W27" s="5" t="s">
        <v>66</v>
      </c>
      <c r="X27" s="5">
        <f>AVERAGE(E27:E30)</f>
        <v>1.50075</v>
      </c>
      <c r="Y27" s="5">
        <f t="shared" ref="Y27:AM27" si="33">AVERAGE(F27:F30)</f>
        <v>1.484</v>
      </c>
      <c r="Z27" s="5">
        <f t="shared" si="33"/>
        <v>2.0550000000000013E-2</v>
      </c>
      <c r="AA27" s="5">
        <f t="shared" si="33"/>
        <v>1.3700082304674512</v>
      </c>
      <c r="AB27" s="5">
        <f t="shared" si="33"/>
        <v>0.58169999999999999</v>
      </c>
      <c r="AC27" s="5">
        <f t="shared" si="33"/>
        <v>0.90229999999999999</v>
      </c>
      <c r="AD27" s="5">
        <f t="shared" si="33"/>
        <v>1.3655895184195748</v>
      </c>
      <c r="AE27" s="31">
        <f t="shared" si="33"/>
        <v>89.841415685498333</v>
      </c>
      <c r="AF27" s="5">
        <f t="shared" si="33"/>
        <v>11.15875</v>
      </c>
      <c r="AG27" s="5">
        <f t="shared" si="33"/>
        <v>11.0915</v>
      </c>
      <c r="AH27" s="5">
        <f t="shared" si="33"/>
        <v>12.94</v>
      </c>
      <c r="AI27" s="5">
        <f t="shared" si="33"/>
        <v>1601.284603303</v>
      </c>
      <c r="AJ27" s="5">
        <f t="shared" si="33"/>
        <v>123.76180149999999</v>
      </c>
      <c r="AK27" s="5">
        <f t="shared" si="33"/>
        <v>0.92708949458469636</v>
      </c>
      <c r="AL27" s="5">
        <f t="shared" si="33"/>
        <v>9.1627742101669934E-2</v>
      </c>
      <c r="AM27" s="5">
        <f t="shared" si="33"/>
        <v>38.26358393436292</v>
      </c>
    </row>
    <row r="28" spans="1:48" ht="21" x14ac:dyDescent="0.35">
      <c r="A28" s="79"/>
      <c r="B28" s="80"/>
      <c r="C28" s="5">
        <v>17</v>
      </c>
      <c r="D28" s="5"/>
      <c r="E28" s="5">
        <v>1.5001</v>
      </c>
      <c r="F28" s="5">
        <v>1.4914000000000001</v>
      </c>
      <c r="G28" s="6">
        <f t="shared" si="1"/>
        <v>8.69999999999993E-3</v>
      </c>
      <c r="H28" s="5">
        <f t="shared" si="2"/>
        <v>0.57996133591093457</v>
      </c>
      <c r="I28" s="5">
        <v>0.58089999999999997</v>
      </c>
      <c r="J28" s="5">
        <f t="shared" si="3"/>
        <v>0.91050000000000009</v>
      </c>
      <c r="K28" s="5">
        <f t="shared" si="4"/>
        <v>1.35954091158704</v>
      </c>
      <c r="L28" s="35">
        <f t="shared" si="5"/>
        <v>89.443481025463157</v>
      </c>
      <c r="M28" s="5">
        <v>11.347</v>
      </c>
      <c r="N28" s="5">
        <v>11.063000000000001</v>
      </c>
      <c r="O28" s="5">
        <v>12.566000000000001</v>
      </c>
      <c r="P28" s="5">
        <f t="shared" si="31"/>
        <v>1577.4333653260001</v>
      </c>
      <c r="Q28" s="5">
        <f t="shared" si="32"/>
        <v>125.53186100000001</v>
      </c>
      <c r="R28" s="5">
        <f t="shared" si="28"/>
        <v>0.9454599051743654</v>
      </c>
      <c r="S28" s="5">
        <f t="shared" si="29"/>
        <v>9.3443358882621605E-2</v>
      </c>
      <c r="T28" s="5">
        <f t="shared" si="30"/>
        <v>35.928924918514412</v>
      </c>
      <c r="U28" s="5"/>
      <c r="V28" s="5"/>
      <c r="W28" s="5" t="s">
        <v>67</v>
      </c>
      <c r="X28" s="5">
        <f>_xlfn.STDEV.S(E27:E30)</f>
        <v>1.4153915830374172E-3</v>
      </c>
      <c r="Y28" s="5">
        <f t="shared" ref="Y28:AM28" si="34">_xlfn.STDEV.S(F26:F30)</f>
        <v>5.7406794023007468E-2</v>
      </c>
      <c r="Z28" s="5">
        <f t="shared" si="34"/>
        <v>3.9609253969243176E-2</v>
      </c>
      <c r="AA28" s="5">
        <f t="shared" si="34"/>
        <v>2.636624333023236</v>
      </c>
      <c r="AB28" s="5">
        <f t="shared" si="34"/>
        <v>1.8086320797774204E-2</v>
      </c>
      <c r="AC28" s="5">
        <f t="shared" si="34"/>
        <v>4.3198668960976169E-2</v>
      </c>
      <c r="AD28" s="5">
        <f t="shared" si="34"/>
        <v>1.8678743668822061E-2</v>
      </c>
      <c r="AE28" s="31">
        <f t="shared" si="34"/>
        <v>1.228864715054081</v>
      </c>
      <c r="AF28" s="5">
        <f t="shared" si="34"/>
        <v>0.45032799157947101</v>
      </c>
      <c r="AG28" s="5">
        <f t="shared" si="34"/>
        <v>0.39515984107700025</v>
      </c>
      <c r="AH28" s="5">
        <f t="shared" si="34"/>
        <v>0.59503907434722292</v>
      </c>
      <c r="AI28" s="5">
        <f t="shared" si="34"/>
        <v>170.99399159945</v>
      </c>
      <c r="AJ28" s="5">
        <f t="shared" si="34"/>
        <v>8.8090431727019904</v>
      </c>
      <c r="AK28" s="5">
        <f t="shared" si="34"/>
        <v>0.17309911556131638</v>
      </c>
      <c r="AL28" s="5">
        <f t="shared" si="34"/>
        <v>1.7108036722802557E-2</v>
      </c>
      <c r="AM28" s="5">
        <f t="shared" si="34"/>
        <v>16.049233249238011</v>
      </c>
    </row>
    <row r="29" spans="1:48" ht="21" x14ac:dyDescent="0.35">
      <c r="A29" s="79"/>
      <c r="B29" s="80"/>
      <c r="C29" s="5">
        <v>18</v>
      </c>
      <c r="D29" s="5"/>
      <c r="E29" s="5">
        <v>1.5009999999999999</v>
      </c>
      <c r="F29" s="5">
        <v>1.4863999999999999</v>
      </c>
      <c r="G29" s="6">
        <f t="shared" si="1"/>
        <v>1.4599999999999946E-2</v>
      </c>
      <c r="H29" s="5">
        <f t="shared" si="2"/>
        <v>0.97268487674883053</v>
      </c>
      <c r="I29" s="5">
        <v>0.57650000000000001</v>
      </c>
      <c r="J29" s="5">
        <f t="shared" si="3"/>
        <v>0.90989999999999993</v>
      </c>
      <c r="K29" s="5">
        <f t="shared" si="4"/>
        <v>1.3558764699417518</v>
      </c>
      <c r="L29" s="35">
        <f t="shared" si="5"/>
        <v>89.202399338273139</v>
      </c>
      <c r="M29" s="5">
        <v>10.920999999999999</v>
      </c>
      <c r="N29" s="5">
        <v>11.157</v>
      </c>
      <c r="O29" s="5">
        <v>12.978</v>
      </c>
      <c r="P29" s="5">
        <f t="shared" si="31"/>
        <v>1581.312157866</v>
      </c>
      <c r="Q29" s="5">
        <f t="shared" si="32"/>
        <v>121.845597</v>
      </c>
      <c r="R29" s="5">
        <f t="shared" si="28"/>
        <v>0.93997886034463607</v>
      </c>
      <c r="S29" s="5">
        <f t="shared" si="29"/>
        <v>9.2901646604530153E-2</v>
      </c>
      <c r="T29" s="5">
        <f t="shared" si="30"/>
        <v>36.230297624653566</v>
      </c>
      <c r="U29" s="5"/>
      <c r="V29" s="5"/>
      <c r="W29" s="5" t="s">
        <v>61</v>
      </c>
      <c r="X29" s="5">
        <f>MIN(E27:E30)</f>
        <v>1.4993000000000001</v>
      </c>
      <c r="Y29" s="5">
        <f t="shared" ref="Y29:AM29" si="35">MIN(F26:F30)</f>
        <v>1.448</v>
      </c>
      <c r="Z29" s="5">
        <f t="shared" si="35"/>
        <v>7.6000000000000512E-3</v>
      </c>
      <c r="AA29" s="5">
        <f t="shared" si="35"/>
        <v>0.50578996406229537</v>
      </c>
      <c r="AB29" s="5">
        <f t="shared" si="35"/>
        <v>0.57650000000000001</v>
      </c>
      <c r="AC29" s="5">
        <f t="shared" si="35"/>
        <v>0.86059999999999992</v>
      </c>
      <c r="AD29" s="5">
        <f t="shared" si="35"/>
        <v>1.3504266321913381</v>
      </c>
      <c r="AE29" s="31">
        <f t="shared" si="35"/>
        <v>88.843857381009087</v>
      </c>
      <c r="AF29" s="5">
        <f t="shared" si="35"/>
        <v>10.212</v>
      </c>
      <c r="AG29" s="5">
        <f t="shared" si="35"/>
        <v>10.212</v>
      </c>
      <c r="AH29" s="5">
        <f t="shared" si="35"/>
        <v>11.725</v>
      </c>
      <c r="AI29" s="5">
        <f t="shared" si="35"/>
        <v>1222.7409683999999</v>
      </c>
      <c r="AJ29" s="5">
        <f t="shared" si="35"/>
        <v>104.284944</v>
      </c>
      <c r="AK29" s="5">
        <f t="shared" si="35"/>
        <v>0.88444343346712573</v>
      </c>
      <c r="AL29" s="5">
        <f t="shared" si="35"/>
        <v>8.7412871463443925E-2</v>
      </c>
      <c r="AM29" s="5">
        <f t="shared" si="35"/>
        <v>3.4148850597011062</v>
      </c>
    </row>
    <row r="30" spans="1:48" ht="21" x14ac:dyDescent="0.35">
      <c r="A30" s="79"/>
      <c r="B30" s="80"/>
      <c r="C30" s="5">
        <v>19</v>
      </c>
      <c r="D30" s="5"/>
      <c r="E30" s="5">
        <v>1.4993000000000001</v>
      </c>
      <c r="F30" s="5">
        <v>1.448</v>
      </c>
      <c r="G30" s="6">
        <f t="shared" si="1"/>
        <v>5.1300000000000123E-2</v>
      </c>
      <c r="H30" s="5">
        <f t="shared" si="2"/>
        <v>3.421596745147744</v>
      </c>
      <c r="I30" s="5">
        <v>0.58740000000000003</v>
      </c>
      <c r="J30" s="5">
        <f t="shared" si="3"/>
        <v>0.86059999999999992</v>
      </c>
      <c r="K30" s="5">
        <f t="shared" si="4"/>
        <v>1.3965140599581687</v>
      </c>
      <c r="L30" s="35">
        <f t="shared" si="5"/>
        <v>91.875924997247935</v>
      </c>
      <c r="M30" s="5">
        <v>11.162000000000001</v>
      </c>
      <c r="N30" s="5">
        <v>11.074</v>
      </c>
      <c r="O30" s="5">
        <v>13.244999999999999</v>
      </c>
      <c r="P30" s="5">
        <f t="shared" si="31"/>
        <v>1637.1878010600001</v>
      </c>
      <c r="Q30" s="5">
        <f t="shared" si="32"/>
        <v>123.60798800000001</v>
      </c>
      <c r="R30" s="5">
        <f t="shared" si="28"/>
        <v>0.88444343346712573</v>
      </c>
      <c r="S30" s="5">
        <f t="shared" si="29"/>
        <v>8.7412871463443925E-2</v>
      </c>
      <c r="T30" s="5">
        <f t="shared" si="30"/>
        <v>44.899620266230464</v>
      </c>
      <c r="U30" s="5"/>
      <c r="V30" s="5"/>
      <c r="W30" s="1" t="s">
        <v>62</v>
      </c>
      <c r="X30" s="1">
        <f>MAX(E27:E30)</f>
        <v>1.5025999999999999</v>
      </c>
      <c r="Y30" s="1">
        <f t="shared" ref="Y30:AM30" si="36">MAX(F26:F30)</f>
        <v>1.6020000000000001</v>
      </c>
      <c r="Z30" s="1">
        <f t="shared" si="36"/>
        <v>9.9500000000000144E-2</v>
      </c>
      <c r="AA30" s="1">
        <f t="shared" si="36"/>
        <v>6.6222961730449352</v>
      </c>
      <c r="AB30" s="1">
        <f t="shared" si="36"/>
        <v>0.62119999999999997</v>
      </c>
      <c r="AC30" s="1">
        <f t="shared" si="36"/>
        <v>0.98080000000000012</v>
      </c>
      <c r="AD30" s="1">
        <f t="shared" si="36"/>
        <v>1.3965140599581687</v>
      </c>
      <c r="AE30" s="29">
        <f t="shared" si="36"/>
        <v>91.875924997247935</v>
      </c>
      <c r="AF30" s="1">
        <f t="shared" si="36"/>
        <v>11.347</v>
      </c>
      <c r="AG30" s="1">
        <f t="shared" si="36"/>
        <v>11.157</v>
      </c>
      <c r="AH30" s="1">
        <f t="shared" si="36"/>
        <v>13.244999999999999</v>
      </c>
      <c r="AI30" s="1">
        <f t="shared" si="36"/>
        <v>1637.1878010600001</v>
      </c>
      <c r="AJ30" s="1">
        <f t="shared" si="36"/>
        <v>125.53186100000001</v>
      </c>
      <c r="AK30" s="1">
        <f t="shared" si="36"/>
        <v>1.310171198480635</v>
      </c>
      <c r="AL30" s="1">
        <f t="shared" si="36"/>
        <v>0.12948914790281033</v>
      </c>
      <c r="AM30" s="1">
        <f t="shared" si="36"/>
        <v>44.899620266230464</v>
      </c>
      <c r="AN30" s="4"/>
      <c r="AO30" s="1" t="s">
        <v>68</v>
      </c>
      <c r="AP30" s="4">
        <f>COUNT(T26:T30)</f>
        <v>5</v>
      </c>
      <c r="AQ30" s="4"/>
    </row>
    <row r="31" spans="1:48" ht="21" x14ac:dyDescent="0.35">
      <c r="A31" s="79" t="s">
        <v>65</v>
      </c>
      <c r="B31" s="80" t="s">
        <v>59</v>
      </c>
      <c r="C31" s="22">
        <v>1</v>
      </c>
      <c r="D31" s="22"/>
      <c r="E31" s="22">
        <v>1.502</v>
      </c>
      <c r="F31" s="22">
        <v>1.502</v>
      </c>
      <c r="G31" s="22"/>
      <c r="H31" s="22"/>
      <c r="I31" s="22"/>
      <c r="J31" s="22"/>
      <c r="K31" s="22"/>
      <c r="L31" s="36"/>
      <c r="M31" s="22">
        <v>10.441000000000001</v>
      </c>
      <c r="N31" s="22">
        <v>10.481</v>
      </c>
      <c r="O31" s="22">
        <v>11.581</v>
      </c>
      <c r="P31" s="22">
        <f t="shared" si="31"/>
        <v>1267.3333933010001</v>
      </c>
      <c r="Q31" s="22">
        <f t="shared" si="32"/>
        <v>109.43212100000001</v>
      </c>
      <c r="R31" s="22">
        <f>F31/(P31*0.001)</f>
        <v>1.1851656461823106</v>
      </c>
      <c r="S31" s="22">
        <f>R31/$M$2</f>
        <v>0.11713437894666046</v>
      </c>
      <c r="T31" s="22">
        <f>ABS(K31-R31)/((K31+R31)/2)*100</f>
        <v>200</v>
      </c>
      <c r="U31" s="20">
        <v>1.65</v>
      </c>
      <c r="V31" s="20">
        <v>4.46</v>
      </c>
      <c r="W31" s="5" t="s">
        <v>66</v>
      </c>
      <c r="X31" s="5">
        <f>AVERAGE(E31:E34)</f>
        <v>1.5010249999999998</v>
      </c>
      <c r="Y31" s="5">
        <f t="shared" ref="Y31:AM31" si="37">AVERAGE(F31:F34)</f>
        <v>1.5010249999999998</v>
      </c>
      <c r="Z31" s="81" t="s">
        <v>71</v>
      </c>
      <c r="AA31" s="81"/>
      <c r="AB31" s="81"/>
      <c r="AC31" s="81"/>
      <c r="AD31" s="81"/>
      <c r="AE31" s="81"/>
      <c r="AF31" s="5">
        <f t="shared" si="37"/>
        <v>10.438749999999999</v>
      </c>
      <c r="AG31" s="5">
        <f t="shared" si="37"/>
        <v>10.532500000000001</v>
      </c>
      <c r="AH31" s="5">
        <f t="shared" si="37"/>
        <v>11.715499999999999</v>
      </c>
      <c r="AI31" s="5">
        <f t="shared" si="37"/>
        <v>1288.45348124825</v>
      </c>
      <c r="AJ31" s="5">
        <f t="shared" si="37"/>
        <v>109.95940850000001</v>
      </c>
      <c r="AK31" s="5">
        <f t="shared" si="37"/>
        <v>1.1662383427610936</v>
      </c>
      <c r="AL31" s="5">
        <f t="shared" si="37"/>
        <v>0.11526372235235161</v>
      </c>
      <c r="AM31" s="5">
        <f t="shared" si="37"/>
        <v>200</v>
      </c>
      <c r="AN31" s="5">
        <f>AVERAGE(U31:U34)</f>
        <v>1.4524999999999999</v>
      </c>
      <c r="AO31" s="5">
        <f>AVERAGE(V31:V34)</f>
        <v>4.1169750000000001</v>
      </c>
    </row>
    <row r="32" spans="1:48" ht="21" x14ac:dyDescent="0.35">
      <c r="A32" s="79"/>
      <c r="B32" s="80"/>
      <c r="C32" s="20">
        <v>2</v>
      </c>
      <c r="D32" s="20"/>
      <c r="E32" s="20">
        <v>1.5001</v>
      </c>
      <c r="F32" s="20">
        <v>1.5001</v>
      </c>
      <c r="G32" s="21"/>
      <c r="H32" s="20"/>
      <c r="I32" s="20"/>
      <c r="J32" s="20"/>
      <c r="K32" s="20"/>
      <c r="L32" s="35"/>
      <c r="M32" s="20">
        <v>10.26</v>
      </c>
      <c r="N32" s="20">
        <v>10.326000000000001</v>
      </c>
      <c r="O32" s="20">
        <v>11.682</v>
      </c>
      <c r="P32" s="20">
        <f t="shared" si="31"/>
        <v>1237.6466863200001</v>
      </c>
      <c r="Q32" s="20">
        <f t="shared" si="32"/>
        <v>105.94476</v>
      </c>
      <c r="R32" s="20">
        <f>F32/(P32*0.001)</f>
        <v>1.2120583495927861</v>
      </c>
      <c r="S32" s="20">
        <f>R32/$M$2</f>
        <v>0.11979228598465963</v>
      </c>
      <c r="T32" s="20">
        <f>ABS(K32-R32)/((K32+R32)/2)*100</f>
        <v>200</v>
      </c>
      <c r="U32" s="20">
        <v>1.5</v>
      </c>
      <c r="V32" s="20">
        <v>4.79</v>
      </c>
      <c r="W32" s="5" t="s">
        <v>67</v>
      </c>
      <c r="X32" s="5">
        <f>_xlfn.STDEV.S(E31:E34)</f>
        <v>8.1394102980500936E-4</v>
      </c>
      <c r="Y32" s="5">
        <f t="shared" ref="Y32:AM32" si="38">_xlfn.STDEV.S(F31:F34)</f>
        <v>8.1394102980500936E-4</v>
      </c>
      <c r="Z32" s="80"/>
      <c r="AA32" s="80"/>
      <c r="AB32" s="80"/>
      <c r="AC32" s="80"/>
      <c r="AD32" s="80"/>
      <c r="AE32" s="80"/>
      <c r="AF32" s="5">
        <f t="shared" si="38"/>
        <v>0.16571134541726509</v>
      </c>
      <c r="AG32" s="5">
        <f t="shared" si="38"/>
        <v>0.16307155893451589</v>
      </c>
      <c r="AH32" s="5">
        <f t="shared" si="38"/>
        <v>0.15221147569527499</v>
      </c>
      <c r="AI32" s="5">
        <f t="shared" si="38"/>
        <v>49.182045472934938</v>
      </c>
      <c r="AJ32" s="5">
        <f t="shared" si="38"/>
        <v>3.1279544223417046</v>
      </c>
      <c r="AK32" s="5">
        <f t="shared" si="38"/>
        <v>4.3893877204009779E-2</v>
      </c>
      <c r="AL32" s="5">
        <f t="shared" si="38"/>
        <v>4.3381969958499467E-3</v>
      </c>
      <c r="AM32" s="5">
        <f t="shared" si="38"/>
        <v>0</v>
      </c>
      <c r="AN32" s="5">
        <f>_xlfn.STDEV.S(U31:U34)</f>
        <v>0.15755951256588724</v>
      </c>
      <c r="AO32" s="5">
        <f>_xlfn.STDEV.S(V31:V34)</f>
        <v>0.60640195896231441</v>
      </c>
    </row>
    <row r="33" spans="1:41" ht="21" x14ac:dyDescent="0.35">
      <c r="A33" s="79"/>
      <c r="B33" s="80"/>
      <c r="C33" s="20">
        <v>3</v>
      </c>
      <c r="D33" s="20"/>
      <c r="E33" s="20">
        <v>1.5006999999999999</v>
      </c>
      <c r="F33" s="20">
        <v>1.5006999999999999</v>
      </c>
      <c r="G33" s="21"/>
      <c r="H33" s="20"/>
      <c r="I33" s="20"/>
      <c r="J33" s="20"/>
      <c r="K33" s="20"/>
      <c r="L33" s="35"/>
      <c r="M33" s="20">
        <v>10.659000000000001</v>
      </c>
      <c r="N33" s="20">
        <v>10.637</v>
      </c>
      <c r="O33" s="20">
        <v>11.933999999999999</v>
      </c>
      <c r="P33" s="20">
        <f t="shared" si="31"/>
        <v>1353.0743303220002</v>
      </c>
      <c r="Q33" s="20">
        <f t="shared" si="32"/>
        <v>113.37978300000002</v>
      </c>
      <c r="R33" s="20">
        <f>F33/(P33*0.001)</f>
        <v>1.1091038876207697</v>
      </c>
      <c r="S33" s="20">
        <f>R33/$M$2</f>
        <v>0.10961690923312609</v>
      </c>
      <c r="T33" s="20">
        <f>ABS(K33-R33)/((K33+R33)/2)*100</f>
        <v>200</v>
      </c>
      <c r="U33" s="20">
        <v>1.37</v>
      </c>
      <c r="V33" s="51">
        <v>3.6993999999999998</v>
      </c>
      <c r="W33" s="5" t="s">
        <v>61</v>
      </c>
      <c r="X33" s="5">
        <f>MIN(E31:E34)</f>
        <v>1.5001</v>
      </c>
      <c r="Y33" s="5">
        <f t="shared" ref="Y33:AM33" si="39">MIN(F31:F34)</f>
        <v>1.5001</v>
      </c>
      <c r="Z33" s="80"/>
      <c r="AA33" s="80"/>
      <c r="AB33" s="80"/>
      <c r="AC33" s="80"/>
      <c r="AD33" s="80"/>
      <c r="AE33" s="80"/>
      <c r="AF33" s="5">
        <f t="shared" si="39"/>
        <v>10.26</v>
      </c>
      <c r="AG33" s="5">
        <f t="shared" si="39"/>
        <v>10.326000000000001</v>
      </c>
      <c r="AH33" s="5">
        <f t="shared" si="39"/>
        <v>11.581</v>
      </c>
      <c r="AI33" s="5">
        <f t="shared" si="39"/>
        <v>1237.6466863200001</v>
      </c>
      <c r="AJ33" s="5">
        <f t="shared" si="39"/>
        <v>105.94476</v>
      </c>
      <c r="AK33" s="5">
        <f t="shared" si="39"/>
        <v>1.1091038876207697</v>
      </c>
      <c r="AL33" s="5">
        <f t="shared" si="39"/>
        <v>0.10961690923312609</v>
      </c>
      <c r="AM33" s="5">
        <f t="shared" si="39"/>
        <v>200</v>
      </c>
      <c r="AN33" s="5">
        <f>MIN(U31:U34)</f>
        <v>1.29</v>
      </c>
      <c r="AO33" s="5">
        <f>MIN(V31:V34)</f>
        <v>3.5185</v>
      </c>
    </row>
    <row r="34" spans="1:41" ht="21" x14ac:dyDescent="0.35">
      <c r="A34" s="79"/>
      <c r="B34" s="80"/>
      <c r="C34" s="20">
        <v>5</v>
      </c>
      <c r="D34" s="20"/>
      <c r="E34" s="21">
        <v>1.5013000000000001</v>
      </c>
      <c r="F34" s="21">
        <v>1.5013000000000001</v>
      </c>
      <c r="G34" s="21"/>
      <c r="H34" s="20"/>
      <c r="I34" s="20"/>
      <c r="J34" s="20"/>
      <c r="K34" s="20"/>
      <c r="L34" s="35"/>
      <c r="M34" s="20">
        <v>10.395</v>
      </c>
      <c r="N34" s="20">
        <v>10.686</v>
      </c>
      <c r="O34" s="20">
        <v>11.664999999999999</v>
      </c>
      <c r="P34" s="20">
        <f t="shared" si="31"/>
        <v>1295.7595150499999</v>
      </c>
      <c r="Q34" s="20">
        <f t="shared" si="32"/>
        <v>111.08096999999999</v>
      </c>
      <c r="R34" s="20">
        <f>F34/(P34*0.001)</f>
        <v>1.1586254876485078</v>
      </c>
      <c r="S34" s="20">
        <f>R34/$M$2</f>
        <v>0.11451131524496025</v>
      </c>
      <c r="T34" s="20">
        <f>ABS(K34-R34)/((K34+R34)/2)*100</f>
        <v>200</v>
      </c>
      <c r="U34" s="20">
        <v>1.29</v>
      </c>
      <c r="V34" s="51">
        <v>3.5185</v>
      </c>
      <c r="W34" s="5" t="s">
        <v>62</v>
      </c>
      <c r="X34" s="5">
        <f>MAX(E31:E34)</f>
        <v>1.502</v>
      </c>
      <c r="Y34" s="5">
        <f t="shared" ref="Y34:AM34" si="40">MAX(F31:F34)</f>
        <v>1.502</v>
      </c>
      <c r="Z34" s="80"/>
      <c r="AA34" s="80"/>
      <c r="AB34" s="80"/>
      <c r="AC34" s="80"/>
      <c r="AD34" s="80"/>
      <c r="AE34" s="80"/>
      <c r="AF34" s="5">
        <f t="shared" si="40"/>
        <v>10.659000000000001</v>
      </c>
      <c r="AG34" s="5">
        <f t="shared" si="40"/>
        <v>10.686</v>
      </c>
      <c r="AH34" s="5">
        <f t="shared" si="40"/>
        <v>11.933999999999999</v>
      </c>
      <c r="AI34" s="5">
        <f t="shared" si="40"/>
        <v>1353.0743303220002</v>
      </c>
      <c r="AJ34" s="5">
        <f t="shared" si="40"/>
        <v>113.37978300000002</v>
      </c>
      <c r="AK34" s="5">
        <f t="shared" si="40"/>
        <v>1.2120583495927861</v>
      </c>
      <c r="AL34" s="5">
        <f t="shared" si="40"/>
        <v>0.11979228598465963</v>
      </c>
      <c r="AM34" s="5">
        <f t="shared" si="40"/>
        <v>200</v>
      </c>
      <c r="AN34" s="5">
        <f>MAX(U31:U34)</f>
        <v>1.65</v>
      </c>
      <c r="AO34" s="5">
        <f>MAX(V31:V34)</f>
        <v>4.79</v>
      </c>
    </row>
    <row r="35" spans="1:41" ht="21" x14ac:dyDescent="0.35">
      <c r="B35" s="11"/>
      <c r="C35" s="5"/>
      <c r="D35" s="5"/>
      <c r="E35" s="6"/>
      <c r="F35" s="5"/>
      <c r="G35" s="6"/>
      <c r="H35" s="5"/>
      <c r="I35" s="5"/>
      <c r="J35" s="5"/>
      <c r="K35" s="5"/>
      <c r="L35" s="35"/>
      <c r="M35" s="5"/>
      <c r="N35" s="5"/>
      <c r="O35" s="5"/>
      <c r="P35" s="5"/>
      <c r="Q35" s="5"/>
      <c r="R35" s="5"/>
      <c r="S35" s="5"/>
      <c r="T35" s="5"/>
      <c r="U35" s="5"/>
      <c r="V35" s="5" t="s">
        <v>75</v>
      </c>
      <c r="W35" s="5" t="s">
        <v>68</v>
      </c>
      <c r="X35">
        <f>COUNT(T31:T34)</f>
        <v>4</v>
      </c>
    </row>
    <row r="36" spans="1:41" ht="21" x14ac:dyDescent="0.35">
      <c r="B36" s="11"/>
      <c r="C36" s="5"/>
      <c r="D36" s="5"/>
      <c r="E36" s="6"/>
      <c r="F36" s="5"/>
      <c r="G36" s="6"/>
      <c r="H36" s="5"/>
      <c r="I36" s="5"/>
      <c r="J36" s="5"/>
      <c r="K36" s="5"/>
      <c r="L36" s="35"/>
      <c r="M36" s="5"/>
      <c r="N36" s="5"/>
      <c r="O36" s="5"/>
      <c r="P36" s="5"/>
      <c r="Q36" s="5"/>
      <c r="R36" s="5"/>
      <c r="S36" s="5"/>
      <c r="T36" s="5"/>
      <c r="U36" s="5"/>
      <c r="W36" s="5"/>
    </row>
  </sheetData>
  <mergeCells count="14">
    <mergeCell ref="AW2:AX2"/>
    <mergeCell ref="AW10:AX10"/>
    <mergeCell ref="A31:A34"/>
    <mergeCell ref="B31:B34"/>
    <mergeCell ref="Z31:AE34"/>
    <mergeCell ref="AQ10:AS11"/>
    <mergeCell ref="AQ12:AS13"/>
    <mergeCell ref="B2:B6"/>
    <mergeCell ref="B7:B12"/>
    <mergeCell ref="A2:A12"/>
    <mergeCell ref="B13:B19"/>
    <mergeCell ref="B20:B26"/>
    <mergeCell ref="B27:B30"/>
    <mergeCell ref="A13:A3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EBBE-6C16-441B-84AC-3B298BC56592}">
  <dimension ref="A1:AL38"/>
  <sheetViews>
    <sheetView topLeftCell="A3" workbookViewId="0">
      <selection activeCell="L13" sqref="L13"/>
    </sheetView>
  </sheetViews>
  <sheetFormatPr defaultRowHeight="15" x14ac:dyDescent="0.25"/>
  <cols>
    <col min="3" max="3" width="17.28515625" customWidth="1"/>
    <col min="4" max="4" width="17.140625" customWidth="1"/>
    <col min="5" max="5" width="13" customWidth="1"/>
    <col min="7" max="7" width="14.42578125" customWidth="1"/>
    <col min="8" max="8" width="15.140625" customWidth="1"/>
    <col min="11" max="13" width="9.28515625" customWidth="1"/>
    <col min="24" max="24" width="14.42578125" customWidth="1"/>
    <col min="25" max="25" width="12" customWidth="1"/>
    <col min="26" max="26" width="13.5703125" customWidth="1"/>
    <col min="27" max="27" width="12.5703125" customWidth="1"/>
    <col min="28" max="28" width="15.140625" customWidth="1"/>
    <col min="29" max="29" width="13.85546875" customWidth="1"/>
  </cols>
  <sheetData>
    <row r="1" spans="1:38" ht="49.5" x14ac:dyDescent="0.65">
      <c r="A1" s="66" t="s">
        <v>106</v>
      </c>
      <c r="I1" t="s">
        <v>1</v>
      </c>
      <c r="L1" t="s">
        <v>2</v>
      </c>
      <c r="U1" t="s">
        <v>3</v>
      </c>
      <c r="V1" t="s">
        <v>4</v>
      </c>
    </row>
    <row r="2" spans="1:38" x14ac:dyDescent="0.25">
      <c r="I2">
        <v>0.83</v>
      </c>
      <c r="K2" t="s">
        <v>5</v>
      </c>
      <c r="L2" s="67">
        <v>1.4696800000000001</v>
      </c>
      <c r="M2" t="s">
        <v>5</v>
      </c>
      <c r="U2">
        <f>(PI()/4 )*80^2</f>
        <v>5026.5482457436692</v>
      </c>
      <c r="V2">
        <f>10^2</f>
        <v>100</v>
      </c>
    </row>
    <row r="3" spans="1:38" ht="294" x14ac:dyDescent="0.35">
      <c r="A3" s="1" t="s">
        <v>6</v>
      </c>
      <c r="B3" s="2" t="s">
        <v>7</v>
      </c>
      <c r="C3" s="1" t="s">
        <v>8</v>
      </c>
      <c r="D3" s="13" t="s">
        <v>9</v>
      </c>
      <c r="E3" s="2" t="s">
        <v>10</v>
      </c>
      <c r="F3" s="1" t="s">
        <v>11</v>
      </c>
      <c r="G3" s="14" t="s">
        <v>12</v>
      </c>
      <c r="H3" s="2" t="s">
        <v>13</v>
      </c>
      <c r="I3" s="2" t="s">
        <v>14</v>
      </c>
      <c r="J3" s="1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2" t="s">
        <v>40</v>
      </c>
      <c r="Y3" s="2" t="s">
        <v>41</v>
      </c>
      <c r="Z3" s="2" t="s">
        <v>42</v>
      </c>
      <c r="AA3" s="2" t="s">
        <v>98</v>
      </c>
      <c r="AB3" s="2" t="s">
        <v>44</v>
      </c>
      <c r="AC3" s="2" t="s">
        <v>99</v>
      </c>
    </row>
    <row r="4" spans="1:38" ht="21" x14ac:dyDescent="0.35">
      <c r="A4" s="5">
        <v>1</v>
      </c>
      <c r="B4" s="5" t="s">
        <v>107</v>
      </c>
      <c r="C4" s="5">
        <v>1.5027999999999999</v>
      </c>
      <c r="D4" s="5">
        <v>1.3757999999999999</v>
      </c>
      <c r="E4" s="6">
        <f t="shared" ref="E4:E36" si="0">ABS(C4-D4)</f>
        <v>0.127</v>
      </c>
      <c r="F4" s="5">
        <f t="shared" ref="F4:F36" si="1">E4/C4*100</f>
        <v>8.4508916688847489</v>
      </c>
      <c r="G4" s="5">
        <v>0.59219999999999995</v>
      </c>
      <c r="H4" s="5">
        <f t="shared" ref="H4:H36" si="2">ABS(D4-G4)</f>
        <v>0.78359999999999996</v>
      </c>
      <c r="I4" s="5">
        <f t="shared" ref="I4:I10" si="3">D4*$I$2/H4</f>
        <v>1.4572664624808576</v>
      </c>
      <c r="J4" s="5">
        <f t="shared" ref="J4:J10" si="4">I4/$L$2</f>
        <v>0.99155357797674148</v>
      </c>
      <c r="K4" s="5">
        <v>10.09</v>
      </c>
      <c r="L4" s="5">
        <v>10.06</v>
      </c>
      <c r="M4" s="5">
        <v>9.2799999999999994</v>
      </c>
      <c r="N4" s="5">
        <f t="shared" ref="N4:N36" si="5">K4*L4*M4</f>
        <v>941.97011199999997</v>
      </c>
      <c r="O4" s="5">
        <f t="shared" ref="O4:O36" si="6">K4*L4</f>
        <v>101.50540000000001</v>
      </c>
      <c r="P4" s="5">
        <f t="shared" ref="P4:P36" si="7">D4/(N4*0.001)</f>
        <v>1.4605558950048725</v>
      </c>
      <c r="Q4" s="5">
        <f t="shared" ref="Q4:Q36" si="8">P4/$L$2</f>
        <v>0.99379177440318467</v>
      </c>
      <c r="R4" s="5">
        <f t="shared" ref="R4:R36" si="9">ABS(I4-P4)/((I4+P4)/2)*100</f>
        <v>0.22547174714566295</v>
      </c>
      <c r="S4" s="5"/>
      <c r="T4" s="5"/>
      <c r="U4" s="5"/>
      <c r="V4" s="5"/>
      <c r="W4" s="5"/>
      <c r="X4" s="5">
        <v>1.3764000000000001</v>
      </c>
      <c r="Y4" s="5">
        <v>0</v>
      </c>
      <c r="Z4" s="5">
        <f>Y4+X4</f>
        <v>1.3764000000000001</v>
      </c>
      <c r="AA4" s="5">
        <f>Y4/Z4*100</f>
        <v>0</v>
      </c>
      <c r="AB4" s="5">
        <f>C4-Z4</f>
        <v>0.12639999999999985</v>
      </c>
      <c r="AC4" s="5">
        <f>AB4/C4*100</f>
        <v>8.4109661964333142</v>
      </c>
      <c r="AE4">
        <f>AVERAGEIFS(AA4:AA10,AA4:AA10,"&lt;&gt;0")</f>
        <v>1.0235928810505122</v>
      </c>
      <c r="AF4">
        <f>AVERAGE(AC4:AC10)</f>
        <v>7.2136828190321642</v>
      </c>
      <c r="AH4" s="69">
        <f>AVERAGE(D4:D10)</f>
        <v>1.3893285714285715</v>
      </c>
      <c r="AI4" s="69">
        <f>AVERAGE(G4:G10)</f>
        <v>0.57579999999999998</v>
      </c>
      <c r="AJ4" s="69">
        <f>AVERAGE(H4:H10)</f>
        <v>0.81352857142857149</v>
      </c>
      <c r="AK4" s="69">
        <f>AVERAGE(I4:I10)</f>
        <v>1.4180560982766668</v>
      </c>
      <c r="AL4" s="69">
        <f>AVERAGE(J4:J10)</f>
        <v>0.96487405304329299</v>
      </c>
    </row>
    <row r="5" spans="1:38" ht="21" x14ac:dyDescent="0.35">
      <c r="A5" s="5">
        <v>2</v>
      </c>
      <c r="B5" s="5"/>
      <c r="C5" s="5">
        <v>1.5004</v>
      </c>
      <c r="D5" s="5">
        <v>1.3776999999999999</v>
      </c>
      <c r="E5" s="6">
        <f t="shared" si="0"/>
        <v>0.12270000000000003</v>
      </c>
      <c r="F5" s="5">
        <f t="shared" si="1"/>
        <v>8.1778192482004819</v>
      </c>
      <c r="G5" s="5">
        <v>0.58379999999999999</v>
      </c>
      <c r="H5" s="5">
        <f t="shared" si="2"/>
        <v>0.79389999999999994</v>
      </c>
      <c r="I5" s="5">
        <f t="shared" si="3"/>
        <v>1.4403463912331527</v>
      </c>
      <c r="J5" s="5">
        <f t="shared" si="4"/>
        <v>0.98004081924851161</v>
      </c>
      <c r="K5" s="5">
        <v>10.18</v>
      </c>
      <c r="L5" s="5">
        <v>10.1</v>
      </c>
      <c r="M5" s="5">
        <v>9.42</v>
      </c>
      <c r="N5" s="5">
        <f t="shared" si="5"/>
        <v>968.54556000000002</v>
      </c>
      <c r="O5" s="5">
        <f t="shared" si="6"/>
        <v>102.818</v>
      </c>
      <c r="P5" s="5">
        <f t="shared" si="7"/>
        <v>1.4224421203273079</v>
      </c>
      <c r="Q5" s="5">
        <f t="shared" si="8"/>
        <v>0.96785839116495276</v>
      </c>
      <c r="R5" s="5">
        <f t="shared" si="9"/>
        <v>1.2508273547657527</v>
      </c>
      <c r="S5" s="5"/>
      <c r="T5" s="5"/>
      <c r="U5" s="5"/>
      <c r="V5" s="5"/>
      <c r="W5" s="5"/>
      <c r="X5" s="5">
        <v>1.3773</v>
      </c>
      <c r="Y5" s="5">
        <v>0</v>
      </c>
      <c r="Z5" s="5">
        <f t="shared" ref="Z5:Z35" si="10">Y5+X5</f>
        <v>1.3773</v>
      </c>
      <c r="AA5" s="5">
        <f t="shared" ref="AA5:AA35" si="11">Y5/Z5*100</f>
        <v>0</v>
      </c>
      <c r="AB5" s="5">
        <f t="shared" ref="AB5:AB36" si="12">C5-Z5</f>
        <v>0.12309999999999999</v>
      </c>
      <c r="AC5" s="5">
        <f t="shared" ref="AC5:AC35" si="13">AB5/C5*100</f>
        <v>8.2044788056518261</v>
      </c>
      <c r="AE5">
        <f>_xlfn.STDEV.S(AA6:AA8,AA10)</f>
        <v>1.100008460946815</v>
      </c>
      <c r="AF5">
        <f>_xlfn.STDEV.S(AC4:AC10)</f>
        <v>1.3526751889612676</v>
      </c>
      <c r="AH5" s="69"/>
      <c r="AI5" s="69"/>
      <c r="AJ5" s="69"/>
      <c r="AK5" s="69"/>
      <c r="AL5" s="69"/>
    </row>
    <row r="6" spans="1:38" ht="21" x14ac:dyDescent="0.35">
      <c r="A6" s="5">
        <v>3</v>
      </c>
      <c r="B6" s="5" t="s">
        <v>108</v>
      </c>
      <c r="C6" s="5">
        <v>1.5004999999999999</v>
      </c>
      <c r="D6" s="5">
        <v>1.3683000000000001</v>
      </c>
      <c r="E6" s="6">
        <f t="shared" si="0"/>
        <v>0.13219999999999987</v>
      </c>
      <c r="F6" s="5">
        <f t="shared" si="1"/>
        <v>8.8103965344884969</v>
      </c>
      <c r="G6" s="5">
        <v>0.54920000000000002</v>
      </c>
      <c r="H6" s="5">
        <f t="shared" si="2"/>
        <v>0.81910000000000005</v>
      </c>
      <c r="I6" s="5">
        <f t="shared" si="3"/>
        <v>1.3865083628372603</v>
      </c>
      <c r="J6" s="5">
        <f t="shared" si="4"/>
        <v>0.94340833571747607</v>
      </c>
      <c r="K6" s="5"/>
      <c r="L6" s="5"/>
      <c r="M6" s="5"/>
      <c r="N6" s="5">
        <f t="shared" si="5"/>
        <v>0</v>
      </c>
      <c r="O6" s="5">
        <f t="shared" si="6"/>
        <v>0</v>
      </c>
      <c r="P6" s="5" t="e">
        <f t="shared" si="7"/>
        <v>#DIV/0!</v>
      </c>
      <c r="Q6" s="5" t="e">
        <f t="shared" si="8"/>
        <v>#DIV/0!</v>
      </c>
      <c r="R6" s="5" t="e">
        <f t="shared" si="9"/>
        <v>#DIV/0!</v>
      </c>
      <c r="S6" s="5"/>
      <c r="T6" s="5"/>
      <c r="U6" s="5"/>
      <c r="V6" s="5"/>
      <c r="W6" s="5"/>
      <c r="X6" s="5">
        <v>1.3685</v>
      </c>
      <c r="Y6" s="5">
        <v>1.04E-2</v>
      </c>
      <c r="Z6" s="5">
        <f t="shared" si="10"/>
        <v>1.3789</v>
      </c>
      <c r="AA6" s="5">
        <f t="shared" si="11"/>
        <v>0.75422438175357165</v>
      </c>
      <c r="AB6" s="5">
        <f t="shared" si="12"/>
        <v>0.12159999999999993</v>
      </c>
      <c r="AC6" s="5">
        <f t="shared" si="13"/>
        <v>8.1039653448850331</v>
      </c>
      <c r="AH6" s="69"/>
      <c r="AI6" s="69"/>
      <c r="AJ6" s="69"/>
      <c r="AK6" s="69"/>
      <c r="AL6" s="69"/>
    </row>
    <row r="7" spans="1:38" ht="21" x14ac:dyDescent="0.35">
      <c r="A7" s="5">
        <v>4</v>
      </c>
      <c r="B7" s="5"/>
      <c r="C7" s="5">
        <v>1.4998</v>
      </c>
      <c r="D7" s="5">
        <v>1.3829</v>
      </c>
      <c r="E7" s="6">
        <f t="shared" si="0"/>
        <v>0.1169</v>
      </c>
      <c r="F7" s="5">
        <f t="shared" si="1"/>
        <v>7.7943725830110679</v>
      </c>
      <c r="G7" s="5">
        <v>0.58489999999999998</v>
      </c>
      <c r="H7" s="5">
        <f t="shared" si="2"/>
        <v>0.79800000000000004</v>
      </c>
      <c r="I7" s="5">
        <f t="shared" si="3"/>
        <v>1.4383546365914786</v>
      </c>
      <c r="J7" s="5">
        <f t="shared" si="4"/>
        <v>0.97868558910203474</v>
      </c>
      <c r="K7" s="5">
        <v>10.050000000000001</v>
      </c>
      <c r="L7" s="5">
        <v>9.9600000000000009</v>
      </c>
      <c r="M7" s="5">
        <v>9.25</v>
      </c>
      <c r="N7" s="5">
        <f t="shared" si="5"/>
        <v>925.90650000000016</v>
      </c>
      <c r="O7" s="5">
        <f t="shared" si="6"/>
        <v>100.09800000000001</v>
      </c>
      <c r="P7" s="5">
        <f t="shared" si="7"/>
        <v>1.4935633349587671</v>
      </c>
      <c r="Q7" s="5">
        <f t="shared" si="8"/>
        <v>1.0162507042068798</v>
      </c>
      <c r="R7" s="5">
        <f t="shared" si="9"/>
        <v>3.766046588138146</v>
      </c>
      <c r="S7" s="5"/>
      <c r="T7" s="5"/>
      <c r="U7" s="5"/>
      <c r="V7" s="5"/>
      <c r="W7" s="5"/>
      <c r="X7" s="5">
        <v>1.3816999999999999</v>
      </c>
      <c r="Y7" s="5">
        <v>3.0999999999999999E-3</v>
      </c>
      <c r="Z7" s="5">
        <f t="shared" si="10"/>
        <v>1.3848</v>
      </c>
      <c r="AA7" s="5">
        <f t="shared" si="11"/>
        <v>0.2238590410167533</v>
      </c>
      <c r="AB7" s="5">
        <f t="shared" si="12"/>
        <v>0.11499999999999999</v>
      </c>
      <c r="AC7" s="5">
        <f t="shared" si="13"/>
        <v>7.6676890252033596</v>
      </c>
      <c r="AH7" s="69"/>
      <c r="AI7" s="69"/>
      <c r="AJ7" s="69"/>
      <c r="AK7" s="69"/>
      <c r="AL7" s="69"/>
    </row>
    <row r="8" spans="1:38" ht="21" x14ac:dyDescent="0.35">
      <c r="A8" s="5">
        <v>5</v>
      </c>
      <c r="B8" s="5"/>
      <c r="C8" s="5">
        <v>1.5005999999999999</v>
      </c>
      <c r="D8" s="5">
        <v>1.3712</v>
      </c>
      <c r="E8" s="6">
        <f t="shared" si="0"/>
        <v>0.12939999999999996</v>
      </c>
      <c r="F8" s="5">
        <f t="shared" si="1"/>
        <v>8.6232173797147791</v>
      </c>
      <c r="G8" s="5">
        <v>0.55730000000000002</v>
      </c>
      <c r="H8" s="5">
        <f t="shared" si="2"/>
        <v>0.81389999999999996</v>
      </c>
      <c r="I8" s="5">
        <f t="shared" si="3"/>
        <v>1.3983241184420692</v>
      </c>
      <c r="J8" s="5">
        <f t="shared" si="4"/>
        <v>0.95144801483456876</v>
      </c>
      <c r="K8" s="5"/>
      <c r="L8" s="5"/>
      <c r="M8" s="5"/>
      <c r="N8" s="5">
        <f t="shared" si="5"/>
        <v>0</v>
      </c>
      <c r="O8" s="5">
        <f t="shared" si="6"/>
        <v>0</v>
      </c>
      <c r="P8" s="5" t="e">
        <f t="shared" si="7"/>
        <v>#DIV/0!</v>
      </c>
      <c r="Q8" s="5" t="e">
        <f t="shared" si="8"/>
        <v>#DIV/0!</v>
      </c>
      <c r="R8" s="5" t="e">
        <f t="shared" si="9"/>
        <v>#DIV/0!</v>
      </c>
      <c r="S8" s="5"/>
      <c r="T8" s="5"/>
      <c r="U8" s="5"/>
      <c r="V8" s="5"/>
      <c r="W8" s="5"/>
      <c r="X8" s="5">
        <v>1.3712</v>
      </c>
      <c r="Y8" s="5">
        <v>3.7199999999999997E-2</v>
      </c>
      <c r="Z8" s="5">
        <f t="shared" si="10"/>
        <v>1.4083999999999999</v>
      </c>
      <c r="AA8" s="5">
        <f t="shared" si="11"/>
        <v>2.6412950866231184</v>
      </c>
      <c r="AB8" s="5">
        <f t="shared" si="12"/>
        <v>9.220000000000006E-2</v>
      </c>
      <c r="AC8" s="5">
        <f t="shared" si="13"/>
        <v>6.1442089830734421</v>
      </c>
      <c r="AH8" s="69"/>
      <c r="AI8" s="69"/>
      <c r="AJ8" s="69"/>
      <c r="AK8" s="69"/>
      <c r="AL8" s="69"/>
    </row>
    <row r="9" spans="1:38" ht="21" x14ac:dyDescent="0.35">
      <c r="A9" s="5">
        <v>6</v>
      </c>
      <c r="B9" s="5" t="s">
        <v>109</v>
      </c>
      <c r="C9" s="5">
        <v>1.5363</v>
      </c>
      <c r="D9" s="5">
        <v>1.4248000000000001</v>
      </c>
      <c r="E9" s="6">
        <f t="shared" si="0"/>
        <v>0.11149999999999993</v>
      </c>
      <c r="F9" s="5">
        <f t="shared" si="1"/>
        <v>7.257697064375443</v>
      </c>
      <c r="G9" s="5">
        <v>0.57079999999999997</v>
      </c>
      <c r="H9" s="5">
        <f t="shared" si="2"/>
        <v>0.85400000000000009</v>
      </c>
      <c r="I9" s="5">
        <f t="shared" si="3"/>
        <v>1.3847587822014051</v>
      </c>
      <c r="J9" s="5">
        <f t="shared" si="4"/>
        <v>0.94221788566314102</v>
      </c>
      <c r="K9" s="5">
        <v>10</v>
      </c>
      <c r="L9" s="5">
        <v>9.93</v>
      </c>
      <c r="M9" s="5">
        <v>9.8000000000000007</v>
      </c>
      <c r="N9" s="5">
        <f t="shared" si="5"/>
        <v>973.14</v>
      </c>
      <c r="O9" s="5">
        <f t="shared" si="6"/>
        <v>99.3</v>
      </c>
      <c r="P9" s="5">
        <f t="shared" si="7"/>
        <v>1.4641264360729187</v>
      </c>
      <c r="Q9" s="5">
        <f t="shared" si="8"/>
        <v>0.99622124276911883</v>
      </c>
      <c r="R9" s="5">
        <f t="shared" si="9"/>
        <v>5.5718393540326279</v>
      </c>
      <c r="S9" s="5"/>
      <c r="T9" s="5"/>
      <c r="U9" s="5"/>
      <c r="V9" s="5"/>
      <c r="W9" s="5"/>
      <c r="X9" s="5">
        <v>1.4244000000000001</v>
      </c>
      <c r="Y9" s="5">
        <v>0</v>
      </c>
      <c r="Z9" s="5">
        <f t="shared" si="10"/>
        <v>1.4244000000000001</v>
      </c>
      <c r="AA9" s="5">
        <f t="shared" si="11"/>
        <v>0</v>
      </c>
      <c r="AB9" s="5">
        <f t="shared" si="12"/>
        <v>0.11189999999999989</v>
      </c>
      <c r="AC9" s="5">
        <f t="shared" si="13"/>
        <v>7.283733645772303</v>
      </c>
      <c r="AE9">
        <f>AVERAGEIFS(AA4:AA35,AA4:AA35,"&lt;&gt;0")</f>
        <v>0.84023071634820534</v>
      </c>
      <c r="AF9">
        <f>AVERAGE(AC4:AC10,AC13:AC19,AC21:AC27,AC29:AC35)</f>
        <v>3.2734493997927001</v>
      </c>
      <c r="AH9" s="69"/>
      <c r="AI9" s="69"/>
      <c r="AJ9" s="69"/>
      <c r="AK9" s="69"/>
      <c r="AL9" s="69"/>
    </row>
    <row r="10" spans="1:38" ht="21" x14ac:dyDescent="0.35">
      <c r="A10" s="5">
        <v>7</v>
      </c>
      <c r="B10" s="5" t="s">
        <v>110</v>
      </c>
      <c r="C10" s="5">
        <v>1.5019</v>
      </c>
      <c r="D10" s="5">
        <v>1.4246000000000001</v>
      </c>
      <c r="E10" s="6">
        <f t="shared" si="0"/>
        <v>7.7299999999999924E-2</v>
      </c>
      <c r="F10" s="5">
        <f t="shared" si="1"/>
        <v>5.146814035554959</v>
      </c>
      <c r="G10" s="5">
        <v>0.59240000000000004</v>
      </c>
      <c r="H10" s="5">
        <f t="shared" si="2"/>
        <v>0.83220000000000005</v>
      </c>
      <c r="I10" s="5">
        <f t="shared" si="3"/>
        <v>1.4208339341504446</v>
      </c>
      <c r="J10" s="5">
        <f t="shared" si="4"/>
        <v>0.96676414876057681</v>
      </c>
      <c r="K10" s="5"/>
      <c r="L10" s="5"/>
      <c r="M10" s="5"/>
      <c r="N10" s="5">
        <f t="shared" si="5"/>
        <v>0</v>
      </c>
      <c r="O10" s="5">
        <f t="shared" si="6"/>
        <v>0</v>
      </c>
      <c r="P10" s="5" t="e">
        <f t="shared" si="7"/>
        <v>#DIV/0!</v>
      </c>
      <c r="Q10" s="5" t="e">
        <f t="shared" si="8"/>
        <v>#DIV/0!</v>
      </c>
      <c r="R10" s="5" t="e">
        <f t="shared" si="9"/>
        <v>#DIV/0!</v>
      </c>
      <c r="S10" s="5"/>
      <c r="T10" s="5"/>
      <c r="U10" s="5"/>
      <c r="V10" s="5"/>
      <c r="W10" s="5"/>
      <c r="X10" s="5">
        <v>1.4248000000000001</v>
      </c>
      <c r="Y10" s="5">
        <v>6.7999999999999996E-3</v>
      </c>
      <c r="Z10" s="5">
        <f t="shared" si="10"/>
        <v>1.4316</v>
      </c>
      <c r="AA10" s="5">
        <f t="shared" si="11"/>
        <v>0.47499301480860578</v>
      </c>
      <c r="AB10" s="5">
        <f t="shared" si="12"/>
        <v>7.0300000000000029E-2</v>
      </c>
      <c r="AC10" s="5">
        <f t="shared" si="13"/>
        <v>4.6807377322058743</v>
      </c>
      <c r="AE10">
        <f>_xlfn.STDEV.S(AA6:AA8,AA10,AA13:AA16,AA18:AA19,AA21:AA24,AA26:AA27,AA29:AA31,AA33:AA35)</f>
        <v>0.87909115417907258</v>
      </c>
      <c r="AF10">
        <f>_xlfn.STDEV.S(AC4:AC10,AC13:AC19,AC21:AC27,AC29:AC35)</f>
        <v>3.3854540749814621</v>
      </c>
      <c r="AH10" s="69"/>
      <c r="AI10" s="69"/>
      <c r="AJ10" s="69"/>
      <c r="AK10" s="69"/>
      <c r="AL10" s="69"/>
    </row>
    <row r="11" spans="1:38" s="72" customFormat="1" ht="21" x14ac:dyDescent="0.35">
      <c r="A11" s="70">
        <v>8.1</v>
      </c>
      <c r="B11" s="70"/>
      <c r="C11" s="70">
        <v>1.5014000000000001</v>
      </c>
      <c r="D11" s="70"/>
      <c r="E11" s="71">
        <f t="shared" si="0"/>
        <v>1.5014000000000001</v>
      </c>
      <c r="F11" s="70">
        <f t="shared" si="1"/>
        <v>100</v>
      </c>
      <c r="G11" s="70"/>
      <c r="H11" s="70">
        <f t="shared" si="2"/>
        <v>0</v>
      </c>
      <c r="I11" s="70">
        <f>_xlfn.STDEV.S(I4:I10)</f>
        <v>2.8715207203194634E-2</v>
      </c>
      <c r="J11" s="70">
        <f>_xlfn.STDEV.S(J4:J10)*100</f>
        <v>1.9538407818841248</v>
      </c>
      <c r="K11" s="70"/>
      <c r="L11" s="70"/>
      <c r="M11" s="70"/>
      <c r="N11" s="70">
        <f t="shared" si="5"/>
        <v>0</v>
      </c>
      <c r="O11" s="70">
        <f t="shared" si="6"/>
        <v>0</v>
      </c>
      <c r="P11" s="70" t="e">
        <f t="shared" si="7"/>
        <v>#DIV/0!</v>
      </c>
      <c r="Q11" s="70" t="e">
        <f t="shared" si="8"/>
        <v>#DIV/0!</v>
      </c>
      <c r="R11" s="70" t="e">
        <f t="shared" si="9"/>
        <v>#DIV/0!</v>
      </c>
      <c r="S11" s="70"/>
      <c r="T11" s="70"/>
      <c r="U11" s="70"/>
      <c r="V11" s="70"/>
      <c r="W11" s="70"/>
      <c r="X11" s="70"/>
      <c r="Y11" s="70"/>
      <c r="Z11" s="70">
        <f>Y11+X11</f>
        <v>0</v>
      </c>
      <c r="AA11" s="70"/>
      <c r="AB11" s="70">
        <f t="shared" si="12"/>
        <v>1.5014000000000001</v>
      </c>
      <c r="AC11" s="70">
        <f t="shared" si="13"/>
        <v>100</v>
      </c>
      <c r="AH11" s="73"/>
      <c r="AI11" s="73"/>
      <c r="AJ11" s="73"/>
      <c r="AK11" s="73"/>
      <c r="AL11" s="73"/>
    </row>
    <row r="12" spans="1:38" s="72" customFormat="1" ht="21" x14ac:dyDescent="0.35">
      <c r="A12" s="70">
        <v>8.1999999999999993</v>
      </c>
      <c r="B12" s="70"/>
      <c r="C12" s="70">
        <v>1.5002</v>
      </c>
      <c r="D12" s="70"/>
      <c r="E12" s="71">
        <f t="shared" si="0"/>
        <v>1.5002</v>
      </c>
      <c r="F12" s="70">
        <f t="shared" si="1"/>
        <v>100</v>
      </c>
      <c r="G12" s="70"/>
      <c r="H12" s="70">
        <f t="shared" si="2"/>
        <v>0</v>
      </c>
      <c r="I12" s="70" t="e">
        <f>D12*$I$2/H12</f>
        <v>#DIV/0!</v>
      </c>
      <c r="J12" s="70" t="e">
        <f>I12/$L$2</f>
        <v>#DIV/0!</v>
      </c>
      <c r="K12" s="70"/>
      <c r="L12" s="70"/>
      <c r="M12" s="70"/>
      <c r="N12" s="70">
        <f t="shared" si="5"/>
        <v>0</v>
      </c>
      <c r="O12" s="70">
        <f t="shared" si="6"/>
        <v>0</v>
      </c>
      <c r="P12" s="70" t="e">
        <f t="shared" si="7"/>
        <v>#DIV/0!</v>
      </c>
      <c r="Q12" s="70" t="e">
        <f t="shared" si="8"/>
        <v>#DIV/0!</v>
      </c>
      <c r="R12" s="70" t="e">
        <f t="shared" si="9"/>
        <v>#DIV/0!</v>
      </c>
      <c r="S12" s="70"/>
      <c r="T12" s="70"/>
      <c r="U12" s="70"/>
      <c r="V12" s="70"/>
      <c r="W12" s="70"/>
      <c r="X12" s="70"/>
      <c r="Y12" s="70"/>
      <c r="Z12" s="70">
        <f t="shared" si="10"/>
        <v>0</v>
      </c>
      <c r="AA12" s="70"/>
      <c r="AB12" s="70">
        <f t="shared" si="12"/>
        <v>1.5002</v>
      </c>
      <c r="AC12" s="70">
        <f t="shared" si="13"/>
        <v>100</v>
      </c>
      <c r="AH12" s="73"/>
      <c r="AI12" s="73"/>
      <c r="AJ12" s="73"/>
      <c r="AK12" s="73"/>
      <c r="AL12" s="73"/>
    </row>
    <row r="13" spans="1:38" ht="21" x14ac:dyDescent="0.35">
      <c r="A13" s="5">
        <v>9</v>
      </c>
      <c r="B13" s="5"/>
      <c r="C13" s="5">
        <v>1.5019</v>
      </c>
      <c r="D13" s="5">
        <v>1.4066000000000001</v>
      </c>
      <c r="E13" s="6">
        <f t="shared" si="0"/>
        <v>9.529999999999994E-2</v>
      </c>
      <c r="F13" s="5">
        <f t="shared" si="1"/>
        <v>6.3452959584526223</v>
      </c>
      <c r="G13" s="5">
        <v>0.58079999999999998</v>
      </c>
      <c r="H13" s="5">
        <f t="shared" si="2"/>
        <v>0.82580000000000009</v>
      </c>
      <c r="I13" s="5">
        <f>D13*$I$2/H13</f>
        <v>1.4137539355776216</v>
      </c>
      <c r="J13" s="5">
        <f>I13/$L$2</f>
        <v>0.96194677452072663</v>
      </c>
      <c r="K13" s="5"/>
      <c r="L13" s="5"/>
      <c r="M13" s="5"/>
      <c r="N13" s="5">
        <f t="shared" si="5"/>
        <v>0</v>
      </c>
      <c r="O13" s="5">
        <f t="shared" si="6"/>
        <v>0</v>
      </c>
      <c r="P13" s="5" t="e">
        <f t="shared" si="7"/>
        <v>#DIV/0!</v>
      </c>
      <c r="Q13" s="5" t="e">
        <f t="shared" si="8"/>
        <v>#DIV/0!</v>
      </c>
      <c r="R13" s="5" t="e">
        <f t="shared" si="9"/>
        <v>#DIV/0!</v>
      </c>
      <c r="S13" s="5"/>
      <c r="T13" s="5"/>
      <c r="U13" s="5"/>
      <c r="V13" s="5"/>
      <c r="W13" s="5"/>
      <c r="X13" s="5">
        <v>1.4066000000000001</v>
      </c>
      <c r="Y13" s="5">
        <v>9.1999999999999998E-3</v>
      </c>
      <c r="Z13" s="5">
        <f t="shared" si="10"/>
        <v>1.4158000000000002</v>
      </c>
      <c r="AA13" s="5">
        <f t="shared" si="11"/>
        <v>0.64980929509817764</v>
      </c>
      <c r="AB13" s="5">
        <f t="shared" si="12"/>
        <v>8.6099999999999843E-2</v>
      </c>
      <c r="AC13" s="5">
        <f t="shared" si="13"/>
        <v>5.732738531193811</v>
      </c>
      <c r="AE13">
        <f>AVERAGEIFS(AA13:AA19,AA13:AA19,"&lt;&gt;0")</f>
        <v>1.0622654862607186</v>
      </c>
      <c r="AF13">
        <f>AVERAGE(AC13:AC19)</f>
        <v>5.7516638829010907</v>
      </c>
      <c r="AH13" s="69">
        <f>AVERAGE(D13:D19)</f>
        <v>1.3985714285714288</v>
      </c>
      <c r="AI13" s="69">
        <f>AVERAGE(G13:G19)</f>
        <v>0.58208571428571421</v>
      </c>
      <c r="AJ13" s="69">
        <f>AVERAGE(H13:H19)</f>
        <v>0.81648571428571415</v>
      </c>
      <c r="AK13" s="69">
        <f>AVERAGE(I13:I19)</f>
        <v>1.4217020826980573</v>
      </c>
      <c r="AL13" s="69">
        <f>AVERAGE(J13:J19)</f>
        <v>0.96735485459287551</v>
      </c>
    </row>
    <row r="14" spans="1:38" ht="21" x14ac:dyDescent="0.35">
      <c r="A14" s="5">
        <v>10</v>
      </c>
      <c r="B14" s="5"/>
      <c r="C14" s="6">
        <v>1.5001</v>
      </c>
      <c r="D14" s="5">
        <v>1.4214</v>
      </c>
      <c r="E14" s="6">
        <f t="shared" si="0"/>
        <v>7.8699999999999992E-2</v>
      </c>
      <c r="F14" s="5">
        <f t="shared" si="1"/>
        <v>5.2463169122058524</v>
      </c>
      <c r="G14" s="5">
        <v>0.60029999999999994</v>
      </c>
      <c r="H14" s="5">
        <f t="shared" si="2"/>
        <v>0.82110000000000005</v>
      </c>
      <c r="I14" s="5">
        <f>D14*$I$2/H14</f>
        <v>1.4368067226890755</v>
      </c>
      <c r="J14" s="5">
        <f>I14/$L$2</f>
        <v>0.97763235717236097</v>
      </c>
      <c r="K14" s="5">
        <v>10.06</v>
      </c>
      <c r="L14" s="5">
        <v>10.24</v>
      </c>
      <c r="M14" s="5">
        <v>9.7899999999999991</v>
      </c>
      <c r="N14" s="5">
        <f t="shared" si="5"/>
        <v>1008.510976</v>
      </c>
      <c r="O14" s="5">
        <f t="shared" si="6"/>
        <v>103.01440000000001</v>
      </c>
      <c r="P14" s="5">
        <f t="shared" si="7"/>
        <v>1.4094045913487412</v>
      </c>
      <c r="Q14" s="5">
        <f t="shared" si="8"/>
        <v>0.95898739273089451</v>
      </c>
      <c r="R14" s="5">
        <f t="shared" si="9"/>
        <v>1.9255162963609969</v>
      </c>
      <c r="S14" s="5"/>
      <c r="T14" s="5"/>
      <c r="U14" s="5"/>
      <c r="V14" s="5"/>
      <c r="W14" s="5"/>
      <c r="X14" s="5">
        <v>1.4211</v>
      </c>
      <c r="Y14" s="5">
        <v>5.9999999999999995E-4</v>
      </c>
      <c r="Z14" s="5">
        <f t="shared" si="10"/>
        <v>1.4217</v>
      </c>
      <c r="AA14" s="5">
        <f t="shared" si="11"/>
        <v>4.2202996412745303E-2</v>
      </c>
      <c r="AB14" s="5">
        <f t="shared" si="12"/>
        <v>7.8400000000000025E-2</v>
      </c>
      <c r="AC14" s="5">
        <f t="shared" si="13"/>
        <v>5.2263182454503054</v>
      </c>
      <c r="AE14">
        <f>_xlfn.STDEV.S(AA13:AA16,AA18:AA19)</f>
        <v>1.0298044001817186</v>
      </c>
      <c r="AF14">
        <f>_xlfn.STDEV.S(AC13:AC19)</f>
        <v>0.52583094255353746</v>
      </c>
      <c r="AH14" s="69"/>
      <c r="AI14" s="69"/>
      <c r="AJ14" s="69"/>
      <c r="AK14" s="69"/>
      <c r="AL14" s="69"/>
    </row>
    <row r="15" spans="1:38" ht="21" x14ac:dyDescent="0.35">
      <c r="A15" s="5">
        <v>11</v>
      </c>
      <c r="B15" s="5"/>
      <c r="C15" s="6">
        <v>1.5003</v>
      </c>
      <c r="D15" s="5">
        <v>1.3715999999999999</v>
      </c>
      <c r="E15" s="6">
        <f t="shared" si="0"/>
        <v>0.12870000000000004</v>
      </c>
      <c r="F15" s="5">
        <f t="shared" si="1"/>
        <v>8.5782843431313758</v>
      </c>
      <c r="G15" s="5">
        <v>0.56330000000000002</v>
      </c>
      <c r="H15" s="5">
        <f t="shared" si="2"/>
        <v>0.80829999999999991</v>
      </c>
      <c r="I15" s="5">
        <f t="shared" ref="I15:I35" si="14">D15*$I$2/H15</f>
        <v>1.4084226153655823</v>
      </c>
      <c r="J15" s="5">
        <f t="shared" ref="J15:J35" si="15">I15/$L$2</f>
        <v>0.95831923640900207</v>
      </c>
      <c r="K15" s="5"/>
      <c r="L15" s="5"/>
      <c r="M15" s="5"/>
      <c r="N15" s="5">
        <f t="shared" si="5"/>
        <v>0</v>
      </c>
      <c r="O15" s="5">
        <f t="shared" si="6"/>
        <v>0</v>
      </c>
      <c r="P15" s="5" t="e">
        <f t="shared" si="7"/>
        <v>#DIV/0!</v>
      </c>
      <c r="Q15" s="5" t="e">
        <f t="shared" si="8"/>
        <v>#DIV/0!</v>
      </c>
      <c r="R15" s="5" t="e">
        <f t="shared" si="9"/>
        <v>#DIV/0!</v>
      </c>
      <c r="X15" s="5">
        <v>1.3717999999999999</v>
      </c>
      <c r="Y15" s="5">
        <v>3.27E-2</v>
      </c>
      <c r="Z15" s="5">
        <f t="shared" si="10"/>
        <v>1.4044999999999999</v>
      </c>
      <c r="AA15" s="5">
        <f t="shared" si="11"/>
        <v>2.328230687077252</v>
      </c>
      <c r="AB15" s="5">
        <f t="shared" si="12"/>
        <v>9.5800000000000107E-2</v>
      </c>
      <c r="AC15" s="5">
        <f t="shared" si="13"/>
        <v>6.3853895887489243</v>
      </c>
      <c r="AH15" s="69"/>
      <c r="AI15" s="69"/>
      <c r="AJ15" s="69"/>
      <c r="AK15" s="69"/>
      <c r="AL15" s="69"/>
    </row>
    <row r="16" spans="1:38" ht="21" x14ac:dyDescent="0.35">
      <c r="A16" s="5">
        <v>12</v>
      </c>
      <c r="B16" s="5"/>
      <c r="C16" s="5">
        <v>1.5008999999999999</v>
      </c>
      <c r="D16" s="5">
        <v>1.415</v>
      </c>
      <c r="E16" s="6">
        <f t="shared" si="0"/>
        <v>8.5899999999999865E-2</v>
      </c>
      <c r="F16" s="5">
        <f t="shared" si="1"/>
        <v>5.7232327270304397</v>
      </c>
      <c r="G16" s="5">
        <v>0.59040000000000004</v>
      </c>
      <c r="H16" s="5">
        <f t="shared" si="2"/>
        <v>0.8246</v>
      </c>
      <c r="I16" s="5">
        <f t="shared" si="14"/>
        <v>1.4242663109386369</v>
      </c>
      <c r="J16" s="5">
        <f t="shared" si="15"/>
        <v>0.96909960735577594</v>
      </c>
      <c r="K16" s="5">
        <v>10.1</v>
      </c>
      <c r="L16" s="5">
        <v>10.11</v>
      </c>
      <c r="M16" s="5">
        <v>9.86</v>
      </c>
      <c r="N16" s="5">
        <f t="shared" si="5"/>
        <v>1006.8144599999998</v>
      </c>
      <c r="O16" s="5">
        <f t="shared" si="6"/>
        <v>102.11099999999999</v>
      </c>
      <c r="P16" s="5">
        <f t="shared" si="7"/>
        <v>1.405422802529078</v>
      </c>
      <c r="Q16" s="5">
        <f t="shared" si="8"/>
        <v>0.95627810307623284</v>
      </c>
      <c r="R16" s="5">
        <f t="shared" si="9"/>
        <v>1.3318430155365428</v>
      </c>
      <c r="X16" s="5">
        <v>1.4157</v>
      </c>
      <c r="Y16" s="5">
        <v>5.1999999999999998E-3</v>
      </c>
      <c r="Z16" s="5">
        <f t="shared" si="10"/>
        <v>1.4209000000000001</v>
      </c>
      <c r="AA16" s="5">
        <f t="shared" si="11"/>
        <v>0.3659652333028362</v>
      </c>
      <c r="AB16" s="5">
        <f t="shared" si="12"/>
        <v>7.9999999999999849E-2</v>
      </c>
      <c r="AC16" s="5">
        <f t="shared" si="13"/>
        <v>5.3301352521820142</v>
      </c>
      <c r="AH16" s="69"/>
      <c r="AI16" s="69"/>
      <c r="AJ16" s="69"/>
      <c r="AK16" s="69"/>
      <c r="AL16" s="69"/>
    </row>
    <row r="17" spans="1:38" ht="21" x14ac:dyDescent="0.35">
      <c r="A17" s="5">
        <v>13</v>
      </c>
      <c r="B17" s="5"/>
      <c r="C17" s="5">
        <v>1.5016</v>
      </c>
      <c r="D17" s="5">
        <v>1.4095</v>
      </c>
      <c r="E17" s="6">
        <f t="shared" si="0"/>
        <v>9.2100000000000071E-2</v>
      </c>
      <c r="F17" s="5">
        <f t="shared" si="1"/>
        <v>6.1334576451784804</v>
      </c>
      <c r="G17" s="5">
        <v>0.59770000000000001</v>
      </c>
      <c r="H17" s="5">
        <f t="shared" si="2"/>
        <v>0.81179999999999997</v>
      </c>
      <c r="I17" s="5">
        <f t="shared" si="14"/>
        <v>1.4411000246366099</v>
      </c>
      <c r="J17" s="5">
        <f t="shared" si="15"/>
        <v>0.98055360666036817</v>
      </c>
      <c r="K17" s="5">
        <v>10.06</v>
      </c>
      <c r="L17" s="5">
        <v>9.61</v>
      </c>
      <c r="M17" s="5">
        <v>10.119999999999999</v>
      </c>
      <c r="N17" s="5">
        <f t="shared" si="5"/>
        <v>978.36719199999982</v>
      </c>
      <c r="O17" s="5">
        <f t="shared" si="6"/>
        <v>96.676599999999993</v>
      </c>
      <c r="P17" s="5">
        <f t="shared" si="7"/>
        <v>1.4406656432526819</v>
      </c>
      <c r="Q17" s="5">
        <f t="shared" si="8"/>
        <v>0.98025804478027989</v>
      </c>
      <c r="R17" s="5">
        <f t="shared" si="9"/>
        <v>3.0146891453960316E-2</v>
      </c>
      <c r="X17" s="5">
        <v>1.4104000000000001</v>
      </c>
      <c r="Y17" s="5">
        <v>0</v>
      </c>
      <c r="Z17" s="5">
        <f t="shared" si="10"/>
        <v>1.4104000000000001</v>
      </c>
      <c r="AA17" s="5">
        <f t="shared" si="11"/>
        <v>0</v>
      </c>
      <c r="AB17" s="5">
        <f t="shared" si="12"/>
        <v>9.1199999999999948E-2</v>
      </c>
      <c r="AC17" s="5">
        <f t="shared" si="13"/>
        <v>6.0735215769845459</v>
      </c>
      <c r="AH17" s="69"/>
      <c r="AI17" s="69"/>
      <c r="AJ17" s="69"/>
      <c r="AK17" s="69"/>
      <c r="AL17" s="69"/>
    </row>
    <row r="18" spans="1:38" ht="21" x14ac:dyDescent="0.35">
      <c r="A18" s="5">
        <v>14</v>
      </c>
      <c r="B18" s="5"/>
      <c r="C18" s="5">
        <v>1.5012000000000001</v>
      </c>
      <c r="D18" s="5">
        <v>1.3728</v>
      </c>
      <c r="E18" s="6">
        <f t="shared" si="0"/>
        <v>0.12840000000000007</v>
      </c>
      <c r="F18" s="5">
        <f t="shared" si="1"/>
        <v>8.5531574740207876</v>
      </c>
      <c r="G18" s="5">
        <v>0.56699999999999995</v>
      </c>
      <c r="H18" s="5">
        <f t="shared" si="2"/>
        <v>0.80580000000000007</v>
      </c>
      <c r="I18" s="5">
        <f t="shared" si="14"/>
        <v>1.4140282948622485</v>
      </c>
      <c r="J18" s="5">
        <f t="shared" si="15"/>
        <v>0.9621334541275981</v>
      </c>
      <c r="K18" s="5"/>
      <c r="L18" s="5"/>
      <c r="M18" s="5"/>
      <c r="N18" s="5">
        <f t="shared" si="5"/>
        <v>0</v>
      </c>
      <c r="O18" s="5">
        <f t="shared" si="6"/>
        <v>0</v>
      </c>
      <c r="P18" s="5" t="e">
        <f t="shared" si="7"/>
        <v>#DIV/0!</v>
      </c>
      <c r="Q18" s="5" t="e">
        <f t="shared" si="8"/>
        <v>#DIV/0!</v>
      </c>
      <c r="R18" s="5" t="e">
        <f t="shared" si="9"/>
        <v>#DIV/0!</v>
      </c>
      <c r="X18" s="5">
        <v>1.3722000000000001</v>
      </c>
      <c r="Y18" s="5">
        <v>3.3700000000000001E-2</v>
      </c>
      <c r="Z18" s="5">
        <f t="shared" si="10"/>
        <v>1.4059000000000001</v>
      </c>
      <c r="AA18" s="5">
        <f t="shared" si="11"/>
        <v>2.3970410413258407</v>
      </c>
      <c r="AB18" s="5">
        <f t="shared" si="12"/>
        <v>9.529999999999994E-2</v>
      </c>
      <c r="AC18" s="5">
        <f t="shared" si="13"/>
        <v>6.3482547295496889</v>
      </c>
      <c r="AH18" s="69"/>
      <c r="AI18" s="69"/>
      <c r="AJ18" s="69"/>
      <c r="AK18" s="69"/>
      <c r="AL18" s="69"/>
    </row>
    <row r="19" spans="1:38" ht="21" x14ac:dyDescent="0.35">
      <c r="A19" s="5">
        <v>15</v>
      </c>
      <c r="B19" s="5"/>
      <c r="C19" s="5">
        <v>1.5004</v>
      </c>
      <c r="D19" s="5">
        <v>1.3931</v>
      </c>
      <c r="E19" s="6">
        <f t="shared" si="0"/>
        <v>0.10729999999999995</v>
      </c>
      <c r="F19" s="5">
        <f t="shared" si="1"/>
        <v>7.1514262863236437</v>
      </c>
      <c r="G19" s="5">
        <v>0.57509999999999994</v>
      </c>
      <c r="H19" s="5">
        <f t="shared" si="2"/>
        <v>0.81800000000000006</v>
      </c>
      <c r="I19" s="5">
        <f t="shared" si="14"/>
        <v>1.4135366748166256</v>
      </c>
      <c r="J19" s="5">
        <f t="shared" si="15"/>
        <v>0.96179894590429582</v>
      </c>
      <c r="K19" s="5"/>
      <c r="L19" s="5"/>
      <c r="M19" s="5"/>
      <c r="N19" s="5">
        <f t="shared" si="5"/>
        <v>0</v>
      </c>
      <c r="O19" s="5">
        <f t="shared" si="6"/>
        <v>0</v>
      </c>
      <c r="P19" s="5" t="e">
        <f t="shared" si="7"/>
        <v>#DIV/0!</v>
      </c>
      <c r="Q19" s="5" t="e">
        <f t="shared" si="8"/>
        <v>#DIV/0!</v>
      </c>
      <c r="R19" s="5" t="e">
        <f t="shared" si="9"/>
        <v>#DIV/0!</v>
      </c>
      <c r="X19" s="5">
        <v>1.4145000000000001</v>
      </c>
      <c r="Y19" s="5">
        <v>8.3999999999999995E-3</v>
      </c>
      <c r="Z19" s="5">
        <f t="shared" si="10"/>
        <v>1.4229000000000001</v>
      </c>
      <c r="AA19" s="5">
        <f t="shared" si="11"/>
        <v>0.59034366434745933</v>
      </c>
      <c r="AB19" s="5">
        <f t="shared" si="12"/>
        <v>7.7499999999999902E-2</v>
      </c>
      <c r="AC19" s="5">
        <f t="shared" si="13"/>
        <v>5.1652892561983412</v>
      </c>
      <c r="AH19" s="69"/>
      <c r="AI19" s="69"/>
      <c r="AJ19" s="69"/>
      <c r="AK19" s="69"/>
      <c r="AL19" s="69"/>
    </row>
    <row r="20" spans="1:38" s="72" customFormat="1" ht="21" x14ac:dyDescent="0.35">
      <c r="A20" s="70">
        <v>16</v>
      </c>
      <c r="B20" s="70"/>
      <c r="C20" s="70"/>
      <c r="D20" s="70"/>
      <c r="E20" s="71">
        <f t="shared" si="0"/>
        <v>0</v>
      </c>
      <c r="F20" s="70" t="e">
        <f t="shared" si="1"/>
        <v>#DIV/0!</v>
      </c>
      <c r="G20" s="70"/>
      <c r="H20" s="70">
        <f t="shared" si="2"/>
        <v>0</v>
      </c>
      <c r="I20" s="70">
        <f>_xlfn.STDEV.S(I13:I19)</f>
        <v>1.2754631629863096E-2</v>
      </c>
      <c r="J20" s="70">
        <f>_xlfn.STDEV.S(J13:J19)*100</f>
        <v>0.86785093556850068</v>
      </c>
      <c r="K20" s="70"/>
      <c r="L20" s="70"/>
      <c r="M20" s="70"/>
      <c r="N20" s="70">
        <f t="shared" si="5"/>
        <v>0</v>
      </c>
      <c r="O20" s="70">
        <f t="shared" si="6"/>
        <v>0</v>
      </c>
      <c r="P20" s="70" t="e">
        <f t="shared" si="7"/>
        <v>#DIV/0!</v>
      </c>
      <c r="Q20" s="70" t="e">
        <f t="shared" si="8"/>
        <v>#DIV/0!</v>
      </c>
      <c r="R20" s="70" t="e">
        <f t="shared" si="9"/>
        <v>#DIV/0!</v>
      </c>
      <c r="X20" s="70"/>
      <c r="Y20" s="70"/>
      <c r="Z20" s="70">
        <f t="shared" si="10"/>
        <v>0</v>
      </c>
      <c r="AA20" s="70"/>
      <c r="AB20" s="70">
        <f t="shared" si="12"/>
        <v>0</v>
      </c>
      <c r="AC20" s="70" t="e">
        <f t="shared" si="13"/>
        <v>#DIV/0!</v>
      </c>
      <c r="AH20" s="73"/>
      <c r="AI20" s="73"/>
      <c r="AJ20" s="73"/>
      <c r="AK20" s="73"/>
      <c r="AL20" s="73"/>
    </row>
    <row r="21" spans="1:38" ht="21" x14ac:dyDescent="0.35">
      <c r="A21" s="5">
        <v>17</v>
      </c>
      <c r="B21" s="5" t="s">
        <v>108</v>
      </c>
      <c r="C21" s="5">
        <v>1.5021</v>
      </c>
      <c r="D21" s="5">
        <v>1.5009999999999999</v>
      </c>
      <c r="E21" s="6">
        <f t="shared" si="0"/>
        <v>1.1000000000001009E-3</v>
      </c>
      <c r="F21" s="5">
        <f t="shared" si="1"/>
        <v>7.3230810199061372E-2</v>
      </c>
      <c r="G21" s="5">
        <v>0.56079999999999997</v>
      </c>
      <c r="H21" s="5">
        <f t="shared" si="2"/>
        <v>0.94019999999999992</v>
      </c>
      <c r="I21" s="5">
        <f t="shared" si="14"/>
        <v>1.3250691342267602</v>
      </c>
      <c r="J21" s="5">
        <f t="shared" si="15"/>
        <v>0.90160384180689679</v>
      </c>
      <c r="K21" s="5"/>
      <c r="L21" s="5"/>
      <c r="M21" s="5"/>
      <c r="N21" s="5">
        <f t="shared" si="5"/>
        <v>0</v>
      </c>
      <c r="O21" s="5">
        <f t="shared" si="6"/>
        <v>0</v>
      </c>
      <c r="P21" s="5" t="e">
        <f t="shared" si="7"/>
        <v>#DIV/0!</v>
      </c>
      <c r="Q21" s="5" t="e">
        <f t="shared" si="8"/>
        <v>#DIV/0!</v>
      </c>
      <c r="R21" s="5" t="e">
        <f t="shared" si="9"/>
        <v>#DIV/0!</v>
      </c>
      <c r="X21" s="5">
        <v>1.5005999999999999</v>
      </c>
      <c r="Y21" s="5">
        <v>5.7999999999999996E-3</v>
      </c>
      <c r="Z21" s="5">
        <f>Y21+X21</f>
        <v>1.5064</v>
      </c>
      <c r="AA21" s="5">
        <f t="shared" si="11"/>
        <v>0.38502389803505044</v>
      </c>
      <c r="AB21" s="5">
        <f t="shared" si="12"/>
        <v>-4.2999999999999705E-3</v>
      </c>
      <c r="AC21" s="5">
        <f t="shared" si="13"/>
        <v>-0.28626589441448441</v>
      </c>
      <c r="AE21">
        <f>AVERAGEIFS(AA21:AA27,AA21:AA27,"&lt;&gt;0")</f>
        <v>0.58381559786888571</v>
      </c>
      <c r="AF21">
        <f>AVERAGE(AC21:AC27)</f>
        <v>5.1337680698596788E-2</v>
      </c>
      <c r="AH21" s="69">
        <f>AVERAGE(D21:D27)</f>
        <v>1.4933999999999998</v>
      </c>
      <c r="AI21" s="69">
        <f>AVERAGE(G21:G27)</f>
        <v>0.5954571428571428</v>
      </c>
      <c r="AJ21" s="69">
        <f>AVERAGE(H21:H27)</f>
        <v>0.89794285714285726</v>
      </c>
      <c r="AK21" s="69">
        <f>AVERAGE(I21:I27)</f>
        <v>1.3809478135578492</v>
      </c>
      <c r="AL21" s="69">
        <f>AVERAGE(J21:J27)</f>
        <v>0.93962482551157345</v>
      </c>
    </row>
    <row r="22" spans="1:38" ht="21" x14ac:dyDescent="0.35">
      <c r="A22" s="5">
        <v>18</v>
      </c>
      <c r="B22" s="5" t="s">
        <v>108</v>
      </c>
      <c r="C22" s="5">
        <v>1.5012000000000001</v>
      </c>
      <c r="D22" s="5">
        <v>1.4948999999999999</v>
      </c>
      <c r="E22" s="6">
        <f t="shared" si="0"/>
        <v>6.3000000000001943E-3</v>
      </c>
      <c r="F22" s="5">
        <f t="shared" si="1"/>
        <v>0.41966426858514483</v>
      </c>
      <c r="G22" s="5">
        <v>0.61060000000000003</v>
      </c>
      <c r="H22" s="5">
        <f t="shared" si="2"/>
        <v>0.88429999999999986</v>
      </c>
      <c r="I22" s="5">
        <f t="shared" si="14"/>
        <v>1.4031064118511818</v>
      </c>
      <c r="J22" s="5">
        <f t="shared" si="15"/>
        <v>0.95470198400412454</v>
      </c>
      <c r="K22" s="5">
        <v>10.11</v>
      </c>
      <c r="L22" s="5">
        <v>10.19</v>
      </c>
      <c r="M22" s="5">
        <v>10.47</v>
      </c>
      <c r="N22" s="5">
        <f t="shared" si="5"/>
        <v>1078.6288229999998</v>
      </c>
      <c r="O22" s="5">
        <f t="shared" si="6"/>
        <v>103.02089999999998</v>
      </c>
      <c r="P22" s="5">
        <f t="shared" si="7"/>
        <v>1.385926250183285</v>
      </c>
      <c r="Q22" s="5">
        <f t="shared" si="8"/>
        <v>0.94301225449300863</v>
      </c>
      <c r="R22" s="5">
        <f t="shared" si="9"/>
        <v>1.2319799550403765</v>
      </c>
      <c r="X22" s="5">
        <v>1.4947999999999999</v>
      </c>
      <c r="Y22" s="5">
        <v>1E-3</v>
      </c>
      <c r="Z22" s="5">
        <f t="shared" si="10"/>
        <v>1.4957999999999998</v>
      </c>
      <c r="AA22" s="5">
        <f t="shared" si="11"/>
        <v>6.6853857467575883E-2</v>
      </c>
      <c r="AB22" s="5">
        <f t="shared" si="12"/>
        <v>5.4000000000002935E-3</v>
      </c>
      <c r="AC22" s="5">
        <f t="shared" si="13"/>
        <v>0.35971223021584686</v>
      </c>
      <c r="AE22">
        <f>_xlfn.STDEV.S(AA21:AA24,AA26:AA27)</f>
        <v>0.4177897363432227</v>
      </c>
      <c r="AF22">
        <f>_xlfn.STDEV.S(AC21:AC27)</f>
        <v>0.37695132269390352</v>
      </c>
      <c r="AH22" s="69"/>
      <c r="AI22" s="69"/>
      <c r="AJ22" s="69"/>
      <c r="AK22" s="69"/>
      <c r="AL22" s="69"/>
    </row>
    <row r="23" spans="1:38" ht="21" x14ac:dyDescent="0.35">
      <c r="A23" s="5">
        <v>19</v>
      </c>
      <c r="B23" s="5"/>
      <c r="C23" s="5">
        <v>1.5002</v>
      </c>
      <c r="D23" s="5">
        <v>1.4866999999999999</v>
      </c>
      <c r="E23" s="6">
        <f t="shared" si="0"/>
        <v>1.3500000000000068E-2</v>
      </c>
      <c r="F23" s="5">
        <f t="shared" si="1"/>
        <v>0.89988001599787137</v>
      </c>
      <c r="G23" s="5">
        <v>0.58320000000000005</v>
      </c>
      <c r="H23" s="5">
        <f t="shared" si="2"/>
        <v>0.90349999999999986</v>
      </c>
      <c r="I23" s="5">
        <f t="shared" si="14"/>
        <v>1.3657565024903155</v>
      </c>
      <c r="J23" s="5">
        <f t="shared" si="15"/>
        <v>0.92928835017848477</v>
      </c>
      <c r="K23" s="5"/>
      <c r="L23" s="5"/>
      <c r="M23" s="5"/>
      <c r="N23" s="5">
        <f t="shared" si="5"/>
        <v>0</v>
      </c>
      <c r="O23" s="5">
        <f t="shared" si="6"/>
        <v>0</v>
      </c>
      <c r="P23" s="5" t="e">
        <f t="shared" si="7"/>
        <v>#DIV/0!</v>
      </c>
      <c r="Q23" s="5" t="e">
        <f t="shared" si="8"/>
        <v>#DIV/0!</v>
      </c>
      <c r="R23" s="5" t="e">
        <f t="shared" si="9"/>
        <v>#DIV/0!</v>
      </c>
      <c r="X23" s="5">
        <v>1.4862</v>
      </c>
      <c r="Y23" s="5">
        <v>1.9800000000000002E-2</v>
      </c>
      <c r="Z23" s="5">
        <f t="shared" si="10"/>
        <v>1.506</v>
      </c>
      <c r="AA23" s="5">
        <f t="shared" si="11"/>
        <v>1.3147410358565739</v>
      </c>
      <c r="AB23" s="5">
        <f t="shared" si="12"/>
        <v>-5.8000000000000274E-3</v>
      </c>
      <c r="AC23" s="5">
        <f t="shared" si="13"/>
        <v>-0.38661511798427056</v>
      </c>
      <c r="AH23" s="69"/>
      <c r="AI23" s="69"/>
      <c r="AJ23" s="69"/>
      <c r="AK23" s="69"/>
      <c r="AL23" s="69"/>
    </row>
    <row r="24" spans="1:38" ht="21" x14ac:dyDescent="0.35">
      <c r="A24" s="5">
        <v>20</v>
      </c>
      <c r="B24" s="5"/>
      <c r="C24" s="6">
        <v>1.5019</v>
      </c>
      <c r="D24" s="5">
        <v>1.4865999999999999</v>
      </c>
      <c r="E24" s="6">
        <f t="shared" si="0"/>
        <v>1.5300000000000091E-2</v>
      </c>
      <c r="F24" s="5">
        <f t="shared" si="1"/>
        <v>1.0187096344630195</v>
      </c>
      <c r="G24" s="5">
        <v>0.60309999999999997</v>
      </c>
      <c r="H24" s="5">
        <f t="shared" si="2"/>
        <v>0.88349999999999995</v>
      </c>
      <c r="I24" s="5">
        <f t="shared" si="14"/>
        <v>1.3965795132993772</v>
      </c>
      <c r="J24" s="5">
        <f t="shared" si="15"/>
        <v>0.95026095020642398</v>
      </c>
      <c r="K24" s="5">
        <v>10.119999999999999</v>
      </c>
      <c r="L24" s="5">
        <v>10.14</v>
      </c>
      <c r="M24" s="5">
        <v>10.55</v>
      </c>
      <c r="N24" s="5">
        <f t="shared" si="5"/>
        <v>1082.60724</v>
      </c>
      <c r="O24" s="5">
        <f t="shared" si="6"/>
        <v>102.6168</v>
      </c>
      <c r="P24" s="5">
        <f t="shared" si="7"/>
        <v>1.3731665049644413</v>
      </c>
      <c r="Q24" s="5">
        <f t="shared" si="8"/>
        <v>0.93433026574794598</v>
      </c>
      <c r="R24" s="5">
        <f t="shared" si="9"/>
        <v>1.6906249295458606</v>
      </c>
      <c r="X24" s="5">
        <v>1.4853000000000001</v>
      </c>
      <c r="Y24" s="5">
        <v>6.7000000000000002E-3</v>
      </c>
      <c r="Z24" s="5">
        <f t="shared" si="10"/>
        <v>1.492</v>
      </c>
      <c r="AA24" s="5">
        <f t="shared" si="11"/>
        <v>0.44906166219839144</v>
      </c>
      <c r="AB24" s="5">
        <f t="shared" si="12"/>
        <v>9.9000000000000199E-3</v>
      </c>
      <c r="AC24" s="5">
        <f t="shared" si="13"/>
        <v>0.65916505759371591</v>
      </c>
      <c r="AH24" s="69"/>
      <c r="AI24" s="69"/>
      <c r="AJ24" s="69"/>
      <c r="AK24" s="69"/>
      <c r="AL24" s="69"/>
    </row>
    <row r="25" spans="1:38" ht="21" x14ac:dyDescent="0.35">
      <c r="A25" s="5">
        <v>21</v>
      </c>
      <c r="B25" s="5"/>
      <c r="C25" s="6">
        <v>1.5014000000000001</v>
      </c>
      <c r="D25" s="5">
        <v>1.5046999999999999</v>
      </c>
      <c r="E25" s="6">
        <f t="shared" si="0"/>
        <v>3.2999999999998586E-3</v>
      </c>
      <c r="F25" s="5">
        <f t="shared" si="1"/>
        <v>0.21979485813240032</v>
      </c>
      <c r="G25" s="5">
        <v>0.61609999999999998</v>
      </c>
      <c r="H25" s="5">
        <f t="shared" si="2"/>
        <v>0.88859999999999995</v>
      </c>
      <c r="I25" s="5">
        <f t="shared" si="14"/>
        <v>1.4054704028809362</v>
      </c>
      <c r="J25" s="5">
        <f t="shared" si="15"/>
        <v>0.95631049131847479</v>
      </c>
      <c r="K25" s="5">
        <v>10.39</v>
      </c>
      <c r="L25" s="5">
        <v>10.14</v>
      </c>
      <c r="M25" s="5">
        <v>10.42</v>
      </c>
      <c r="N25" s="5">
        <f t="shared" si="5"/>
        <v>1097.794932</v>
      </c>
      <c r="O25" s="5">
        <f t="shared" si="6"/>
        <v>105.3546</v>
      </c>
      <c r="P25" s="5">
        <f t="shared" si="7"/>
        <v>1.3706567193370864</v>
      </c>
      <c r="Q25" s="5">
        <f t="shared" si="8"/>
        <v>0.93262255684032325</v>
      </c>
      <c r="R25" s="5">
        <f t="shared" si="9"/>
        <v>2.5080756039755765</v>
      </c>
      <c r="X25" s="5">
        <v>1.5046999999999999</v>
      </c>
      <c r="Y25" s="5">
        <v>0</v>
      </c>
      <c r="Z25" s="5">
        <f t="shared" si="10"/>
        <v>1.5046999999999999</v>
      </c>
      <c r="AA25" s="5">
        <f t="shared" si="11"/>
        <v>0</v>
      </c>
      <c r="AB25" s="5">
        <f t="shared" si="12"/>
        <v>-3.2999999999998586E-3</v>
      </c>
      <c r="AC25" s="5">
        <f t="shared" si="13"/>
        <v>-0.21979485813240032</v>
      </c>
      <c r="AH25" s="69"/>
      <c r="AI25" s="69"/>
      <c r="AJ25" s="69"/>
      <c r="AK25" s="69"/>
      <c r="AL25" s="69"/>
    </row>
    <row r="26" spans="1:38" ht="21" x14ac:dyDescent="0.35">
      <c r="A26" s="5">
        <v>22</v>
      </c>
      <c r="B26" s="5"/>
      <c r="C26" s="5">
        <v>1.5011000000000001</v>
      </c>
      <c r="D26" s="5">
        <v>1.4903999999999999</v>
      </c>
      <c r="E26" s="6">
        <f t="shared" si="0"/>
        <v>1.0700000000000154E-2</v>
      </c>
      <c r="F26" s="5">
        <f t="shared" si="1"/>
        <v>0.71281060555593589</v>
      </c>
      <c r="G26" s="5">
        <v>0.60519999999999996</v>
      </c>
      <c r="H26" s="5">
        <f t="shared" si="2"/>
        <v>0.88519999999999999</v>
      </c>
      <c r="I26" s="5">
        <f t="shared" si="14"/>
        <v>1.3974604609127881</v>
      </c>
      <c r="J26" s="5">
        <f t="shared" si="15"/>
        <v>0.95086036478198521</v>
      </c>
      <c r="K26" s="5"/>
      <c r="L26" s="5"/>
      <c r="M26" s="5"/>
      <c r="N26" s="5">
        <f t="shared" si="5"/>
        <v>0</v>
      </c>
      <c r="O26" s="5">
        <f t="shared" si="6"/>
        <v>0</v>
      </c>
      <c r="P26" s="5" t="e">
        <f t="shared" si="7"/>
        <v>#DIV/0!</v>
      </c>
      <c r="Q26" s="5" t="e">
        <f t="shared" si="8"/>
        <v>#DIV/0!</v>
      </c>
      <c r="R26" s="5" t="e">
        <f t="shared" si="9"/>
        <v>#DIV/0!</v>
      </c>
      <c r="X26" s="5">
        <v>1.4903999999999999</v>
      </c>
      <c r="Y26" s="5">
        <v>8.8000000000000005E-3</v>
      </c>
      <c r="Z26" s="5">
        <f t="shared" si="10"/>
        <v>1.4991999999999999</v>
      </c>
      <c r="AA26" s="5">
        <f t="shared" si="11"/>
        <v>0.58697972251867669</v>
      </c>
      <c r="AB26" s="5">
        <f t="shared" si="12"/>
        <v>1.9000000000002348E-3</v>
      </c>
      <c r="AC26" s="5">
        <f>AB26/C26*100</f>
        <v>0.12657384584639494</v>
      </c>
      <c r="AH26" s="69"/>
      <c r="AI26" s="69"/>
      <c r="AJ26" s="69"/>
      <c r="AK26" s="69"/>
      <c r="AL26" s="69"/>
    </row>
    <row r="27" spans="1:38" ht="21" x14ac:dyDescent="0.35">
      <c r="A27" s="5">
        <v>23</v>
      </c>
      <c r="B27" s="5"/>
      <c r="C27" s="5">
        <v>1.5011000000000001</v>
      </c>
      <c r="D27" s="5">
        <v>1.4895</v>
      </c>
      <c r="E27" s="6">
        <f t="shared" si="0"/>
        <v>1.1600000000000055E-2</v>
      </c>
      <c r="F27" s="5">
        <f t="shared" si="1"/>
        <v>0.77276663779895105</v>
      </c>
      <c r="G27" s="5">
        <v>0.58919999999999995</v>
      </c>
      <c r="H27" s="5">
        <f t="shared" si="2"/>
        <v>0.9003000000000001</v>
      </c>
      <c r="I27" s="5">
        <f t="shared" si="14"/>
        <v>1.3731922692435854</v>
      </c>
      <c r="J27" s="5">
        <f t="shared" si="15"/>
        <v>0.93434779628462339</v>
      </c>
      <c r="K27" s="5">
        <v>10.08</v>
      </c>
      <c r="L27" s="5">
        <v>10.23</v>
      </c>
      <c r="M27" s="5">
        <v>10.5</v>
      </c>
      <c r="N27" s="5">
        <f t="shared" si="5"/>
        <v>1082.7432000000001</v>
      </c>
      <c r="O27" s="5">
        <f t="shared" si="6"/>
        <v>103.11840000000001</v>
      </c>
      <c r="P27" s="5">
        <f t="shared" si="7"/>
        <v>1.3756724586217672</v>
      </c>
      <c r="Q27" s="5">
        <f t="shared" si="8"/>
        <v>0.93603536730564962</v>
      </c>
      <c r="R27" s="5">
        <f t="shared" si="9"/>
        <v>0.18045190460192975</v>
      </c>
      <c r="X27" s="5">
        <v>1.4890000000000001</v>
      </c>
      <c r="Y27" s="5">
        <v>1.0500000000000001E-2</v>
      </c>
      <c r="Z27" s="5">
        <f t="shared" si="10"/>
        <v>1.4995000000000001</v>
      </c>
      <c r="AA27" s="5">
        <f t="shared" si="11"/>
        <v>0.70023341113704574</v>
      </c>
      <c r="AB27" s="5">
        <f t="shared" si="12"/>
        <v>1.6000000000000458E-3</v>
      </c>
      <c r="AC27" s="5">
        <f t="shared" si="13"/>
        <v>0.1065885017653751</v>
      </c>
      <c r="AH27" s="69"/>
      <c r="AI27" s="69"/>
      <c r="AJ27" s="69"/>
      <c r="AK27" s="69"/>
      <c r="AL27" s="69"/>
    </row>
    <row r="28" spans="1:38" s="72" customFormat="1" ht="21" x14ac:dyDescent="0.35">
      <c r="A28" s="70">
        <v>24</v>
      </c>
      <c r="B28" s="70"/>
      <c r="C28" s="70"/>
      <c r="D28" s="70"/>
      <c r="E28" s="71">
        <f t="shared" si="0"/>
        <v>0</v>
      </c>
      <c r="F28" s="70" t="e">
        <f t="shared" si="1"/>
        <v>#DIV/0!</v>
      </c>
      <c r="G28" s="70"/>
      <c r="H28" s="70">
        <f t="shared" si="2"/>
        <v>0</v>
      </c>
      <c r="I28" s="70">
        <f>_xlfn.STDEV.S(I21:I27)</f>
        <v>2.8933053843484016E-2</v>
      </c>
      <c r="J28" s="70">
        <f>_xlfn.STDEV.S(J21:J27)*100</f>
        <v>1.9686635079394177</v>
      </c>
      <c r="K28" s="70"/>
      <c r="L28" s="70"/>
      <c r="M28" s="70"/>
      <c r="N28" s="70">
        <f t="shared" si="5"/>
        <v>0</v>
      </c>
      <c r="O28" s="70">
        <f t="shared" si="6"/>
        <v>0</v>
      </c>
      <c r="P28" s="70" t="e">
        <f t="shared" si="7"/>
        <v>#DIV/0!</v>
      </c>
      <c r="Q28" s="70" t="e">
        <f t="shared" si="8"/>
        <v>#DIV/0!</v>
      </c>
      <c r="R28" s="70" t="e">
        <f t="shared" si="9"/>
        <v>#DIV/0!</v>
      </c>
      <c r="X28" s="70"/>
      <c r="Y28" s="70"/>
      <c r="Z28" s="70">
        <f t="shared" si="10"/>
        <v>0</v>
      </c>
      <c r="AA28" s="70"/>
      <c r="AB28" s="70">
        <f t="shared" si="12"/>
        <v>0</v>
      </c>
      <c r="AC28" s="70" t="e">
        <f t="shared" si="13"/>
        <v>#DIV/0!</v>
      </c>
      <c r="AH28" s="73"/>
      <c r="AI28" s="73"/>
      <c r="AJ28" s="73"/>
      <c r="AK28" s="73"/>
      <c r="AL28" s="73"/>
    </row>
    <row r="29" spans="1:38" ht="21" x14ac:dyDescent="0.35">
      <c r="A29" s="5">
        <v>25</v>
      </c>
      <c r="B29" s="5"/>
      <c r="C29" s="5">
        <v>1.5009999999999999</v>
      </c>
      <c r="D29" s="5">
        <v>1.4954000000000001</v>
      </c>
      <c r="E29" s="6">
        <f t="shared" si="0"/>
        <v>5.5999999999998273E-3</v>
      </c>
      <c r="F29" s="5">
        <f t="shared" si="1"/>
        <v>0.37308461025981532</v>
      </c>
      <c r="G29" s="5">
        <v>0.60919999999999996</v>
      </c>
      <c r="H29" s="5">
        <f t="shared" si="2"/>
        <v>0.8862000000000001</v>
      </c>
      <c r="I29" s="5">
        <f t="shared" si="14"/>
        <v>1.4005664635522455</v>
      </c>
      <c r="J29" s="5">
        <f t="shared" si="15"/>
        <v>0.95297375180464139</v>
      </c>
      <c r="K29" s="5">
        <v>10.210000000000001</v>
      </c>
      <c r="L29" s="5">
        <v>10.119999999999999</v>
      </c>
      <c r="M29" s="5">
        <v>10.38</v>
      </c>
      <c r="N29" s="5">
        <f t="shared" si="5"/>
        <v>1072.515576</v>
      </c>
      <c r="O29" s="5">
        <f t="shared" si="6"/>
        <v>103.3252</v>
      </c>
      <c r="P29" s="5">
        <f t="shared" si="7"/>
        <v>1.3942921049008616</v>
      </c>
      <c r="Q29" s="5">
        <f t="shared" si="8"/>
        <v>0.94870455126344611</v>
      </c>
      <c r="R29" s="5">
        <f t="shared" si="9"/>
        <v>0.44899292738498287</v>
      </c>
      <c r="X29" s="5">
        <v>1.4952000000000001</v>
      </c>
      <c r="Y29" s="5">
        <v>2.3E-3</v>
      </c>
      <c r="Z29" s="5">
        <f t="shared" si="10"/>
        <v>1.4975000000000001</v>
      </c>
      <c r="AA29" s="5">
        <f t="shared" si="11"/>
        <v>0.15358931552587646</v>
      </c>
      <c r="AB29" s="5">
        <f t="shared" si="12"/>
        <v>3.4999999999998366E-3</v>
      </c>
      <c r="AC29" s="5">
        <f t="shared" si="13"/>
        <v>0.23317788141238088</v>
      </c>
      <c r="AE29">
        <f>AVERAGEIFS(AA29:AA35,AA29:AA35,"&lt;&gt;0")</f>
        <v>0.75236962178014066</v>
      </c>
      <c r="AF29">
        <f>AVERAGE(AC29:AC35)</f>
        <v>7.71132165389498E-2</v>
      </c>
      <c r="AH29" s="69">
        <f>AVERAGE(D29:D35)</f>
        <v>1.4908571428571431</v>
      </c>
      <c r="AI29" s="69">
        <f>AVERAGE(G29:G35)</f>
        <v>0.60450000000000004</v>
      </c>
      <c r="AJ29" s="69">
        <f>AVERAGE(H29:H35)</f>
        <v>0.88635714285714295</v>
      </c>
      <c r="AK29" s="69">
        <f>AVERAGE(I29:I35)</f>
        <v>1.3960680033991077</v>
      </c>
      <c r="AL29" s="69">
        <f>AVERAGE(J29:J35)</f>
        <v>0.94991290852369725</v>
      </c>
    </row>
    <row r="30" spans="1:38" ht="21" x14ac:dyDescent="0.35">
      <c r="A30" s="5">
        <v>26</v>
      </c>
      <c r="B30" s="5"/>
      <c r="C30" s="5">
        <v>1.5007999999999999</v>
      </c>
      <c r="D30" s="5">
        <v>1.4584999999999999</v>
      </c>
      <c r="E30" s="6">
        <f t="shared" si="0"/>
        <v>4.2300000000000004E-2</v>
      </c>
      <c r="F30" s="5">
        <f t="shared" si="1"/>
        <v>2.8184968017057574</v>
      </c>
      <c r="G30" s="5">
        <v>0.58130000000000004</v>
      </c>
      <c r="H30" s="5">
        <f t="shared" si="2"/>
        <v>0.87719999999999987</v>
      </c>
      <c r="I30" s="5">
        <f t="shared" si="14"/>
        <v>1.3800216598267214</v>
      </c>
      <c r="J30" s="5">
        <f t="shared" si="15"/>
        <v>0.93899465177910924</v>
      </c>
      <c r="N30" s="5">
        <f>K32*L32*M32</f>
        <v>1065.2261399999998</v>
      </c>
      <c r="O30" s="5">
        <f>K32*L32</f>
        <v>102.92039999999999</v>
      </c>
      <c r="P30" s="5">
        <f t="shared" si="7"/>
        <v>1.3691928363680599</v>
      </c>
      <c r="Q30" s="5">
        <f t="shared" si="8"/>
        <v>0.93162650125745727</v>
      </c>
      <c r="R30" s="5">
        <f t="shared" si="9"/>
        <v>0.78777581550292541</v>
      </c>
      <c r="X30" s="5">
        <v>1.4559</v>
      </c>
      <c r="Y30" s="5">
        <v>4.2700000000000002E-2</v>
      </c>
      <c r="Z30" s="5">
        <f t="shared" si="10"/>
        <v>1.4985999999999999</v>
      </c>
      <c r="AA30" s="5">
        <f t="shared" si="11"/>
        <v>2.8493260376351262</v>
      </c>
      <c r="AB30" s="5">
        <f t="shared" si="12"/>
        <v>2.1999999999999797E-3</v>
      </c>
      <c r="AC30" s="5">
        <f t="shared" si="13"/>
        <v>0.14658848614072362</v>
      </c>
      <c r="AE30">
        <f>_xlfn.STDEV.S(AA29:AA31,AA33:AA35)</f>
        <v>1.0537979552318875</v>
      </c>
      <c r="AF30">
        <f>_xlfn.STDEV.S(AC29:AC35)</f>
        <v>0.13308494111914382</v>
      </c>
    </row>
    <row r="31" spans="1:38" ht="21" x14ac:dyDescent="0.35">
      <c r="A31" s="5">
        <v>27</v>
      </c>
      <c r="B31" s="5"/>
      <c r="C31" s="5">
        <v>1.5006999999999999</v>
      </c>
      <c r="D31" s="5">
        <v>1.4957</v>
      </c>
      <c r="E31" s="6">
        <f t="shared" si="0"/>
        <v>4.9999999999998934E-3</v>
      </c>
      <c r="F31" s="5">
        <f t="shared" si="1"/>
        <v>0.33317785033650255</v>
      </c>
      <c r="G31" s="5">
        <v>0.60060000000000002</v>
      </c>
      <c r="H31" s="5">
        <f t="shared" si="2"/>
        <v>0.89510000000000001</v>
      </c>
      <c r="I31" s="5">
        <f t="shared" si="14"/>
        <v>1.3869187800245781</v>
      </c>
      <c r="J31" s="5">
        <f t="shared" si="15"/>
        <v>0.94368759187345408</v>
      </c>
      <c r="K31" s="5"/>
      <c r="L31" s="5"/>
      <c r="M31" s="5"/>
      <c r="N31" s="5">
        <f t="shared" si="5"/>
        <v>0</v>
      </c>
      <c r="O31" s="5">
        <f t="shared" si="6"/>
        <v>0</v>
      </c>
      <c r="P31" s="5" t="e">
        <f t="shared" si="7"/>
        <v>#DIV/0!</v>
      </c>
      <c r="Q31" s="5" t="e">
        <f t="shared" si="8"/>
        <v>#DIV/0!</v>
      </c>
      <c r="R31" s="5" t="e">
        <f t="shared" si="9"/>
        <v>#DIV/0!</v>
      </c>
      <c r="X31" s="5">
        <v>1.4958</v>
      </c>
      <c r="Y31" s="5">
        <v>6.0000000000000001E-3</v>
      </c>
      <c r="Z31" s="5">
        <f t="shared" si="10"/>
        <v>1.5018</v>
      </c>
      <c r="AA31" s="5">
        <f t="shared" si="11"/>
        <v>0.39952057530962842</v>
      </c>
      <c r="AB31" s="5">
        <f t="shared" si="12"/>
        <v>-1.1000000000001009E-3</v>
      </c>
      <c r="AC31" s="5">
        <f t="shared" si="13"/>
        <v>-7.329912707403885E-2</v>
      </c>
    </row>
    <row r="32" spans="1:38" ht="21" x14ac:dyDescent="0.35">
      <c r="A32" s="5">
        <v>28</v>
      </c>
      <c r="B32" s="5"/>
      <c r="C32" s="5">
        <v>1.5004</v>
      </c>
      <c r="D32" s="5">
        <v>1.4981</v>
      </c>
      <c r="E32" s="6">
        <f t="shared" si="0"/>
        <v>2.2999999999999687E-3</v>
      </c>
      <c r="F32" s="5">
        <f t="shared" si="1"/>
        <v>0.15329245534523919</v>
      </c>
      <c r="G32" s="5">
        <v>0.61580000000000001</v>
      </c>
      <c r="H32" s="5">
        <f t="shared" si="2"/>
        <v>0.88229999999999997</v>
      </c>
      <c r="I32" s="5">
        <f t="shared" si="14"/>
        <v>1.4092972911708035</v>
      </c>
      <c r="J32" s="5">
        <f t="shared" si="15"/>
        <v>0.95891438351940794</v>
      </c>
      <c r="K32" s="5">
        <v>10.119999999999999</v>
      </c>
      <c r="L32" s="5">
        <v>10.17</v>
      </c>
      <c r="M32" s="5">
        <v>10.35</v>
      </c>
      <c r="N32" s="5" t="e">
        <f>#REF!*#REF!*#REF!</f>
        <v>#REF!</v>
      </c>
      <c r="O32" s="5" t="e">
        <f>#REF!*#REF!</f>
        <v>#REF!</v>
      </c>
      <c r="P32" s="5" t="e">
        <f t="shared" si="7"/>
        <v>#REF!</v>
      </c>
      <c r="Q32" s="5" t="e">
        <f t="shared" si="8"/>
        <v>#REF!</v>
      </c>
      <c r="R32" s="5" t="e">
        <f t="shared" si="9"/>
        <v>#REF!</v>
      </c>
      <c r="X32" s="5">
        <v>1.4967999999999999</v>
      </c>
      <c r="Y32" s="5">
        <v>0</v>
      </c>
      <c r="Z32" s="5">
        <f t="shared" si="10"/>
        <v>1.4967999999999999</v>
      </c>
      <c r="AA32" s="5">
        <f t="shared" si="11"/>
        <v>0</v>
      </c>
      <c r="AB32" s="5">
        <f t="shared" si="12"/>
        <v>3.6000000000000476E-3</v>
      </c>
      <c r="AC32" s="5">
        <f t="shared" si="13"/>
        <v>0.23993601706211995</v>
      </c>
    </row>
    <row r="33" spans="1:29" ht="21" x14ac:dyDescent="0.35">
      <c r="A33" s="5">
        <v>29</v>
      </c>
      <c r="B33" s="5"/>
      <c r="C33" s="5">
        <v>1.5</v>
      </c>
      <c r="D33" s="5">
        <v>1.4976</v>
      </c>
      <c r="E33" s="6">
        <f t="shared" si="0"/>
        <v>2.3999999999999577E-3</v>
      </c>
      <c r="F33" s="5">
        <f t="shared" si="1"/>
        <v>0.1599999999999972</v>
      </c>
      <c r="G33" s="5">
        <v>0.6139</v>
      </c>
      <c r="H33" s="5">
        <f t="shared" si="2"/>
        <v>0.88370000000000004</v>
      </c>
      <c r="I33" s="5">
        <f t="shared" si="14"/>
        <v>1.4065949983025912</v>
      </c>
      <c r="J33" s="5">
        <f t="shared" si="15"/>
        <v>0.95707568879115934</v>
      </c>
      <c r="K33" s="5"/>
      <c r="L33" s="5"/>
      <c r="M33" s="5"/>
      <c r="N33" s="5">
        <f t="shared" si="5"/>
        <v>0</v>
      </c>
      <c r="O33" s="5">
        <f t="shared" si="6"/>
        <v>0</v>
      </c>
      <c r="P33" s="5" t="e">
        <f t="shared" si="7"/>
        <v>#DIV/0!</v>
      </c>
      <c r="Q33" s="5" t="e">
        <f t="shared" si="8"/>
        <v>#DIV/0!</v>
      </c>
      <c r="R33" s="5" t="e">
        <f t="shared" si="9"/>
        <v>#DIV/0!</v>
      </c>
      <c r="X33" s="5">
        <v>1.4964999999999999</v>
      </c>
      <c r="Y33" s="5">
        <v>3.0000000000000001E-3</v>
      </c>
      <c r="Z33" s="5">
        <f t="shared" si="10"/>
        <v>1.4994999999999998</v>
      </c>
      <c r="AA33" s="5">
        <f t="shared" si="11"/>
        <v>0.20006668889629878</v>
      </c>
      <c r="AB33" s="5">
        <f t="shared" si="12"/>
        <v>5.0000000000016698E-4</v>
      </c>
      <c r="AC33" s="5">
        <f t="shared" si="13"/>
        <v>3.333333333334447E-2</v>
      </c>
    </row>
    <row r="34" spans="1:29" ht="21" x14ac:dyDescent="0.35">
      <c r="A34" s="5">
        <v>30</v>
      </c>
      <c r="B34" s="5"/>
      <c r="C34" s="6">
        <v>1.5018</v>
      </c>
      <c r="D34" s="5">
        <v>1.4917</v>
      </c>
      <c r="E34" s="6">
        <f t="shared" si="0"/>
        <v>1.0099999999999998E-2</v>
      </c>
      <c r="F34" s="5">
        <f t="shared" si="1"/>
        <v>0.67252630177120776</v>
      </c>
      <c r="G34" s="5">
        <v>0.60219999999999996</v>
      </c>
      <c r="H34" s="5">
        <f t="shared" si="2"/>
        <v>0.88950000000000007</v>
      </c>
      <c r="I34" s="5">
        <f t="shared" si="14"/>
        <v>1.391917931422147</v>
      </c>
      <c r="J34" s="5">
        <f t="shared" si="15"/>
        <v>0.94708911560485753</v>
      </c>
      <c r="K34" s="5">
        <v>10.09</v>
      </c>
      <c r="L34" s="5">
        <v>10.25</v>
      </c>
      <c r="M34" s="5">
        <v>10.48</v>
      </c>
      <c r="N34" s="5">
        <f t="shared" si="5"/>
        <v>1083.8678</v>
      </c>
      <c r="O34" s="5">
        <f t="shared" si="6"/>
        <v>103.4225</v>
      </c>
      <c r="P34" s="5">
        <f t="shared" si="7"/>
        <v>1.3762748556604414</v>
      </c>
      <c r="Q34" s="5">
        <f t="shared" si="8"/>
        <v>0.93644525043576921</v>
      </c>
      <c r="R34" s="5">
        <f t="shared" si="9"/>
        <v>1.1302013237446487</v>
      </c>
      <c r="X34" s="5">
        <v>1.4915</v>
      </c>
      <c r="Y34" s="5">
        <v>1.15E-2</v>
      </c>
      <c r="Z34" s="5">
        <f t="shared" si="10"/>
        <v>1.5030000000000001</v>
      </c>
      <c r="AA34" s="5">
        <f t="shared" si="11"/>
        <v>0.76513639387890875</v>
      </c>
      <c r="AB34" s="5">
        <f t="shared" si="12"/>
        <v>-1.2000000000000899E-3</v>
      </c>
      <c r="AC34" s="5">
        <f t="shared" si="13"/>
        <v>-7.9904115061931666E-2</v>
      </c>
    </row>
    <row r="35" spans="1:29" ht="21" x14ac:dyDescent="0.35">
      <c r="A35" s="5">
        <v>31</v>
      </c>
      <c r="B35" s="5"/>
      <c r="C35" s="6">
        <v>1.5015000000000001</v>
      </c>
      <c r="D35" s="5">
        <v>1.4990000000000001</v>
      </c>
      <c r="E35" s="6">
        <f t="shared" si="0"/>
        <v>2.4999999999999467E-3</v>
      </c>
      <c r="F35" s="5">
        <f t="shared" si="1"/>
        <v>0.16650016650016294</v>
      </c>
      <c r="G35" s="5">
        <v>0.60850000000000004</v>
      </c>
      <c r="H35" s="5">
        <f t="shared" si="2"/>
        <v>0.89050000000000007</v>
      </c>
      <c r="I35" s="5">
        <f t="shared" si="14"/>
        <v>1.3971588994946658</v>
      </c>
      <c r="J35" s="5">
        <f t="shared" si="15"/>
        <v>0.95065517629325136</v>
      </c>
      <c r="K35" s="5"/>
      <c r="L35" s="5"/>
      <c r="M35" s="5"/>
      <c r="N35" s="5">
        <f t="shared" si="5"/>
        <v>0</v>
      </c>
      <c r="O35" s="5">
        <f t="shared" si="6"/>
        <v>0</v>
      </c>
      <c r="P35" s="5" t="e">
        <f t="shared" si="7"/>
        <v>#DIV/0!</v>
      </c>
      <c r="Q35" s="5" t="e">
        <f t="shared" si="8"/>
        <v>#DIV/0!</v>
      </c>
      <c r="R35" s="5" t="e">
        <f t="shared" si="9"/>
        <v>#DIV/0!</v>
      </c>
      <c r="X35" s="5">
        <v>1.4986999999999999</v>
      </c>
      <c r="Y35" s="5">
        <v>2.2000000000000001E-3</v>
      </c>
      <c r="Z35" s="5">
        <f t="shared" si="10"/>
        <v>1.5008999999999999</v>
      </c>
      <c r="AA35" s="5">
        <f t="shared" si="11"/>
        <v>0.14657871943500567</v>
      </c>
      <c r="AB35" s="5">
        <f t="shared" si="12"/>
        <v>6.0000000000015596E-4</v>
      </c>
      <c r="AC35" s="5">
        <f t="shared" si="13"/>
        <v>3.9960039960050348E-2</v>
      </c>
    </row>
    <row r="36" spans="1:29" s="72" customFormat="1" ht="21" x14ac:dyDescent="0.35">
      <c r="A36" s="70">
        <v>32</v>
      </c>
      <c r="B36" s="70"/>
      <c r="C36" s="70"/>
      <c r="D36" s="70"/>
      <c r="E36" s="71">
        <f t="shared" si="0"/>
        <v>0</v>
      </c>
      <c r="F36" s="70" t="e">
        <f t="shared" si="1"/>
        <v>#DIV/0!</v>
      </c>
      <c r="G36" s="70"/>
      <c r="H36" s="70">
        <f t="shared" si="2"/>
        <v>0</v>
      </c>
      <c r="I36" s="70">
        <f>_xlfn.STDEV.S(I29:I35)</f>
        <v>1.0533078075749694E-2</v>
      </c>
      <c r="J36" s="70">
        <f>_xlfn.STDEV.S(J29:J35)*100</f>
        <v>0.71669193809194687</v>
      </c>
      <c r="K36" s="70"/>
      <c r="L36" s="70"/>
      <c r="M36" s="70"/>
      <c r="N36" s="70">
        <f t="shared" si="5"/>
        <v>0</v>
      </c>
      <c r="O36" s="70">
        <f t="shared" si="6"/>
        <v>0</v>
      </c>
      <c r="P36" s="70" t="e">
        <f t="shared" si="7"/>
        <v>#DIV/0!</v>
      </c>
      <c r="Q36" s="70" t="e">
        <f t="shared" si="8"/>
        <v>#DIV/0!</v>
      </c>
      <c r="R36" s="70" t="e">
        <f t="shared" si="9"/>
        <v>#DIV/0!</v>
      </c>
      <c r="X36" s="70"/>
      <c r="Y36" s="70"/>
      <c r="Z36" s="70">
        <f>Y36+X36</f>
        <v>0</v>
      </c>
      <c r="AA36" s="70"/>
      <c r="AB36" s="70">
        <f t="shared" si="12"/>
        <v>0</v>
      </c>
      <c r="AC36" s="70" t="e">
        <f>AB36/C36*100</f>
        <v>#DIV/0!</v>
      </c>
    </row>
    <row r="37" spans="1:29" ht="21" x14ac:dyDescent="0.35">
      <c r="A37" s="5"/>
    </row>
    <row r="38" spans="1:29" ht="21" x14ac:dyDescent="0.35">
      <c r="A3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C09C-BD6B-4397-9C04-5408DDBD0847}">
  <dimension ref="A1:BI71"/>
  <sheetViews>
    <sheetView tabSelected="1" topLeftCell="AE1" zoomScale="68" workbookViewId="0">
      <selection activeCell="AW7" sqref="AW7"/>
    </sheetView>
  </sheetViews>
  <sheetFormatPr defaultRowHeight="15" x14ac:dyDescent="0.25"/>
  <cols>
    <col min="4" max="4" width="9.140625" customWidth="1"/>
    <col min="5" max="7" width="9.85546875" bestFit="1" customWidth="1"/>
    <col min="8" max="8" width="9.140625" customWidth="1"/>
    <col min="11" max="11" width="10.42578125" bestFit="1" customWidth="1"/>
    <col min="12" max="12" width="10.42578125" style="37" bestFit="1" customWidth="1"/>
    <col min="13" max="17" width="9.140625" customWidth="1"/>
    <col min="18" max="18" width="10.42578125" customWidth="1"/>
    <col min="19" max="19" width="10.140625" customWidth="1"/>
    <col min="20" max="20" width="24.5703125" customWidth="1"/>
    <col min="25" max="25" width="11" bestFit="1" customWidth="1"/>
    <col min="26" max="26" width="10.85546875" bestFit="1" customWidth="1"/>
    <col min="27" max="31" width="11.85546875" bestFit="1" customWidth="1"/>
    <col min="32" max="32" width="12.140625" style="32" bestFit="1" customWidth="1"/>
    <col min="33" max="35" width="11.7109375" customWidth="1"/>
    <col min="36" max="36" width="15" customWidth="1"/>
    <col min="37" max="37" width="13.28515625" customWidth="1"/>
    <col min="38" max="39" width="10.140625" customWidth="1"/>
    <col min="40" max="40" width="11.7109375" customWidth="1"/>
    <col min="41" max="41" width="9.85546875" bestFit="1" customWidth="1"/>
    <col min="42" max="42" width="11.42578125" bestFit="1" customWidth="1"/>
    <col min="43" max="43" width="11.42578125" customWidth="1"/>
  </cols>
  <sheetData>
    <row r="1" spans="1:61" ht="189" x14ac:dyDescent="0.35">
      <c r="B1" s="1"/>
      <c r="C1" s="1" t="s">
        <v>6</v>
      </c>
      <c r="D1" s="2" t="s">
        <v>7</v>
      </c>
      <c r="E1" s="1" t="s">
        <v>8</v>
      </c>
      <c r="F1" s="2" t="s">
        <v>9</v>
      </c>
      <c r="G1" s="2" t="s">
        <v>10</v>
      </c>
      <c r="H1" s="1" t="s">
        <v>11</v>
      </c>
      <c r="I1" s="3" t="s">
        <v>12</v>
      </c>
      <c r="J1" s="2" t="s">
        <v>13</v>
      </c>
      <c r="K1" s="2" t="s">
        <v>14</v>
      </c>
      <c r="L1" s="34" t="s">
        <v>15</v>
      </c>
      <c r="M1" s="2" t="s">
        <v>134</v>
      </c>
      <c r="N1" s="2" t="s">
        <v>136</v>
      </c>
      <c r="O1" s="2" t="s">
        <v>135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69</v>
      </c>
      <c r="V1" s="2" t="s">
        <v>70</v>
      </c>
      <c r="W1" s="2" t="s">
        <v>95</v>
      </c>
      <c r="X1" s="2"/>
      <c r="Y1" s="1" t="s">
        <v>8</v>
      </c>
      <c r="Z1" s="2" t="s">
        <v>9</v>
      </c>
      <c r="AA1" s="2" t="s">
        <v>10</v>
      </c>
      <c r="AB1" s="1" t="s">
        <v>11</v>
      </c>
      <c r="AC1" s="3" t="s">
        <v>12</v>
      </c>
      <c r="AD1" s="2" t="s">
        <v>13</v>
      </c>
      <c r="AE1" s="2" t="s">
        <v>14</v>
      </c>
      <c r="AF1" s="29" t="s">
        <v>15</v>
      </c>
      <c r="AG1" s="2" t="s">
        <v>16</v>
      </c>
      <c r="AH1" s="2" t="s">
        <v>17</v>
      </c>
      <c r="AI1" s="2" t="s">
        <v>18</v>
      </c>
      <c r="AJ1" s="2" t="s">
        <v>19</v>
      </c>
      <c r="AK1" s="2" t="s">
        <v>20</v>
      </c>
      <c r="AL1" s="2" t="s">
        <v>21</v>
      </c>
      <c r="AM1" s="2" t="s">
        <v>22</v>
      </c>
      <c r="AN1" s="2" t="s">
        <v>23</v>
      </c>
      <c r="AO1" s="2" t="s">
        <v>69</v>
      </c>
      <c r="AP1" s="2" t="s">
        <v>70</v>
      </c>
      <c r="AQ1" s="2" t="s">
        <v>95</v>
      </c>
      <c r="AR1" t="s">
        <v>1</v>
      </c>
      <c r="AS1" t="s">
        <v>2</v>
      </c>
    </row>
    <row r="2" spans="1:61" ht="21" x14ac:dyDescent="0.35">
      <c r="A2" s="79" t="s">
        <v>63</v>
      </c>
      <c r="B2" s="80" t="s">
        <v>29</v>
      </c>
      <c r="C2" s="5"/>
      <c r="D2" s="5"/>
      <c r="E2" s="6"/>
      <c r="F2" s="5"/>
      <c r="G2" s="6"/>
      <c r="H2" s="5"/>
      <c r="I2" s="5"/>
      <c r="J2" s="5"/>
      <c r="K2" s="5"/>
      <c r="L2" s="3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 t="s">
        <v>66</v>
      </c>
      <c r="Y2" s="6">
        <f>AVERAGE(E2:E6)</f>
        <v>1.4959666666666667</v>
      </c>
      <c r="Z2" s="6">
        <f t="shared" ref="Z2:AN2" si="0">AVERAGE(F2:F6)</f>
        <v>1.4321333333333335</v>
      </c>
      <c r="AA2" s="6">
        <f t="shared" si="0"/>
        <v>6.3833333333333409E-2</v>
      </c>
      <c r="AB2" s="6">
        <f t="shared" si="0"/>
        <v>4.2756970924473334</v>
      </c>
      <c r="AC2" s="6">
        <f t="shared" si="0"/>
        <v>0.5761666666666666</v>
      </c>
      <c r="AD2" s="6">
        <f t="shared" si="0"/>
        <v>0.85596666666666665</v>
      </c>
      <c r="AE2" s="6">
        <f t="shared" si="0"/>
        <v>1.3891037661610717</v>
      </c>
      <c r="AF2" s="53">
        <f>AVERAGE(L2:L6)</f>
        <v>91.388405668491544</v>
      </c>
      <c r="AG2" s="54">
        <f t="shared" si="0"/>
        <v>10.201666666666668</v>
      </c>
      <c r="AH2" s="54">
        <f t="shared" si="0"/>
        <v>10.197666666666667</v>
      </c>
      <c r="AI2" s="54">
        <f t="shared" si="0"/>
        <v>10.484666666666666</v>
      </c>
      <c r="AJ2" s="54">
        <f>AVERAGE(P2:P6)</f>
        <v>1090.5695957223334</v>
      </c>
      <c r="AK2" s="54">
        <f t="shared" si="0"/>
        <v>104.02059633333333</v>
      </c>
      <c r="AL2" s="54">
        <f t="shared" si="0"/>
        <v>1.3137145904865564</v>
      </c>
      <c r="AM2" s="54" t="e">
        <f t="shared" si="0"/>
        <v>#DIV/0!</v>
      </c>
      <c r="AN2" s="54">
        <f t="shared" si="0"/>
        <v>5.5999824574015618</v>
      </c>
      <c r="AO2" s="54">
        <f>AVERAGE(U2:U6)</f>
        <v>1.7275333333333336</v>
      </c>
      <c r="AP2" s="54">
        <f>AVERAGE(V2:V6)</f>
        <v>28.159333333333336</v>
      </c>
      <c r="AQ2" s="58">
        <f>AVERAGE(W2:W6)</f>
        <v>0.99653333333333338</v>
      </c>
      <c r="AR2">
        <v>0.83</v>
      </c>
      <c r="AS2">
        <v>1.52</v>
      </c>
      <c r="AT2" t="s">
        <v>5</v>
      </c>
      <c r="AY2" s="78" t="s">
        <v>66</v>
      </c>
      <c r="AZ2" s="78"/>
      <c r="BG2" s="98" t="s">
        <v>141</v>
      </c>
      <c r="BI2" s="98" t="s">
        <v>143</v>
      </c>
    </row>
    <row r="3" spans="1:61" ht="31.5" x14ac:dyDescent="0.35">
      <c r="A3" s="79"/>
      <c r="B3" s="80"/>
      <c r="C3" s="20">
        <v>2</v>
      </c>
      <c r="D3" s="20"/>
      <c r="E3" s="20">
        <v>1.4992000000000001</v>
      </c>
      <c r="F3" s="20">
        <v>1.4542999999999999</v>
      </c>
      <c r="G3" s="21">
        <f t="shared" ref="G3:G29" si="1">ABS(E3-F3)</f>
        <v>4.4900000000000162E-2</v>
      </c>
      <c r="H3" s="20">
        <f t="shared" ref="H3:H29" si="2">G3/E3*100</f>
        <v>2.9949306296691676</v>
      </c>
      <c r="I3" s="20">
        <v>0.58560000000000001</v>
      </c>
      <c r="J3" s="20">
        <f t="shared" ref="J3:J29" si="3">ABS(F3-I3)</f>
        <v>0.86869999999999992</v>
      </c>
      <c r="K3" s="20">
        <f>F3*$AR$2/J3</f>
        <v>1.3895119143547832</v>
      </c>
      <c r="L3" s="35">
        <f>K3/$AS$2*100</f>
        <v>91.415257523340998</v>
      </c>
      <c r="M3" s="20">
        <v>10.141</v>
      </c>
      <c r="N3" s="20">
        <v>10.122</v>
      </c>
      <c r="O3" s="20">
        <v>10.448</v>
      </c>
      <c r="P3" s="20">
        <f t="shared" ref="P3:P19" si="4">M3*N3*O3</f>
        <v>1072.4579664959999</v>
      </c>
      <c r="Q3" s="20">
        <f t="shared" ref="Q3:Q21" si="5">M3*N3</f>
        <v>102.64720199999999</v>
      </c>
      <c r="R3" s="20">
        <f>F3/(P3*0.001)</f>
        <v>1.356043822166362</v>
      </c>
      <c r="S3" s="20" t="e">
        <f>R3/$M$2</f>
        <v>#DIV/0!</v>
      </c>
      <c r="T3" s="20">
        <f t="shared" ref="T3:T19" si="6">ABS(K3-R3)/((K3+R3)/2)*100</f>
        <v>2.4379830824944841</v>
      </c>
      <c r="U3" s="20">
        <v>1.8142</v>
      </c>
      <c r="V3" s="20">
        <v>31.092300000000002</v>
      </c>
      <c r="W3" s="20">
        <v>0.99429999999999996</v>
      </c>
      <c r="X3" s="5" t="s">
        <v>67</v>
      </c>
      <c r="Y3" s="5">
        <f>_xlfn.STDEV.S(E2:E6)</f>
        <v>8.7122519094280908E-3</v>
      </c>
      <c r="Z3" s="5">
        <f t="shared" ref="Z3:AN3" si="7">_xlfn.STDEV.S(F2:F6)</f>
        <v>4.2083528052354782E-2</v>
      </c>
      <c r="AA3" s="5">
        <f t="shared" si="7"/>
        <v>3.348870456337974E-2</v>
      </c>
      <c r="AB3" s="5">
        <f t="shared" si="7"/>
        <v>2.2705278540852167</v>
      </c>
      <c r="AC3" s="5">
        <f t="shared" si="7"/>
        <v>9.5521376316159406E-3</v>
      </c>
      <c r="AD3" s="5">
        <f t="shared" si="7"/>
        <v>3.4319867909613694E-2</v>
      </c>
      <c r="AE3" s="5">
        <f t="shared" si="7"/>
        <v>1.6547725617769099E-2</v>
      </c>
      <c r="AF3" s="55">
        <f t="shared" si="7"/>
        <v>1.0886661590637581</v>
      </c>
      <c r="AG3" s="56">
        <f t="shared" si="7"/>
        <v>0.14486315381536302</v>
      </c>
      <c r="AH3" s="56">
        <f t="shared" si="7"/>
        <v>0.17800093632712516</v>
      </c>
      <c r="AI3" s="56">
        <f t="shared" si="7"/>
        <v>0.37136011273874492</v>
      </c>
      <c r="AJ3" s="56">
        <f t="shared" si="7"/>
        <v>38.782317103324672</v>
      </c>
      <c r="AK3" s="56">
        <f t="shared" si="7"/>
        <v>1.2295347645903896</v>
      </c>
      <c r="AL3" s="56">
        <f t="shared" si="7"/>
        <v>3.744478919607136E-2</v>
      </c>
      <c r="AM3" s="56" t="e">
        <f t="shared" si="7"/>
        <v>#DIV/0!</v>
      </c>
      <c r="AN3" s="56">
        <f t="shared" si="7"/>
        <v>2.8032814027957298</v>
      </c>
      <c r="AO3" s="56">
        <f>_xlfn.STDEV.S(U2:U6)</f>
        <v>7.8678417201500261E-2</v>
      </c>
      <c r="AP3" s="56">
        <f>_xlfn.STDEV.S(V2:V6)</f>
        <v>2.5476632868833624</v>
      </c>
      <c r="AQ3" s="56">
        <f>_xlfn.STDEV.S(W2:W6)</f>
        <v>2.8919428302325474E-3</v>
      </c>
      <c r="AY3" t="s">
        <v>73</v>
      </c>
      <c r="AZ3" t="s">
        <v>72</v>
      </c>
      <c r="BA3" s="42" t="s">
        <v>74</v>
      </c>
      <c r="BB3" s="42" t="s">
        <v>86</v>
      </c>
      <c r="BC3" t="s">
        <v>139</v>
      </c>
      <c r="BD3" t="s">
        <v>140</v>
      </c>
      <c r="BG3" s="98" t="s">
        <v>142</v>
      </c>
      <c r="BI3" s="98" t="s">
        <v>144</v>
      </c>
    </row>
    <row r="4" spans="1:61" ht="21" x14ac:dyDescent="0.35">
      <c r="A4" s="79"/>
      <c r="B4" s="80"/>
      <c r="C4" s="5"/>
      <c r="D4" s="5"/>
      <c r="E4" s="5"/>
      <c r="F4" s="5"/>
      <c r="G4" s="6"/>
      <c r="H4" s="5"/>
      <c r="I4" s="5"/>
      <c r="J4" s="5"/>
      <c r="K4" s="5"/>
      <c r="L4" s="3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 t="s">
        <v>61</v>
      </c>
      <c r="Y4" s="6">
        <f>MIN(E2:E6)</f>
        <v>1.4861</v>
      </c>
      <c r="Z4" s="6">
        <f t="shared" ref="Z4:AN4" si="8">MIN(F2:F6)</f>
        <v>1.3835999999999999</v>
      </c>
      <c r="AA4" s="6">
        <f t="shared" si="8"/>
        <v>4.4100000000000028E-2</v>
      </c>
      <c r="AB4" s="6">
        <f t="shared" si="8"/>
        <v>2.9349128177825126</v>
      </c>
      <c r="AC4" s="6">
        <f t="shared" si="8"/>
        <v>0.5665</v>
      </c>
      <c r="AD4" s="6">
        <f t="shared" si="8"/>
        <v>0.81709999999999994</v>
      </c>
      <c r="AE4" s="6">
        <f t="shared" si="8"/>
        <v>1.3723557419793675</v>
      </c>
      <c r="AF4" s="30">
        <f t="shared" si="8"/>
        <v>90.286561972326808</v>
      </c>
      <c r="AG4" s="6">
        <f t="shared" si="8"/>
        <v>10.097</v>
      </c>
      <c r="AH4" s="6">
        <f t="shared" si="8"/>
        <v>10.07</v>
      </c>
      <c r="AI4" s="6">
        <f t="shared" si="8"/>
        <v>10.132999999999999</v>
      </c>
      <c r="AJ4" s="6">
        <f t="shared" si="8"/>
        <v>1064.1564833009998</v>
      </c>
      <c r="AK4" s="6">
        <f t="shared" si="8"/>
        <v>102.64720199999999</v>
      </c>
      <c r="AL4" s="6">
        <f t="shared" si="8"/>
        <v>1.2849152286137968</v>
      </c>
      <c r="AM4" s="6" t="e">
        <f t="shared" si="8"/>
        <v>#DIV/0!</v>
      </c>
      <c r="AN4" s="6">
        <f t="shared" si="8"/>
        <v>2.4379830824944841</v>
      </c>
      <c r="AO4" s="6">
        <f>MIN(U2:U6)</f>
        <v>1.6606000000000001</v>
      </c>
      <c r="AP4" s="6">
        <f>MIN(V2:V6)</f>
        <v>26.495699999999999</v>
      </c>
      <c r="AQ4" s="6">
        <f>MIN(W2:W6)</f>
        <v>0.99429999999999996</v>
      </c>
      <c r="AY4">
        <v>2</v>
      </c>
      <c r="AZ4" s="15">
        <f>AF2</f>
        <v>91.388405668491544</v>
      </c>
      <c r="BA4" s="15">
        <f>AO2</f>
        <v>1.7275333333333336</v>
      </c>
      <c r="BB4" s="15">
        <f>AP2</f>
        <v>28.159333333333336</v>
      </c>
      <c r="BC4" s="69">
        <f>AK2</f>
        <v>104.02059633333333</v>
      </c>
      <c r="BD4" s="15">
        <f>AI2</f>
        <v>10.484666666666666</v>
      </c>
    </row>
    <row r="5" spans="1:61" ht="21" x14ac:dyDescent="0.35">
      <c r="A5" s="79"/>
      <c r="B5" s="80"/>
      <c r="C5" s="20">
        <v>4</v>
      </c>
      <c r="D5" s="20"/>
      <c r="E5" s="20">
        <v>1.5025999999999999</v>
      </c>
      <c r="F5" s="20">
        <v>1.4584999999999999</v>
      </c>
      <c r="G5" s="21">
        <f t="shared" si="1"/>
        <v>4.4100000000000028E-2</v>
      </c>
      <c r="H5" s="20">
        <f t="shared" si="2"/>
        <v>2.9349128177825126</v>
      </c>
      <c r="I5" s="20">
        <v>0.57640000000000002</v>
      </c>
      <c r="J5" s="20">
        <f t="shared" si="3"/>
        <v>0.88209999999999988</v>
      </c>
      <c r="K5" s="20">
        <f>F5*$AR$2/J5</f>
        <v>1.3723557419793675</v>
      </c>
      <c r="L5" s="35">
        <f>K5/$AS$2*100</f>
        <v>90.286561972326808</v>
      </c>
      <c r="M5" s="20">
        <v>10.367000000000001</v>
      </c>
      <c r="N5" s="20">
        <v>10.07</v>
      </c>
      <c r="O5" s="20">
        <v>10.872999999999999</v>
      </c>
      <c r="P5" s="20">
        <f t="shared" si="4"/>
        <v>1135.0943373700002</v>
      </c>
      <c r="Q5" s="20">
        <f t="shared" si="5"/>
        <v>104.39569000000002</v>
      </c>
      <c r="R5" s="20">
        <f t="shared" ref="R5:R21" si="9">F5/(P5*0.001)</f>
        <v>1.2849152286137968</v>
      </c>
      <c r="S5" s="20" t="e">
        <f t="shared" ref="S5:S19" si="10">R5/$M$2</f>
        <v>#DIV/0!</v>
      </c>
      <c r="T5" s="20">
        <f t="shared" si="6"/>
        <v>6.5812267046331323</v>
      </c>
      <c r="U5" s="20">
        <v>1.7078</v>
      </c>
      <c r="V5" s="20">
        <v>26.495699999999999</v>
      </c>
      <c r="W5" s="20">
        <v>0.99550000000000005</v>
      </c>
      <c r="X5" s="5" t="s">
        <v>62</v>
      </c>
      <c r="Y5" s="6">
        <f>MAX(E2:E6)</f>
        <v>1.5025999999999999</v>
      </c>
      <c r="Z5" s="6">
        <f t="shared" ref="Z5:AN5" si="11">MAX(F2:F6)</f>
        <v>1.4584999999999999</v>
      </c>
      <c r="AA5" s="6">
        <f t="shared" si="11"/>
        <v>0.10250000000000004</v>
      </c>
      <c r="AB5" s="6">
        <f t="shared" si="11"/>
        <v>6.8972478298903201</v>
      </c>
      <c r="AC5" s="6">
        <f t="shared" si="11"/>
        <v>0.58560000000000001</v>
      </c>
      <c r="AD5" s="6">
        <f t="shared" si="11"/>
        <v>0.88209999999999988</v>
      </c>
      <c r="AE5" s="6">
        <f t="shared" si="11"/>
        <v>1.4054436421490639</v>
      </c>
      <c r="AF5" s="30">
        <f t="shared" si="11"/>
        <v>92.463397509806839</v>
      </c>
      <c r="AG5" s="6">
        <f t="shared" si="11"/>
        <v>10.367000000000001</v>
      </c>
      <c r="AH5" s="6">
        <f t="shared" si="11"/>
        <v>10.401</v>
      </c>
      <c r="AI5" s="6">
        <f t="shared" si="11"/>
        <v>10.872999999999999</v>
      </c>
      <c r="AJ5" s="6">
        <f t="shared" si="11"/>
        <v>1135.0943373700002</v>
      </c>
      <c r="AK5" s="6">
        <f t="shared" si="11"/>
        <v>105.018897</v>
      </c>
      <c r="AL5" s="6">
        <f t="shared" si="11"/>
        <v>1.356043822166362</v>
      </c>
      <c r="AM5" s="6" t="e">
        <f t="shared" si="11"/>
        <v>#DIV/0!</v>
      </c>
      <c r="AN5" s="6">
        <f t="shared" si="11"/>
        <v>7.7807375850770661</v>
      </c>
      <c r="AO5" s="6">
        <f>MAX(U2:U6)</f>
        <v>1.8142</v>
      </c>
      <c r="AP5" s="6">
        <f>MAX(V2:V6)</f>
        <v>31.092300000000002</v>
      </c>
      <c r="AQ5" s="6">
        <f>MAX(W2:W6)</f>
        <v>0.99980000000000002</v>
      </c>
      <c r="AY5">
        <v>4</v>
      </c>
      <c r="AZ5">
        <f>AF7</f>
        <v>91.264391472594056</v>
      </c>
      <c r="BA5">
        <f>AO7</f>
        <v>1.7356333333333334</v>
      </c>
      <c r="BB5">
        <f>AP7</f>
        <v>27.684700000000003</v>
      </c>
      <c r="BC5">
        <f>AK7</f>
        <v>103.85403633333333</v>
      </c>
      <c r="BD5">
        <f>AI7</f>
        <v>10.578000000000001</v>
      </c>
    </row>
    <row r="6" spans="1:61" ht="21" x14ac:dyDescent="0.35">
      <c r="A6" s="79"/>
      <c r="B6" s="80"/>
      <c r="C6" s="20">
        <v>5</v>
      </c>
      <c r="D6" s="20"/>
      <c r="E6" s="20">
        <v>1.4861</v>
      </c>
      <c r="F6" s="20">
        <v>1.3835999999999999</v>
      </c>
      <c r="G6" s="21">
        <f t="shared" si="1"/>
        <v>0.10250000000000004</v>
      </c>
      <c r="H6" s="20">
        <f t="shared" si="2"/>
        <v>6.8972478298903201</v>
      </c>
      <c r="I6" s="20">
        <v>0.5665</v>
      </c>
      <c r="J6" s="20">
        <f t="shared" si="3"/>
        <v>0.81709999999999994</v>
      </c>
      <c r="K6" s="12">
        <f>F6*$AR$2/J6</f>
        <v>1.4054436421490639</v>
      </c>
      <c r="L6" s="35">
        <f>K6/$AS$2*100</f>
        <v>92.463397509806839</v>
      </c>
      <c r="M6" s="20">
        <v>10.097</v>
      </c>
      <c r="N6" s="20">
        <v>10.401</v>
      </c>
      <c r="O6" s="20">
        <v>10.132999999999999</v>
      </c>
      <c r="P6" s="20">
        <f t="shared" si="4"/>
        <v>1064.1564833009998</v>
      </c>
      <c r="Q6" s="20">
        <f t="shared" si="5"/>
        <v>105.018897</v>
      </c>
      <c r="R6" s="20">
        <f t="shared" si="9"/>
        <v>1.3001847206795099</v>
      </c>
      <c r="S6" s="20" t="e">
        <f t="shared" si="10"/>
        <v>#DIV/0!</v>
      </c>
      <c r="T6" s="20">
        <f t="shared" si="6"/>
        <v>7.7807375850770661</v>
      </c>
      <c r="U6" s="20">
        <v>1.6606000000000001</v>
      </c>
      <c r="V6" s="20">
        <v>26.89</v>
      </c>
      <c r="W6" s="20">
        <v>0.99980000000000002</v>
      </c>
      <c r="X6" s="5" t="s">
        <v>68</v>
      </c>
      <c r="Y6" s="5">
        <f>COUNT(T2:T6)</f>
        <v>3</v>
      </c>
      <c r="Z6" s="5"/>
      <c r="AA6" s="5"/>
      <c r="AB6" s="5"/>
      <c r="AC6" s="5"/>
      <c r="AD6" s="5"/>
      <c r="AE6" s="5"/>
      <c r="AF6" s="31"/>
      <c r="AG6" s="5"/>
      <c r="AH6" s="5"/>
      <c r="AI6" s="5"/>
      <c r="AJ6" s="5"/>
      <c r="AK6" s="5"/>
      <c r="AL6" s="5"/>
      <c r="AM6" s="5"/>
      <c r="AN6" s="5"/>
      <c r="AY6">
        <v>8</v>
      </c>
      <c r="AZ6">
        <f>AF13</f>
        <v>90.731096478373772</v>
      </c>
      <c r="BA6">
        <f>AO13</f>
        <v>2.6036666666666668</v>
      </c>
      <c r="BB6">
        <f>AP13</f>
        <v>48.197066666666672</v>
      </c>
      <c r="BC6">
        <f>AK13</f>
        <v>104.49815333333333</v>
      </c>
      <c r="BD6">
        <f>AI13</f>
        <v>10.959714285714288</v>
      </c>
    </row>
    <row r="7" spans="1:61" ht="21" x14ac:dyDescent="0.35">
      <c r="A7" s="79"/>
      <c r="B7" s="80" t="s">
        <v>31</v>
      </c>
      <c r="C7" s="22">
        <v>6</v>
      </c>
      <c r="D7" s="22"/>
      <c r="E7" s="22">
        <v>1.5017</v>
      </c>
      <c r="F7" s="22">
        <v>1.4841</v>
      </c>
      <c r="G7" s="23">
        <f t="shared" si="1"/>
        <v>1.760000000000006E-2</v>
      </c>
      <c r="H7" s="22">
        <f t="shared" si="2"/>
        <v>1.1720050609309489</v>
      </c>
      <c r="I7" s="22">
        <v>0.59370000000000001</v>
      </c>
      <c r="J7" s="22">
        <f t="shared" si="3"/>
        <v>0.89039999999999997</v>
      </c>
      <c r="K7" s="20">
        <f>F7*$AR$2/J7</f>
        <v>1.3834265498652292</v>
      </c>
      <c r="L7" s="35">
        <f>K7/$AS$2*100</f>
        <v>91.014904596396647</v>
      </c>
      <c r="M7" s="22">
        <v>10.067</v>
      </c>
      <c r="N7" s="22">
        <v>10.231999999999999</v>
      </c>
      <c r="O7" s="22">
        <v>10.672000000000001</v>
      </c>
      <c r="P7" s="22">
        <f t="shared" si="4"/>
        <v>1099.2751655680001</v>
      </c>
      <c r="Q7" s="22">
        <f t="shared" si="5"/>
        <v>103.005544</v>
      </c>
      <c r="R7" s="22">
        <f t="shared" si="9"/>
        <v>1.3500714347832639</v>
      </c>
      <c r="S7" s="22" t="e">
        <f t="shared" si="10"/>
        <v>#DIV/0!</v>
      </c>
      <c r="T7" s="22">
        <f t="shared" si="6"/>
        <v>2.4404711669289578</v>
      </c>
      <c r="U7" s="20">
        <v>1.516</v>
      </c>
      <c r="V7" s="20">
        <v>21.686800000000002</v>
      </c>
      <c r="W7" s="20">
        <v>0.99860000000000004</v>
      </c>
      <c r="X7" s="5" t="s">
        <v>66</v>
      </c>
      <c r="Y7" s="5">
        <f>AVERAGE(E7:E12)</f>
        <v>1.5016</v>
      </c>
      <c r="Z7" s="5">
        <f t="shared" ref="Z7:AN7" si="12">AVERAGE(F7:F12)</f>
        <v>1.4798</v>
      </c>
      <c r="AA7" s="5">
        <f t="shared" si="12"/>
        <v>2.1799999999999969E-2</v>
      </c>
      <c r="AB7" s="5">
        <f t="shared" si="12"/>
        <v>1.4517541579538158</v>
      </c>
      <c r="AC7" s="5">
        <f t="shared" si="12"/>
        <v>0.59439999999999993</v>
      </c>
      <c r="AD7" s="5">
        <f t="shared" si="12"/>
        <v>0.88540000000000008</v>
      </c>
      <c r="AE7" s="5">
        <f t="shared" si="12"/>
        <v>1.3872187503834297</v>
      </c>
      <c r="AF7" s="55">
        <f t="shared" si="12"/>
        <v>91.264391472594056</v>
      </c>
      <c r="AG7" s="56">
        <f t="shared" si="12"/>
        <v>10.154</v>
      </c>
      <c r="AH7" s="56">
        <f t="shared" si="12"/>
        <v>10.228333333333333</v>
      </c>
      <c r="AI7" s="56">
        <f t="shared" si="12"/>
        <v>10.578000000000001</v>
      </c>
      <c r="AJ7" s="56">
        <f t="shared" si="12"/>
        <v>1098.3814908443335</v>
      </c>
      <c r="AK7" s="56">
        <f t="shared" si="12"/>
        <v>103.85403633333333</v>
      </c>
      <c r="AL7" s="56">
        <f t="shared" si="12"/>
        <v>1.3472670523582932</v>
      </c>
      <c r="AM7" s="56" t="e">
        <f t="shared" si="12"/>
        <v>#DIV/0!</v>
      </c>
      <c r="AN7" s="56">
        <f t="shared" si="12"/>
        <v>2.9224444050124636</v>
      </c>
      <c r="AO7" s="56">
        <f>AVERAGE(U7:U12)</f>
        <v>1.7356333333333334</v>
      </c>
      <c r="AP7" s="56">
        <f>AVERAGE(V7:V12)</f>
        <v>27.684700000000003</v>
      </c>
      <c r="AQ7" s="58">
        <f>AVERAGE(W7:W12)</f>
        <v>0.99739999999999995</v>
      </c>
      <c r="AY7">
        <v>12</v>
      </c>
      <c r="AZ7" s="15">
        <f>AF20</f>
        <v>90.790822159002801</v>
      </c>
      <c r="BA7" s="15">
        <f>AO20</f>
        <v>2.7513666666666663</v>
      </c>
      <c r="BB7" s="15">
        <f>AP20</f>
        <v>46.312666666666672</v>
      </c>
      <c r="BC7" s="69">
        <f>AK20</f>
        <v>105.62195733333333</v>
      </c>
      <c r="BD7" s="15">
        <f>AI20</f>
        <v>10.884</v>
      </c>
    </row>
    <row r="8" spans="1:61" ht="21" x14ac:dyDescent="0.35">
      <c r="A8" s="79"/>
      <c r="B8" s="80"/>
      <c r="C8" s="20">
        <v>7</v>
      </c>
      <c r="D8" s="20"/>
      <c r="E8" s="20">
        <v>1.5027999999999999</v>
      </c>
      <c r="F8" s="20">
        <v>1.4778</v>
      </c>
      <c r="G8" s="21">
        <f t="shared" si="1"/>
        <v>2.4999999999999911E-2</v>
      </c>
      <c r="H8" s="20">
        <f t="shared" si="2"/>
        <v>1.6635613521426611</v>
      </c>
      <c r="I8" s="20">
        <v>0.5948</v>
      </c>
      <c r="J8" s="20">
        <f t="shared" si="3"/>
        <v>0.88300000000000001</v>
      </c>
      <c r="K8" s="20">
        <f>F8*$AR$2/J8</f>
        <v>1.3890985277463195</v>
      </c>
      <c r="L8" s="35">
        <f>K8/$AS$2*100</f>
        <v>91.388061035942073</v>
      </c>
      <c r="M8" s="20">
        <v>10.164999999999999</v>
      </c>
      <c r="N8" s="20">
        <v>10.425000000000001</v>
      </c>
      <c r="O8" s="20">
        <v>10.401</v>
      </c>
      <c r="P8" s="20">
        <f t="shared" si="4"/>
        <v>1102.195270125</v>
      </c>
      <c r="Q8" s="20">
        <f t="shared" si="5"/>
        <v>105.970125</v>
      </c>
      <c r="R8" s="20">
        <f t="shared" si="9"/>
        <v>1.3407787531445337</v>
      </c>
      <c r="S8" s="20" t="e">
        <f t="shared" si="10"/>
        <v>#DIV/0!</v>
      </c>
      <c r="T8" s="20">
        <f t="shared" si="6"/>
        <v>3.5400693606283591</v>
      </c>
      <c r="U8" s="20">
        <v>1.7213000000000001</v>
      </c>
      <c r="V8" s="20">
        <v>29.767099999999999</v>
      </c>
      <c r="W8" s="20">
        <v>0.99739999999999995</v>
      </c>
      <c r="X8" s="5" t="s">
        <v>67</v>
      </c>
      <c r="Y8" s="5">
        <f>_xlfn.STDEV.S(E7:E12)</f>
        <v>1.252996408614144E-3</v>
      </c>
      <c r="Z8" s="5">
        <f t="shared" ref="Z8:AN8" si="13">_xlfn.STDEV.S(F7:F12)</f>
        <v>3.7269290307168183E-3</v>
      </c>
      <c r="AA8" s="5">
        <f t="shared" si="13"/>
        <v>3.7999999999999206E-3</v>
      </c>
      <c r="AB8" s="5">
        <f t="shared" si="13"/>
        <v>0.25272311623194316</v>
      </c>
      <c r="AC8" s="5">
        <f t="shared" si="13"/>
        <v>6.0827625302981893E-4</v>
      </c>
      <c r="AD8" s="5">
        <f t="shared" si="13"/>
        <v>4.3312815655415149E-3</v>
      </c>
      <c r="AE8" s="5">
        <f t="shared" si="13"/>
        <v>3.2841825489184386E-3</v>
      </c>
      <c r="AF8" s="55">
        <f t="shared" si="13"/>
        <v>0.21606464137621945</v>
      </c>
      <c r="AG8" s="56">
        <f t="shared" si="13"/>
        <v>8.2054859697643798E-2</v>
      </c>
      <c r="AH8" s="56">
        <f t="shared" si="13"/>
        <v>0.19852539719978746</v>
      </c>
      <c r="AI8" s="56">
        <f t="shared" si="13"/>
        <v>0.15338513617688013</v>
      </c>
      <c r="AJ8" s="56">
        <f t="shared" si="13"/>
        <v>4.3303400626438195</v>
      </c>
      <c r="AK8" s="56">
        <f t="shared" si="13"/>
        <v>1.8445285236613478</v>
      </c>
      <c r="AL8" s="56">
        <f t="shared" si="13"/>
        <v>5.6362146153016027E-3</v>
      </c>
      <c r="AM8" s="56" t="e">
        <f t="shared" si="13"/>
        <v>#DIV/0!</v>
      </c>
      <c r="AN8" s="56">
        <f t="shared" si="13"/>
        <v>0.56221000368977958</v>
      </c>
      <c r="AO8" s="56">
        <f>_xlfn.STDEV.S(U7:U12)</f>
        <v>0.22713943588318991</v>
      </c>
      <c r="AP8" s="56">
        <f>_xlfn.STDEV.S(V7:V12)</f>
        <v>5.2745774437389876</v>
      </c>
      <c r="AQ8" s="56">
        <f>_xlfn.STDEV.S(W7:W12)</f>
        <v>1.2000000000000344E-3</v>
      </c>
      <c r="AY8">
        <v>24</v>
      </c>
      <c r="AZ8">
        <f>AF27</f>
        <v>89.163245914915137</v>
      </c>
      <c r="BA8">
        <f>AO31</f>
        <v>1.5120333333333333</v>
      </c>
      <c r="BB8">
        <f>AP31</f>
        <v>4.1003999999999996</v>
      </c>
      <c r="BC8">
        <f>AK27</f>
        <v>123.81307266666666</v>
      </c>
      <c r="BD8">
        <f>AI27</f>
        <v>12.94</v>
      </c>
    </row>
    <row r="9" spans="1:61" ht="21" x14ac:dyDescent="0.35">
      <c r="A9" s="79"/>
      <c r="B9" s="80"/>
      <c r="C9" s="20">
        <v>8</v>
      </c>
      <c r="D9" s="20"/>
      <c r="E9" s="20">
        <v>1.5003</v>
      </c>
      <c r="F9" s="20">
        <v>1.4775</v>
      </c>
      <c r="G9" s="21">
        <f t="shared" si="1"/>
        <v>2.2799999999999931E-2</v>
      </c>
      <c r="H9" s="20">
        <f t="shared" si="2"/>
        <v>1.5196960607878378</v>
      </c>
      <c r="I9" s="20">
        <v>0.59470000000000001</v>
      </c>
      <c r="J9" s="20">
        <f t="shared" si="3"/>
        <v>0.88280000000000003</v>
      </c>
      <c r="K9" s="20">
        <f>F9*$AR$2/J9</f>
        <v>1.3891311735387402</v>
      </c>
      <c r="L9" s="35">
        <f>K9/$AS$2*100</f>
        <v>91.390208785443434</v>
      </c>
      <c r="M9" s="20">
        <v>10.23</v>
      </c>
      <c r="N9" s="20">
        <v>10.028</v>
      </c>
      <c r="O9" s="20">
        <v>10.661</v>
      </c>
      <c r="P9" s="20">
        <f t="shared" si="4"/>
        <v>1093.6740368400001</v>
      </c>
      <c r="Q9" s="20">
        <f t="shared" si="5"/>
        <v>102.58644000000001</v>
      </c>
      <c r="R9" s="20">
        <f t="shared" si="9"/>
        <v>1.3509509691470822</v>
      </c>
      <c r="S9" s="20" t="e">
        <f t="shared" si="10"/>
        <v>#DIV/0!</v>
      </c>
      <c r="T9" s="20">
        <f t="shared" si="6"/>
        <v>2.7867926874800748</v>
      </c>
      <c r="U9" s="20">
        <v>1.9696</v>
      </c>
      <c r="V9" s="20">
        <v>31.600200000000001</v>
      </c>
      <c r="W9" s="20">
        <v>0.99619999999999997</v>
      </c>
      <c r="X9" s="5" t="s">
        <v>61</v>
      </c>
      <c r="Y9" s="5">
        <f>MIN(E7:E12)</f>
        <v>1.5003</v>
      </c>
      <c r="Z9" s="5">
        <f t="shared" ref="Z9:AN9" si="14">MIN(F7:F12)</f>
        <v>1.4775</v>
      </c>
      <c r="AA9" s="5">
        <f t="shared" si="14"/>
        <v>1.760000000000006E-2</v>
      </c>
      <c r="AB9" s="5">
        <f t="shared" si="14"/>
        <v>1.1720050609309489</v>
      </c>
      <c r="AC9" s="5">
        <f t="shared" si="14"/>
        <v>0.59370000000000001</v>
      </c>
      <c r="AD9" s="5">
        <f t="shared" si="14"/>
        <v>0.88280000000000003</v>
      </c>
      <c r="AE9" s="5">
        <f t="shared" si="14"/>
        <v>1.3834265498652292</v>
      </c>
      <c r="AF9" s="31">
        <f t="shared" si="14"/>
        <v>91.014904596396647</v>
      </c>
      <c r="AG9" s="5">
        <f t="shared" si="14"/>
        <v>10.067</v>
      </c>
      <c r="AH9" s="5">
        <f t="shared" si="14"/>
        <v>10.028</v>
      </c>
      <c r="AI9" s="5">
        <f t="shared" si="14"/>
        <v>10.401</v>
      </c>
      <c r="AJ9" s="5">
        <f t="shared" si="14"/>
        <v>1093.6740368400001</v>
      </c>
      <c r="AK9" s="5">
        <f t="shared" si="14"/>
        <v>102.58644000000001</v>
      </c>
      <c r="AL9" s="5">
        <f t="shared" si="14"/>
        <v>1.3407787531445337</v>
      </c>
      <c r="AM9" s="5" t="e">
        <f t="shared" si="14"/>
        <v>#DIV/0!</v>
      </c>
      <c r="AN9" s="5">
        <f t="shared" si="14"/>
        <v>2.4404711669289578</v>
      </c>
      <c r="AO9" s="5">
        <f>MIN(U7:U12)</f>
        <v>1.516</v>
      </c>
      <c r="AP9" s="5">
        <f>MIN(V7:V12)</f>
        <v>21.686800000000002</v>
      </c>
      <c r="AQ9" s="5">
        <f>MIN(W7:W12)</f>
        <v>0.99619999999999997</v>
      </c>
    </row>
    <row r="10" spans="1:61" ht="21" x14ac:dyDescent="0.35">
      <c r="A10" s="79"/>
      <c r="B10" s="80"/>
      <c r="C10" s="20"/>
      <c r="D10" s="20"/>
      <c r="E10" s="20"/>
      <c r="F10" s="20"/>
      <c r="G10" s="21"/>
      <c r="H10" s="20"/>
      <c r="I10" s="20"/>
      <c r="J10" s="20"/>
      <c r="K10" s="20"/>
      <c r="L10" s="35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5" t="s">
        <v>62</v>
      </c>
      <c r="Y10" s="5">
        <f>MAX(E7:E12)</f>
        <v>1.5027999999999999</v>
      </c>
      <c r="Z10" s="5">
        <f t="shared" ref="Z10:AN10" si="15">MAX(F7:F12)</f>
        <v>1.4841</v>
      </c>
      <c r="AA10" s="5">
        <f t="shared" si="15"/>
        <v>2.4999999999999911E-2</v>
      </c>
      <c r="AB10" s="5">
        <f t="shared" si="15"/>
        <v>1.6635613521426611</v>
      </c>
      <c r="AC10" s="5">
        <f t="shared" si="15"/>
        <v>0.5948</v>
      </c>
      <c r="AD10" s="5">
        <f t="shared" si="15"/>
        <v>0.89039999999999997</v>
      </c>
      <c r="AE10" s="5">
        <f t="shared" si="15"/>
        <v>1.3891311735387402</v>
      </c>
      <c r="AF10" s="31">
        <f t="shared" si="15"/>
        <v>91.390208785443434</v>
      </c>
      <c r="AG10" s="5">
        <f t="shared" si="15"/>
        <v>10.23</v>
      </c>
      <c r="AH10" s="5">
        <f t="shared" si="15"/>
        <v>10.425000000000001</v>
      </c>
      <c r="AI10" s="5">
        <f t="shared" si="15"/>
        <v>10.672000000000001</v>
      </c>
      <c r="AJ10" s="5">
        <f t="shared" si="15"/>
        <v>1102.195270125</v>
      </c>
      <c r="AK10" s="5">
        <f t="shared" si="15"/>
        <v>105.970125</v>
      </c>
      <c r="AL10" s="5">
        <f t="shared" si="15"/>
        <v>1.3509509691470822</v>
      </c>
      <c r="AM10" s="5" t="e">
        <f t="shared" si="15"/>
        <v>#DIV/0!</v>
      </c>
      <c r="AN10" s="5">
        <f t="shared" si="15"/>
        <v>3.5400693606283591</v>
      </c>
      <c r="AO10" s="5">
        <f>MAX(U7:U12)</f>
        <v>1.9696</v>
      </c>
      <c r="AP10" s="5">
        <f>MAX(V7:V12)</f>
        <v>31.600200000000001</v>
      </c>
      <c r="AQ10" s="5">
        <f>MAX(W7:W12)</f>
        <v>0.99860000000000004</v>
      </c>
      <c r="AS10" s="82" t="s">
        <v>76</v>
      </c>
      <c r="AT10" s="82"/>
      <c r="AU10" s="82"/>
      <c r="AY10" s="78" t="s">
        <v>67</v>
      </c>
      <c r="AZ10" s="78"/>
    </row>
    <row r="11" spans="1:61" ht="31.5" x14ac:dyDescent="0.35">
      <c r="A11" s="79"/>
      <c r="B11" s="80"/>
      <c r="C11" s="20"/>
      <c r="D11" s="20"/>
      <c r="E11" s="21"/>
      <c r="F11" s="20"/>
      <c r="G11" s="21"/>
      <c r="H11" s="20"/>
      <c r="I11" s="20"/>
      <c r="J11" s="20"/>
      <c r="K11" s="20"/>
      <c r="L11" s="35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5" t="s">
        <v>68</v>
      </c>
      <c r="Y11" s="5">
        <f>COUNT(T7:T12)</f>
        <v>3</v>
      </c>
      <c r="Z11" s="5"/>
      <c r="AA11" s="5"/>
      <c r="AB11" s="5"/>
      <c r="AC11" s="5"/>
      <c r="AD11" s="5"/>
      <c r="AE11" s="5"/>
      <c r="AF11" s="31"/>
      <c r="AG11" s="5"/>
      <c r="AH11" s="5"/>
      <c r="AI11" s="5"/>
      <c r="AJ11" s="5"/>
      <c r="AK11" s="5"/>
      <c r="AL11" s="5"/>
      <c r="AM11" s="5"/>
      <c r="AN11" s="5"/>
      <c r="AS11" s="82"/>
      <c r="AT11" s="82"/>
      <c r="AU11" s="82"/>
      <c r="AY11" t="s">
        <v>73</v>
      </c>
      <c r="AZ11" t="s">
        <v>72</v>
      </c>
      <c r="BA11" s="42" t="s">
        <v>74</v>
      </c>
      <c r="BB11" s="42" t="s">
        <v>86</v>
      </c>
      <c r="BC11" t="s">
        <v>139</v>
      </c>
      <c r="BD11" t="s">
        <v>140</v>
      </c>
    </row>
    <row r="12" spans="1:61" ht="21" x14ac:dyDescent="0.35">
      <c r="A12" s="79"/>
      <c r="B12" s="80"/>
      <c r="C12" s="5"/>
      <c r="D12" s="5"/>
      <c r="E12" s="6"/>
      <c r="F12" s="5"/>
      <c r="G12" s="6"/>
      <c r="H12" s="5"/>
      <c r="I12" s="5"/>
      <c r="J12" s="5"/>
      <c r="K12" s="1"/>
      <c r="L12" s="3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31"/>
      <c r="AG12" s="5"/>
      <c r="AH12" s="5"/>
      <c r="AI12" s="5"/>
      <c r="AJ12" s="5"/>
      <c r="AK12" s="5"/>
      <c r="AL12" s="5"/>
      <c r="AM12" s="5"/>
      <c r="AN12" s="5"/>
      <c r="AS12" s="82" t="s">
        <v>77</v>
      </c>
      <c r="AT12" s="82"/>
      <c r="AU12" s="82"/>
      <c r="AY12">
        <v>2</v>
      </c>
      <c r="AZ12" s="15">
        <f>AF3</f>
        <v>1.0886661590637581</v>
      </c>
      <c r="BA12" s="15">
        <f>AO3</f>
        <v>7.8678417201500261E-2</v>
      </c>
      <c r="BB12" s="15">
        <f>AP3</f>
        <v>2.5476632868833624</v>
      </c>
      <c r="BC12">
        <f>AK3</f>
        <v>1.2295347645903896</v>
      </c>
      <c r="BD12">
        <f>AI3</f>
        <v>0.37136011273874492</v>
      </c>
    </row>
    <row r="13" spans="1:61" ht="21" x14ac:dyDescent="0.35">
      <c r="A13" s="79" t="s">
        <v>64</v>
      </c>
      <c r="B13" s="80" t="s">
        <v>56</v>
      </c>
      <c r="C13" s="7"/>
      <c r="D13" s="7"/>
      <c r="E13" s="7"/>
      <c r="F13" s="7"/>
      <c r="G13" s="8"/>
      <c r="H13" s="7"/>
      <c r="I13" s="7"/>
      <c r="J13" s="7"/>
      <c r="K13" s="5"/>
      <c r="L13" s="35"/>
      <c r="M13">
        <v>10.353999999999999</v>
      </c>
      <c r="N13">
        <v>10.212</v>
      </c>
      <c r="O13">
        <v>11.298</v>
      </c>
      <c r="P13" s="7"/>
      <c r="Q13" s="7"/>
      <c r="R13" s="7"/>
      <c r="S13" s="7"/>
      <c r="T13" s="7"/>
      <c r="U13" s="5"/>
      <c r="V13" s="5"/>
      <c r="W13" s="5"/>
      <c r="X13" s="5" t="s">
        <v>66</v>
      </c>
      <c r="Y13" s="5">
        <f>AVERAGE(E13:E19)</f>
        <v>1.5011666666666665</v>
      </c>
      <c r="Z13" s="5">
        <f t="shared" ref="Z13:AN13" si="16">AVERAGE(F13:F19)</f>
        <v>1.5137333333333334</v>
      </c>
      <c r="AA13" s="5">
        <f t="shared" si="16"/>
        <v>1.5433333333333335E-2</v>
      </c>
      <c r="AB13" s="5">
        <f t="shared" si="16"/>
        <v>1.0285423212552793</v>
      </c>
      <c r="AC13" s="5">
        <f t="shared" si="16"/>
        <v>0.60266666666666657</v>
      </c>
      <c r="AD13" s="5">
        <f t="shared" si="16"/>
        <v>0.91106666666666669</v>
      </c>
      <c r="AE13" s="5">
        <f t="shared" si="16"/>
        <v>1.3791126664712812</v>
      </c>
      <c r="AF13" s="55">
        <f t="shared" si="16"/>
        <v>90.731096478373772</v>
      </c>
      <c r="AG13" s="56">
        <f t="shared" si="16"/>
        <v>10.319714285714285</v>
      </c>
      <c r="AH13" s="56">
        <f t="shared" si="16"/>
        <v>10.182285714285713</v>
      </c>
      <c r="AI13" s="56">
        <f t="shared" si="16"/>
        <v>10.959714285714288</v>
      </c>
      <c r="AJ13" s="56">
        <f t="shared" si="16"/>
        <v>1140.5674412053334</v>
      </c>
      <c r="AK13" s="56">
        <f t="shared" si="16"/>
        <v>104.49815333333333</v>
      </c>
      <c r="AL13" s="56">
        <f t="shared" si="16"/>
        <v>1.3272986852121658</v>
      </c>
      <c r="AM13" s="56" t="e">
        <f t="shared" si="16"/>
        <v>#DIV/0!</v>
      </c>
      <c r="AN13" s="56">
        <f t="shared" si="16"/>
        <v>3.8367273678658407</v>
      </c>
      <c r="AO13" s="56">
        <f>AVERAGE(U13:U19)</f>
        <v>2.6036666666666668</v>
      </c>
      <c r="AP13" s="56">
        <f>AVERAGE(V13:V19)</f>
        <v>48.197066666666672</v>
      </c>
      <c r="AQ13" s="58">
        <f>AVERAGE(W13:W19)</f>
        <v>0.99049999999999994</v>
      </c>
      <c r="AS13" s="82"/>
      <c r="AT13" s="82"/>
      <c r="AU13" s="82"/>
      <c r="AY13">
        <v>4</v>
      </c>
      <c r="AZ13">
        <f>AF8</f>
        <v>0.21606464137621945</v>
      </c>
      <c r="BA13">
        <f>AO8</f>
        <v>0.22713943588318991</v>
      </c>
      <c r="BB13">
        <f>AP8</f>
        <v>5.2745774437389876</v>
      </c>
      <c r="BC13">
        <f>AK8</f>
        <v>1.8445285236613478</v>
      </c>
      <c r="BD13">
        <f>AI8</f>
        <v>0.15338513617688013</v>
      </c>
    </row>
    <row r="14" spans="1:61" ht="21" x14ac:dyDescent="0.35">
      <c r="A14" s="79"/>
      <c r="B14" s="80"/>
      <c r="C14" s="5"/>
      <c r="D14" s="5"/>
      <c r="E14" s="5"/>
      <c r="F14" s="5"/>
      <c r="G14" s="6"/>
      <c r="H14" s="5"/>
      <c r="I14" s="5"/>
      <c r="J14" s="5"/>
      <c r="K14" s="5"/>
      <c r="L14" s="35"/>
      <c r="M14">
        <v>10.303000000000001</v>
      </c>
      <c r="N14">
        <v>10.25</v>
      </c>
      <c r="O14">
        <v>11.228999999999999</v>
      </c>
      <c r="P14" s="5"/>
      <c r="Q14" s="5"/>
      <c r="R14" s="5"/>
      <c r="S14" s="5"/>
      <c r="T14" s="5"/>
      <c r="U14" s="5"/>
      <c r="V14" s="5"/>
      <c r="W14" s="5"/>
      <c r="X14" s="5" t="s">
        <v>67</v>
      </c>
      <c r="Y14" s="5">
        <f>_xlfn.STDEV.S(E13:E19)</f>
        <v>1.3203534880225323E-3</v>
      </c>
      <c r="Z14" s="5">
        <f t="shared" ref="Z14:AN14" si="17">_xlfn.STDEV.S(F13:F19)</f>
        <v>1.5064638506560108E-2</v>
      </c>
      <c r="AA14" s="5">
        <f t="shared" si="17"/>
        <v>1.2154148811551278E-2</v>
      </c>
      <c r="AB14" s="5">
        <f t="shared" si="17"/>
        <v>0.81054478694372734</v>
      </c>
      <c r="AC14" s="5">
        <f t="shared" si="17"/>
        <v>1.3868429375142846E-3</v>
      </c>
      <c r="AD14" s="5">
        <f t="shared" si="17"/>
        <v>1.3735113153277429E-2</v>
      </c>
      <c r="AE14" s="5">
        <f t="shared" si="17"/>
        <v>7.1025194879254881E-3</v>
      </c>
      <c r="AF14" s="55">
        <f t="shared" si="17"/>
        <v>0.46727101894246464</v>
      </c>
      <c r="AG14" s="56">
        <f t="shared" si="17"/>
        <v>0.15675534471027769</v>
      </c>
      <c r="AH14" s="56">
        <f t="shared" si="17"/>
        <v>4.6557184500046984E-2</v>
      </c>
      <c r="AI14" s="56">
        <f t="shared" si="17"/>
        <v>0.26321012789893056</v>
      </c>
      <c r="AJ14" s="56">
        <f t="shared" si="17"/>
        <v>11.886877016529203</v>
      </c>
      <c r="AK14" s="56">
        <f t="shared" si="17"/>
        <v>2.1631746267459127</v>
      </c>
      <c r="AL14" s="56">
        <f t="shared" si="17"/>
        <v>2.1679666589657989E-2</v>
      </c>
      <c r="AM14" s="56" t="e">
        <f t="shared" si="17"/>
        <v>#DIV/0!</v>
      </c>
      <c r="AN14" s="56">
        <f t="shared" si="17"/>
        <v>2.0908370695614726</v>
      </c>
      <c r="AO14" s="56">
        <f>_xlfn.STDEV.S(U13:U19)</f>
        <v>0.37845926244885841</v>
      </c>
      <c r="AP14" s="56">
        <f>_xlfn.STDEV.S(V13:V19)</f>
        <v>5.5657036224841638</v>
      </c>
      <c r="AQ14" s="56">
        <f>_xlfn.STDEV.S(W13:W19)</f>
        <v>7.3259811629569557E-3</v>
      </c>
      <c r="AY14">
        <v>8</v>
      </c>
      <c r="AZ14">
        <f>AF14</f>
        <v>0.46727101894246464</v>
      </c>
      <c r="BA14">
        <f>AO14</f>
        <v>0.37845926244885841</v>
      </c>
      <c r="BB14">
        <f>AP14</f>
        <v>5.5657036224841638</v>
      </c>
      <c r="BC14">
        <f>AK14</f>
        <v>2.1631746267459127</v>
      </c>
      <c r="BD14">
        <f>AI14</f>
        <v>0.26321012789893056</v>
      </c>
    </row>
    <row r="15" spans="1:61" ht="21" x14ac:dyDescent="0.35">
      <c r="A15" s="79"/>
      <c r="B15" s="80"/>
      <c r="C15" s="20">
        <v>3</v>
      </c>
      <c r="D15" s="20"/>
      <c r="E15" s="20">
        <v>1.5008999999999999</v>
      </c>
      <c r="F15" s="20">
        <v>1.5145</v>
      </c>
      <c r="G15" s="21">
        <f t="shared" si="1"/>
        <v>1.3600000000000056E-2</v>
      </c>
      <c r="H15" s="20">
        <f t="shared" si="2"/>
        <v>0.906122992870948</v>
      </c>
      <c r="I15" s="20">
        <v>0.60229999999999995</v>
      </c>
      <c r="J15" s="20">
        <f t="shared" si="3"/>
        <v>0.91220000000000001</v>
      </c>
      <c r="K15" s="20">
        <f>F15*$AR$2/J15</f>
        <v>1.3780256522692391</v>
      </c>
      <c r="L15" s="35">
        <f>K15/$AS$2*100</f>
        <v>90.659582386134147</v>
      </c>
      <c r="M15" s="27">
        <v>10.236000000000001</v>
      </c>
      <c r="N15" s="27">
        <v>10.137</v>
      </c>
      <c r="O15" s="27">
        <v>10.864000000000001</v>
      </c>
      <c r="P15" s="20">
        <f>M15*N15*O15</f>
        <v>1127.2739748480003</v>
      </c>
      <c r="Q15" s="20">
        <f t="shared" si="5"/>
        <v>103.76233200000001</v>
      </c>
      <c r="R15" s="20">
        <f t="shared" si="9"/>
        <v>1.3435065776305291</v>
      </c>
      <c r="S15" s="20" t="e">
        <f t="shared" si="10"/>
        <v>#DIV/0!</v>
      </c>
      <c r="T15" s="20">
        <f t="shared" si="6"/>
        <v>2.5367382579174067</v>
      </c>
      <c r="U15" s="20">
        <v>2.8946000000000001</v>
      </c>
      <c r="V15" s="20">
        <v>54.614600000000003</v>
      </c>
      <c r="W15" s="57">
        <v>0.98229999999999995</v>
      </c>
      <c r="X15" s="5" t="s">
        <v>61</v>
      </c>
      <c r="Y15" s="5">
        <f>MIN(E13:E19)</f>
        <v>1.5</v>
      </c>
      <c r="Z15" s="5">
        <f t="shared" ref="Z15:AN15" si="18">MIN(F13:F19)</f>
        <v>1.4983</v>
      </c>
      <c r="AA15" s="5">
        <f t="shared" si="18"/>
        <v>4.2999999999999705E-3</v>
      </c>
      <c r="AB15" s="5">
        <f t="shared" si="18"/>
        <v>0.28617063756155803</v>
      </c>
      <c r="AC15" s="5">
        <f t="shared" si="18"/>
        <v>0.60150000000000003</v>
      </c>
      <c r="AD15" s="5">
        <f t="shared" si="18"/>
        <v>0.89679999999999993</v>
      </c>
      <c r="AE15" s="5">
        <f t="shared" si="18"/>
        <v>1.3726163168145422</v>
      </c>
      <c r="AF15" s="31">
        <f t="shared" si="18"/>
        <v>90.303705053588303</v>
      </c>
      <c r="AG15" s="5">
        <f t="shared" si="18"/>
        <v>10.118</v>
      </c>
      <c r="AH15" s="5">
        <f t="shared" si="18"/>
        <v>10.118</v>
      </c>
      <c r="AI15" s="5">
        <f t="shared" si="18"/>
        <v>10.59</v>
      </c>
      <c r="AJ15" s="5">
        <f t="shared" si="18"/>
        <v>1127.2739748480003</v>
      </c>
      <c r="AK15" s="5">
        <f t="shared" si="18"/>
        <v>102.79888000000001</v>
      </c>
      <c r="AL15" s="5">
        <f t="shared" si="18"/>
        <v>1.3026724476680995</v>
      </c>
      <c r="AM15" s="5" t="e">
        <f t="shared" si="18"/>
        <v>#DIV/0!</v>
      </c>
      <c r="AN15" s="5">
        <f t="shared" si="18"/>
        <v>2.5367382579174067</v>
      </c>
      <c r="AO15" s="5">
        <f>MIN(U13:U19)</f>
        <v>2.1758000000000002</v>
      </c>
      <c r="AP15" s="5">
        <f>MIN(V13:V19)</f>
        <v>44.690800000000003</v>
      </c>
      <c r="AQ15" s="5">
        <f>MIN(W13:W19)</f>
        <v>0.98229999999999995</v>
      </c>
      <c r="AY15">
        <v>12</v>
      </c>
      <c r="AZ15" s="15">
        <f>AF21</f>
        <v>0.43144122792451717</v>
      </c>
      <c r="BA15" s="15">
        <f>AO21</f>
        <v>6.6042890104335478E-2</v>
      </c>
      <c r="BB15" s="15">
        <f>AP21</f>
        <v>6.8746041415730028</v>
      </c>
      <c r="BC15">
        <f>AK21</f>
        <v>1.5180820996198892</v>
      </c>
      <c r="BD15">
        <f>AI21</f>
        <v>0.2172182466246029</v>
      </c>
    </row>
    <row r="16" spans="1:61" ht="21" x14ac:dyDescent="0.35">
      <c r="A16" s="79"/>
      <c r="B16" s="80"/>
      <c r="C16" s="5"/>
      <c r="D16" s="5"/>
      <c r="E16" s="5"/>
      <c r="F16" s="5"/>
      <c r="G16" s="6"/>
      <c r="H16" s="5"/>
      <c r="I16" s="5"/>
      <c r="J16" s="5"/>
      <c r="K16" s="5"/>
      <c r="L16" s="35"/>
      <c r="M16">
        <v>10.188000000000001</v>
      </c>
      <c r="N16">
        <v>10.118</v>
      </c>
      <c r="O16">
        <v>10.59</v>
      </c>
      <c r="P16" s="5"/>
      <c r="Q16" s="5"/>
      <c r="R16" s="5"/>
      <c r="S16" s="5"/>
      <c r="T16" s="5"/>
      <c r="U16" s="5"/>
      <c r="V16" s="5"/>
      <c r="W16" s="5"/>
      <c r="X16" s="5" t="s">
        <v>62</v>
      </c>
      <c r="Y16" s="5">
        <f>MAX(E13:E19)</f>
        <v>1.5025999999999999</v>
      </c>
      <c r="Z16" s="5">
        <f t="shared" ref="Z16:AN16" si="19">MAX(F13:F19)</f>
        <v>1.5284</v>
      </c>
      <c r="AA16" s="5">
        <f t="shared" si="19"/>
        <v>2.8399999999999981E-2</v>
      </c>
      <c r="AB16" s="5">
        <f t="shared" si="19"/>
        <v>1.893333333333332</v>
      </c>
      <c r="AC16" s="5">
        <f t="shared" si="19"/>
        <v>0.60419999999999996</v>
      </c>
      <c r="AD16" s="5">
        <f t="shared" si="19"/>
        <v>0.92420000000000002</v>
      </c>
      <c r="AE16" s="5">
        <f t="shared" si="19"/>
        <v>1.3866960303300624</v>
      </c>
      <c r="AF16" s="31">
        <f t="shared" si="19"/>
        <v>91.230001995398837</v>
      </c>
      <c r="AG16" s="5">
        <f t="shared" si="19"/>
        <v>10.542999999999999</v>
      </c>
      <c r="AH16" s="5">
        <f t="shared" si="19"/>
        <v>10.25</v>
      </c>
      <c r="AI16" s="5">
        <f t="shared" si="19"/>
        <v>11.298</v>
      </c>
      <c r="AJ16" s="5">
        <f t="shared" si="19"/>
        <v>1150.1740154880001</v>
      </c>
      <c r="AK16" s="5">
        <f t="shared" si="19"/>
        <v>106.93324800000001</v>
      </c>
      <c r="AL16" s="5">
        <f t="shared" si="19"/>
        <v>1.3435065776305291</v>
      </c>
      <c r="AM16" s="5" t="e">
        <f t="shared" si="19"/>
        <v>#DIV/0!</v>
      </c>
      <c r="AN16" s="5">
        <f t="shared" si="19"/>
        <v>6.2485734736138516</v>
      </c>
      <c r="AO16" s="5">
        <f>MAX(U13:U19)</f>
        <v>2.8946000000000001</v>
      </c>
      <c r="AP16" s="5">
        <f>MAX(V13:V19)</f>
        <v>54.614600000000003</v>
      </c>
      <c r="AQ16" s="5">
        <f>MAX(W13:W19)</f>
        <v>0.99639999999999995</v>
      </c>
      <c r="AS16" t="s">
        <v>78</v>
      </c>
      <c r="AY16">
        <v>24</v>
      </c>
      <c r="AZ16">
        <f>AF28</f>
        <v>0.30172317058453424</v>
      </c>
      <c r="BA16">
        <f>AO32</f>
        <v>0.22684554951184915</v>
      </c>
      <c r="BB16">
        <f>AP32</f>
        <v>0.34234335103810637</v>
      </c>
      <c r="BC16">
        <f>AK28</f>
        <v>1.8556722802651191</v>
      </c>
      <c r="BD16">
        <f>AI28</f>
        <v>0.59503907434722292</v>
      </c>
    </row>
    <row r="17" spans="1:50" ht="21" x14ac:dyDescent="0.35">
      <c r="A17" s="79"/>
      <c r="B17" s="80"/>
      <c r="C17" s="5"/>
      <c r="D17" s="5"/>
      <c r="E17" s="6"/>
      <c r="F17" s="5"/>
      <c r="G17" s="6"/>
      <c r="H17" s="5"/>
      <c r="I17" s="5"/>
      <c r="J17" s="5"/>
      <c r="K17" s="5"/>
      <c r="L17" s="35"/>
      <c r="M17">
        <v>10.542999999999999</v>
      </c>
      <c r="N17">
        <v>10.211</v>
      </c>
      <c r="O17">
        <v>10.85</v>
      </c>
      <c r="P17" s="5"/>
      <c r="Q17" s="5"/>
      <c r="R17" s="5"/>
      <c r="S17" s="5"/>
      <c r="T17" s="5"/>
      <c r="U17" s="5"/>
      <c r="V17" s="5"/>
      <c r="W17" s="5"/>
      <c r="X17" s="5" t="s">
        <v>68</v>
      </c>
      <c r="Y17" s="5">
        <f>COUNT(G13:G19)</f>
        <v>3</v>
      </c>
      <c r="Z17" s="5"/>
      <c r="AA17" s="5"/>
      <c r="AB17" s="5"/>
      <c r="AC17" s="5"/>
      <c r="AD17" s="5"/>
      <c r="AE17" s="5"/>
      <c r="AF17" s="31"/>
      <c r="AG17" s="5"/>
      <c r="AH17" s="5"/>
      <c r="AI17" s="5"/>
      <c r="AJ17" s="5"/>
      <c r="AK17" s="5"/>
      <c r="AL17" s="5"/>
      <c r="AM17" s="5"/>
      <c r="AN17" s="5"/>
      <c r="AS17" t="s">
        <v>79</v>
      </c>
    </row>
    <row r="18" spans="1:50" ht="21" x14ac:dyDescent="0.35">
      <c r="A18" s="79"/>
      <c r="B18" s="80"/>
      <c r="C18" s="20">
        <v>6</v>
      </c>
      <c r="D18" s="20"/>
      <c r="E18" s="21">
        <v>1.5</v>
      </c>
      <c r="F18" s="20">
        <v>1.5284</v>
      </c>
      <c r="G18" s="21">
        <f t="shared" si="1"/>
        <v>2.8399999999999981E-2</v>
      </c>
      <c r="H18" s="20">
        <f t="shared" si="2"/>
        <v>1.893333333333332</v>
      </c>
      <c r="I18" s="20">
        <v>0.60419999999999996</v>
      </c>
      <c r="J18" s="20">
        <f t="shared" si="3"/>
        <v>0.92420000000000002</v>
      </c>
      <c r="K18" s="20">
        <f>F18*$AR$2/J18</f>
        <v>1.3726163168145422</v>
      </c>
      <c r="L18" s="35">
        <f>K18/$AS$2*100</f>
        <v>90.303705053588303</v>
      </c>
      <c r="M18" s="27">
        <v>10.118</v>
      </c>
      <c r="N18" s="27">
        <v>10.16</v>
      </c>
      <c r="O18" s="27">
        <v>11.131</v>
      </c>
      <c r="P18" s="20">
        <f t="shared" si="4"/>
        <v>1144.2543332800001</v>
      </c>
      <c r="Q18" s="20">
        <f>M18*N18</f>
        <v>102.79888000000001</v>
      </c>
      <c r="R18" s="20">
        <f t="shared" si="9"/>
        <v>1.3357170303378689</v>
      </c>
      <c r="S18" s="20" t="e">
        <f t="shared" si="10"/>
        <v>#DIV/0!</v>
      </c>
      <c r="T18" s="20">
        <f t="shared" si="6"/>
        <v>2.7248703720662624</v>
      </c>
      <c r="U18" s="20">
        <v>2.1758000000000002</v>
      </c>
      <c r="V18" s="20">
        <v>44.690800000000003</v>
      </c>
      <c r="W18" s="20">
        <v>0.99639999999999995</v>
      </c>
      <c r="X18" s="5"/>
      <c r="Y18" s="5"/>
      <c r="Z18" s="5"/>
      <c r="AA18" s="5"/>
      <c r="AB18" s="5"/>
      <c r="AC18" s="5"/>
      <c r="AD18" s="5"/>
      <c r="AE18" s="5"/>
      <c r="AF18" s="31"/>
      <c r="AG18" s="5"/>
      <c r="AH18" s="5"/>
      <c r="AI18" s="5"/>
      <c r="AJ18" s="5"/>
      <c r="AK18" s="5"/>
      <c r="AL18" s="5"/>
      <c r="AM18" s="5"/>
      <c r="AN18" s="5"/>
      <c r="AS18" t="s">
        <v>80</v>
      </c>
    </row>
    <row r="19" spans="1:50" ht="21" x14ac:dyDescent="0.35">
      <c r="A19" s="79"/>
      <c r="B19" s="80"/>
      <c r="C19" s="20">
        <v>7</v>
      </c>
      <c r="D19" s="20"/>
      <c r="E19" s="21">
        <v>1.5025999999999999</v>
      </c>
      <c r="F19" s="20">
        <v>1.4983</v>
      </c>
      <c r="G19" s="21">
        <f t="shared" si="1"/>
        <v>4.2999999999999705E-3</v>
      </c>
      <c r="H19" s="20">
        <f t="shared" si="2"/>
        <v>0.28617063756155803</v>
      </c>
      <c r="I19" s="20">
        <v>0.60150000000000003</v>
      </c>
      <c r="J19" s="20">
        <f t="shared" si="3"/>
        <v>0.89679999999999993</v>
      </c>
      <c r="K19" s="12">
        <f>F19*$AR$2/J19</f>
        <v>1.3866960303300624</v>
      </c>
      <c r="L19" s="35">
        <f>K19/$AS$2*100</f>
        <v>91.230001995398837</v>
      </c>
      <c r="M19" s="27">
        <v>10.496</v>
      </c>
      <c r="N19" s="27">
        <v>10.188000000000001</v>
      </c>
      <c r="O19" s="27">
        <v>10.756</v>
      </c>
      <c r="P19" s="20">
        <f>M19*N19*O19</f>
        <v>1150.1740154880001</v>
      </c>
      <c r="Q19" s="20">
        <f t="shared" si="5"/>
        <v>106.93324800000001</v>
      </c>
      <c r="R19" s="20">
        <f t="shared" si="9"/>
        <v>1.3026724476680995</v>
      </c>
      <c r="S19" s="20" t="e">
        <f t="shared" si="10"/>
        <v>#DIV/0!</v>
      </c>
      <c r="T19" s="20">
        <f t="shared" si="6"/>
        <v>6.2485734736138516</v>
      </c>
      <c r="U19" s="20">
        <v>2.7406000000000001</v>
      </c>
      <c r="V19" s="20">
        <v>45.285800000000002</v>
      </c>
      <c r="W19" s="20">
        <v>0.99280000000000002</v>
      </c>
      <c r="X19" s="5"/>
      <c r="Y19" s="5"/>
      <c r="Z19" s="5"/>
      <c r="AA19" s="5"/>
      <c r="AB19" s="5"/>
      <c r="AC19" s="5"/>
      <c r="AD19" s="5"/>
      <c r="AE19" s="5"/>
      <c r="AF19" s="31"/>
      <c r="AG19" s="5"/>
      <c r="AH19" s="5"/>
      <c r="AI19" s="5"/>
      <c r="AJ19" s="5"/>
      <c r="AK19" s="5"/>
      <c r="AL19" s="5"/>
      <c r="AM19" s="5"/>
      <c r="AN19" s="5"/>
    </row>
    <row r="20" spans="1:50" ht="21" x14ac:dyDescent="0.35">
      <c r="A20" s="79"/>
      <c r="B20" s="80" t="s">
        <v>57</v>
      </c>
      <c r="C20" s="22"/>
      <c r="D20" s="22"/>
      <c r="E20" s="22"/>
      <c r="F20" s="22"/>
      <c r="G20" s="23"/>
      <c r="H20" s="22"/>
      <c r="I20" s="22"/>
      <c r="J20" s="22"/>
      <c r="K20" s="20"/>
      <c r="L20" s="35"/>
      <c r="M20">
        <v>10.542999999999999</v>
      </c>
      <c r="N20">
        <v>10.307</v>
      </c>
      <c r="O20">
        <v>10.803000000000001</v>
      </c>
      <c r="P20" s="20"/>
      <c r="Q20" s="22"/>
      <c r="R20" s="22"/>
      <c r="S20" s="22"/>
      <c r="T20" s="22"/>
      <c r="U20" s="20"/>
      <c r="V20" s="20"/>
      <c r="W20" s="20"/>
      <c r="X20" s="5" t="s">
        <v>66</v>
      </c>
      <c r="Y20" s="6">
        <f>AVERAGE(E20:E26)</f>
        <v>1.5024666666666668</v>
      </c>
      <c r="Z20" s="6">
        <f t="shared" ref="Z20:AN20" si="20">AVERAGE(F20:F26)</f>
        <v>1.5193666666666665</v>
      </c>
      <c r="AA20" s="6">
        <f t="shared" si="20"/>
        <v>2.010000000000008E-2</v>
      </c>
      <c r="AB20" s="6">
        <f t="shared" si="20"/>
        <v>1.6717481601753488</v>
      </c>
      <c r="AC20" s="6">
        <f t="shared" si="20"/>
        <v>0.60699999999999987</v>
      </c>
      <c r="AD20" s="6">
        <f t="shared" si="20"/>
        <v>0.91536666666666655</v>
      </c>
      <c r="AE20" s="6">
        <f t="shared" si="20"/>
        <v>1.3800204968168428</v>
      </c>
      <c r="AF20" s="53">
        <f t="shared" si="20"/>
        <v>90.790822159002801</v>
      </c>
      <c r="AG20" s="54">
        <f t="shared" si="20"/>
        <v>10.450285714285714</v>
      </c>
      <c r="AH20" s="54">
        <f t="shared" si="20"/>
        <v>10.339857142857143</v>
      </c>
      <c r="AI20" s="54">
        <f t="shared" si="20"/>
        <v>10.884</v>
      </c>
      <c r="AJ20" s="54">
        <f t="shared" si="20"/>
        <v>1138.6709171916666</v>
      </c>
      <c r="AK20" s="54">
        <f t="shared" si="20"/>
        <v>105.62195733333333</v>
      </c>
      <c r="AL20" s="54">
        <f t="shared" si="20"/>
        <v>1.3343777375046872</v>
      </c>
      <c r="AM20" s="54" t="e">
        <f t="shared" si="20"/>
        <v>#DIV/0!</v>
      </c>
      <c r="AN20" s="54">
        <f t="shared" si="20"/>
        <v>3.7019684718076684</v>
      </c>
      <c r="AO20" s="54">
        <f>AVERAGE(U20:U26)</f>
        <v>2.7513666666666663</v>
      </c>
      <c r="AP20" s="54">
        <f>AVERAGE(V20:V26)</f>
        <v>46.312666666666672</v>
      </c>
      <c r="AQ20" s="58">
        <f>AVERAGE(W20:W26)</f>
        <v>0.98893333333333333</v>
      </c>
    </row>
    <row r="21" spans="1:50" ht="21" x14ac:dyDescent="0.35">
      <c r="A21" s="79"/>
      <c r="B21" s="80"/>
      <c r="C21" s="20">
        <v>9</v>
      </c>
      <c r="D21" s="20"/>
      <c r="E21" s="20">
        <v>1.5009999999999999</v>
      </c>
      <c r="F21" s="20">
        <v>1.5109999999999999</v>
      </c>
      <c r="G21" s="21">
        <f t="shared" ref="G21:G23" si="21">ABS(E21-F21)</f>
        <v>1.0000000000000009E-2</v>
      </c>
      <c r="H21" s="20"/>
      <c r="I21" s="20">
        <v>0.61</v>
      </c>
      <c r="J21" s="20">
        <v>0.91</v>
      </c>
      <c r="K21" s="20">
        <v>1.385</v>
      </c>
      <c r="L21" s="35">
        <f>K21/$AS$2*100</f>
        <v>91.118421052631575</v>
      </c>
      <c r="M21" s="27">
        <v>10.282999999999999</v>
      </c>
      <c r="N21" s="27">
        <v>10.259</v>
      </c>
      <c r="O21" s="27">
        <v>10.625</v>
      </c>
      <c r="P21" s="20">
        <f t="shared" ref="P20:P23" si="22">M21*N21*O21</f>
        <v>1120.8662806249999</v>
      </c>
      <c r="Q21" s="20">
        <f t="shared" ref="Q21:Q23" si="23">M21*N21</f>
        <v>105.493297</v>
      </c>
      <c r="R21" s="20">
        <f t="shared" ref="R21:R23" si="24">F21/(P21*0.001)</f>
        <v>1.3480644623883766</v>
      </c>
      <c r="S21" s="20"/>
      <c r="T21" s="20"/>
      <c r="U21" s="20">
        <v>2.6758999999999999</v>
      </c>
      <c r="V21" s="20">
        <v>40.533700000000003</v>
      </c>
      <c r="W21" s="20">
        <v>0.98950000000000005</v>
      </c>
      <c r="X21" s="5" t="s">
        <v>67</v>
      </c>
      <c r="Y21" s="5">
        <f>_xlfn.STDEV.S(E20:E26)</f>
        <v>1.965536398374068E-3</v>
      </c>
      <c r="Z21" s="5">
        <f t="shared" ref="Z21:AN21" si="25">_xlfn.STDEV.S(F20:F25)</f>
        <v>2.761744617688857E-2</v>
      </c>
      <c r="AA21" s="5">
        <f t="shared" si="25"/>
        <v>2.2150169299578738E-2</v>
      </c>
      <c r="AB21" s="5">
        <f t="shared" si="25"/>
        <v>1.9121728885362943</v>
      </c>
      <c r="AC21" s="5">
        <f t="shared" si="25"/>
        <v>7.7485482511242343E-3</v>
      </c>
      <c r="AD21" s="5">
        <f t="shared" si="25"/>
        <v>1.9900335005555419E-2</v>
      </c>
      <c r="AE21" s="5">
        <f t="shared" si="25"/>
        <v>6.5579066644525924E-3</v>
      </c>
      <c r="AF21" s="55">
        <f t="shared" si="25"/>
        <v>0.43144122792451717</v>
      </c>
      <c r="AG21" s="56">
        <f t="shared" si="25"/>
        <v>0.27292343248610995</v>
      </c>
      <c r="AH21" s="56">
        <f t="shared" si="25"/>
        <v>0.17964678306796003</v>
      </c>
      <c r="AI21" s="56">
        <f t="shared" si="25"/>
        <v>0.2172182466246029</v>
      </c>
      <c r="AJ21" s="56">
        <f t="shared" si="25"/>
        <v>17.007615330676217</v>
      </c>
      <c r="AK21" s="56">
        <f t="shared" si="25"/>
        <v>1.5180820996198892</v>
      </c>
      <c r="AL21" s="56">
        <f t="shared" si="25"/>
        <v>1.9055814369136309E-2</v>
      </c>
      <c r="AM21" s="56" t="e">
        <f t="shared" si="25"/>
        <v>#DIV/0!</v>
      </c>
      <c r="AN21" s="56">
        <f t="shared" si="25"/>
        <v>2.0960282545783175</v>
      </c>
      <c r="AO21" s="56">
        <f>_xlfn.STDEV.S(U20:U25)</f>
        <v>6.6042890104335478E-2</v>
      </c>
      <c r="AP21" s="56">
        <f>_xlfn.STDEV.S(V20:V25)</f>
        <v>6.8746041415730028</v>
      </c>
      <c r="AQ21" s="56">
        <f>_xlfn.STDEV.S(W20:W25)</f>
        <v>1.1590225767142473E-3</v>
      </c>
      <c r="AS21" t="s">
        <v>89</v>
      </c>
      <c r="AU21" t="s">
        <v>90</v>
      </c>
      <c r="AV21">
        <v>5</v>
      </c>
    </row>
    <row r="22" spans="1:50" ht="21" x14ac:dyDescent="0.35">
      <c r="A22" s="79"/>
      <c r="B22" s="80"/>
      <c r="C22" s="20">
        <v>10</v>
      </c>
      <c r="D22" s="20"/>
      <c r="E22" s="20">
        <v>1.5046999999999999</v>
      </c>
      <c r="F22" s="20">
        <v>1.5502</v>
      </c>
      <c r="G22" s="21">
        <f t="shared" si="21"/>
        <v>4.5500000000000096E-2</v>
      </c>
      <c r="H22" s="20">
        <f t="shared" ref="H22:H23" si="26">G22/E22*100</f>
        <v>3.0238585764604307</v>
      </c>
      <c r="I22" s="20">
        <v>0.61280000000000001</v>
      </c>
      <c r="J22" s="20">
        <f t="shared" ref="J22:J23" si="27">ABS(F22-I22)</f>
        <v>0.93740000000000001</v>
      </c>
      <c r="K22" s="20">
        <f t="shared" ref="K22:K23" si="28">F22*$AR$2/J22</f>
        <v>1.3725901429485809</v>
      </c>
      <c r="L22" s="35">
        <f>K22/$AS$2*100</f>
        <v>90.301983088722423</v>
      </c>
      <c r="M22" s="27">
        <v>10.225</v>
      </c>
      <c r="N22" s="27">
        <v>10.188000000000001</v>
      </c>
      <c r="O22" s="27">
        <v>11.085000000000001</v>
      </c>
      <c r="P22" s="20">
        <f t="shared" si="22"/>
        <v>1154.7499455000002</v>
      </c>
      <c r="Q22" s="20">
        <f t="shared" si="23"/>
        <v>104.17230000000001</v>
      </c>
      <c r="R22" s="20">
        <f t="shared" si="24"/>
        <v>1.3424551402154621</v>
      </c>
      <c r="S22" s="20" t="e">
        <f t="shared" ref="S22:S23" si="29">R22/$M$2</f>
        <v>#DIV/0!</v>
      </c>
      <c r="T22" s="20">
        <f t="shared" ref="T22:T23" si="30">ABS(K22-R22)/((K22+R22)/2)*100</f>
        <v>2.2198526794367361</v>
      </c>
      <c r="U22" s="20">
        <v>2.7986</v>
      </c>
      <c r="V22" s="20">
        <v>53.915199999999999</v>
      </c>
      <c r="W22" s="20">
        <v>0.98970000000000002</v>
      </c>
      <c r="X22" s="5" t="s">
        <v>61</v>
      </c>
      <c r="Y22" s="5">
        <f>MIN(E20:E26)</f>
        <v>1.5009999999999999</v>
      </c>
      <c r="Z22" s="5">
        <f t="shared" ref="Z22:AN22" si="31">MIN(F20:F25)</f>
        <v>1.4968999999999999</v>
      </c>
      <c r="AA22" s="5">
        <f t="shared" si="31"/>
        <v>4.8000000000001375E-3</v>
      </c>
      <c r="AB22" s="5">
        <f t="shared" si="31"/>
        <v>0.31963774389026683</v>
      </c>
      <c r="AC22" s="5">
        <f t="shared" si="31"/>
        <v>0.59819999999999995</v>
      </c>
      <c r="AD22" s="5">
        <f t="shared" si="31"/>
        <v>0.89869999999999994</v>
      </c>
      <c r="AE22" s="5">
        <f t="shared" si="31"/>
        <v>1.3725901429485809</v>
      </c>
      <c r="AF22" s="31">
        <f t="shared" si="31"/>
        <v>90.301983088722423</v>
      </c>
      <c r="AG22" s="5">
        <f t="shared" si="31"/>
        <v>10.225</v>
      </c>
      <c r="AH22" s="5">
        <f t="shared" si="31"/>
        <v>10.188000000000001</v>
      </c>
      <c r="AI22" s="5">
        <f t="shared" si="31"/>
        <v>10.462</v>
      </c>
      <c r="AJ22" s="5">
        <f t="shared" si="31"/>
        <v>1120.8662806249999</v>
      </c>
      <c r="AK22" s="5">
        <f t="shared" si="31"/>
        <v>104.17230000000001</v>
      </c>
      <c r="AL22" s="5">
        <f t="shared" si="31"/>
        <v>1.3126136099102228</v>
      </c>
      <c r="AM22" s="5" t="e">
        <f t="shared" si="31"/>
        <v>#DIV/0!</v>
      </c>
      <c r="AN22" s="5">
        <f t="shared" si="31"/>
        <v>2.2198526794367361</v>
      </c>
      <c r="AO22" s="5">
        <f>MIN(U20:U25)</f>
        <v>2.6758999999999999</v>
      </c>
      <c r="AP22" s="5">
        <f>MIN(V20:V25)</f>
        <v>40.533700000000003</v>
      </c>
      <c r="AQ22" s="5">
        <f>MIN(W20:W25)</f>
        <v>0.98760000000000003</v>
      </c>
      <c r="AU22" t="s">
        <v>90</v>
      </c>
      <c r="AV22">
        <v>7</v>
      </c>
    </row>
    <row r="23" spans="1:50" ht="21" x14ac:dyDescent="0.35">
      <c r="A23" s="79"/>
      <c r="B23" s="80"/>
      <c r="C23" s="20">
        <v>11</v>
      </c>
      <c r="D23" s="20"/>
      <c r="E23" s="21">
        <v>1.5017</v>
      </c>
      <c r="F23" s="20">
        <v>1.4968999999999999</v>
      </c>
      <c r="G23" s="21">
        <f t="shared" si="21"/>
        <v>4.8000000000001375E-3</v>
      </c>
      <c r="H23" s="20">
        <f t="shared" si="26"/>
        <v>0.31963774389026683</v>
      </c>
      <c r="I23" s="20">
        <v>0.59819999999999995</v>
      </c>
      <c r="J23" s="20">
        <f t="shared" si="27"/>
        <v>0.89869999999999994</v>
      </c>
      <c r="K23" s="20">
        <f t="shared" si="28"/>
        <v>1.3824713475019472</v>
      </c>
      <c r="L23" s="35">
        <f t="shared" ref="L23" si="32">K23/$AS$2*100</f>
        <v>90.952062335654432</v>
      </c>
      <c r="M23" s="27">
        <v>10.425000000000001</v>
      </c>
      <c r="N23" s="27">
        <v>10.282999999999999</v>
      </c>
      <c r="O23" s="27">
        <v>10.638</v>
      </c>
      <c r="P23" s="20">
        <f t="shared" si="22"/>
        <v>1140.3965254500001</v>
      </c>
      <c r="Q23" s="20">
        <f t="shared" si="23"/>
        <v>107.200275</v>
      </c>
      <c r="R23" s="20">
        <f t="shared" si="24"/>
        <v>1.3126136099102228</v>
      </c>
      <c r="S23" s="20" t="e">
        <f t="shared" si="29"/>
        <v>#DIV/0!</v>
      </c>
      <c r="T23" s="20">
        <f t="shared" si="30"/>
        <v>5.1840842641786002</v>
      </c>
      <c r="U23" s="20">
        <v>2.7795999999999998</v>
      </c>
      <c r="V23" s="20">
        <v>44.489100000000001</v>
      </c>
      <c r="W23" s="20">
        <v>0.98760000000000003</v>
      </c>
      <c r="X23" s="5" t="s">
        <v>62</v>
      </c>
      <c r="Y23" s="5">
        <f>MAX(E20:E26)</f>
        <v>1.5046999999999999</v>
      </c>
      <c r="Z23" s="5">
        <f t="shared" ref="Z23:AN23" si="33">MAX(F20:F25)</f>
        <v>1.5502</v>
      </c>
      <c r="AA23" s="5">
        <f t="shared" si="33"/>
        <v>4.5500000000000096E-2</v>
      </c>
      <c r="AB23" s="5">
        <f t="shared" si="33"/>
        <v>3.0238585764604307</v>
      </c>
      <c r="AC23" s="5">
        <f t="shared" si="33"/>
        <v>0.61280000000000001</v>
      </c>
      <c r="AD23" s="5">
        <f t="shared" si="33"/>
        <v>0.93740000000000001</v>
      </c>
      <c r="AE23" s="5">
        <f t="shared" si="33"/>
        <v>1.385</v>
      </c>
      <c r="AF23" s="31">
        <f t="shared" si="33"/>
        <v>91.118421052631575</v>
      </c>
      <c r="AG23" s="5">
        <f t="shared" si="33"/>
        <v>10.992000000000001</v>
      </c>
      <c r="AH23" s="5">
        <f t="shared" si="33"/>
        <v>10.685</v>
      </c>
      <c r="AI23" s="5">
        <f t="shared" si="33"/>
        <v>11.085000000000001</v>
      </c>
      <c r="AJ23" s="5">
        <f t="shared" si="33"/>
        <v>1154.7499455000002</v>
      </c>
      <c r="AK23" s="5">
        <f t="shared" si="33"/>
        <v>107.200275</v>
      </c>
      <c r="AL23" s="5">
        <f t="shared" si="33"/>
        <v>1.3480644623883766</v>
      </c>
      <c r="AM23" s="5" t="e">
        <f t="shared" si="33"/>
        <v>#DIV/0!</v>
      </c>
      <c r="AN23" s="5">
        <f t="shared" si="33"/>
        <v>5.1840842641786002</v>
      </c>
      <c r="AO23" s="5">
        <f>MAX(U20:U25)</f>
        <v>2.7986</v>
      </c>
      <c r="AP23" s="5">
        <f>MAX(V20:V25)</f>
        <v>53.915199999999999</v>
      </c>
      <c r="AQ23" s="5">
        <f>MAX(W20:W25)</f>
        <v>0.98970000000000002</v>
      </c>
      <c r="AU23" t="s">
        <v>91</v>
      </c>
      <c r="AV23">
        <v>7</v>
      </c>
    </row>
    <row r="24" spans="1:50" ht="21" x14ac:dyDescent="0.35">
      <c r="A24" s="79"/>
      <c r="B24" s="80"/>
      <c r="C24" s="20"/>
      <c r="D24" s="20"/>
      <c r="E24" s="20"/>
      <c r="F24" s="20"/>
      <c r="G24" s="21"/>
      <c r="H24" s="20"/>
      <c r="I24" s="20"/>
      <c r="J24" s="20"/>
      <c r="K24" s="20"/>
      <c r="L24" s="35"/>
      <c r="M24" s="38">
        <v>10.472</v>
      </c>
      <c r="N24" s="38">
        <v>10.445</v>
      </c>
      <c r="O24" s="38">
        <v>10.85</v>
      </c>
      <c r="P24" s="20"/>
      <c r="Q24" s="20"/>
      <c r="R24" s="20"/>
      <c r="S24" s="20"/>
      <c r="T24" s="20"/>
      <c r="U24" s="20"/>
      <c r="V24" s="20"/>
      <c r="W24" s="20"/>
      <c r="X24" s="5" t="s">
        <v>68</v>
      </c>
      <c r="Y24" s="5">
        <f>COUNT(T20:T26)</f>
        <v>2</v>
      </c>
      <c r="Z24" s="5"/>
      <c r="AA24" s="5"/>
      <c r="AB24" s="5"/>
      <c r="AC24" s="5"/>
      <c r="AD24" s="5"/>
      <c r="AE24" s="5"/>
      <c r="AF24" s="31"/>
      <c r="AG24" s="5"/>
      <c r="AH24" s="5"/>
      <c r="AI24" s="5"/>
      <c r="AJ24" s="5"/>
      <c r="AK24" s="5"/>
      <c r="AL24" s="5"/>
      <c r="AM24" s="5"/>
      <c r="AN24" s="5"/>
      <c r="AU24" t="s">
        <v>91</v>
      </c>
      <c r="AV24">
        <v>11</v>
      </c>
      <c r="AX24" t="s">
        <v>92</v>
      </c>
    </row>
    <row r="25" spans="1:50" ht="21" x14ac:dyDescent="0.35">
      <c r="A25" s="79"/>
      <c r="B25" s="80"/>
      <c r="C25" s="5"/>
      <c r="D25" s="5"/>
      <c r="E25" s="5"/>
      <c r="F25" s="5"/>
      <c r="G25" s="6"/>
      <c r="H25" s="5"/>
      <c r="I25" s="5"/>
      <c r="J25" s="5"/>
      <c r="K25" s="5"/>
      <c r="L25" s="35"/>
      <c r="M25">
        <v>10.992000000000001</v>
      </c>
      <c r="N25">
        <v>10.685</v>
      </c>
      <c r="O25">
        <v>10.462</v>
      </c>
      <c r="P25" s="5"/>
      <c r="Q25" s="5"/>
      <c r="R25" s="5"/>
      <c r="S25" s="5"/>
      <c r="T25" s="5"/>
      <c r="U25" s="5"/>
      <c r="V25" s="5"/>
      <c r="W25" s="5"/>
      <c r="X25" s="5"/>
      <c r="AU25" t="s">
        <v>93</v>
      </c>
      <c r="AV25">
        <v>2</v>
      </c>
    </row>
    <row r="26" spans="1:50" ht="21" x14ac:dyDescent="0.35">
      <c r="A26" s="79"/>
      <c r="B26" s="80"/>
      <c r="C26" s="12"/>
      <c r="D26" s="12"/>
      <c r="E26" s="12"/>
      <c r="F26" s="12"/>
      <c r="G26" s="12"/>
      <c r="H26" s="12"/>
      <c r="I26" s="12"/>
      <c r="J26" s="12"/>
      <c r="K26" s="20"/>
      <c r="L26" s="35"/>
      <c r="M26">
        <v>10.212</v>
      </c>
      <c r="N26">
        <v>10.212</v>
      </c>
      <c r="O26">
        <v>11.725</v>
      </c>
      <c r="P26" s="12"/>
      <c r="Q26" s="12"/>
      <c r="R26" s="12"/>
      <c r="S26" s="12"/>
      <c r="T26" s="12"/>
      <c r="U26" s="12"/>
      <c r="V26" s="12"/>
      <c r="W26" s="12"/>
      <c r="X26" s="4"/>
      <c r="Y26" s="4"/>
      <c r="Z26" s="4"/>
      <c r="AA26" s="4"/>
      <c r="AB26" s="4"/>
      <c r="AC26" s="4"/>
      <c r="AD26" s="4"/>
      <c r="AE26" s="4"/>
      <c r="AF26" s="33"/>
      <c r="AG26" s="4"/>
      <c r="AH26" s="4"/>
      <c r="AI26" s="4"/>
      <c r="AJ26" s="4"/>
      <c r="AK26" s="4"/>
      <c r="AL26" s="4"/>
      <c r="AM26" s="4"/>
      <c r="AN26" s="4"/>
      <c r="AO26" s="4"/>
    </row>
    <row r="27" spans="1:50" ht="21" x14ac:dyDescent="0.35">
      <c r="A27" s="79"/>
      <c r="B27" s="80" t="s">
        <v>94</v>
      </c>
      <c r="C27" s="5">
        <v>16</v>
      </c>
      <c r="D27" s="5"/>
      <c r="E27" s="5">
        <v>1.5025999999999999</v>
      </c>
      <c r="F27" s="5">
        <v>1.5102</v>
      </c>
      <c r="G27" s="6">
        <f t="shared" si="1"/>
        <v>7.6000000000000512E-3</v>
      </c>
      <c r="H27" s="5">
        <f t="shared" si="2"/>
        <v>0.50578996406229537</v>
      </c>
      <c r="I27" s="5">
        <v>0.58199999999999996</v>
      </c>
      <c r="J27" s="5">
        <f t="shared" si="3"/>
        <v>0.92820000000000003</v>
      </c>
      <c r="K27" s="5">
        <f>F27*$AR$2/J27</f>
        <v>1.3504266321913381</v>
      </c>
      <c r="L27" s="35">
        <f>K27/$AS$2*100</f>
        <v>88.843857381009087</v>
      </c>
      <c r="M27" s="27">
        <v>11.205</v>
      </c>
      <c r="N27" s="27">
        <v>11.071999999999999</v>
      </c>
      <c r="O27" s="27">
        <v>12.971</v>
      </c>
      <c r="P27" s="5">
        <f>M27*N27*O27</f>
        <v>1609.20508896</v>
      </c>
      <c r="Q27" s="5">
        <f t="shared" ref="Q27:Q34" si="34">M27*N27</f>
        <v>124.06175999999999</v>
      </c>
      <c r="R27" s="5">
        <f t="shared" ref="R27:R29" si="35">F27/(P27*0.001)</f>
        <v>0.93847577935265836</v>
      </c>
      <c r="S27" s="5" t="e">
        <f t="shared" ref="S27:S29" si="36">R27/$M$2</f>
        <v>#DIV/0!</v>
      </c>
      <c r="T27" s="5">
        <f t="shared" ref="T27:T29" si="37">ABS(K27-R27)/((K27+R27)/2)*100</f>
        <v>35.995492928053245</v>
      </c>
      <c r="U27" s="5"/>
      <c r="V27" s="5"/>
      <c r="W27" s="5"/>
      <c r="X27" s="5" t="s">
        <v>66</v>
      </c>
      <c r="Y27" s="5">
        <f>AVERAGE(E27:E30)</f>
        <v>1.5012333333333334</v>
      </c>
      <c r="Z27" s="5">
        <f t="shared" ref="Z27:AN27" si="38">AVERAGE(F27:F30)</f>
        <v>1.4959999999999998</v>
      </c>
      <c r="AA27" s="5">
        <f t="shared" si="38"/>
        <v>1.0299999999999976E-2</v>
      </c>
      <c r="AB27" s="5">
        <f t="shared" si="38"/>
        <v>0.68614539224068682</v>
      </c>
      <c r="AC27" s="5">
        <f t="shared" si="38"/>
        <v>0.57979999999999998</v>
      </c>
      <c r="AD27" s="5">
        <f t="shared" si="38"/>
        <v>0.91620000000000001</v>
      </c>
      <c r="AE27" s="5">
        <f t="shared" si="38"/>
        <v>1.3552813379067101</v>
      </c>
      <c r="AF27" s="55">
        <f t="shared" si="38"/>
        <v>89.163245914915137</v>
      </c>
      <c r="AG27" s="5">
        <f t="shared" si="38"/>
        <v>11.15875</v>
      </c>
      <c r="AH27" s="5">
        <f t="shared" si="38"/>
        <v>11.0915</v>
      </c>
      <c r="AI27" s="5">
        <f t="shared" si="38"/>
        <v>12.94</v>
      </c>
      <c r="AJ27" s="5">
        <f t="shared" si="38"/>
        <v>1589.3168707173334</v>
      </c>
      <c r="AK27" s="5">
        <f t="shared" si="38"/>
        <v>123.81307266666666</v>
      </c>
      <c r="AL27" s="5">
        <f t="shared" si="38"/>
        <v>0.94130484829055316</v>
      </c>
      <c r="AM27" s="5" t="e">
        <f t="shared" si="38"/>
        <v>#DIV/0!</v>
      </c>
      <c r="AN27" s="5">
        <f t="shared" si="38"/>
        <v>36.051571823740403</v>
      </c>
    </row>
    <row r="28" spans="1:50" ht="21" x14ac:dyDescent="0.35">
      <c r="A28" s="79"/>
      <c r="B28" s="80"/>
      <c r="C28" s="5">
        <v>17</v>
      </c>
      <c r="D28" s="5"/>
      <c r="E28" s="5">
        <v>1.5001</v>
      </c>
      <c r="F28" s="5">
        <v>1.4914000000000001</v>
      </c>
      <c r="G28" s="6">
        <f t="shared" si="1"/>
        <v>8.69999999999993E-3</v>
      </c>
      <c r="H28" s="5">
        <f t="shared" si="2"/>
        <v>0.57996133591093457</v>
      </c>
      <c r="I28" s="5">
        <v>0.58089999999999997</v>
      </c>
      <c r="J28" s="5">
        <f t="shared" si="3"/>
        <v>0.91050000000000009</v>
      </c>
      <c r="K28" s="5">
        <f>F28*$AR$2/J28</f>
        <v>1.35954091158704</v>
      </c>
      <c r="L28" s="35">
        <f>K28/$AS$2*100</f>
        <v>89.443481025463157</v>
      </c>
      <c r="M28" s="27">
        <v>11.347</v>
      </c>
      <c r="N28" s="27">
        <v>11.063000000000001</v>
      </c>
      <c r="O28" s="27">
        <v>12.566000000000001</v>
      </c>
      <c r="P28" s="5">
        <f t="shared" ref="P27:P34" si="39">M28*N28*O28</f>
        <v>1577.4333653260001</v>
      </c>
      <c r="Q28" s="5">
        <f t="shared" si="34"/>
        <v>125.53186100000001</v>
      </c>
      <c r="R28" s="5">
        <f t="shared" si="35"/>
        <v>0.9454599051743654</v>
      </c>
      <c r="S28" s="5" t="e">
        <f t="shared" si="36"/>
        <v>#DIV/0!</v>
      </c>
      <c r="T28" s="5">
        <f t="shared" si="37"/>
        <v>35.928924918514412</v>
      </c>
      <c r="U28" s="5"/>
      <c r="V28" s="5"/>
      <c r="W28" s="5"/>
      <c r="X28" s="5" t="s">
        <v>67</v>
      </c>
      <c r="Y28" s="5">
        <f>_xlfn.STDEV.S(E27:E30)</f>
        <v>1.266227994214819E-3</v>
      </c>
      <c r="Z28" s="5">
        <f t="shared" ref="Z28:AN28" si="40">_xlfn.STDEV.S(F26:F30)</f>
        <v>1.2549103553640797E-2</v>
      </c>
      <c r="AA28" s="5">
        <f t="shared" si="40"/>
        <v>3.7643060449437074E-3</v>
      </c>
      <c r="AB28" s="5">
        <f t="shared" si="40"/>
        <v>0.25090636747026107</v>
      </c>
      <c r="AC28" s="5">
        <f t="shared" si="40"/>
        <v>2.9103264421710229E-3</v>
      </c>
      <c r="AD28" s="5">
        <f t="shared" si="40"/>
        <v>1.0396634070698085E-2</v>
      </c>
      <c r="AE28" s="5">
        <f t="shared" si="40"/>
        <v>4.5861921928849825E-3</v>
      </c>
      <c r="AF28" s="55">
        <f t="shared" si="40"/>
        <v>0.30172317058453424</v>
      </c>
      <c r="AG28" s="5">
        <f t="shared" si="40"/>
        <v>0.45032799157947101</v>
      </c>
      <c r="AH28" s="5">
        <f t="shared" si="40"/>
        <v>0.39515984107700025</v>
      </c>
      <c r="AI28" s="5">
        <f t="shared" si="40"/>
        <v>0.59503907434722292</v>
      </c>
      <c r="AJ28" s="5">
        <f t="shared" si="40"/>
        <v>17.332546741406578</v>
      </c>
      <c r="AK28" s="5">
        <f t="shared" si="40"/>
        <v>1.8556722802651191</v>
      </c>
      <c r="AL28" s="5">
        <f t="shared" si="40"/>
        <v>3.6760286176656825E-3</v>
      </c>
      <c r="AM28" s="5" t="e">
        <f t="shared" si="40"/>
        <v>#DIV/0!</v>
      </c>
      <c r="AN28" s="5">
        <f t="shared" si="40"/>
        <v>0.15831932575503244</v>
      </c>
    </row>
    <row r="29" spans="1:50" ht="21" x14ac:dyDescent="0.35">
      <c r="A29" s="79"/>
      <c r="B29" s="80"/>
      <c r="C29" s="5">
        <v>18</v>
      </c>
      <c r="D29" s="5"/>
      <c r="E29" s="5">
        <v>1.5009999999999999</v>
      </c>
      <c r="F29" s="5">
        <v>1.4863999999999999</v>
      </c>
      <c r="G29" s="6">
        <f t="shared" si="1"/>
        <v>1.4599999999999946E-2</v>
      </c>
      <c r="H29" s="5">
        <f t="shared" si="2"/>
        <v>0.97268487674883053</v>
      </c>
      <c r="I29" s="5">
        <v>0.57650000000000001</v>
      </c>
      <c r="J29" s="5">
        <f t="shared" si="3"/>
        <v>0.90989999999999993</v>
      </c>
      <c r="K29" s="5">
        <f>F29*$AR$2/J29</f>
        <v>1.3558764699417518</v>
      </c>
      <c r="L29" s="35">
        <f>K29/$AS$2*100</f>
        <v>89.202399338273139</v>
      </c>
      <c r="M29" s="27">
        <v>10.920999999999999</v>
      </c>
      <c r="N29" s="27">
        <v>11.157</v>
      </c>
      <c r="O29" s="27">
        <v>12.978</v>
      </c>
      <c r="P29" s="5">
        <f t="shared" si="39"/>
        <v>1581.312157866</v>
      </c>
      <c r="Q29" s="5">
        <f t="shared" si="34"/>
        <v>121.845597</v>
      </c>
      <c r="R29" s="5">
        <f t="shared" si="35"/>
        <v>0.93997886034463607</v>
      </c>
      <c r="S29" s="5" t="e">
        <f t="shared" si="36"/>
        <v>#DIV/0!</v>
      </c>
      <c r="T29" s="5">
        <f t="shared" si="37"/>
        <v>36.230297624653566</v>
      </c>
      <c r="U29" s="5"/>
      <c r="V29" s="5"/>
      <c r="W29" s="5"/>
      <c r="X29" s="5" t="s">
        <v>61</v>
      </c>
      <c r="Y29" s="5">
        <f>MIN(E27:E30)</f>
        <v>1.5001</v>
      </c>
      <c r="Z29" s="5">
        <f t="shared" ref="Z29:AN29" si="41">MIN(F26:F30)</f>
        <v>1.4863999999999999</v>
      </c>
      <c r="AA29" s="5">
        <f t="shared" si="41"/>
        <v>7.6000000000000512E-3</v>
      </c>
      <c r="AB29" s="5">
        <f t="shared" si="41"/>
        <v>0.50578996406229537</v>
      </c>
      <c r="AC29" s="5">
        <f t="shared" si="41"/>
        <v>0.57650000000000001</v>
      </c>
      <c r="AD29" s="5">
        <f t="shared" si="41"/>
        <v>0.90989999999999993</v>
      </c>
      <c r="AE29" s="5">
        <f t="shared" si="41"/>
        <v>1.3504266321913381</v>
      </c>
      <c r="AF29" s="31">
        <f t="shared" si="41"/>
        <v>88.843857381009087</v>
      </c>
      <c r="AG29" s="5">
        <f t="shared" si="41"/>
        <v>10.212</v>
      </c>
      <c r="AH29" s="5">
        <f t="shared" si="41"/>
        <v>10.212</v>
      </c>
      <c r="AI29" s="5">
        <f t="shared" si="41"/>
        <v>11.725</v>
      </c>
      <c r="AJ29" s="5">
        <f t="shared" si="41"/>
        <v>1577.4333653260001</v>
      </c>
      <c r="AK29" s="5">
        <f t="shared" si="41"/>
        <v>121.845597</v>
      </c>
      <c r="AL29" s="5">
        <f t="shared" si="41"/>
        <v>0.93847577935265836</v>
      </c>
      <c r="AM29" s="5" t="e">
        <f t="shared" si="41"/>
        <v>#DIV/0!</v>
      </c>
      <c r="AN29" s="5">
        <f t="shared" si="41"/>
        <v>35.928924918514412</v>
      </c>
    </row>
    <row r="30" spans="1:50" ht="21" x14ac:dyDescent="0.35">
      <c r="A30" s="79"/>
      <c r="B30" s="80"/>
      <c r="C30" s="5"/>
      <c r="D30" s="5"/>
      <c r="E30" s="5"/>
      <c r="F30" s="5"/>
      <c r="G30" s="6"/>
      <c r="H30" s="5"/>
      <c r="I30" s="5"/>
      <c r="J30" s="5"/>
      <c r="K30" s="5"/>
      <c r="L30" s="35"/>
      <c r="M30">
        <v>11.162000000000001</v>
      </c>
      <c r="N30">
        <v>11.074</v>
      </c>
      <c r="O30">
        <v>13.244999999999999</v>
      </c>
      <c r="P30" s="5"/>
      <c r="Q30" s="5"/>
      <c r="R30" s="5"/>
      <c r="S30" s="5"/>
      <c r="T30" s="5"/>
      <c r="U30" s="5"/>
      <c r="V30" s="5"/>
      <c r="W30" s="5"/>
      <c r="X30" s="1" t="s">
        <v>62</v>
      </c>
      <c r="Y30" s="1">
        <f>MAX(E27:E30)</f>
        <v>1.5025999999999999</v>
      </c>
      <c r="Z30" s="1">
        <f t="shared" ref="Z30:AN30" si="42">MAX(F26:F30)</f>
        <v>1.5102</v>
      </c>
      <c r="AA30" s="1">
        <f t="shared" si="42"/>
        <v>1.4599999999999946E-2</v>
      </c>
      <c r="AB30" s="1">
        <f t="shared" si="42"/>
        <v>0.97268487674883053</v>
      </c>
      <c r="AC30" s="1">
        <f t="shared" si="42"/>
        <v>0.58199999999999996</v>
      </c>
      <c r="AD30" s="1">
        <f t="shared" si="42"/>
        <v>0.92820000000000003</v>
      </c>
      <c r="AE30" s="1">
        <f t="shared" si="42"/>
        <v>1.35954091158704</v>
      </c>
      <c r="AF30" s="29">
        <f t="shared" si="42"/>
        <v>89.443481025463157</v>
      </c>
      <c r="AG30" s="1">
        <f t="shared" si="42"/>
        <v>11.347</v>
      </c>
      <c r="AH30" s="1">
        <f t="shared" si="42"/>
        <v>11.157</v>
      </c>
      <c r="AI30" s="1">
        <f t="shared" si="42"/>
        <v>13.244999999999999</v>
      </c>
      <c r="AJ30" s="1">
        <f t="shared" si="42"/>
        <v>1609.20508896</v>
      </c>
      <c r="AK30" s="1">
        <f t="shared" si="42"/>
        <v>125.53186100000001</v>
      </c>
      <c r="AL30" s="1">
        <f t="shared" si="42"/>
        <v>0.9454599051743654</v>
      </c>
      <c r="AM30" s="1" t="e">
        <f t="shared" si="42"/>
        <v>#DIV/0!</v>
      </c>
      <c r="AN30" s="1">
        <f t="shared" si="42"/>
        <v>36.230297624653566</v>
      </c>
      <c r="AO30" s="4"/>
      <c r="AP30" s="1" t="s">
        <v>68</v>
      </c>
      <c r="AQ30" s="1"/>
      <c r="AR30" s="4">
        <f>COUNT(T26:T30)</f>
        <v>3</v>
      </c>
      <c r="AS30" s="4"/>
    </row>
    <row r="31" spans="1:50" ht="21" x14ac:dyDescent="0.35">
      <c r="A31" s="79" t="s">
        <v>65</v>
      </c>
      <c r="B31" s="80" t="s">
        <v>59</v>
      </c>
      <c r="C31" s="22">
        <v>1</v>
      </c>
      <c r="D31" s="22"/>
      <c r="E31" s="22">
        <v>1.502</v>
      </c>
      <c r="F31" s="22">
        <v>1.502</v>
      </c>
      <c r="G31" s="22"/>
      <c r="H31" s="22"/>
      <c r="I31" s="22"/>
      <c r="J31" s="22"/>
      <c r="K31" s="22"/>
      <c r="L31" s="36"/>
      <c r="M31" s="22">
        <v>10.441000000000001</v>
      </c>
      <c r="N31" s="22">
        <v>10.481</v>
      </c>
      <c r="O31" s="22">
        <v>11.581</v>
      </c>
      <c r="P31" s="22">
        <f t="shared" si="39"/>
        <v>1267.3333933010001</v>
      </c>
      <c r="Q31" s="22">
        <f t="shared" si="34"/>
        <v>109.43212100000001</v>
      </c>
      <c r="R31" s="22">
        <f>F31/(P31*0.001)</f>
        <v>1.1851656461823106</v>
      </c>
      <c r="S31" s="22" t="e">
        <f>R31/$M$2</f>
        <v>#DIV/0!</v>
      </c>
      <c r="T31" s="22">
        <f>ABS(K31-R31)/((K31+R31)/2)*100</f>
        <v>200</v>
      </c>
      <c r="U31" s="20">
        <v>1.7710999999999999</v>
      </c>
      <c r="V31" s="20">
        <v>4.4957000000000003</v>
      </c>
      <c r="W31" s="52">
        <v>0.99990000000000001</v>
      </c>
      <c r="X31" s="5" t="s">
        <v>66</v>
      </c>
      <c r="Y31" s="5">
        <f>AVERAGE(E31:E34)</f>
        <v>1.5013333333333332</v>
      </c>
      <c r="Z31" s="5">
        <f t="shared" ref="Z31:AN31" si="43">AVERAGE(F31:F34)</f>
        <v>1.5013333333333332</v>
      </c>
      <c r="AA31" s="81" t="s">
        <v>71</v>
      </c>
      <c r="AB31" s="81"/>
      <c r="AC31" s="81"/>
      <c r="AD31" s="81"/>
      <c r="AE31" s="81"/>
      <c r="AF31" s="81"/>
      <c r="AG31" s="5">
        <f t="shared" si="43"/>
        <v>10.498333333333333</v>
      </c>
      <c r="AH31" s="5">
        <f t="shared" si="43"/>
        <v>10.601333333333335</v>
      </c>
      <c r="AI31" s="5">
        <f t="shared" si="43"/>
        <v>11.726666666666667</v>
      </c>
      <c r="AJ31" s="5">
        <f t="shared" si="43"/>
        <v>1305.3890795576669</v>
      </c>
      <c r="AK31" s="5">
        <f t="shared" si="43"/>
        <v>111.29762466666666</v>
      </c>
      <c r="AL31" s="5">
        <f t="shared" si="43"/>
        <v>1.1509650071505293</v>
      </c>
      <c r="AM31" s="5" t="e">
        <f t="shared" si="43"/>
        <v>#DIV/0!</v>
      </c>
      <c r="AN31" s="5">
        <f t="shared" si="43"/>
        <v>200</v>
      </c>
      <c r="AO31" s="56">
        <f>AVERAGE(U31:U34)</f>
        <v>1.5120333333333333</v>
      </c>
      <c r="AP31" s="56">
        <f>AVERAGE(V31:V34)</f>
        <v>4.1003999999999996</v>
      </c>
      <c r="AQ31" s="58">
        <f>AVERAGE(W31:W34)</f>
        <v>0.9998999999999999</v>
      </c>
    </row>
    <row r="32" spans="1:50" ht="21" x14ac:dyDescent="0.35">
      <c r="A32" s="79"/>
      <c r="B32" s="80"/>
      <c r="C32" s="20"/>
      <c r="D32" s="20"/>
      <c r="E32" s="20"/>
      <c r="F32" s="20"/>
      <c r="G32" s="21"/>
      <c r="H32" s="20"/>
      <c r="I32" s="20"/>
      <c r="J32" s="20"/>
      <c r="K32" s="20"/>
      <c r="L32" s="35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52"/>
      <c r="X32" s="5" t="s">
        <v>67</v>
      </c>
      <c r="Y32" s="5">
        <f>_xlfn.STDEV.S(E31:E34)</f>
        <v>6.5064070986480752E-4</v>
      </c>
      <c r="Z32" s="5">
        <f t="shared" ref="Z32:AN32" si="44">_xlfn.STDEV.S(F31:F34)</f>
        <v>6.5064070986480752E-4</v>
      </c>
      <c r="AA32" s="80"/>
      <c r="AB32" s="80"/>
      <c r="AC32" s="80"/>
      <c r="AD32" s="80"/>
      <c r="AE32" s="80"/>
      <c r="AF32" s="80"/>
      <c r="AG32" s="5">
        <f t="shared" si="44"/>
        <v>0.14102954773143622</v>
      </c>
      <c r="AH32" s="5">
        <f t="shared" si="44"/>
        <v>0.10705294640192468</v>
      </c>
      <c r="AI32" s="5">
        <f t="shared" si="44"/>
        <v>0.18440263917128005</v>
      </c>
      <c r="AJ32" s="5">
        <f t="shared" si="44"/>
        <v>43.674059288841718</v>
      </c>
      <c r="AK32" s="5">
        <f t="shared" si="44"/>
        <v>1.9827287383811114</v>
      </c>
      <c r="AL32" s="5">
        <f t="shared" si="44"/>
        <v>3.8605180998972977E-2</v>
      </c>
      <c r="AM32" s="5" t="e">
        <f t="shared" si="44"/>
        <v>#DIV/0!</v>
      </c>
      <c r="AN32" s="5">
        <f t="shared" si="44"/>
        <v>0</v>
      </c>
      <c r="AO32" s="56">
        <f>_xlfn.STDEV.S(U31:U34)</f>
        <v>0.22684554951184915</v>
      </c>
      <c r="AP32" s="56">
        <f>_xlfn.STDEV.S(V31:V34)</f>
        <v>0.34234335103810637</v>
      </c>
      <c r="AQ32" s="56">
        <f>_xlfn.STDEV.S(W31:W34)</f>
        <v>9.9999999999988987E-5</v>
      </c>
    </row>
    <row r="33" spans="1:43" ht="21" x14ac:dyDescent="0.35">
      <c r="A33" s="79"/>
      <c r="B33" s="80"/>
      <c r="C33" s="20">
        <v>3</v>
      </c>
      <c r="D33" s="20"/>
      <c r="E33" s="20">
        <v>1.5006999999999999</v>
      </c>
      <c r="F33" s="20">
        <v>1.5006999999999999</v>
      </c>
      <c r="G33" s="21"/>
      <c r="H33" s="20"/>
      <c r="I33" s="20"/>
      <c r="J33" s="20"/>
      <c r="K33" s="20"/>
      <c r="L33" s="35"/>
      <c r="M33" s="20">
        <v>10.659000000000001</v>
      </c>
      <c r="N33" s="20">
        <v>10.637</v>
      </c>
      <c r="O33" s="20">
        <v>11.933999999999999</v>
      </c>
      <c r="P33" s="20">
        <f t="shared" si="39"/>
        <v>1353.0743303220002</v>
      </c>
      <c r="Q33" s="20">
        <f t="shared" si="34"/>
        <v>113.37978300000002</v>
      </c>
      <c r="R33" s="20">
        <f>F33/(P33*0.001)</f>
        <v>1.1091038876207697</v>
      </c>
      <c r="S33" s="20" t="e">
        <f>R33/$M$2</f>
        <v>#DIV/0!</v>
      </c>
      <c r="T33" s="20">
        <f>ABS(K33-R33)/((K33+R33)/2)*100</f>
        <v>200</v>
      </c>
      <c r="U33" s="20">
        <v>1.4159999999999999</v>
      </c>
      <c r="V33" s="51">
        <v>3.9043000000000001</v>
      </c>
      <c r="W33" s="52">
        <v>0.99980000000000002</v>
      </c>
      <c r="X33" s="5" t="s">
        <v>61</v>
      </c>
      <c r="Y33" s="5">
        <f>MIN(E31:E34)</f>
        <v>1.5006999999999999</v>
      </c>
      <c r="Z33" s="5">
        <f t="shared" ref="Z33:AN33" si="45">MIN(F31:F34)</f>
        <v>1.5006999999999999</v>
      </c>
      <c r="AA33" s="80"/>
      <c r="AB33" s="80"/>
      <c r="AC33" s="80"/>
      <c r="AD33" s="80"/>
      <c r="AE33" s="80"/>
      <c r="AF33" s="80"/>
      <c r="AG33" s="5">
        <f t="shared" si="45"/>
        <v>10.395</v>
      </c>
      <c r="AH33" s="5">
        <f t="shared" si="45"/>
        <v>10.481</v>
      </c>
      <c r="AI33" s="5">
        <f t="shared" si="45"/>
        <v>11.581</v>
      </c>
      <c r="AJ33" s="5">
        <f t="shared" si="45"/>
        <v>1267.3333933010001</v>
      </c>
      <c r="AK33" s="5">
        <f t="shared" si="45"/>
        <v>109.43212100000001</v>
      </c>
      <c r="AL33" s="5">
        <f t="shared" si="45"/>
        <v>1.1091038876207697</v>
      </c>
      <c r="AM33" s="5" t="e">
        <f t="shared" si="45"/>
        <v>#DIV/0!</v>
      </c>
      <c r="AN33" s="5">
        <f t="shared" si="45"/>
        <v>200</v>
      </c>
      <c r="AO33" s="5">
        <f>MIN(U31:U34)</f>
        <v>1.349</v>
      </c>
      <c r="AP33" s="5">
        <f>MIN(V31:V34)</f>
        <v>3.9011999999999998</v>
      </c>
      <c r="AQ33" s="5">
        <f>MIN(W31:W34)</f>
        <v>0.99980000000000002</v>
      </c>
    </row>
    <row r="34" spans="1:43" ht="21" x14ac:dyDescent="0.35">
      <c r="A34" s="79"/>
      <c r="B34" s="80"/>
      <c r="C34" s="20">
        <v>5</v>
      </c>
      <c r="D34" s="20"/>
      <c r="E34" s="21">
        <v>1.5013000000000001</v>
      </c>
      <c r="F34" s="21">
        <v>1.5013000000000001</v>
      </c>
      <c r="G34" s="21"/>
      <c r="H34" s="20"/>
      <c r="I34" s="20"/>
      <c r="J34" s="20"/>
      <c r="K34" s="20"/>
      <c r="L34" s="35"/>
      <c r="M34" s="20">
        <v>10.395</v>
      </c>
      <c r="N34" s="20">
        <v>10.686</v>
      </c>
      <c r="O34" s="20">
        <v>11.664999999999999</v>
      </c>
      <c r="P34" s="20">
        <f t="shared" si="39"/>
        <v>1295.7595150499999</v>
      </c>
      <c r="Q34" s="20">
        <f t="shared" si="34"/>
        <v>111.08096999999999</v>
      </c>
      <c r="R34" s="20">
        <f>F34/(P34*0.001)</f>
        <v>1.1586254876485078</v>
      </c>
      <c r="S34" s="20" t="e">
        <f>R34/$M$2</f>
        <v>#DIV/0!</v>
      </c>
      <c r="T34" s="20">
        <f>ABS(K34-R34)/((K34+R34)/2)*100</f>
        <v>200</v>
      </c>
      <c r="U34" s="20">
        <v>1.349</v>
      </c>
      <c r="V34" s="51">
        <v>3.9011999999999998</v>
      </c>
      <c r="W34" s="52">
        <v>1</v>
      </c>
      <c r="X34" s="5" t="s">
        <v>62</v>
      </c>
      <c r="Y34" s="5">
        <f>MAX(E31:E34)</f>
        <v>1.502</v>
      </c>
      <c r="Z34" s="5">
        <f t="shared" ref="Z34:AN34" si="46">MAX(F31:F34)</f>
        <v>1.502</v>
      </c>
      <c r="AA34" s="80"/>
      <c r="AB34" s="80"/>
      <c r="AC34" s="80"/>
      <c r="AD34" s="80"/>
      <c r="AE34" s="80"/>
      <c r="AF34" s="80"/>
      <c r="AG34" s="5">
        <f t="shared" si="46"/>
        <v>10.659000000000001</v>
      </c>
      <c r="AH34" s="5">
        <f t="shared" si="46"/>
        <v>10.686</v>
      </c>
      <c r="AI34" s="5">
        <f t="shared" si="46"/>
        <v>11.933999999999999</v>
      </c>
      <c r="AJ34" s="5">
        <f t="shared" si="46"/>
        <v>1353.0743303220002</v>
      </c>
      <c r="AK34" s="5">
        <f t="shared" si="46"/>
        <v>113.37978300000002</v>
      </c>
      <c r="AL34" s="5">
        <f t="shared" si="46"/>
        <v>1.1851656461823106</v>
      </c>
      <c r="AM34" s="5" t="e">
        <f t="shared" si="46"/>
        <v>#DIV/0!</v>
      </c>
      <c r="AN34" s="5">
        <f t="shared" si="46"/>
        <v>200</v>
      </c>
      <c r="AO34" s="5">
        <f>MAX(U31:U34)</f>
        <v>1.7710999999999999</v>
      </c>
      <c r="AP34" s="5">
        <f>MAX(V31:V34)</f>
        <v>4.4957000000000003</v>
      </c>
      <c r="AQ34" s="5">
        <f>MAX(W31:W34)</f>
        <v>1</v>
      </c>
    </row>
    <row r="35" spans="1:43" ht="21" x14ac:dyDescent="0.35">
      <c r="B35" s="11"/>
      <c r="C35" s="5"/>
      <c r="D35" s="5"/>
      <c r="E35" s="6"/>
      <c r="F35" s="5"/>
      <c r="G35" s="6"/>
      <c r="H35" s="5"/>
      <c r="I35" s="5"/>
      <c r="J35" s="5"/>
      <c r="K35" s="5"/>
      <c r="L35" s="35"/>
      <c r="M35" s="5"/>
      <c r="N35" s="5"/>
      <c r="O35" s="5"/>
      <c r="P35" s="5"/>
      <c r="Q35" s="5"/>
      <c r="R35" s="5"/>
      <c r="S35" s="5"/>
      <c r="T35" s="5"/>
      <c r="U35" s="5"/>
      <c r="V35" s="5" t="s">
        <v>75</v>
      </c>
      <c r="W35" s="5"/>
      <c r="X35" s="5" t="s">
        <v>68</v>
      </c>
      <c r="Y35">
        <f>COUNT(T31:T34)</f>
        <v>3</v>
      </c>
    </row>
    <row r="36" spans="1:43" ht="21" x14ac:dyDescent="0.35">
      <c r="B36" s="11"/>
      <c r="C36" s="5"/>
      <c r="D36" s="5"/>
      <c r="E36" s="6"/>
      <c r="F36" s="5"/>
      <c r="G36" s="6"/>
      <c r="H36" s="5"/>
      <c r="I36" s="5"/>
      <c r="J36" s="5"/>
      <c r="K36" s="5"/>
      <c r="L36" s="35"/>
      <c r="M36" s="5"/>
      <c r="N36" s="5"/>
      <c r="O36" s="5"/>
      <c r="P36" s="5"/>
      <c r="Q36" s="5"/>
      <c r="R36" s="5"/>
      <c r="S36" s="5"/>
      <c r="T36" s="5"/>
      <c r="U36" s="5"/>
      <c r="X36" s="5"/>
    </row>
    <row r="38" spans="1:43" x14ac:dyDescent="0.25">
      <c r="D38" t="s">
        <v>134</v>
      </c>
      <c r="E38" t="s">
        <v>136</v>
      </c>
      <c r="F38" t="s">
        <v>135</v>
      </c>
      <c r="G38" t="s">
        <v>137</v>
      </c>
      <c r="I38" t="s">
        <v>138</v>
      </c>
    </row>
    <row r="39" spans="1:43" x14ac:dyDescent="0.25">
      <c r="A39" s="79" t="s">
        <v>63</v>
      </c>
      <c r="B39" s="80" t="s">
        <v>29</v>
      </c>
    </row>
    <row r="40" spans="1:43" x14ac:dyDescent="0.25">
      <c r="A40" s="79"/>
      <c r="B40" s="80"/>
    </row>
    <row r="41" spans="1:43" x14ac:dyDescent="0.25">
      <c r="A41" s="79"/>
      <c r="B41" s="80"/>
    </row>
    <row r="42" spans="1:43" x14ac:dyDescent="0.25">
      <c r="A42" s="79"/>
      <c r="B42" s="80"/>
    </row>
    <row r="43" spans="1:43" x14ac:dyDescent="0.25">
      <c r="A43" s="79"/>
      <c r="B43" s="80"/>
    </row>
    <row r="44" spans="1:43" x14ac:dyDescent="0.25">
      <c r="A44" s="79"/>
      <c r="B44" s="80" t="s">
        <v>31</v>
      </c>
    </row>
    <row r="45" spans="1:43" x14ac:dyDescent="0.25">
      <c r="A45" s="79"/>
      <c r="B45" s="80"/>
    </row>
    <row r="46" spans="1:43" x14ac:dyDescent="0.25">
      <c r="A46" s="79"/>
      <c r="B46" s="80"/>
    </row>
    <row r="47" spans="1:43" x14ac:dyDescent="0.25">
      <c r="A47" s="79"/>
      <c r="B47" s="80"/>
    </row>
    <row r="48" spans="1:43" x14ac:dyDescent="0.25">
      <c r="A48" s="79"/>
      <c r="B48" s="80"/>
    </row>
    <row r="49" spans="1:11" x14ac:dyDescent="0.25">
      <c r="A49" s="79"/>
      <c r="B49" s="80"/>
    </row>
    <row r="50" spans="1:11" x14ac:dyDescent="0.25">
      <c r="A50" s="79" t="s">
        <v>64</v>
      </c>
      <c r="B50" s="80" t="s">
        <v>56</v>
      </c>
      <c r="C50">
        <v>1</v>
      </c>
      <c r="D50">
        <v>10.353999999999999</v>
      </c>
      <c r="E50">
        <v>10.212</v>
      </c>
      <c r="F50">
        <v>11.298</v>
      </c>
      <c r="G50" s="69">
        <f>D50*E50</f>
        <v>105.73504799999999</v>
      </c>
      <c r="H50" s="69">
        <f>2*(D50*E50+F50*D50+E50*F50)</f>
        <v>676.17943200000002</v>
      </c>
      <c r="I50" s="95">
        <f>D50*E50*F50</f>
        <v>1194.5945723039999</v>
      </c>
      <c r="K50" s="69"/>
    </row>
    <row r="51" spans="1:11" x14ac:dyDescent="0.25">
      <c r="A51" s="79"/>
      <c r="B51" s="80"/>
      <c r="C51">
        <v>2</v>
      </c>
      <c r="D51">
        <v>10.303000000000001</v>
      </c>
      <c r="E51">
        <v>10.25</v>
      </c>
      <c r="F51">
        <v>11.228999999999999</v>
      </c>
      <c r="G51" s="69">
        <f t="shared" ref="G51:G67" si="47">D51*E51</f>
        <v>105.60575000000001</v>
      </c>
      <c r="H51" s="69">
        <f t="shared" ref="H51:H67" si="48">2*(D51*E51+F51*D51+E51*F51)</f>
        <v>672.79077399999994</v>
      </c>
      <c r="I51" s="95">
        <f t="shared" ref="I51:I67" si="49">D51*E51*F51</f>
        <v>1185.8469667500001</v>
      </c>
    </row>
    <row r="52" spans="1:11" x14ac:dyDescent="0.25">
      <c r="A52" s="79"/>
      <c r="B52" s="80"/>
      <c r="C52" s="27">
        <v>3</v>
      </c>
      <c r="D52" s="27">
        <v>10.236000000000001</v>
      </c>
      <c r="E52" s="27">
        <v>10.137</v>
      </c>
      <c r="F52" s="27">
        <v>10.864000000000001</v>
      </c>
      <c r="G52" s="93">
        <f t="shared" si="47"/>
        <v>103.76233200000001</v>
      </c>
      <c r="H52" s="93">
        <f t="shared" si="48"/>
        <v>650.18920800000012</v>
      </c>
      <c r="I52" s="96">
        <f t="shared" si="49"/>
        <v>1127.2739748480003</v>
      </c>
    </row>
    <row r="53" spans="1:11" x14ac:dyDescent="0.25">
      <c r="A53" s="79"/>
      <c r="B53" s="80"/>
      <c r="C53">
        <v>4</v>
      </c>
      <c r="D53">
        <v>10.188000000000001</v>
      </c>
      <c r="E53">
        <v>10.118</v>
      </c>
      <c r="F53">
        <v>10.59</v>
      </c>
      <c r="G53" s="69">
        <f t="shared" si="47"/>
        <v>103.08218400000001</v>
      </c>
      <c r="H53" s="69">
        <f t="shared" si="48"/>
        <v>636.24544800000012</v>
      </c>
      <c r="I53" s="95">
        <f t="shared" si="49"/>
        <v>1091.6403285600002</v>
      </c>
    </row>
    <row r="54" spans="1:11" x14ac:dyDescent="0.25">
      <c r="A54" s="79"/>
      <c r="B54" s="80"/>
      <c r="C54">
        <v>5</v>
      </c>
      <c r="D54">
        <v>10.542999999999999</v>
      </c>
      <c r="E54">
        <v>10.211</v>
      </c>
      <c r="F54">
        <v>10.85</v>
      </c>
      <c r="G54" s="69">
        <f t="shared" si="47"/>
        <v>107.654573</v>
      </c>
      <c r="H54" s="69">
        <f t="shared" si="48"/>
        <v>665.67094599999996</v>
      </c>
      <c r="I54" s="95">
        <f t="shared" si="49"/>
        <v>1168.0521170499999</v>
      </c>
    </row>
    <row r="55" spans="1:11" x14ac:dyDescent="0.25">
      <c r="A55" s="79"/>
      <c r="B55" s="80"/>
      <c r="C55" s="27">
        <v>6</v>
      </c>
      <c r="D55" s="27">
        <v>10.118</v>
      </c>
      <c r="E55" s="27">
        <v>10.16</v>
      </c>
      <c r="F55" s="27">
        <v>11.131</v>
      </c>
      <c r="G55" s="93">
        <f t="shared" si="47"/>
        <v>102.79888000000001</v>
      </c>
      <c r="H55" s="93">
        <f t="shared" si="48"/>
        <v>657.02659600000004</v>
      </c>
      <c r="I55" s="96">
        <f t="shared" si="49"/>
        <v>1144.2543332800001</v>
      </c>
    </row>
    <row r="56" spans="1:11" x14ac:dyDescent="0.25">
      <c r="A56" s="79"/>
      <c r="B56" s="80"/>
      <c r="C56" s="27">
        <v>7</v>
      </c>
      <c r="D56" s="27">
        <v>10.496</v>
      </c>
      <c r="E56" s="27">
        <v>10.188000000000001</v>
      </c>
      <c r="F56" s="27">
        <v>10.756</v>
      </c>
      <c r="G56" s="93">
        <f t="shared" si="47"/>
        <v>106.93324800000001</v>
      </c>
      <c r="H56" s="93">
        <f t="shared" si="48"/>
        <v>658.82070400000009</v>
      </c>
      <c r="I56" s="96">
        <f t="shared" si="49"/>
        <v>1150.1740154880001</v>
      </c>
    </row>
    <row r="57" spans="1:11" x14ac:dyDescent="0.25">
      <c r="A57" s="79"/>
      <c r="B57" s="80" t="s">
        <v>57</v>
      </c>
      <c r="C57">
        <v>8</v>
      </c>
      <c r="D57">
        <v>10.542999999999999</v>
      </c>
      <c r="E57">
        <v>10.307</v>
      </c>
      <c r="F57">
        <v>10.803000000000001</v>
      </c>
      <c r="G57" s="69">
        <f t="shared" si="47"/>
        <v>108.666701</v>
      </c>
      <c r="H57" s="69">
        <f t="shared" si="48"/>
        <v>667.81850199999997</v>
      </c>
      <c r="I57" s="95">
        <f t="shared" si="49"/>
        <v>1173.9263709030001</v>
      </c>
    </row>
    <row r="58" spans="1:11" x14ac:dyDescent="0.25">
      <c r="A58" s="79"/>
      <c r="B58" s="80"/>
      <c r="C58" s="27">
        <v>9</v>
      </c>
      <c r="D58" s="27">
        <v>10.282999999999999</v>
      </c>
      <c r="E58" s="27">
        <v>10.259</v>
      </c>
      <c r="F58" s="27">
        <v>10.625</v>
      </c>
      <c r="G58" s="93">
        <f t="shared" si="47"/>
        <v>105.493297</v>
      </c>
      <c r="H58" s="93">
        <f t="shared" si="48"/>
        <v>647.50409400000001</v>
      </c>
      <c r="I58" s="96">
        <f t="shared" si="49"/>
        <v>1120.8662806249999</v>
      </c>
    </row>
    <row r="59" spans="1:11" x14ac:dyDescent="0.25">
      <c r="A59" s="79"/>
      <c r="B59" s="80"/>
      <c r="C59" s="27">
        <v>10</v>
      </c>
      <c r="D59" s="27">
        <v>10.225</v>
      </c>
      <c r="E59" s="27">
        <v>10.188000000000001</v>
      </c>
      <c r="F59" s="27">
        <v>11.085000000000001</v>
      </c>
      <c r="G59" s="93">
        <f t="shared" si="47"/>
        <v>104.17230000000001</v>
      </c>
      <c r="H59" s="93">
        <f t="shared" si="48"/>
        <v>660.90081000000009</v>
      </c>
      <c r="I59" s="96">
        <f t="shared" si="49"/>
        <v>1154.7499455000002</v>
      </c>
    </row>
    <row r="60" spans="1:11" x14ac:dyDescent="0.25">
      <c r="A60" s="79"/>
      <c r="B60" s="80"/>
      <c r="C60" s="27">
        <v>11</v>
      </c>
      <c r="D60" s="27">
        <v>10.425000000000001</v>
      </c>
      <c r="E60" s="27">
        <v>10.282999999999999</v>
      </c>
      <c r="F60" s="27">
        <v>10.638</v>
      </c>
      <c r="G60" s="93">
        <f t="shared" si="47"/>
        <v>107.200275</v>
      </c>
      <c r="H60" s="93">
        <f t="shared" si="48"/>
        <v>654.98395800000003</v>
      </c>
      <c r="I60" s="96">
        <f t="shared" si="49"/>
        <v>1140.3965254500001</v>
      </c>
    </row>
    <row r="61" spans="1:11" x14ac:dyDescent="0.25">
      <c r="A61" s="79"/>
      <c r="B61" s="80"/>
      <c r="C61" s="38">
        <v>12</v>
      </c>
      <c r="D61" s="38">
        <v>10.472</v>
      </c>
      <c r="E61" s="38">
        <v>10.445</v>
      </c>
      <c r="F61" s="38">
        <v>10.85</v>
      </c>
      <c r="G61" s="94">
        <f t="shared" si="47"/>
        <v>109.38003999999999</v>
      </c>
      <c r="H61" s="94">
        <f t="shared" si="48"/>
        <v>672.65897999999993</v>
      </c>
      <c r="I61" s="97">
        <f t="shared" si="49"/>
        <v>1186.773434</v>
      </c>
    </row>
    <row r="62" spans="1:11" x14ac:dyDescent="0.25">
      <c r="A62" s="79"/>
      <c r="B62" s="80"/>
      <c r="C62">
        <v>13</v>
      </c>
      <c r="D62">
        <v>10.992000000000001</v>
      </c>
      <c r="E62">
        <v>10.685</v>
      </c>
      <c r="F62">
        <v>10.462</v>
      </c>
      <c r="G62" s="69">
        <f t="shared" si="47"/>
        <v>117.44952000000002</v>
      </c>
      <c r="H62" s="69">
        <f t="shared" si="48"/>
        <v>688.46858800000007</v>
      </c>
      <c r="I62" s="95">
        <f t="shared" si="49"/>
        <v>1228.7568782400001</v>
      </c>
    </row>
    <row r="63" spans="1:11" x14ac:dyDescent="0.25">
      <c r="A63" s="79"/>
      <c r="B63" s="80"/>
      <c r="C63">
        <v>14</v>
      </c>
      <c r="D63">
        <v>10.212</v>
      </c>
      <c r="E63">
        <v>10.212</v>
      </c>
      <c r="F63">
        <v>11.725</v>
      </c>
      <c r="G63" s="69">
        <f t="shared" si="47"/>
        <v>104.284944</v>
      </c>
      <c r="H63" s="69">
        <f t="shared" si="48"/>
        <v>687.51268800000003</v>
      </c>
      <c r="I63" s="95">
        <f t="shared" si="49"/>
        <v>1222.7409683999999</v>
      </c>
    </row>
    <row r="64" spans="1:11" x14ac:dyDescent="0.25">
      <c r="A64" s="79"/>
      <c r="B64" s="80" t="s">
        <v>94</v>
      </c>
      <c r="C64" s="27">
        <v>16</v>
      </c>
      <c r="D64" s="27">
        <v>11.205</v>
      </c>
      <c r="E64" s="27">
        <v>11.071999999999999</v>
      </c>
      <c r="F64" s="27">
        <v>12.971</v>
      </c>
      <c r="G64" s="93">
        <f t="shared" si="47"/>
        <v>124.06175999999999</v>
      </c>
      <c r="H64" s="93">
        <f t="shared" si="48"/>
        <v>826.03345400000001</v>
      </c>
      <c r="I64" s="96">
        <f t="shared" si="49"/>
        <v>1609.20508896</v>
      </c>
    </row>
    <row r="65" spans="1:9" x14ac:dyDescent="0.25">
      <c r="A65" s="79"/>
      <c r="B65" s="80"/>
      <c r="C65" s="27">
        <v>17</v>
      </c>
      <c r="D65" s="27">
        <v>11.347</v>
      </c>
      <c r="E65" s="27">
        <v>11.063000000000001</v>
      </c>
      <c r="F65" s="27">
        <v>12.566000000000001</v>
      </c>
      <c r="G65" s="93">
        <f t="shared" si="47"/>
        <v>125.53186100000001</v>
      </c>
      <c r="H65" s="93">
        <f t="shared" si="48"/>
        <v>814.27184200000011</v>
      </c>
      <c r="I65" s="96">
        <f t="shared" si="49"/>
        <v>1577.4333653260001</v>
      </c>
    </row>
    <row r="66" spans="1:9" x14ac:dyDescent="0.25">
      <c r="A66" s="79"/>
      <c r="B66" s="80"/>
      <c r="C66" s="27">
        <v>18</v>
      </c>
      <c r="D66" s="27">
        <v>10.920999999999999</v>
      </c>
      <c r="E66" s="27">
        <v>11.157</v>
      </c>
      <c r="F66" s="27">
        <v>12.978</v>
      </c>
      <c r="G66" s="93">
        <f t="shared" si="47"/>
        <v>121.845597</v>
      </c>
      <c r="H66" s="93">
        <f t="shared" si="48"/>
        <v>816.74776199999997</v>
      </c>
      <c r="I66" s="96">
        <f t="shared" si="49"/>
        <v>1581.312157866</v>
      </c>
    </row>
    <row r="67" spans="1:9" x14ac:dyDescent="0.25">
      <c r="A67" s="79"/>
      <c r="B67" s="80"/>
      <c r="C67">
        <v>19</v>
      </c>
      <c r="D67">
        <v>11.162000000000001</v>
      </c>
      <c r="E67">
        <v>11.074</v>
      </c>
      <c r="F67">
        <v>13.244999999999999</v>
      </c>
      <c r="G67" s="69">
        <f t="shared" si="47"/>
        <v>123.60798800000001</v>
      </c>
      <c r="H67" s="69">
        <f t="shared" si="48"/>
        <v>836.24761599999988</v>
      </c>
      <c r="I67" s="95">
        <f t="shared" si="49"/>
        <v>1637.1878010600001</v>
      </c>
    </row>
    <row r="68" spans="1:9" x14ac:dyDescent="0.25">
      <c r="A68" s="79"/>
      <c r="B68" s="80"/>
    </row>
    <row r="69" spans="1:9" x14ac:dyDescent="0.25">
      <c r="A69" s="79"/>
      <c r="B69" s="80"/>
    </row>
    <row r="70" spans="1:9" x14ac:dyDescent="0.25">
      <c r="A70" s="79"/>
      <c r="B70" s="80"/>
    </row>
    <row r="71" spans="1:9" x14ac:dyDescent="0.25">
      <c r="A71" s="79"/>
      <c r="B71" s="80"/>
    </row>
  </sheetData>
  <mergeCells count="23">
    <mergeCell ref="A68:A71"/>
    <mergeCell ref="B68:B71"/>
    <mergeCell ref="A39:A49"/>
    <mergeCell ref="B39:B43"/>
    <mergeCell ref="B44:B49"/>
    <mergeCell ref="A50:A67"/>
    <mergeCell ref="B50:B56"/>
    <mergeCell ref="B57:B63"/>
    <mergeCell ref="B64:B67"/>
    <mergeCell ref="B27:B30"/>
    <mergeCell ref="A31:A34"/>
    <mergeCell ref="B31:B34"/>
    <mergeCell ref="AA31:AF34"/>
    <mergeCell ref="A2:A12"/>
    <mergeCell ref="B2:B6"/>
    <mergeCell ref="A13:A30"/>
    <mergeCell ref="B20:B26"/>
    <mergeCell ref="AY2:AZ2"/>
    <mergeCell ref="B7:B12"/>
    <mergeCell ref="AS10:AU11"/>
    <mergeCell ref="AY10:AZ10"/>
    <mergeCell ref="AS12:AU13"/>
    <mergeCell ref="B13:B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AB3D-2CAE-4E98-9BDF-FD8F1A31C7F7}">
  <dimension ref="A1:AJ118"/>
  <sheetViews>
    <sheetView workbookViewId="0">
      <selection activeCell="A3" sqref="A1:X51"/>
    </sheetView>
  </sheetViews>
  <sheetFormatPr defaultRowHeight="15" x14ac:dyDescent="0.25"/>
  <cols>
    <col min="1" max="1" width="14.42578125" customWidth="1"/>
    <col min="2" max="2" width="9.42578125" bestFit="1" customWidth="1"/>
    <col min="3" max="3" width="9.42578125" customWidth="1"/>
    <col min="4" max="4" width="15.140625" customWidth="1"/>
    <col min="5" max="5" width="13.7109375" customWidth="1"/>
    <col min="6" max="6" width="21.28515625" customWidth="1"/>
    <col min="7" max="7" width="15.85546875" customWidth="1"/>
    <col min="8" max="8" width="17.7109375" customWidth="1"/>
    <col min="9" max="9" width="19.7109375" customWidth="1"/>
    <col min="10" max="10" width="17.140625" customWidth="1"/>
    <col min="11" max="11" width="10.7109375" customWidth="1"/>
    <col min="12" max="12" width="15" customWidth="1"/>
    <col min="13" max="13" width="15.28515625" customWidth="1"/>
    <col min="14" max="14" width="15.42578125" customWidth="1"/>
    <col min="15" max="15" width="16.140625" customWidth="1"/>
    <col min="16" max="16" width="15.7109375" customWidth="1"/>
    <col min="17" max="19" width="17.28515625" customWidth="1"/>
  </cols>
  <sheetData>
    <row r="1" spans="1:36" x14ac:dyDescent="0.25">
      <c r="A1" t="s">
        <v>0</v>
      </c>
      <c r="J1" t="s">
        <v>1</v>
      </c>
      <c r="M1" t="s">
        <v>2</v>
      </c>
      <c r="V1" t="s">
        <v>3</v>
      </c>
      <c r="W1" t="s">
        <v>4</v>
      </c>
    </row>
    <row r="2" spans="1:36" x14ac:dyDescent="0.25">
      <c r="J2">
        <v>0.83</v>
      </c>
      <c r="L2" t="s">
        <v>5</v>
      </c>
      <c r="M2">
        <v>1.52</v>
      </c>
      <c r="N2" t="s">
        <v>5</v>
      </c>
      <c r="V2">
        <f>(PI()/4 )*80^2</f>
        <v>5026.5482457436692</v>
      </c>
      <c r="W2">
        <f>10^2</f>
        <v>100</v>
      </c>
    </row>
    <row r="3" spans="1:36" s="4" customFormat="1" ht="147" x14ac:dyDescent="0.35">
      <c r="A3" s="1"/>
      <c r="B3" s="1" t="s">
        <v>6</v>
      </c>
      <c r="C3" s="2" t="s">
        <v>7</v>
      </c>
      <c r="D3" s="1" t="s">
        <v>8</v>
      </c>
      <c r="E3" s="2" t="s">
        <v>9</v>
      </c>
      <c r="F3" s="2" t="s">
        <v>10</v>
      </c>
      <c r="G3" s="1" t="s">
        <v>11</v>
      </c>
      <c r="H3" s="3" t="s">
        <v>12</v>
      </c>
      <c r="I3" s="2" t="s">
        <v>13</v>
      </c>
      <c r="J3" s="2" t="s">
        <v>14</v>
      </c>
      <c r="K3" s="1" t="s">
        <v>15</v>
      </c>
      <c r="L3" s="2" t="s">
        <v>16</v>
      </c>
      <c r="M3" s="2" t="s">
        <v>17</v>
      </c>
      <c r="N3" s="2" t="s">
        <v>18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23</v>
      </c>
      <c r="T3" s="2" t="s">
        <v>24</v>
      </c>
      <c r="U3" s="2" t="s">
        <v>25</v>
      </c>
      <c r="V3" s="2" t="s">
        <v>26</v>
      </c>
      <c r="W3" s="2" t="s">
        <v>27</v>
      </c>
      <c r="X3" s="2" t="s">
        <v>28</v>
      </c>
    </row>
    <row r="4" spans="1:36" ht="21" customHeight="1" x14ac:dyDescent="0.35">
      <c r="A4" s="80" t="s">
        <v>29</v>
      </c>
      <c r="B4" s="5">
        <v>1</v>
      </c>
      <c r="C4" s="5" t="s">
        <v>30</v>
      </c>
      <c r="D4" s="6">
        <v>1.504</v>
      </c>
      <c r="E4" s="5">
        <v>1.4118999999999999</v>
      </c>
      <c r="F4" s="6">
        <f>ABS(D4-E4)</f>
        <v>9.2100000000000071E-2</v>
      </c>
      <c r="G4" s="5">
        <f>F4/D4*100</f>
        <v>6.1236702127659619</v>
      </c>
      <c r="H4" s="5">
        <v>0.54969999999999997</v>
      </c>
      <c r="I4" s="5">
        <f>ABS(E4-H4)</f>
        <v>0.86219999999999997</v>
      </c>
      <c r="J4" s="5">
        <f>E4*$J$2/I4</f>
        <v>1.3591707260496404</v>
      </c>
      <c r="K4" s="5">
        <f>J4/$M$2*100</f>
        <v>89.419126713792124</v>
      </c>
      <c r="L4">
        <v>10.118</v>
      </c>
      <c r="M4">
        <v>10.151999999999999</v>
      </c>
      <c r="N4">
        <v>11.462</v>
      </c>
      <c r="O4" s="5">
        <f>L4*M4*N4</f>
        <v>1177.3529824319999</v>
      </c>
      <c r="P4" s="5">
        <f>L4*M4</f>
        <v>102.71793599999999</v>
      </c>
      <c r="Q4" s="5">
        <f>E4/(O4*0.001)</f>
        <v>1.1992155462871532</v>
      </c>
      <c r="R4" s="5">
        <f>Q4/$M$2</f>
        <v>0.78895759624154815</v>
      </c>
      <c r="S4" s="5">
        <f>ABS(J4-Q4)/((J4+Q4)/2)*100</f>
        <v>12.504380709984533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ht="21" x14ac:dyDescent="0.35">
      <c r="A5" s="80"/>
      <c r="B5" s="5">
        <v>2</v>
      </c>
      <c r="C5" s="5"/>
      <c r="D5" s="5">
        <v>1.4992000000000001</v>
      </c>
      <c r="E5" s="5">
        <v>1.4542999999999999</v>
      </c>
      <c r="F5" s="6">
        <f t="shared" ref="F5:F50" si="0">ABS(D5-E5)</f>
        <v>4.4900000000000162E-2</v>
      </c>
      <c r="G5" s="5">
        <f t="shared" ref="G5:G50" si="1">F5/D5*100</f>
        <v>2.9949306296691676</v>
      </c>
      <c r="H5" s="5">
        <v>0.58560000000000001</v>
      </c>
      <c r="I5" s="5">
        <f t="shared" ref="I5:I50" si="2">ABS(E5-H5)</f>
        <v>0.86869999999999992</v>
      </c>
      <c r="J5" s="5">
        <f t="shared" ref="J5:J50" si="3">E5*$J$2/I5</f>
        <v>1.3895119143547832</v>
      </c>
      <c r="K5" s="5">
        <f t="shared" ref="K5:K50" si="4">J5/$M$2*100</f>
        <v>91.415257523340998</v>
      </c>
      <c r="L5">
        <v>10.141</v>
      </c>
      <c r="M5">
        <v>10.122</v>
      </c>
      <c r="N5">
        <v>10.448</v>
      </c>
      <c r="O5" s="5">
        <f t="shared" ref="O5:O50" si="5">L5*M5*N5</f>
        <v>1072.4579664959999</v>
      </c>
      <c r="P5" s="5">
        <f t="shared" ref="P5:P50" si="6">L5*M5</f>
        <v>102.64720199999999</v>
      </c>
      <c r="Q5" s="5">
        <f>E5/(O5*0.001)</f>
        <v>1.356043822166362</v>
      </c>
      <c r="R5" s="5">
        <f t="shared" ref="R5:R50" si="7">Q5/$M$2</f>
        <v>0.89213409353050133</v>
      </c>
      <c r="S5" s="5">
        <f t="shared" ref="S5:S50" si="8">ABS(J5-Q5)/((J5+Q5)/2)*100</f>
        <v>2.4379830824944841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ht="21" x14ac:dyDescent="0.35">
      <c r="A6" s="80"/>
      <c r="B6" s="5">
        <v>3</v>
      </c>
      <c r="C6" s="5"/>
      <c r="D6" s="5">
        <v>1.5016</v>
      </c>
      <c r="E6" s="5">
        <v>1.4108000000000001</v>
      </c>
      <c r="F6" s="6">
        <f t="shared" si="0"/>
        <v>9.0799999999999992E-2</v>
      </c>
      <c r="G6" s="5">
        <f t="shared" si="1"/>
        <v>6.0468833244539155</v>
      </c>
      <c r="H6" s="5">
        <v>0.55379999999999996</v>
      </c>
      <c r="I6" s="5">
        <f t="shared" si="2"/>
        <v>0.8570000000000001</v>
      </c>
      <c r="J6" s="5">
        <f t="shared" si="3"/>
        <v>1.366352392065344</v>
      </c>
      <c r="K6" s="5">
        <f t="shared" si="4"/>
        <v>89.891604741141052</v>
      </c>
      <c r="L6">
        <v>10.233000000000001</v>
      </c>
      <c r="M6">
        <v>10.047000000000001</v>
      </c>
      <c r="N6">
        <v>10.401</v>
      </c>
      <c r="O6" s="5">
        <f t="shared" si="5"/>
        <v>1069.3367013510001</v>
      </c>
      <c r="P6" s="5">
        <f t="shared" si="6"/>
        <v>102.81095100000002</v>
      </c>
      <c r="Q6" s="5">
        <f t="shared" ref="Q6:Q50" si="9">E6/(O6*0.001)</f>
        <v>1.3193225278975229</v>
      </c>
      <c r="R6" s="5">
        <f t="shared" si="7"/>
        <v>0.8679753473010019</v>
      </c>
      <c r="S6" s="5">
        <f t="shared" si="8"/>
        <v>3.5022752618527129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ht="21" x14ac:dyDescent="0.35">
      <c r="A7" s="80"/>
      <c r="B7" s="5">
        <v>4</v>
      </c>
      <c r="C7" s="5"/>
      <c r="D7" s="5">
        <v>1.5025999999999999</v>
      </c>
      <c r="E7" s="5">
        <v>1.4584999999999999</v>
      </c>
      <c r="F7" s="6">
        <f t="shared" si="0"/>
        <v>4.4100000000000028E-2</v>
      </c>
      <c r="G7" s="5">
        <f t="shared" si="1"/>
        <v>2.9349128177825126</v>
      </c>
      <c r="H7" s="5">
        <v>0.57640000000000002</v>
      </c>
      <c r="I7" s="5">
        <f t="shared" si="2"/>
        <v>0.88209999999999988</v>
      </c>
      <c r="J7" s="5">
        <f t="shared" si="3"/>
        <v>1.3723557419793675</v>
      </c>
      <c r="K7" s="5">
        <f t="shared" si="4"/>
        <v>90.286561972326808</v>
      </c>
      <c r="L7">
        <v>10.367000000000001</v>
      </c>
      <c r="M7">
        <v>10.07</v>
      </c>
      <c r="N7">
        <v>10.872999999999999</v>
      </c>
      <c r="O7" s="5">
        <f t="shared" si="5"/>
        <v>1135.0943373700002</v>
      </c>
      <c r="P7" s="5">
        <f t="shared" si="6"/>
        <v>104.39569000000002</v>
      </c>
      <c r="Q7" s="5">
        <f t="shared" si="9"/>
        <v>1.2849152286137968</v>
      </c>
      <c r="R7" s="5">
        <f t="shared" si="7"/>
        <v>0.84533896619328741</v>
      </c>
      <c r="S7" s="5">
        <f t="shared" si="8"/>
        <v>6.5812267046331323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ht="21" x14ac:dyDescent="0.35">
      <c r="A8" s="80"/>
      <c r="B8" s="5">
        <v>5</v>
      </c>
      <c r="C8" s="5"/>
      <c r="D8" s="5">
        <v>1.4861</v>
      </c>
      <c r="E8" s="5">
        <v>1.3835999999999999</v>
      </c>
      <c r="F8" s="6">
        <f t="shared" si="0"/>
        <v>0.10250000000000004</v>
      </c>
      <c r="G8" s="5">
        <f t="shared" si="1"/>
        <v>6.8972478298903201</v>
      </c>
      <c r="H8" s="5">
        <v>0.5665</v>
      </c>
      <c r="I8" s="5">
        <f t="shared" si="2"/>
        <v>0.81709999999999994</v>
      </c>
      <c r="J8" s="5">
        <f t="shared" si="3"/>
        <v>1.4054436421490639</v>
      </c>
      <c r="K8" s="5">
        <f t="shared" si="4"/>
        <v>92.463397509806839</v>
      </c>
      <c r="L8">
        <v>10.097</v>
      </c>
      <c r="M8">
        <v>10.401</v>
      </c>
      <c r="N8">
        <v>10.132999999999999</v>
      </c>
      <c r="O8" s="5">
        <f t="shared" si="5"/>
        <v>1064.1564833009998</v>
      </c>
      <c r="P8" s="5">
        <f t="shared" si="6"/>
        <v>105.018897</v>
      </c>
      <c r="Q8" s="5">
        <f t="shared" si="9"/>
        <v>1.3001847206795099</v>
      </c>
      <c r="R8" s="5">
        <f t="shared" si="7"/>
        <v>0.85538468465757223</v>
      </c>
      <c r="S8" s="5">
        <f t="shared" si="8"/>
        <v>7.7807375850770661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s="9" customFormat="1" ht="21" customHeight="1" x14ac:dyDescent="0.35">
      <c r="A9" s="80" t="s">
        <v>31</v>
      </c>
      <c r="B9" s="7">
        <v>6</v>
      </c>
      <c r="C9" s="7"/>
      <c r="D9" s="7">
        <v>1.5017</v>
      </c>
      <c r="E9" s="7">
        <v>1.4841</v>
      </c>
      <c r="F9" s="8">
        <f t="shared" si="0"/>
        <v>1.760000000000006E-2</v>
      </c>
      <c r="G9" s="7">
        <f t="shared" si="1"/>
        <v>1.1720050609309489</v>
      </c>
      <c r="H9" s="7">
        <v>0.59370000000000001</v>
      </c>
      <c r="I9" s="7">
        <f t="shared" si="2"/>
        <v>0.89039999999999997</v>
      </c>
      <c r="J9" s="7">
        <f t="shared" si="3"/>
        <v>1.3834265498652292</v>
      </c>
      <c r="K9" s="5">
        <f t="shared" si="4"/>
        <v>91.014904596396647</v>
      </c>
      <c r="L9">
        <v>10.067</v>
      </c>
      <c r="M9">
        <v>10.231999999999999</v>
      </c>
      <c r="N9">
        <v>10.672000000000001</v>
      </c>
      <c r="O9" s="7">
        <f t="shared" si="5"/>
        <v>1099.2751655680001</v>
      </c>
      <c r="P9" s="7">
        <f t="shared" si="6"/>
        <v>103.005544</v>
      </c>
      <c r="Q9" s="5">
        <f t="shared" si="9"/>
        <v>1.3500714347832639</v>
      </c>
      <c r="R9" s="5">
        <f t="shared" si="7"/>
        <v>0.88820489130477887</v>
      </c>
      <c r="S9" s="5">
        <f t="shared" si="8"/>
        <v>2.4404711669289578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21" x14ac:dyDescent="0.35">
      <c r="A10" s="80"/>
      <c r="B10" s="5">
        <v>7</v>
      </c>
      <c r="C10" s="5"/>
      <c r="D10" s="5">
        <v>1.5027999999999999</v>
      </c>
      <c r="E10" s="5">
        <v>1.4778</v>
      </c>
      <c r="F10" s="6">
        <f t="shared" si="0"/>
        <v>2.4999999999999911E-2</v>
      </c>
      <c r="G10" s="5">
        <f t="shared" si="1"/>
        <v>1.6635613521426611</v>
      </c>
      <c r="H10" s="5">
        <v>0.5948</v>
      </c>
      <c r="I10" s="5">
        <f t="shared" si="2"/>
        <v>0.88300000000000001</v>
      </c>
      <c r="J10" s="5">
        <f t="shared" si="3"/>
        <v>1.3890985277463195</v>
      </c>
      <c r="K10" s="5">
        <f t="shared" si="4"/>
        <v>91.388061035942073</v>
      </c>
      <c r="L10">
        <v>10.164999999999999</v>
      </c>
      <c r="M10">
        <v>10.425000000000001</v>
      </c>
      <c r="N10">
        <v>10.401</v>
      </c>
      <c r="O10" s="5">
        <f t="shared" si="5"/>
        <v>1102.195270125</v>
      </c>
      <c r="P10" s="5">
        <f t="shared" si="6"/>
        <v>105.970125</v>
      </c>
      <c r="Q10" s="5">
        <f t="shared" si="9"/>
        <v>1.3407787531445337</v>
      </c>
      <c r="R10" s="5">
        <f t="shared" si="7"/>
        <v>0.88209128496350897</v>
      </c>
      <c r="S10" s="5">
        <f t="shared" si="8"/>
        <v>3.5400693606283591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ht="21" x14ac:dyDescent="0.35">
      <c r="A11" s="80"/>
      <c r="B11" s="5">
        <v>8</v>
      </c>
      <c r="C11" s="5"/>
      <c r="D11" s="5">
        <v>1.5003</v>
      </c>
      <c r="E11" s="5">
        <v>1.4775</v>
      </c>
      <c r="F11" s="6">
        <f t="shared" si="0"/>
        <v>2.2799999999999931E-2</v>
      </c>
      <c r="G11" s="5">
        <f t="shared" si="1"/>
        <v>1.5196960607878378</v>
      </c>
      <c r="H11" s="5">
        <v>0.59470000000000001</v>
      </c>
      <c r="I11" s="5">
        <f t="shared" si="2"/>
        <v>0.88280000000000003</v>
      </c>
      <c r="J11" s="5">
        <f t="shared" si="3"/>
        <v>1.3891311735387402</v>
      </c>
      <c r="K11" s="5">
        <f t="shared" si="4"/>
        <v>91.390208785443434</v>
      </c>
      <c r="L11">
        <v>10.23</v>
      </c>
      <c r="M11">
        <v>10.028</v>
      </c>
      <c r="N11">
        <v>10.661</v>
      </c>
      <c r="O11" s="5">
        <f t="shared" si="5"/>
        <v>1093.6740368400001</v>
      </c>
      <c r="P11" s="5">
        <f t="shared" si="6"/>
        <v>102.58644000000001</v>
      </c>
      <c r="Q11" s="5">
        <f t="shared" si="9"/>
        <v>1.3509509691470822</v>
      </c>
      <c r="R11" s="5">
        <f t="shared" si="7"/>
        <v>0.88878353233360674</v>
      </c>
      <c r="S11" s="5">
        <f t="shared" si="8"/>
        <v>2.7867926874800748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21" x14ac:dyDescent="0.35">
      <c r="A12" s="80"/>
      <c r="B12" s="5">
        <v>9</v>
      </c>
      <c r="C12" s="5"/>
      <c r="D12" s="5">
        <v>1.5024999999999999</v>
      </c>
      <c r="E12" s="5">
        <v>1.4678</v>
      </c>
      <c r="F12" s="6">
        <f t="shared" si="0"/>
        <v>3.4699999999999953E-2</v>
      </c>
      <c r="G12" s="5">
        <f t="shared" si="1"/>
        <v>2.3094841930116443</v>
      </c>
      <c r="H12" s="5">
        <v>0.58240000000000003</v>
      </c>
      <c r="I12" s="5">
        <f t="shared" si="2"/>
        <v>0.88539999999999996</v>
      </c>
      <c r="J12" s="5">
        <f t="shared" si="3"/>
        <v>1.3759588886379037</v>
      </c>
      <c r="K12" s="5">
        <f t="shared" si="4"/>
        <v>90.523611094598934</v>
      </c>
      <c r="L12">
        <v>10.188000000000001</v>
      </c>
      <c r="M12">
        <v>10.472</v>
      </c>
      <c r="N12">
        <v>10.685</v>
      </c>
      <c r="O12" s="5">
        <f t="shared" si="5"/>
        <v>1139.96914416</v>
      </c>
      <c r="P12" s="5">
        <f t="shared" si="6"/>
        <v>106.68873600000001</v>
      </c>
      <c r="Q12" s="5">
        <f t="shared" si="9"/>
        <v>1.2875787099321587</v>
      </c>
      <c r="R12" s="5">
        <f t="shared" si="7"/>
        <v>0.84709125653431494</v>
      </c>
      <c r="S12" s="5">
        <f t="shared" si="8"/>
        <v>6.636300441427406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21" x14ac:dyDescent="0.35">
      <c r="A13" s="80"/>
      <c r="B13" s="5">
        <v>10</v>
      </c>
      <c r="C13" s="5"/>
      <c r="D13" s="6">
        <v>1.50176</v>
      </c>
      <c r="E13" s="5">
        <v>1.4671000000000001</v>
      </c>
      <c r="F13" s="6">
        <f t="shared" si="0"/>
        <v>3.4659999999999913E-2</v>
      </c>
      <c r="G13" s="5">
        <f t="shared" si="1"/>
        <v>2.3079586618367722</v>
      </c>
      <c r="H13" s="5">
        <v>0.59109999999999996</v>
      </c>
      <c r="I13" s="5">
        <f t="shared" si="2"/>
        <v>0.87600000000000011</v>
      </c>
      <c r="J13" s="5">
        <f t="shared" si="3"/>
        <v>1.3900605022831047</v>
      </c>
      <c r="K13" s="5">
        <f t="shared" si="4"/>
        <v>91.451348834414787</v>
      </c>
      <c r="L13">
        <v>10.048999999999999</v>
      </c>
      <c r="M13">
        <v>10.353999999999999</v>
      </c>
      <c r="N13">
        <v>10.756</v>
      </c>
      <c r="O13" s="5">
        <f t="shared" si="5"/>
        <v>1119.133253576</v>
      </c>
      <c r="P13" s="5">
        <f t="shared" si="6"/>
        <v>104.04734599999999</v>
      </c>
      <c r="Q13" s="5">
        <f t="shared" si="9"/>
        <v>1.3109252140548333</v>
      </c>
      <c r="R13" s="5">
        <f t="shared" si="7"/>
        <v>0.86245079872028507</v>
      </c>
      <c r="S13" s="5">
        <f t="shared" si="8"/>
        <v>5.8597339296977085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ht="21" x14ac:dyDescent="0.35">
      <c r="A14" s="80"/>
      <c r="B14" s="5">
        <v>11</v>
      </c>
      <c r="C14" s="5"/>
      <c r="D14" s="6">
        <v>1.5009999999999999</v>
      </c>
      <c r="E14" s="5">
        <v>1.4757</v>
      </c>
      <c r="F14" s="6">
        <f t="shared" si="0"/>
        <v>2.5299999999999878E-2</v>
      </c>
      <c r="G14" s="5">
        <f t="shared" si="1"/>
        <v>1.6855429713524237</v>
      </c>
      <c r="H14" s="5">
        <v>0.58730000000000004</v>
      </c>
      <c r="I14" s="5">
        <f t="shared" si="2"/>
        <v>0.88839999999999997</v>
      </c>
      <c r="J14" s="5">
        <f t="shared" si="3"/>
        <v>1.3786931562359299</v>
      </c>
      <c r="K14" s="5">
        <f t="shared" si="4"/>
        <v>90.70349712078486</v>
      </c>
      <c r="L14">
        <v>10.061999999999999</v>
      </c>
      <c r="M14">
        <v>10.118</v>
      </c>
      <c r="N14">
        <v>10.614000000000001</v>
      </c>
      <c r="O14" s="5">
        <f t="shared" si="5"/>
        <v>1080.582852024</v>
      </c>
      <c r="P14" s="5">
        <f t="shared" si="6"/>
        <v>101.807316</v>
      </c>
      <c r="Q14" s="5">
        <f t="shared" si="9"/>
        <v>1.3656518768884041</v>
      </c>
      <c r="R14" s="5">
        <f t="shared" si="7"/>
        <v>0.89845518216342368</v>
      </c>
      <c r="S14" s="5">
        <f t="shared" si="8"/>
        <v>0.9504110591137187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s="9" customFormat="1" ht="21" customHeight="1" x14ac:dyDescent="0.35">
      <c r="A15" s="80" t="s">
        <v>32</v>
      </c>
      <c r="B15" s="7">
        <v>12</v>
      </c>
      <c r="C15" s="7"/>
      <c r="D15" s="7">
        <v>1.4992000000000001</v>
      </c>
      <c r="E15" s="7">
        <v>1.5003</v>
      </c>
      <c r="F15" s="8">
        <f t="shared" si="0"/>
        <v>1.0999999999998789E-3</v>
      </c>
      <c r="G15" s="7">
        <f t="shared" si="1"/>
        <v>7.3372465314826496E-2</v>
      </c>
      <c r="H15" s="7">
        <v>0.6139</v>
      </c>
      <c r="I15" s="7">
        <f t="shared" si="2"/>
        <v>0.88639999999999997</v>
      </c>
      <c r="J15" s="7">
        <f t="shared" si="3"/>
        <v>1.4048386732851985</v>
      </c>
      <c r="K15" s="5">
        <f t="shared" si="4"/>
        <v>92.423596926657794</v>
      </c>
      <c r="L15">
        <v>10.180999999999999</v>
      </c>
      <c r="M15">
        <v>10.222</v>
      </c>
      <c r="N15">
        <v>10.731999999999999</v>
      </c>
      <c r="O15" s="7">
        <f t="shared" si="5"/>
        <v>1116.8811932239998</v>
      </c>
      <c r="P15" s="7">
        <f t="shared" si="6"/>
        <v>104.07018199999999</v>
      </c>
      <c r="Q15" s="5">
        <f t="shared" si="9"/>
        <v>1.3432941740824014</v>
      </c>
      <c r="R15" s="5">
        <f t="shared" si="7"/>
        <v>0.88374616715947463</v>
      </c>
      <c r="S15" s="5">
        <f t="shared" si="8"/>
        <v>4.4790046639666494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ht="21" x14ac:dyDescent="0.35">
      <c r="A16" s="80"/>
      <c r="B16" s="5">
        <v>13</v>
      </c>
      <c r="C16" s="5"/>
      <c r="D16" s="5">
        <v>1.5002</v>
      </c>
      <c r="E16" s="5">
        <v>1.4953000000000001</v>
      </c>
      <c r="F16" s="6">
        <f t="shared" si="0"/>
        <v>4.8999999999999044E-3</v>
      </c>
      <c r="G16" s="5">
        <f t="shared" si="1"/>
        <v>0.32662311691773793</v>
      </c>
      <c r="H16" s="5">
        <v>0.5867</v>
      </c>
      <c r="I16" s="5">
        <f t="shared" si="2"/>
        <v>0.90860000000000007</v>
      </c>
      <c r="J16" s="5">
        <f t="shared" si="3"/>
        <v>1.3659465111160025</v>
      </c>
      <c r="K16" s="5">
        <f t="shared" si="4"/>
        <v>89.864902047105431</v>
      </c>
      <c r="L16">
        <v>10.236000000000001</v>
      </c>
      <c r="M16">
        <v>10.263999999999999</v>
      </c>
      <c r="N16">
        <v>11.37</v>
      </c>
      <c r="O16" s="5">
        <f t="shared" si="5"/>
        <v>1194.5583964799998</v>
      </c>
      <c r="P16" s="5">
        <f t="shared" si="6"/>
        <v>105.062304</v>
      </c>
      <c r="Q16" s="5">
        <f t="shared" si="9"/>
        <v>1.2517596497636232</v>
      </c>
      <c r="R16" s="5">
        <f t="shared" si="7"/>
        <v>0.82352608537080474</v>
      </c>
      <c r="S16" s="5">
        <f t="shared" si="8"/>
        <v>8.7241924291463793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21" x14ac:dyDescent="0.35">
      <c r="A17" s="80"/>
      <c r="B17" s="5">
        <v>14</v>
      </c>
      <c r="C17" s="5"/>
      <c r="D17" s="5">
        <v>1.5024999999999999</v>
      </c>
      <c r="E17" s="5">
        <v>1.4454400000000001</v>
      </c>
      <c r="F17" s="6">
        <f t="shared" si="0"/>
        <v>5.7059999999999889E-2</v>
      </c>
      <c r="G17" s="5">
        <f t="shared" si="1"/>
        <v>3.7976705490848515</v>
      </c>
      <c r="H17" s="5">
        <v>0.58589999999999998</v>
      </c>
      <c r="I17" s="5">
        <f t="shared" si="2"/>
        <v>0.85954000000000008</v>
      </c>
      <c r="J17" s="5">
        <f t="shared" si="3"/>
        <v>1.3957642459920421</v>
      </c>
      <c r="K17" s="5">
        <f t="shared" si="4"/>
        <v>91.826595131055399</v>
      </c>
      <c r="L17">
        <v>10.276</v>
      </c>
      <c r="M17">
        <v>10.542999999999999</v>
      </c>
      <c r="N17">
        <v>10.542999999999999</v>
      </c>
      <c r="O17" s="5">
        <f t="shared" si="5"/>
        <v>1142.227228324</v>
      </c>
      <c r="P17" s="5">
        <f t="shared" si="6"/>
        <v>108.339868</v>
      </c>
      <c r="Q17" s="5">
        <f t="shared" si="9"/>
        <v>1.2654574888053638</v>
      </c>
      <c r="R17" s="5">
        <f t="shared" si="7"/>
        <v>0.83253782158247613</v>
      </c>
      <c r="S17" s="5">
        <f t="shared" si="8"/>
        <v>9.793002626036218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21" x14ac:dyDescent="0.35">
      <c r="A18" s="80"/>
      <c r="B18" s="5">
        <v>15</v>
      </c>
      <c r="C18" s="5"/>
      <c r="D18" s="6">
        <v>1.502</v>
      </c>
      <c r="E18" s="5">
        <v>1.4765999999999999</v>
      </c>
      <c r="F18" s="6">
        <f t="shared" si="0"/>
        <v>2.5400000000000089E-2</v>
      </c>
      <c r="G18" s="5">
        <f t="shared" si="1"/>
        <v>1.6910785619174493</v>
      </c>
      <c r="H18" s="5">
        <v>0.60029999999999994</v>
      </c>
      <c r="I18" s="5">
        <f t="shared" si="2"/>
        <v>0.87629999999999997</v>
      </c>
      <c r="J18" s="5">
        <f t="shared" si="3"/>
        <v>1.3985826771653542</v>
      </c>
      <c r="K18" s="5">
        <f t="shared" si="4"/>
        <v>92.012018234562774</v>
      </c>
      <c r="L18">
        <v>10.273999999999999</v>
      </c>
      <c r="M18">
        <v>10.180999999999999</v>
      </c>
      <c r="N18">
        <v>10.661</v>
      </c>
      <c r="O18" s="5">
        <f t="shared" si="5"/>
        <v>1115.1362716339997</v>
      </c>
      <c r="P18" s="5">
        <f t="shared" si="6"/>
        <v>104.59959399999998</v>
      </c>
      <c r="Q18" s="5">
        <f t="shared" si="9"/>
        <v>1.3241431003193451</v>
      </c>
      <c r="R18" s="5">
        <f t="shared" si="7"/>
        <v>0.8711467765258849</v>
      </c>
      <c r="S18" s="5">
        <f t="shared" si="8"/>
        <v>5.4680186643531661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ht="21" x14ac:dyDescent="0.35">
      <c r="A19" s="80"/>
      <c r="B19" s="5">
        <v>16</v>
      </c>
      <c r="C19" s="5"/>
      <c r="D19" s="5">
        <v>1.5059</v>
      </c>
      <c r="E19" s="5">
        <v>1.4764999999999999</v>
      </c>
      <c r="F19" s="6">
        <f t="shared" si="0"/>
        <v>2.9400000000000093E-2</v>
      </c>
      <c r="G19" s="5">
        <f t="shared" si="1"/>
        <v>1.9523208712397964</v>
      </c>
      <c r="H19" s="5">
        <v>0.59940000000000004</v>
      </c>
      <c r="I19" s="5">
        <f t="shared" si="2"/>
        <v>0.87709999999999988</v>
      </c>
      <c r="J19" s="5">
        <f t="shared" si="3"/>
        <v>1.3972124045148786</v>
      </c>
      <c r="K19" s="5">
        <f t="shared" si="4"/>
        <v>91.921868718084127</v>
      </c>
      <c r="L19">
        <v>10.497</v>
      </c>
      <c r="M19">
        <v>10.898</v>
      </c>
      <c r="N19">
        <v>10.781000000000001</v>
      </c>
      <c r="O19" s="5">
        <f t="shared" si="5"/>
        <v>1233.306574986</v>
      </c>
      <c r="P19" s="5">
        <f t="shared" si="6"/>
        <v>114.396306</v>
      </c>
      <c r="Q19" s="5">
        <f t="shared" si="9"/>
        <v>1.1971881363048442</v>
      </c>
      <c r="R19" s="5">
        <f t="shared" si="7"/>
        <v>0.7876237738847659</v>
      </c>
      <c r="S19" s="5">
        <f t="shared" si="8"/>
        <v>15.419690603890718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 ht="21" x14ac:dyDescent="0.35">
      <c r="A20" s="80"/>
      <c r="B20" s="5">
        <v>17</v>
      </c>
      <c r="C20" s="5"/>
      <c r="D20" s="5">
        <v>1.5028999999999999</v>
      </c>
      <c r="E20" s="5">
        <v>1.4722</v>
      </c>
      <c r="F20" s="6">
        <f t="shared" si="0"/>
        <v>3.069999999999995E-2</v>
      </c>
      <c r="G20" s="5">
        <f t="shared" si="1"/>
        <v>2.0427174130015273</v>
      </c>
      <c r="H20" s="5">
        <v>0.5948</v>
      </c>
      <c r="I20" s="5">
        <f t="shared" si="2"/>
        <v>0.87739999999999996</v>
      </c>
      <c r="J20" s="5">
        <f t="shared" si="3"/>
        <v>1.3926669705949395</v>
      </c>
      <c r="K20" s="5">
        <f t="shared" si="4"/>
        <v>91.62282701282497</v>
      </c>
      <c r="L20">
        <v>10.233000000000001</v>
      </c>
      <c r="M20">
        <v>10.332000000000001</v>
      </c>
      <c r="N20">
        <v>10.616</v>
      </c>
      <c r="O20" s="5">
        <f t="shared" si="5"/>
        <v>1122.4016112960001</v>
      </c>
      <c r="P20" s="5">
        <f t="shared" si="6"/>
        <v>105.72735600000001</v>
      </c>
      <c r="Q20" s="5">
        <f t="shared" si="9"/>
        <v>1.3116517164476442</v>
      </c>
      <c r="R20" s="5">
        <f t="shared" si="7"/>
        <v>0.8629287608208186</v>
      </c>
      <c r="S20" s="5">
        <f t="shared" si="8"/>
        <v>5.9915463762070704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s="9" customFormat="1" ht="21" customHeight="1" x14ac:dyDescent="0.35">
      <c r="A21" s="80" t="s">
        <v>33</v>
      </c>
      <c r="B21" s="7">
        <v>18</v>
      </c>
      <c r="C21" s="7"/>
      <c r="D21" s="7">
        <v>1.5026999999999999</v>
      </c>
      <c r="E21" s="7">
        <v>1.4916</v>
      </c>
      <c r="F21" s="8">
        <f t="shared" si="0"/>
        <v>1.1099999999999888E-2</v>
      </c>
      <c r="G21" s="7">
        <f t="shared" si="1"/>
        <v>0.73867039329206685</v>
      </c>
      <c r="H21" s="7">
        <v>0.59319999999999995</v>
      </c>
      <c r="I21" s="7">
        <f t="shared" si="2"/>
        <v>0.89840000000000009</v>
      </c>
      <c r="J21" s="7">
        <f t="shared" si="3"/>
        <v>1.3780365093499551</v>
      </c>
      <c r="K21" s="5">
        <f t="shared" si="4"/>
        <v>90.660296667760207</v>
      </c>
      <c r="L21">
        <v>10.259</v>
      </c>
      <c r="M21">
        <v>10.378</v>
      </c>
      <c r="N21">
        <v>10.898</v>
      </c>
      <c r="O21" s="7">
        <f t="shared" si="5"/>
        <v>1160.287195996</v>
      </c>
      <c r="P21" s="7">
        <f t="shared" si="6"/>
        <v>106.46790200000001</v>
      </c>
      <c r="Q21" s="5">
        <f t="shared" si="9"/>
        <v>1.2855437904919722</v>
      </c>
      <c r="R21" s="5">
        <f t="shared" si="7"/>
        <v>0.8457524937447185</v>
      </c>
      <c r="S21" s="5">
        <f t="shared" si="8"/>
        <v>6.9449919616444076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21" x14ac:dyDescent="0.35">
      <c r="A22" s="80"/>
      <c r="B22" s="5">
        <v>19</v>
      </c>
      <c r="C22" s="5"/>
      <c r="D22" s="5">
        <v>1.5013000000000001</v>
      </c>
      <c r="E22" s="5">
        <v>1.4581999999999999</v>
      </c>
      <c r="F22" s="6">
        <f t="shared" si="0"/>
        <v>4.3100000000000138E-2</v>
      </c>
      <c r="G22" s="5">
        <f t="shared" si="1"/>
        <v>2.8708452674348988</v>
      </c>
      <c r="H22" s="5">
        <v>0.52059999999999995</v>
      </c>
      <c r="I22" s="5">
        <f t="shared" si="2"/>
        <v>0.93759999999999999</v>
      </c>
      <c r="J22" s="5">
        <f t="shared" si="3"/>
        <v>1.290855375426621</v>
      </c>
      <c r="K22" s="5">
        <f t="shared" si="4"/>
        <v>84.924695751751372</v>
      </c>
      <c r="L22">
        <v>10.186999999999999</v>
      </c>
      <c r="M22">
        <v>10.153</v>
      </c>
      <c r="N22">
        <v>10.968999999999999</v>
      </c>
      <c r="O22" s="5">
        <f t="shared" si="5"/>
        <v>1134.5084340589999</v>
      </c>
      <c r="P22" s="5">
        <f t="shared" si="6"/>
        <v>103.428611</v>
      </c>
      <c r="Q22" s="5">
        <f t="shared" si="9"/>
        <v>1.2853143760094483</v>
      </c>
      <c r="R22" s="5">
        <f t="shared" si="7"/>
        <v>0.84560156316411073</v>
      </c>
      <c r="S22" s="5">
        <f t="shared" si="8"/>
        <v>0.430173470834667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1:36" ht="21" x14ac:dyDescent="0.35">
      <c r="A23" s="80"/>
      <c r="B23" s="5">
        <v>20</v>
      </c>
      <c r="C23" s="5"/>
      <c r="D23" s="5">
        <v>1.5013000000000001</v>
      </c>
      <c r="E23" s="5">
        <v>1.4769000000000001</v>
      </c>
      <c r="F23" s="6">
        <f t="shared" si="0"/>
        <v>2.4399999999999977E-2</v>
      </c>
      <c r="G23" s="5">
        <f t="shared" si="1"/>
        <v>1.6252581096383119</v>
      </c>
      <c r="H23" s="5">
        <v>0.56189999999999996</v>
      </c>
      <c r="I23" s="5">
        <f t="shared" si="2"/>
        <v>0.91500000000000015</v>
      </c>
      <c r="J23" s="5">
        <f t="shared" si="3"/>
        <v>1.339701639344262</v>
      </c>
      <c r="K23" s="5">
        <f t="shared" si="4"/>
        <v>88.138265746333019</v>
      </c>
      <c r="L23">
        <v>10.146000000000001</v>
      </c>
      <c r="M23">
        <v>10.353999999999999</v>
      </c>
      <c r="N23">
        <v>11.678000000000001</v>
      </c>
      <c r="O23" s="5">
        <f t="shared" si="5"/>
        <v>1226.7935657519999</v>
      </c>
      <c r="P23" s="5">
        <f t="shared" si="6"/>
        <v>105.05168399999999</v>
      </c>
      <c r="Q23" s="5">
        <f t="shared" si="9"/>
        <v>1.2038700244524758</v>
      </c>
      <c r="R23" s="5">
        <f t="shared" si="7"/>
        <v>0.79201975292926041</v>
      </c>
      <c r="S23" s="5">
        <f t="shared" si="8"/>
        <v>10.680384344983079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ht="21" x14ac:dyDescent="0.35">
      <c r="A24" s="80"/>
      <c r="B24" s="5">
        <v>21</v>
      </c>
      <c r="C24" s="5"/>
      <c r="D24" s="5">
        <v>1.4999</v>
      </c>
      <c r="E24" s="5">
        <v>1.4411</v>
      </c>
      <c r="F24" s="6">
        <f t="shared" si="0"/>
        <v>5.8799999999999963E-2</v>
      </c>
      <c r="G24" s="5">
        <f t="shared" si="1"/>
        <v>3.9202613507567143</v>
      </c>
      <c r="H24" s="5">
        <v>0.51780000000000004</v>
      </c>
      <c r="I24" s="5">
        <f t="shared" si="2"/>
        <v>0.92330000000000001</v>
      </c>
      <c r="J24" s="5">
        <f t="shared" si="3"/>
        <v>1.2954760099642586</v>
      </c>
      <c r="K24" s="5">
        <f t="shared" si="4"/>
        <v>85.228684866069642</v>
      </c>
      <c r="L24">
        <v>10.175000000000001</v>
      </c>
      <c r="M24">
        <v>10.255000000000001</v>
      </c>
      <c r="N24">
        <v>11.542999999999999</v>
      </c>
      <c r="O24" s="5">
        <f t="shared" si="5"/>
        <v>1204.4500063750002</v>
      </c>
      <c r="P24" s="5">
        <f t="shared" si="6"/>
        <v>104.34462500000002</v>
      </c>
      <c r="Q24" s="5">
        <f t="shared" si="9"/>
        <v>1.1964797147016828</v>
      </c>
      <c r="R24" s="5">
        <f t="shared" si="7"/>
        <v>0.78715770704058075</v>
      </c>
      <c r="S24" s="5">
        <f t="shared" si="8"/>
        <v>7.9452691942066291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ht="21" x14ac:dyDescent="0.35">
      <c r="A25" s="80"/>
      <c r="B25" s="5">
        <v>22</v>
      </c>
      <c r="C25" s="5"/>
      <c r="D25" s="5">
        <v>1.5014000000000001</v>
      </c>
      <c r="E25" s="5">
        <v>1.4824999999999999</v>
      </c>
      <c r="F25" s="6">
        <f t="shared" si="0"/>
        <v>1.8900000000000139E-2</v>
      </c>
      <c r="G25" s="5">
        <f t="shared" si="1"/>
        <v>1.2588250965765377</v>
      </c>
      <c r="H25" s="5">
        <v>0.53239999999999998</v>
      </c>
      <c r="I25" s="5">
        <f t="shared" si="2"/>
        <v>0.95009999999999994</v>
      </c>
      <c r="J25" s="5">
        <f t="shared" si="3"/>
        <v>1.2951005157351858</v>
      </c>
      <c r="K25" s="5">
        <f t="shared" si="4"/>
        <v>85.203981298367481</v>
      </c>
      <c r="L25">
        <v>10.054</v>
      </c>
      <c r="M25">
        <v>10.33</v>
      </c>
      <c r="N25">
        <v>11.536</v>
      </c>
      <c r="O25" s="5">
        <f t="shared" si="5"/>
        <v>1198.1038115199999</v>
      </c>
      <c r="P25" s="5">
        <f t="shared" si="6"/>
        <v>103.85782</v>
      </c>
      <c r="Q25" s="5">
        <f t="shared" si="9"/>
        <v>1.2373719086321866</v>
      </c>
      <c r="R25" s="5">
        <f t="shared" si="7"/>
        <v>0.81406046620538586</v>
      </c>
      <c r="S25" s="5">
        <f t="shared" si="8"/>
        <v>4.5590709338065292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ht="21" x14ac:dyDescent="0.35">
      <c r="A26" s="80"/>
      <c r="B26" s="5">
        <v>23</v>
      </c>
      <c r="C26" s="5"/>
      <c r="D26" s="5">
        <v>1.5022</v>
      </c>
      <c r="E26" s="5">
        <v>1.4365000000000001</v>
      </c>
      <c r="F26" s="6">
        <f t="shared" si="0"/>
        <v>6.569999999999987E-2</v>
      </c>
      <c r="G26" s="5">
        <f t="shared" si="1"/>
        <v>4.3735854080681582</v>
      </c>
      <c r="H26" s="5">
        <v>0.50960000000000005</v>
      </c>
      <c r="I26" s="5">
        <f t="shared" si="2"/>
        <v>0.92690000000000006</v>
      </c>
      <c r="J26" s="5">
        <f t="shared" si="3"/>
        <v>1.2863253856942496</v>
      </c>
      <c r="K26" s="5">
        <f t="shared" si="4"/>
        <v>84.626670111463781</v>
      </c>
      <c r="L26">
        <v>10.103999999999999</v>
      </c>
      <c r="M26">
        <v>10.112</v>
      </c>
      <c r="N26">
        <v>10.573</v>
      </c>
      <c r="O26" s="5">
        <f t="shared" si="5"/>
        <v>1080.2608343039999</v>
      </c>
      <c r="P26" s="5">
        <f t="shared" si="6"/>
        <v>102.17164799999999</v>
      </c>
      <c r="Q26" s="5">
        <f t="shared" si="9"/>
        <v>1.3297714351789132</v>
      </c>
      <c r="R26" s="5">
        <f t="shared" si="7"/>
        <v>0.87484962840717972</v>
      </c>
      <c r="S26" s="5">
        <f t="shared" si="8"/>
        <v>3.3214404863014799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spans="1:36" s="9" customFormat="1" ht="21" customHeight="1" x14ac:dyDescent="0.35">
      <c r="A27" s="80" t="s">
        <v>34</v>
      </c>
      <c r="B27" s="7">
        <v>24</v>
      </c>
      <c r="C27" s="7"/>
      <c r="D27" s="7">
        <v>1.5005999999999999</v>
      </c>
      <c r="E27" s="7">
        <v>1.5119</v>
      </c>
      <c r="F27" s="8">
        <f t="shared" si="0"/>
        <v>1.1300000000000088E-2</v>
      </c>
      <c r="G27" s="7">
        <f t="shared" si="1"/>
        <v>0.75303212048514512</v>
      </c>
      <c r="H27" s="7">
        <v>0.61380000000000001</v>
      </c>
      <c r="I27" s="7">
        <f t="shared" si="2"/>
        <v>0.89810000000000001</v>
      </c>
      <c r="J27" s="7">
        <f t="shared" si="3"/>
        <v>1.3972575437033738</v>
      </c>
      <c r="K27" s="5">
        <f t="shared" si="4"/>
        <v>91.924838401537755</v>
      </c>
      <c r="L27">
        <v>10.519</v>
      </c>
      <c r="M27">
        <v>10.298999999999999</v>
      </c>
      <c r="N27">
        <v>10.731999999999999</v>
      </c>
      <c r="O27" s="7">
        <f t="shared" si="5"/>
        <v>1162.6531624919999</v>
      </c>
      <c r="P27" s="7">
        <f t="shared" si="6"/>
        <v>108.33518099999999</v>
      </c>
      <c r="Q27" s="5">
        <f t="shared" si="9"/>
        <v>1.3003878102042348</v>
      </c>
      <c r="R27" s="5">
        <f t="shared" si="7"/>
        <v>0.8555182961869966</v>
      </c>
      <c r="S27" s="5">
        <f t="shared" si="8"/>
        <v>7.1817989980647967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ht="21" x14ac:dyDescent="0.35">
      <c r="A28" s="80"/>
      <c r="B28" s="5">
        <v>25</v>
      </c>
      <c r="C28" s="5"/>
      <c r="D28" s="5">
        <v>1.5027999999999999</v>
      </c>
      <c r="E28" s="5">
        <v>1.4728000000000001</v>
      </c>
      <c r="F28" s="6">
        <f t="shared" si="0"/>
        <v>2.9999999999999805E-2</v>
      </c>
      <c r="G28" s="5">
        <f t="shared" si="1"/>
        <v>1.9962736225711875</v>
      </c>
      <c r="H28" s="5">
        <v>0.59670000000000001</v>
      </c>
      <c r="I28" s="5">
        <f t="shared" si="2"/>
        <v>0.8761000000000001</v>
      </c>
      <c r="J28" s="5">
        <f t="shared" si="3"/>
        <v>1.395301906175094</v>
      </c>
      <c r="K28" s="5">
        <f t="shared" si="4"/>
        <v>91.796178037835134</v>
      </c>
      <c r="L28">
        <v>10.259</v>
      </c>
      <c r="M28">
        <v>10.282999999999999</v>
      </c>
      <c r="N28">
        <v>10.614000000000001</v>
      </c>
      <c r="O28" s="5">
        <f t="shared" si="5"/>
        <v>1119.7058543580001</v>
      </c>
      <c r="P28" s="5">
        <f t="shared" si="6"/>
        <v>105.493297</v>
      </c>
      <c r="Q28" s="5">
        <f t="shared" si="9"/>
        <v>1.3153454492246552</v>
      </c>
      <c r="R28" s="5">
        <f t="shared" si="7"/>
        <v>0.86535884817411524</v>
      </c>
      <c r="S28" s="5">
        <f t="shared" si="8"/>
        <v>5.8994362945191927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1:36" ht="21" x14ac:dyDescent="0.35">
      <c r="A29" s="80"/>
      <c r="B29" s="5">
        <v>26</v>
      </c>
      <c r="C29" s="5"/>
      <c r="D29" s="5">
        <v>1.5012000000000001</v>
      </c>
      <c r="E29" s="5">
        <v>1.5014000000000001</v>
      </c>
      <c r="F29" s="6">
        <f t="shared" si="0"/>
        <v>1.9999999999997797E-4</v>
      </c>
      <c r="G29" s="5">
        <f t="shared" si="1"/>
        <v>1.332267519317732E-2</v>
      </c>
      <c r="H29" s="5">
        <v>0.58109999999999995</v>
      </c>
      <c r="I29" s="5">
        <f t="shared" si="2"/>
        <v>0.92030000000000012</v>
      </c>
      <c r="J29" s="5">
        <f t="shared" si="3"/>
        <v>1.354082364446376</v>
      </c>
      <c r="K29" s="5">
        <f t="shared" si="4"/>
        <v>89.084366081998425</v>
      </c>
      <c r="L29">
        <v>10.156000000000001</v>
      </c>
      <c r="M29">
        <v>10.096</v>
      </c>
      <c r="N29">
        <v>11.406000000000001</v>
      </c>
      <c r="O29" s="5">
        <f t="shared" si="5"/>
        <v>1169.5139362560001</v>
      </c>
      <c r="P29" s="5">
        <f t="shared" si="6"/>
        <v>102.534976</v>
      </c>
      <c r="Q29" s="5">
        <f t="shared" si="9"/>
        <v>1.2837811961492966</v>
      </c>
      <c r="R29" s="5">
        <f t="shared" si="7"/>
        <v>0.84459289220348466</v>
      </c>
      <c r="S29" s="5">
        <f t="shared" si="8"/>
        <v>5.3301595539084046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ht="21" x14ac:dyDescent="0.35">
      <c r="A30" s="80"/>
      <c r="B30" s="5">
        <v>27</v>
      </c>
      <c r="C30" s="5"/>
      <c r="D30" s="6">
        <v>1.502</v>
      </c>
      <c r="E30" s="5">
        <v>1.5014000000000001</v>
      </c>
      <c r="F30" s="6">
        <f t="shared" si="0"/>
        <v>5.9999999999993392E-4</v>
      </c>
      <c r="G30" s="5">
        <f t="shared" si="1"/>
        <v>3.9946737683084814E-2</v>
      </c>
      <c r="H30" s="5">
        <v>0.61939999999999995</v>
      </c>
      <c r="I30" s="5">
        <f t="shared" si="2"/>
        <v>0.88200000000000012</v>
      </c>
      <c r="J30" s="5">
        <f t="shared" si="3"/>
        <v>1.4128820861678002</v>
      </c>
      <c r="K30" s="5">
        <f t="shared" si="4"/>
        <v>92.952768826828958</v>
      </c>
      <c r="L30">
        <v>10.616</v>
      </c>
      <c r="M30">
        <v>10.09</v>
      </c>
      <c r="N30">
        <v>8.9359999999999999</v>
      </c>
      <c r="O30" s="5">
        <f t="shared" si="5"/>
        <v>957.1835718399999</v>
      </c>
      <c r="P30" s="5">
        <f t="shared" si="6"/>
        <v>107.11543999999999</v>
      </c>
      <c r="Q30" s="5">
        <f t="shared" si="9"/>
        <v>1.5685601426629685</v>
      </c>
      <c r="R30" s="5">
        <f t="shared" si="7"/>
        <v>1.0319474622782687</v>
      </c>
      <c r="S30" s="5">
        <f t="shared" si="8"/>
        <v>10.443137552004186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ht="21" x14ac:dyDescent="0.35">
      <c r="A31" s="80"/>
      <c r="B31" s="5">
        <v>28</v>
      </c>
      <c r="C31" s="5"/>
      <c r="D31" s="5">
        <v>1.5016</v>
      </c>
      <c r="E31" s="5">
        <v>1.5928</v>
      </c>
      <c r="F31" s="6">
        <f t="shared" si="0"/>
        <v>9.1199999999999948E-2</v>
      </c>
      <c r="G31" s="5">
        <f t="shared" si="1"/>
        <v>6.0735215769845459</v>
      </c>
      <c r="H31" s="5">
        <v>0.63100000000000001</v>
      </c>
      <c r="I31" s="5">
        <f t="shared" si="2"/>
        <v>0.96179999999999999</v>
      </c>
      <c r="J31" s="5">
        <f t="shared" si="3"/>
        <v>1.3745310875441878</v>
      </c>
      <c r="K31" s="5">
        <f t="shared" si="4"/>
        <v>90.42967681211762</v>
      </c>
      <c r="L31">
        <v>10.118</v>
      </c>
      <c r="M31">
        <v>10.212</v>
      </c>
      <c r="N31">
        <v>11.039</v>
      </c>
      <c r="O31" s="5">
        <f t="shared" si="5"/>
        <v>1140.604851624</v>
      </c>
      <c r="P31" s="5">
        <f t="shared" si="6"/>
        <v>103.32501600000001</v>
      </c>
      <c r="Q31" s="5">
        <f t="shared" si="9"/>
        <v>1.3964520646498755</v>
      </c>
      <c r="R31" s="5">
        <f t="shared" si="7"/>
        <v>0.9187184635854444</v>
      </c>
      <c r="S31" s="5">
        <f t="shared" si="8"/>
        <v>1.5821804682089542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ht="21" x14ac:dyDescent="0.35">
      <c r="A32" s="80"/>
      <c r="B32" s="5">
        <v>29</v>
      </c>
      <c r="C32" s="5"/>
      <c r="D32" s="5">
        <v>1.2053</v>
      </c>
      <c r="E32" s="5">
        <v>1.2493000000000001</v>
      </c>
      <c r="F32" s="6">
        <f t="shared" si="0"/>
        <v>4.4000000000000039E-2</v>
      </c>
      <c r="G32" s="5">
        <f t="shared" si="1"/>
        <v>3.6505434331701685</v>
      </c>
      <c r="H32" s="5">
        <v>0.50149999999999995</v>
      </c>
      <c r="I32" s="5">
        <f t="shared" si="2"/>
        <v>0.74780000000000013</v>
      </c>
      <c r="J32" s="5">
        <f t="shared" si="3"/>
        <v>1.3866261032361591</v>
      </c>
      <c r="K32" s="5">
        <f t="shared" si="4"/>
        <v>91.225401528694675</v>
      </c>
      <c r="L32">
        <v>10.07</v>
      </c>
      <c r="M32">
        <v>10.118</v>
      </c>
      <c r="N32">
        <v>11.134</v>
      </c>
      <c r="O32" s="5">
        <f t="shared" si="5"/>
        <v>1134.42388684</v>
      </c>
      <c r="P32" s="5">
        <f t="shared" si="6"/>
        <v>101.88826</v>
      </c>
      <c r="Q32" s="5">
        <f t="shared" si="9"/>
        <v>1.1012638348792123</v>
      </c>
      <c r="R32" s="5">
        <f t="shared" si="7"/>
        <v>0.72451568084158702</v>
      </c>
      <c r="S32" s="5">
        <f t="shared" si="8"/>
        <v>22.940103899701825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6" s="9" customFormat="1" ht="21" customHeight="1" x14ac:dyDescent="0.35">
      <c r="A33" s="80" t="s">
        <v>35</v>
      </c>
      <c r="B33" s="7">
        <v>30</v>
      </c>
      <c r="C33" s="7"/>
      <c r="D33" s="7">
        <v>1.5015000000000001</v>
      </c>
      <c r="E33" s="7">
        <v>1.4668000000000001</v>
      </c>
      <c r="F33" s="8">
        <f t="shared" si="0"/>
        <v>3.4699999999999953E-2</v>
      </c>
      <c r="G33" s="7">
        <f t="shared" si="1"/>
        <v>2.3110223110223078</v>
      </c>
      <c r="H33" s="7">
        <v>0.57069999999999999</v>
      </c>
      <c r="I33" s="7">
        <f t="shared" si="2"/>
        <v>0.89610000000000012</v>
      </c>
      <c r="J33" s="7">
        <f t="shared" si="3"/>
        <v>1.3586028345050774</v>
      </c>
      <c r="K33" s="5">
        <f t="shared" si="4"/>
        <v>89.381765427965604</v>
      </c>
      <c r="L33">
        <v>10.125</v>
      </c>
      <c r="M33">
        <v>10.116</v>
      </c>
      <c r="N33">
        <v>11.025</v>
      </c>
      <c r="O33" s="7">
        <f t="shared" si="5"/>
        <v>1129.2301124999999</v>
      </c>
      <c r="P33" s="7">
        <f t="shared" si="6"/>
        <v>102.42449999999999</v>
      </c>
      <c r="Q33" s="5">
        <f t="shared" si="9"/>
        <v>1.2989380851283314</v>
      </c>
      <c r="R33" s="5">
        <f t="shared" si="7"/>
        <v>0.85456452968969177</v>
      </c>
      <c r="S33" s="5">
        <f t="shared" si="8"/>
        <v>4.4902224410509781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ht="21" x14ac:dyDescent="0.35">
      <c r="A34" s="80"/>
      <c r="B34" s="5">
        <v>31</v>
      </c>
      <c r="C34" s="5"/>
      <c r="D34" s="5">
        <v>1.5027999999999999</v>
      </c>
      <c r="E34" s="5">
        <v>1.4699</v>
      </c>
      <c r="F34" s="6">
        <f t="shared" si="0"/>
        <v>3.2899999999999929E-2</v>
      </c>
      <c r="G34" s="5">
        <f t="shared" si="1"/>
        <v>2.1892467394197452</v>
      </c>
      <c r="H34" s="5">
        <v>0.55940000000000001</v>
      </c>
      <c r="I34" s="5">
        <f t="shared" si="2"/>
        <v>0.91049999999999998</v>
      </c>
      <c r="J34" s="5">
        <f t="shared" si="3"/>
        <v>1.3399417902251509</v>
      </c>
      <c r="K34" s="5">
        <f t="shared" si="4"/>
        <v>88.154065146391503</v>
      </c>
      <c r="L34">
        <v>10.236000000000001</v>
      </c>
      <c r="M34">
        <v>10.236000000000001</v>
      </c>
      <c r="N34">
        <v>10.898</v>
      </c>
      <c r="O34" s="5">
        <f t="shared" si="5"/>
        <v>1141.8455350080001</v>
      </c>
      <c r="P34" s="5">
        <f t="shared" si="6"/>
        <v>104.77569600000001</v>
      </c>
      <c r="Q34" s="5">
        <f t="shared" si="9"/>
        <v>1.2873019641747789</v>
      </c>
      <c r="R34" s="5">
        <f t="shared" si="7"/>
        <v>0.84690918695709139</v>
      </c>
      <c r="S34" s="5">
        <f t="shared" si="8"/>
        <v>4.0072281806523939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1:36" ht="21" x14ac:dyDescent="0.35">
      <c r="A35" s="80"/>
      <c r="B35" s="5">
        <v>32</v>
      </c>
      <c r="C35" s="5"/>
      <c r="D35" s="5">
        <v>1.4755</v>
      </c>
      <c r="E35" s="5">
        <v>1.4484999999999999</v>
      </c>
      <c r="F35" s="6">
        <f t="shared" si="0"/>
        <v>2.7000000000000135E-2</v>
      </c>
      <c r="G35" s="5">
        <f t="shared" si="1"/>
        <v>1.8298881735005175</v>
      </c>
      <c r="H35" s="5">
        <v>0.55579999999999996</v>
      </c>
      <c r="I35" s="5">
        <f t="shared" si="2"/>
        <v>0.89269999999999994</v>
      </c>
      <c r="J35" s="5">
        <f t="shared" si="3"/>
        <v>1.3467626302229192</v>
      </c>
      <c r="K35" s="5">
        <f t="shared" si="4"/>
        <v>88.602804619928904</v>
      </c>
      <c r="L35">
        <v>10.286</v>
      </c>
      <c r="M35">
        <v>10.183999999999999</v>
      </c>
      <c r="N35">
        <v>10.638</v>
      </c>
      <c r="O35" s="5">
        <f t="shared" si="5"/>
        <v>1114.3584141119998</v>
      </c>
      <c r="P35" s="5">
        <f t="shared" si="6"/>
        <v>104.75262399999998</v>
      </c>
      <c r="Q35" s="5">
        <f t="shared" si="9"/>
        <v>1.2998510906872525</v>
      </c>
      <c r="R35" s="5">
        <f t="shared" si="7"/>
        <v>0.8551651912416135</v>
      </c>
      <c r="S35" s="5">
        <f t="shared" si="8"/>
        <v>3.5450235268586026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 ht="21" x14ac:dyDescent="0.35">
      <c r="A36" s="80"/>
      <c r="B36" s="5">
        <v>33</v>
      </c>
      <c r="C36" s="5"/>
      <c r="D36" s="5">
        <v>1.5015000000000001</v>
      </c>
      <c r="E36" s="5">
        <v>1.4806999999999999</v>
      </c>
      <c r="F36" s="6">
        <f>ABS(D36-E36)</f>
        <v>2.0800000000000152E-2</v>
      </c>
      <c r="G36" s="5">
        <f t="shared" si="1"/>
        <v>1.3852813852813954</v>
      </c>
      <c r="H36" s="5">
        <v>0.56659999999999999</v>
      </c>
      <c r="I36" s="5">
        <f t="shared" si="2"/>
        <v>0.91409999999999991</v>
      </c>
      <c r="J36" s="5">
        <f t="shared" si="3"/>
        <v>1.3444710644349633</v>
      </c>
      <c r="K36" s="5">
        <f t="shared" si="4"/>
        <v>88.452043712826537</v>
      </c>
      <c r="L36">
        <v>10.141</v>
      </c>
      <c r="M36">
        <v>10.236000000000001</v>
      </c>
      <c r="N36">
        <v>10.092000000000001</v>
      </c>
      <c r="O36" s="5">
        <f t="shared" si="5"/>
        <v>1047.5826613920001</v>
      </c>
      <c r="P36" s="5">
        <f t="shared" si="6"/>
        <v>103.80327600000001</v>
      </c>
      <c r="Q36" s="5">
        <f t="shared" si="9"/>
        <v>1.4134445467362786</v>
      </c>
      <c r="R36" s="5">
        <f t="shared" si="7"/>
        <v>0.92989772811597271</v>
      </c>
      <c r="S36" s="5">
        <f t="shared" si="8"/>
        <v>5.0018558959476902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ht="21" x14ac:dyDescent="0.35">
      <c r="A37" s="80"/>
      <c r="B37" s="5">
        <v>34</v>
      </c>
      <c r="C37" s="5"/>
      <c r="D37" s="5">
        <v>1.5022</v>
      </c>
      <c r="E37" s="5">
        <v>1.4196</v>
      </c>
      <c r="F37" s="6">
        <f t="shared" si="0"/>
        <v>8.2600000000000007E-2</v>
      </c>
      <c r="G37" s="5">
        <f t="shared" si="1"/>
        <v>5.4986020503261885</v>
      </c>
      <c r="H37" s="5">
        <v>0.52649999999999997</v>
      </c>
      <c r="I37" s="5">
        <f t="shared" si="2"/>
        <v>0.8931</v>
      </c>
      <c r="J37" s="5">
        <f t="shared" si="3"/>
        <v>1.3193013100436679</v>
      </c>
      <c r="K37" s="5">
        <f t="shared" si="4"/>
        <v>86.796138818662357</v>
      </c>
      <c r="L37">
        <v>10.42</v>
      </c>
      <c r="M37">
        <v>10.59</v>
      </c>
      <c r="N37">
        <v>11.202</v>
      </c>
      <c r="O37" s="5">
        <f t="shared" si="5"/>
        <v>1236.1160556</v>
      </c>
      <c r="P37" s="5">
        <f t="shared" si="6"/>
        <v>110.34779999999999</v>
      </c>
      <c r="Q37" s="5">
        <f t="shared" si="9"/>
        <v>1.1484358556534875</v>
      </c>
      <c r="R37" s="5">
        <f t="shared" si="7"/>
        <v>0.75554990503518915</v>
      </c>
      <c r="S37" s="5">
        <f t="shared" si="8"/>
        <v>13.847945945402948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spans="1:36" ht="21" x14ac:dyDescent="0.35">
      <c r="A38" s="80"/>
      <c r="B38" s="5">
        <v>35</v>
      </c>
      <c r="C38" s="5"/>
      <c r="D38" s="6">
        <v>1.4370000000000001</v>
      </c>
      <c r="E38" s="5">
        <v>1.4265000000000001</v>
      </c>
      <c r="F38" s="6">
        <f t="shared" si="0"/>
        <v>1.0499999999999954E-2</v>
      </c>
      <c r="G38" s="5">
        <f t="shared" si="1"/>
        <v>0.73068893528183387</v>
      </c>
      <c r="H38" s="5">
        <v>0.57520000000000004</v>
      </c>
      <c r="I38" s="5">
        <f t="shared" si="2"/>
        <v>0.85130000000000006</v>
      </c>
      <c r="J38" s="5">
        <f t="shared" si="3"/>
        <v>1.3908081757312347</v>
      </c>
      <c r="K38" s="5">
        <f t="shared" si="4"/>
        <v>91.50053787705491</v>
      </c>
      <c r="L38">
        <v>10.192</v>
      </c>
      <c r="M38">
        <v>10.332000000000001</v>
      </c>
      <c r="N38">
        <v>10.845000000000001</v>
      </c>
      <c r="O38" s="5">
        <f t="shared" si="5"/>
        <v>1142.0191036800002</v>
      </c>
      <c r="P38" s="5">
        <f t="shared" si="6"/>
        <v>105.30374400000001</v>
      </c>
      <c r="Q38" s="5">
        <f t="shared" si="9"/>
        <v>1.2491034479224552</v>
      </c>
      <c r="R38" s="5">
        <f t="shared" si="7"/>
        <v>0.82177858415950999</v>
      </c>
      <c r="S38" s="5">
        <f t="shared" si="8"/>
        <v>10.735566034794555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1:36" s="9" customFormat="1" ht="21" customHeight="1" x14ac:dyDescent="0.35">
      <c r="A39" s="80" t="s">
        <v>36</v>
      </c>
      <c r="B39" s="7">
        <v>36</v>
      </c>
      <c r="C39" s="7"/>
      <c r="D39" s="7">
        <v>1.5017</v>
      </c>
      <c r="E39" s="7">
        <v>1.5452999999999999</v>
      </c>
      <c r="F39" s="8">
        <f t="shared" si="0"/>
        <v>4.3599999999999861E-2</v>
      </c>
      <c r="G39" s="7">
        <f t="shared" si="1"/>
        <v>2.9033761736698316</v>
      </c>
      <c r="H39" s="7">
        <v>0.61629999999999996</v>
      </c>
      <c r="I39" s="7">
        <f t="shared" si="2"/>
        <v>0.92899999999999994</v>
      </c>
      <c r="J39" s="7">
        <f t="shared" si="3"/>
        <v>1.3806232508073195</v>
      </c>
      <c r="K39" s="5">
        <f t="shared" si="4"/>
        <v>90.83047702679734</v>
      </c>
      <c r="L39">
        <v>10.308999999999999</v>
      </c>
      <c r="M39">
        <v>10.401</v>
      </c>
      <c r="N39">
        <v>10.628</v>
      </c>
      <c r="O39" s="7">
        <f t="shared" si="5"/>
        <v>1139.5757048519999</v>
      </c>
      <c r="P39" s="7">
        <f t="shared" si="6"/>
        <v>107.22390899999999</v>
      </c>
      <c r="Q39" s="5">
        <f t="shared" si="9"/>
        <v>1.3560310152458828</v>
      </c>
      <c r="R39" s="5">
        <f t="shared" si="7"/>
        <v>0.89212566792492287</v>
      </c>
      <c r="S39" s="5">
        <f t="shared" si="8"/>
        <v>1.7972482579543103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ht="21" x14ac:dyDescent="0.35">
      <c r="A40" s="80"/>
      <c r="B40" s="5">
        <v>37</v>
      </c>
      <c r="C40" s="5"/>
      <c r="D40" s="6">
        <v>1.5009999999999999</v>
      </c>
      <c r="E40" s="5">
        <v>1.5379</v>
      </c>
      <c r="F40" s="6">
        <f t="shared" si="0"/>
        <v>3.6900000000000155E-2</v>
      </c>
      <c r="G40" s="5">
        <f t="shared" si="1"/>
        <v>2.4583610926049406</v>
      </c>
      <c r="H40" s="5">
        <v>0.61619999999999997</v>
      </c>
      <c r="I40" s="5">
        <f t="shared" si="2"/>
        <v>0.92170000000000007</v>
      </c>
      <c r="J40" s="5">
        <f t="shared" si="3"/>
        <v>1.3848942172073342</v>
      </c>
      <c r="K40" s="5">
        <f t="shared" si="4"/>
        <v>91.111461658377252</v>
      </c>
      <c r="L40">
        <v>10.340999999999999</v>
      </c>
      <c r="M40">
        <v>10.241</v>
      </c>
      <c r="N40">
        <v>11.291</v>
      </c>
      <c r="O40" s="5">
        <f t="shared" si="5"/>
        <v>1195.7415256709999</v>
      </c>
      <c r="P40" s="5">
        <f t="shared" si="6"/>
        <v>105.90218099999998</v>
      </c>
      <c r="Q40" s="5">
        <f t="shared" si="9"/>
        <v>1.2861475218375438</v>
      </c>
      <c r="R40" s="5">
        <f t="shared" si="7"/>
        <v>0.84614968541943669</v>
      </c>
      <c r="S40" s="5">
        <f t="shared" si="8"/>
        <v>7.3938713818152966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1:36" ht="21" x14ac:dyDescent="0.35">
      <c r="A41" s="80"/>
      <c r="B41" s="5">
        <v>38</v>
      </c>
      <c r="C41" s="5"/>
      <c r="D41" s="5">
        <v>1.5018</v>
      </c>
      <c r="E41" s="5">
        <v>1.5016</v>
      </c>
      <c r="F41" s="6">
        <f t="shared" si="0"/>
        <v>1.9999999999997797E-4</v>
      </c>
      <c r="G41" s="5">
        <f t="shared" si="1"/>
        <v>1.331735251031948E-2</v>
      </c>
      <c r="H41" s="5">
        <v>0.60960000000000003</v>
      </c>
      <c r="I41" s="5">
        <f t="shared" si="2"/>
        <v>0.89200000000000002</v>
      </c>
      <c r="J41" s="5">
        <f t="shared" si="3"/>
        <v>1.3972286995515693</v>
      </c>
      <c r="K41" s="5">
        <f t="shared" si="4"/>
        <v>91.922940759971667</v>
      </c>
      <c r="L41">
        <v>10.542999999999999</v>
      </c>
      <c r="M41">
        <v>10.378</v>
      </c>
      <c r="N41">
        <v>10.472</v>
      </c>
      <c r="O41" s="5">
        <f t="shared" si="5"/>
        <v>1145.7965398879999</v>
      </c>
      <c r="P41" s="5">
        <f t="shared" si="6"/>
        <v>109.41525399999999</v>
      </c>
      <c r="Q41" s="5">
        <f t="shared" si="9"/>
        <v>1.3105293546677836</v>
      </c>
      <c r="R41" s="5">
        <f t="shared" si="7"/>
        <v>0.86219036491301559</v>
      </c>
      <c r="S41" s="5">
        <f t="shared" si="8"/>
        <v>6.4037733909561618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1:36" ht="21" x14ac:dyDescent="0.35">
      <c r="A42" s="80"/>
      <c r="B42" s="5">
        <v>39</v>
      </c>
      <c r="C42" s="5"/>
      <c r="D42" s="5">
        <v>1.5011000000000001</v>
      </c>
      <c r="E42" s="5">
        <v>1.5367</v>
      </c>
      <c r="F42" s="6">
        <f t="shared" si="0"/>
        <v>3.5599999999999854E-2</v>
      </c>
      <c r="G42" s="5">
        <f t="shared" si="1"/>
        <v>2.3715941642795184</v>
      </c>
      <c r="H42" s="5">
        <v>0.60550000000000004</v>
      </c>
      <c r="I42" s="5">
        <f t="shared" si="2"/>
        <v>0.93119999999999992</v>
      </c>
      <c r="J42" s="5">
        <f t="shared" si="3"/>
        <v>1.3696960910652922</v>
      </c>
      <c r="K42" s="5">
        <f t="shared" si="4"/>
        <v>90.111584938506056</v>
      </c>
      <c r="L42">
        <v>10.289</v>
      </c>
      <c r="M42">
        <v>10.215999999999999</v>
      </c>
      <c r="N42">
        <v>11.004</v>
      </c>
      <c r="O42" s="5">
        <f t="shared" si="5"/>
        <v>1156.6571136959999</v>
      </c>
      <c r="P42" s="5">
        <f t="shared" si="6"/>
        <v>105.11242399999999</v>
      </c>
      <c r="Q42" s="5">
        <f t="shared" si="9"/>
        <v>1.3285700505395286</v>
      </c>
      <c r="R42" s="5">
        <f t="shared" si="7"/>
        <v>0.87405924377600563</v>
      </c>
      <c r="S42" s="5">
        <f t="shared" si="8"/>
        <v>3.0483309182617182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ht="21" x14ac:dyDescent="0.35">
      <c r="A43" s="80"/>
      <c r="B43" s="5">
        <v>40</v>
      </c>
      <c r="C43" s="5"/>
      <c r="D43" s="5">
        <v>1.5017</v>
      </c>
      <c r="E43" s="5">
        <v>1.5052000000000001</v>
      </c>
      <c r="F43" s="6">
        <f t="shared" si="0"/>
        <v>3.5000000000000586E-3</v>
      </c>
      <c r="G43" s="5">
        <f t="shared" si="1"/>
        <v>0.23306918825331682</v>
      </c>
      <c r="H43" s="5">
        <v>0.6169</v>
      </c>
      <c r="I43" s="5">
        <f t="shared" si="2"/>
        <v>0.88830000000000009</v>
      </c>
      <c r="J43" s="5">
        <f t="shared" si="3"/>
        <v>1.4064122481143757</v>
      </c>
      <c r="K43" s="5">
        <f t="shared" si="4"/>
        <v>92.527121586472077</v>
      </c>
      <c r="L43">
        <v>10.183999999999999</v>
      </c>
      <c r="M43">
        <v>10.266</v>
      </c>
      <c r="N43">
        <v>11.728999999999999</v>
      </c>
      <c r="O43" s="5">
        <f t="shared" si="5"/>
        <v>1226.2545641759998</v>
      </c>
      <c r="P43" s="5">
        <f t="shared" si="6"/>
        <v>104.54894399999999</v>
      </c>
      <c r="Q43" s="5">
        <f t="shared" si="9"/>
        <v>1.2274775923149708</v>
      </c>
      <c r="R43" s="5">
        <f t="shared" si="7"/>
        <v>0.80755104757563867</v>
      </c>
      <c r="S43" s="5">
        <f t="shared" si="8"/>
        <v>13.5871024712436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ht="21" x14ac:dyDescent="0.35">
      <c r="A44" s="80"/>
      <c r="B44" s="5">
        <v>41</v>
      </c>
      <c r="C44" s="5"/>
      <c r="D44" s="5">
        <v>1.5027999999999999</v>
      </c>
      <c r="E44" s="5">
        <v>1.5294000000000001</v>
      </c>
      <c r="F44" s="6">
        <f t="shared" si="0"/>
        <v>2.6600000000000179E-2</v>
      </c>
      <c r="G44" s="5">
        <f t="shared" si="1"/>
        <v>1.7700292786798097</v>
      </c>
      <c r="H44" s="5">
        <v>0.6129</v>
      </c>
      <c r="I44" s="5">
        <f t="shared" si="2"/>
        <v>0.91650000000000009</v>
      </c>
      <c r="J44" s="5">
        <f t="shared" si="3"/>
        <v>1.3850540098199671</v>
      </c>
      <c r="K44" s="5">
        <f t="shared" si="4"/>
        <v>91.121974330260997</v>
      </c>
      <c r="L44">
        <v>10.532</v>
      </c>
      <c r="M44">
        <v>10.128</v>
      </c>
      <c r="N44">
        <v>10.891999999999999</v>
      </c>
      <c r="O44" s="5">
        <f t="shared" si="5"/>
        <v>1161.828901632</v>
      </c>
      <c r="P44" s="5">
        <f t="shared" si="6"/>
        <v>106.66809600000001</v>
      </c>
      <c r="Q44" s="5">
        <f t="shared" si="9"/>
        <v>1.3163728306738449</v>
      </c>
      <c r="R44" s="5">
        <f t="shared" si="7"/>
        <v>0.8660347570222664</v>
      </c>
      <c r="S44" s="5">
        <f t="shared" si="8"/>
        <v>5.0848076369573239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 s="9" customFormat="1" ht="21" customHeight="1" x14ac:dyDescent="0.35">
      <c r="A45" s="80" t="s">
        <v>37</v>
      </c>
      <c r="B45" s="7">
        <v>42</v>
      </c>
      <c r="C45" s="7"/>
      <c r="D45" s="7">
        <v>1.5001</v>
      </c>
      <c r="E45" s="7">
        <v>1.5268999999999999</v>
      </c>
      <c r="F45" s="8">
        <f t="shared" si="0"/>
        <v>2.6799999999999935E-2</v>
      </c>
      <c r="G45" s="7">
        <f t="shared" si="1"/>
        <v>1.7865475634957626</v>
      </c>
      <c r="H45" s="7">
        <v>0.56479999999999997</v>
      </c>
      <c r="I45" s="7">
        <f t="shared" si="2"/>
        <v>0.96209999999999996</v>
      </c>
      <c r="J45" s="7">
        <f t="shared" si="3"/>
        <v>1.3172508055295706</v>
      </c>
      <c r="K45" s="5">
        <f t="shared" si="4"/>
        <v>86.661237205892803</v>
      </c>
      <c r="L45">
        <v>10.327</v>
      </c>
      <c r="M45">
        <v>10.236000000000001</v>
      </c>
      <c r="N45">
        <v>11.377000000000001</v>
      </c>
      <c r="O45" s="7">
        <f t="shared" si="5"/>
        <v>1202.6304958440001</v>
      </c>
      <c r="P45" s="7">
        <f t="shared" si="6"/>
        <v>105.707172</v>
      </c>
      <c r="Q45" s="5">
        <f t="shared" si="9"/>
        <v>1.2696335285664189</v>
      </c>
      <c r="R45" s="5">
        <f t="shared" si="7"/>
        <v>0.83528521616211771</v>
      </c>
      <c r="S45" s="5">
        <f t="shared" si="8"/>
        <v>3.6814384265690072</v>
      </c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21" x14ac:dyDescent="0.35">
      <c r="A46" s="80"/>
      <c r="B46" s="5">
        <v>43</v>
      </c>
      <c r="C46" s="5"/>
      <c r="D46" s="5">
        <v>1.5013000000000001</v>
      </c>
      <c r="E46" s="5">
        <v>1.5051000000000001</v>
      </c>
      <c r="F46" s="6">
        <f t="shared" si="0"/>
        <v>3.8000000000000256E-3</v>
      </c>
      <c r="G46" s="5">
        <f t="shared" si="1"/>
        <v>0.25311396789449314</v>
      </c>
      <c r="H46" s="5">
        <v>0.58109999999999995</v>
      </c>
      <c r="I46" s="5">
        <f t="shared" si="2"/>
        <v>0.92400000000000015</v>
      </c>
      <c r="J46" s="5">
        <f t="shared" si="3"/>
        <v>1.3519837662337661</v>
      </c>
      <c r="K46" s="5">
        <f t="shared" si="4"/>
        <v>88.946300410116194</v>
      </c>
      <c r="L46">
        <v>10.353999999999999</v>
      </c>
      <c r="M46">
        <v>10.617000000000001</v>
      </c>
      <c r="N46">
        <v>11.961</v>
      </c>
      <c r="O46" s="5">
        <f t="shared" si="5"/>
        <v>1314.8538076980001</v>
      </c>
      <c r="P46" s="5">
        <f t="shared" si="6"/>
        <v>109.92841800000001</v>
      </c>
      <c r="Q46" s="5">
        <f t="shared" si="9"/>
        <v>1.1446899960955175</v>
      </c>
      <c r="R46" s="5">
        <f t="shared" si="7"/>
        <v>0.75308552374705096</v>
      </c>
      <c r="S46" s="5">
        <f t="shared" si="8"/>
        <v>16.605595273677483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ht="21" x14ac:dyDescent="0.35">
      <c r="A47" s="80"/>
      <c r="B47" s="5">
        <v>44</v>
      </c>
      <c r="C47" s="5"/>
      <c r="D47" s="5">
        <v>1.5028999999999999</v>
      </c>
      <c r="E47" s="5">
        <v>1.5097</v>
      </c>
      <c r="F47" s="6">
        <f t="shared" si="0"/>
        <v>6.8000000000001393E-3</v>
      </c>
      <c r="G47" s="5">
        <f t="shared" si="1"/>
        <v>0.45245858007852413</v>
      </c>
      <c r="H47" s="5">
        <v>0.56340000000000001</v>
      </c>
      <c r="I47" s="5">
        <f t="shared" si="2"/>
        <v>0.94630000000000003</v>
      </c>
      <c r="J47" s="5">
        <f t="shared" si="3"/>
        <v>1.3241583007502904</v>
      </c>
      <c r="K47" s="5">
        <f t="shared" si="4"/>
        <v>87.115677680940152</v>
      </c>
      <c r="L47">
        <v>10.567</v>
      </c>
      <c r="M47">
        <v>10.528</v>
      </c>
      <c r="N47">
        <v>11.564</v>
      </c>
      <c r="O47" s="5">
        <f t="shared" si="5"/>
        <v>1286.4877840640002</v>
      </c>
      <c r="P47" s="5">
        <f t="shared" si="6"/>
        <v>111.24937600000001</v>
      </c>
      <c r="Q47" s="5">
        <f t="shared" si="9"/>
        <v>1.1735051188988948</v>
      </c>
      <c r="R47" s="5">
        <f t="shared" si="7"/>
        <v>0.77204284138085177</v>
      </c>
      <c r="S47" s="5">
        <f t="shared" si="8"/>
        <v>12.063529510517954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1:36" ht="21" x14ac:dyDescent="0.35">
      <c r="A48" s="80"/>
      <c r="B48" s="5">
        <v>45</v>
      </c>
      <c r="C48" s="5"/>
      <c r="D48" s="5">
        <v>1.5021</v>
      </c>
      <c r="E48" s="5">
        <v>1.5149999999999999</v>
      </c>
      <c r="F48" s="6">
        <f t="shared" si="0"/>
        <v>1.2899999999999912E-2</v>
      </c>
      <c r="G48" s="5">
        <f t="shared" si="1"/>
        <v>0.85879768324345329</v>
      </c>
      <c r="H48" s="5">
        <v>0.54279999999999995</v>
      </c>
      <c r="I48" s="5">
        <f t="shared" si="2"/>
        <v>0.97219999999999995</v>
      </c>
      <c r="J48" s="5">
        <f t="shared" si="3"/>
        <v>1.2934067064390042</v>
      </c>
      <c r="K48" s="5">
        <f t="shared" si="4"/>
        <v>85.092546476250277</v>
      </c>
      <c r="L48" s="5">
        <v>10.199999999999999</v>
      </c>
      <c r="M48" s="5">
        <v>10.119999999999999</v>
      </c>
      <c r="N48" s="5">
        <v>11.75</v>
      </c>
      <c r="O48" s="5">
        <f t="shared" si="5"/>
        <v>1212.8819999999998</v>
      </c>
      <c r="P48" s="5">
        <f t="shared" si="6"/>
        <v>103.22399999999999</v>
      </c>
      <c r="Q48" s="5">
        <f t="shared" si="9"/>
        <v>1.2490910080288109</v>
      </c>
      <c r="R48" s="5">
        <f t="shared" si="7"/>
        <v>0.82177040001895452</v>
      </c>
      <c r="S48" s="5">
        <f t="shared" si="8"/>
        <v>3.4859971089074757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ht="21" x14ac:dyDescent="0.35">
      <c r="A49" s="80"/>
      <c r="B49" s="5">
        <v>46</v>
      </c>
      <c r="C49" s="5"/>
      <c r="D49" s="5">
        <v>1.5008999999999999</v>
      </c>
      <c r="E49" s="5">
        <v>1.5295000000000001</v>
      </c>
      <c r="F49" s="6">
        <f t="shared" si="0"/>
        <v>2.8600000000000181E-2</v>
      </c>
      <c r="G49" s="5">
        <f t="shared" si="1"/>
        <v>1.9055233526550857</v>
      </c>
      <c r="H49" s="5">
        <v>0.56699999999999995</v>
      </c>
      <c r="I49" s="5">
        <f t="shared" si="2"/>
        <v>0.96250000000000013</v>
      </c>
      <c r="J49" s="5">
        <f t="shared" si="3"/>
        <v>1.3189454545454544</v>
      </c>
      <c r="K49" s="5">
        <f t="shared" si="4"/>
        <v>86.772727272727266</v>
      </c>
      <c r="L49" s="5"/>
      <c r="M49" s="5"/>
      <c r="N49" s="5"/>
      <c r="O49" s="5">
        <f t="shared" si="5"/>
        <v>0</v>
      </c>
      <c r="P49" s="5">
        <f t="shared" si="6"/>
        <v>0</v>
      </c>
      <c r="Q49" s="5" t="e">
        <f t="shared" si="9"/>
        <v>#DIV/0!</v>
      </c>
      <c r="R49" s="5" t="e">
        <f t="shared" si="7"/>
        <v>#DIV/0!</v>
      </c>
      <c r="S49" s="5" t="e">
        <f t="shared" si="8"/>
        <v>#DIV/0!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s="4" customFormat="1" ht="21" x14ac:dyDescent="0.35">
      <c r="A50" s="80"/>
      <c r="B50" s="1">
        <v>47</v>
      </c>
      <c r="C50" s="1"/>
      <c r="D50" s="1">
        <v>1.5024999999999999</v>
      </c>
      <c r="E50" s="1"/>
      <c r="F50" s="10">
        <f t="shared" si="0"/>
        <v>1.5024999999999999</v>
      </c>
      <c r="G50" s="1">
        <f t="shared" si="1"/>
        <v>100</v>
      </c>
      <c r="H50" s="1"/>
      <c r="I50" s="1">
        <f t="shared" si="2"/>
        <v>0</v>
      </c>
      <c r="J50" s="1" t="e">
        <f t="shared" si="3"/>
        <v>#DIV/0!</v>
      </c>
      <c r="K50" s="5" t="e">
        <f t="shared" si="4"/>
        <v>#DIV/0!</v>
      </c>
      <c r="L50" s="1"/>
      <c r="M50" s="1"/>
      <c r="N50" s="1"/>
      <c r="O50" s="1">
        <f t="shared" si="5"/>
        <v>0</v>
      </c>
      <c r="P50" s="1">
        <f t="shared" si="6"/>
        <v>0</v>
      </c>
      <c r="Q50" s="5" t="e">
        <f t="shared" si="9"/>
        <v>#DIV/0!</v>
      </c>
      <c r="R50" s="5" t="e">
        <f t="shared" si="7"/>
        <v>#DIV/0!</v>
      </c>
      <c r="S50" s="5" t="e">
        <f t="shared" si="8"/>
        <v>#DIV/0!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21" x14ac:dyDescent="0.35">
      <c r="C51" t="s">
        <v>38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1:36" ht="21" x14ac:dyDescent="0.35"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ht="21" x14ac:dyDescent="0.35">
      <c r="B53" t="s">
        <v>38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 spans="1:36" ht="147" x14ac:dyDescent="0.35">
      <c r="A54" s="11" t="s">
        <v>39</v>
      </c>
      <c r="B54" s="1" t="s">
        <v>6</v>
      </c>
      <c r="C54" s="2" t="s">
        <v>7</v>
      </c>
      <c r="D54" s="12" t="s">
        <v>8</v>
      </c>
      <c r="E54" s="13" t="s">
        <v>9</v>
      </c>
      <c r="F54" s="2" t="s">
        <v>10</v>
      </c>
      <c r="G54" s="1" t="s">
        <v>11</v>
      </c>
      <c r="H54" s="14" t="s">
        <v>12</v>
      </c>
      <c r="I54" s="2" t="s">
        <v>13</v>
      </c>
      <c r="J54" s="2" t="s">
        <v>14</v>
      </c>
      <c r="K54" s="1" t="s">
        <v>15</v>
      </c>
      <c r="L54" s="13" t="s">
        <v>16</v>
      </c>
      <c r="M54" s="13" t="s">
        <v>17</v>
      </c>
      <c r="N54" s="13" t="s">
        <v>18</v>
      </c>
      <c r="O54" s="2" t="s">
        <v>19</v>
      </c>
      <c r="P54" s="2" t="s">
        <v>20</v>
      </c>
      <c r="Q54" s="2" t="s">
        <v>21</v>
      </c>
      <c r="R54" s="2" t="s">
        <v>22</v>
      </c>
      <c r="S54" s="2" t="s">
        <v>23</v>
      </c>
      <c r="T54" s="2" t="s">
        <v>24</v>
      </c>
      <c r="U54" s="2" t="s">
        <v>25</v>
      </c>
      <c r="V54" s="2" t="s">
        <v>26</v>
      </c>
      <c r="W54" s="2" t="s">
        <v>27</v>
      </c>
      <c r="X54" s="2" t="s">
        <v>28</v>
      </c>
      <c r="Y54" s="2" t="s">
        <v>40</v>
      </c>
      <c r="Z54" s="2" t="s">
        <v>41</v>
      </c>
      <c r="AA54" s="2" t="s">
        <v>42</v>
      </c>
      <c r="AB54" s="2" t="s">
        <v>43</v>
      </c>
      <c r="AC54" s="2" t="s">
        <v>44</v>
      </c>
      <c r="AD54" s="5"/>
      <c r="AE54" s="5"/>
      <c r="AF54" s="5"/>
      <c r="AG54" s="5"/>
      <c r="AH54" s="5"/>
      <c r="AI54" s="5"/>
      <c r="AJ54" s="5"/>
    </row>
    <row r="55" spans="1:36" ht="63" x14ac:dyDescent="0.25">
      <c r="A55" s="11" t="s">
        <v>45</v>
      </c>
      <c r="D55" s="15">
        <f t="shared" ref="D55:AC62" si="10">AVERAGE(D4:D8)</f>
        <v>1.4987000000000001</v>
      </c>
      <c r="E55" s="15">
        <f>AVERAGE(E4:E8)</f>
        <v>1.4238199999999999</v>
      </c>
      <c r="F55" s="15">
        <f t="shared" si="10"/>
        <v>7.4880000000000058E-2</v>
      </c>
      <c r="G55" s="15">
        <f t="shared" si="10"/>
        <v>4.9995289629123745</v>
      </c>
      <c r="H55" s="15">
        <f t="shared" si="10"/>
        <v>0.56640000000000001</v>
      </c>
      <c r="I55" s="15">
        <f t="shared" si="10"/>
        <v>0.85741999999999996</v>
      </c>
      <c r="J55" s="15">
        <f t="shared" si="10"/>
        <v>1.3785668833196396</v>
      </c>
      <c r="K55" s="15">
        <f t="shared" si="10"/>
        <v>90.69518969208157</v>
      </c>
      <c r="L55" s="15">
        <f t="shared" si="10"/>
        <v>10.1912</v>
      </c>
      <c r="M55" s="15">
        <f t="shared" si="10"/>
        <v>10.1584</v>
      </c>
      <c r="N55" s="15">
        <f t="shared" si="10"/>
        <v>10.663399999999999</v>
      </c>
      <c r="O55" s="15">
        <f t="shared" si="10"/>
        <v>1103.67969419</v>
      </c>
      <c r="P55" s="15">
        <f t="shared" si="10"/>
        <v>103.5181352</v>
      </c>
      <c r="Q55" s="15">
        <f t="shared" si="10"/>
        <v>1.291936369128869</v>
      </c>
      <c r="R55" s="15">
        <f t="shared" si="10"/>
        <v>0.84995813758478211</v>
      </c>
      <c r="S55" s="15">
        <f t="shared" si="10"/>
        <v>6.5613206688083867</v>
      </c>
      <c r="T55" s="15" t="e">
        <f t="shared" si="10"/>
        <v>#DIV/0!</v>
      </c>
      <c r="U55" s="15" t="e">
        <f t="shared" si="10"/>
        <v>#DIV/0!</v>
      </c>
      <c r="V55" s="15" t="e">
        <f t="shared" si="10"/>
        <v>#DIV/0!</v>
      </c>
      <c r="W55" s="15" t="e">
        <f t="shared" si="10"/>
        <v>#DIV/0!</v>
      </c>
      <c r="X55" s="15" t="e">
        <f t="shared" si="10"/>
        <v>#DIV/0!</v>
      </c>
      <c r="Y55" s="15" t="e">
        <f t="shared" si="10"/>
        <v>#DIV/0!</v>
      </c>
      <c r="Z55" s="15" t="e">
        <f t="shared" si="10"/>
        <v>#DIV/0!</v>
      </c>
      <c r="AA55" s="15" t="e">
        <f t="shared" si="10"/>
        <v>#DIV/0!</v>
      </c>
      <c r="AB55" s="15" t="e">
        <f t="shared" si="10"/>
        <v>#DIV/0!</v>
      </c>
      <c r="AC55" s="15" t="e">
        <f t="shared" si="10"/>
        <v>#DIV/0!</v>
      </c>
    </row>
    <row r="56" spans="1:36" ht="63" x14ac:dyDescent="0.35">
      <c r="A56" s="11" t="s">
        <v>46</v>
      </c>
      <c r="D56" s="15">
        <f t="shared" si="10"/>
        <v>1.4982399999999998</v>
      </c>
      <c r="E56" s="15">
        <f t="shared" si="10"/>
        <v>1.4382600000000001</v>
      </c>
      <c r="F56" s="15">
        <f t="shared" si="10"/>
        <v>5.9980000000000054E-2</v>
      </c>
      <c r="G56" s="15">
        <f t="shared" si="10"/>
        <v>4.0091959325453725</v>
      </c>
      <c r="H56" s="15">
        <f t="shared" si="10"/>
        <v>0.57520000000000004</v>
      </c>
      <c r="I56" s="15">
        <f t="shared" si="10"/>
        <v>0.86305999999999994</v>
      </c>
      <c r="J56" s="15">
        <f t="shared" si="10"/>
        <v>1.3834180480827576</v>
      </c>
      <c r="K56" s="15">
        <f t="shared" si="10"/>
        <v>91.014345268602469</v>
      </c>
      <c r="L56">
        <f t="shared" ref="L56:AC56" si="11">AVERAGE(L9:L14)</f>
        <v>10.126833333333332</v>
      </c>
      <c r="M56">
        <f t="shared" si="11"/>
        <v>10.271500000000001</v>
      </c>
      <c r="N56">
        <f t="shared" si="11"/>
        <v>10.631500000000001</v>
      </c>
      <c r="O56">
        <f t="shared" si="11"/>
        <v>1105.8049537155</v>
      </c>
      <c r="P56">
        <f t="shared" si="11"/>
        <v>104.0175845</v>
      </c>
      <c r="Q56">
        <f t="shared" si="11"/>
        <v>1.3343261596583791</v>
      </c>
      <c r="R56">
        <f t="shared" si="11"/>
        <v>0.8778461576699863</v>
      </c>
      <c r="S56">
        <f t="shared" si="11"/>
        <v>3.7022964408793708</v>
      </c>
      <c r="T56" t="e">
        <f t="shared" si="11"/>
        <v>#DIV/0!</v>
      </c>
      <c r="U56" t="e">
        <f t="shared" si="11"/>
        <v>#DIV/0!</v>
      </c>
      <c r="V56" t="e">
        <f t="shared" si="11"/>
        <v>#DIV/0!</v>
      </c>
      <c r="W56" t="e">
        <f t="shared" si="11"/>
        <v>#DIV/0!</v>
      </c>
      <c r="X56" t="e">
        <f t="shared" si="11"/>
        <v>#DIV/0!</v>
      </c>
      <c r="Y56" t="e">
        <f t="shared" si="11"/>
        <v>#DIV/0!</v>
      </c>
      <c r="Z56" t="e">
        <f t="shared" si="11"/>
        <v>#DIV/0!</v>
      </c>
      <c r="AA56" t="e">
        <f t="shared" si="11"/>
        <v>#DIV/0!</v>
      </c>
      <c r="AB56" t="e">
        <f t="shared" si="11"/>
        <v>#DIV/0!</v>
      </c>
      <c r="AC56" t="e">
        <f t="shared" si="11"/>
        <v>#DIV/0!</v>
      </c>
      <c r="AD56" s="5"/>
      <c r="AE56" s="5"/>
      <c r="AF56" s="5"/>
      <c r="AG56" s="5"/>
      <c r="AH56" s="5"/>
      <c r="AI56" s="5"/>
      <c r="AJ56" s="5"/>
    </row>
    <row r="57" spans="1:36" ht="63" x14ac:dyDescent="0.35">
      <c r="A57" s="11" t="s">
        <v>47</v>
      </c>
      <c r="D57" s="15">
        <f t="shared" si="10"/>
        <v>1.4989599999999998</v>
      </c>
      <c r="E57" s="15">
        <f t="shared" si="10"/>
        <v>1.44296</v>
      </c>
      <c r="F57" s="15">
        <f t="shared" si="10"/>
        <v>5.6000000000000008E-2</v>
      </c>
      <c r="G57" s="15">
        <f t="shared" si="10"/>
        <v>3.7429220770400717</v>
      </c>
      <c r="H57" s="15">
        <f t="shared" si="10"/>
        <v>0.57704</v>
      </c>
      <c r="I57" s="15">
        <f t="shared" si="10"/>
        <v>0.86592000000000002</v>
      </c>
      <c r="J57" s="15">
        <f t="shared" si="10"/>
        <v>1.3833353707610647</v>
      </c>
      <c r="K57" s="15">
        <f t="shared" si="10"/>
        <v>91.008905971122687</v>
      </c>
      <c r="L57">
        <f t="shared" ref="L57:AC57" si="12">AVERAGE(L15:L20)</f>
        <v>10.282833333333334</v>
      </c>
      <c r="M57">
        <f t="shared" si="12"/>
        <v>10.406666666666665</v>
      </c>
      <c r="N57">
        <f t="shared" si="12"/>
        <v>10.783833333333334</v>
      </c>
      <c r="O57">
        <f t="shared" si="12"/>
        <v>1154.0852126573332</v>
      </c>
      <c r="P57">
        <f t="shared" si="12"/>
        <v>107.03260166666666</v>
      </c>
      <c r="Q57">
        <f t="shared" si="12"/>
        <v>1.2822490442872037</v>
      </c>
      <c r="R57">
        <f t="shared" si="12"/>
        <v>0.84358489755737087</v>
      </c>
      <c r="S57">
        <f t="shared" si="12"/>
        <v>8.3125758939333654</v>
      </c>
      <c r="T57" t="e">
        <f t="shared" si="12"/>
        <v>#DIV/0!</v>
      </c>
      <c r="U57" t="e">
        <f t="shared" si="12"/>
        <v>#DIV/0!</v>
      </c>
      <c r="V57" t="e">
        <f t="shared" si="12"/>
        <v>#DIV/0!</v>
      </c>
      <c r="W57" t="e">
        <f t="shared" si="12"/>
        <v>#DIV/0!</v>
      </c>
      <c r="X57" t="e">
        <f t="shared" si="12"/>
        <v>#DIV/0!</v>
      </c>
      <c r="Y57" t="e">
        <f t="shared" si="12"/>
        <v>#DIV/0!</v>
      </c>
      <c r="Z57" t="e">
        <f t="shared" si="12"/>
        <v>#DIV/0!</v>
      </c>
      <c r="AA57" t="e">
        <f t="shared" si="12"/>
        <v>#DIV/0!</v>
      </c>
      <c r="AB57" t="e">
        <f t="shared" si="12"/>
        <v>#DIV/0!</v>
      </c>
      <c r="AC57" t="e">
        <f t="shared" si="12"/>
        <v>#DIV/0!</v>
      </c>
      <c r="AD57" s="5"/>
      <c r="AE57" s="5"/>
      <c r="AF57" s="5"/>
      <c r="AG57" s="5"/>
      <c r="AH57" s="5"/>
      <c r="AI57" s="5"/>
      <c r="AJ57" s="5"/>
    </row>
    <row r="58" spans="1:36" ht="84" x14ac:dyDescent="0.35">
      <c r="A58" s="11" t="s">
        <v>48</v>
      </c>
      <c r="D58" s="15">
        <f t="shared" si="10"/>
        <v>1.4986999999999999</v>
      </c>
      <c r="E58" s="15">
        <f t="shared" si="10"/>
        <v>1.4563000000000001</v>
      </c>
      <c r="F58" s="15">
        <f t="shared" si="10"/>
        <v>4.2399999999999993E-2</v>
      </c>
      <c r="G58" s="15">
        <f t="shared" si="10"/>
        <v>2.8374846243068563</v>
      </c>
      <c r="H58" s="15">
        <f t="shared" si="10"/>
        <v>0.58522000000000007</v>
      </c>
      <c r="I58" s="15">
        <f t="shared" si="10"/>
        <v>0.87107999999999985</v>
      </c>
      <c r="J58" s="15">
        <f t="shared" si="10"/>
        <v>1.3878911270557439</v>
      </c>
      <c r="K58" s="15">
        <f t="shared" si="10"/>
        <v>91.308626779983157</v>
      </c>
      <c r="L58">
        <f t="shared" ref="L58:AC58" si="13">AVERAGE(L21:L26)</f>
        <v>10.154166666666667</v>
      </c>
      <c r="M58">
        <f t="shared" si="13"/>
        <v>10.263666666666667</v>
      </c>
      <c r="N58">
        <f t="shared" si="13"/>
        <v>11.1995</v>
      </c>
      <c r="O58">
        <f t="shared" si="13"/>
        <v>1167.4006413343334</v>
      </c>
      <c r="P58">
        <f t="shared" si="13"/>
        <v>104.22038166666668</v>
      </c>
      <c r="Q58">
        <f t="shared" si="13"/>
        <v>1.2563918749111131</v>
      </c>
      <c r="R58">
        <f t="shared" si="13"/>
        <v>0.82657360191520601</v>
      </c>
      <c r="S58">
        <f t="shared" si="13"/>
        <v>5.6468883986294669</v>
      </c>
      <c r="T58" t="e">
        <f t="shared" si="13"/>
        <v>#DIV/0!</v>
      </c>
      <c r="U58" t="e">
        <f t="shared" si="13"/>
        <v>#DIV/0!</v>
      </c>
      <c r="V58" t="e">
        <f t="shared" si="13"/>
        <v>#DIV/0!</v>
      </c>
      <c r="W58" t="e">
        <f t="shared" si="13"/>
        <v>#DIV/0!</v>
      </c>
      <c r="X58" t="e">
        <f t="shared" si="13"/>
        <v>#DIV/0!</v>
      </c>
      <c r="Y58" t="e">
        <f t="shared" si="13"/>
        <v>#DIV/0!</v>
      </c>
      <c r="Z58" t="e">
        <f t="shared" si="13"/>
        <v>#DIV/0!</v>
      </c>
      <c r="AA58" t="e">
        <f t="shared" si="13"/>
        <v>#DIV/0!</v>
      </c>
      <c r="AB58" t="e">
        <f t="shared" si="13"/>
        <v>#DIV/0!</v>
      </c>
      <c r="AC58" t="e">
        <f t="shared" si="13"/>
        <v>#DIV/0!</v>
      </c>
      <c r="AD58" s="5"/>
      <c r="AE58" s="5"/>
      <c r="AF58" s="5"/>
      <c r="AG58" s="5"/>
      <c r="AH58" s="5"/>
      <c r="AI58" s="5"/>
      <c r="AJ58" s="5"/>
    </row>
    <row r="59" spans="1:36" ht="63" x14ac:dyDescent="0.35">
      <c r="A59" s="11" t="s">
        <v>49</v>
      </c>
      <c r="D59" s="15">
        <f t="shared" si="10"/>
        <v>1.4986799999999998</v>
      </c>
      <c r="E59" s="15">
        <f t="shared" si="10"/>
        <v>1.4581600000000001</v>
      </c>
      <c r="F59" s="15">
        <f t="shared" si="10"/>
        <v>4.051999999999998E-2</v>
      </c>
      <c r="G59" s="15">
        <f t="shared" si="10"/>
        <v>2.7123988993526829</v>
      </c>
      <c r="H59" s="15">
        <f t="shared" si="10"/>
        <v>0.58642000000000005</v>
      </c>
      <c r="I59" s="15">
        <f t="shared" si="10"/>
        <v>0.87173999999999996</v>
      </c>
      <c r="J59" s="15">
        <f t="shared" si="10"/>
        <v>1.3886117563874514</v>
      </c>
      <c r="K59" s="15">
        <f t="shared" si="10"/>
        <v>91.356036604437591</v>
      </c>
      <c r="L59">
        <f t="shared" ref="L59:AC59" si="14">AVERAGE(L27:L32)</f>
        <v>10.289666666666667</v>
      </c>
      <c r="M59">
        <f t="shared" si="14"/>
        <v>10.183000000000002</v>
      </c>
      <c r="N59">
        <f t="shared" si="14"/>
        <v>10.643500000000001</v>
      </c>
      <c r="O59">
        <f t="shared" si="14"/>
        <v>1114.0142105683333</v>
      </c>
      <c r="P59">
        <f t="shared" si="14"/>
        <v>104.78202833333334</v>
      </c>
      <c r="Q59">
        <f t="shared" si="14"/>
        <v>1.3276317496283738</v>
      </c>
      <c r="R59">
        <f t="shared" si="14"/>
        <v>0.87344194054498281</v>
      </c>
      <c r="S59">
        <f t="shared" si="14"/>
        <v>8.8961361277345592</v>
      </c>
      <c r="T59" t="e">
        <f t="shared" si="14"/>
        <v>#DIV/0!</v>
      </c>
      <c r="U59" t="e">
        <f t="shared" si="14"/>
        <v>#DIV/0!</v>
      </c>
      <c r="V59" t="e">
        <f t="shared" si="14"/>
        <v>#DIV/0!</v>
      </c>
      <c r="W59" t="e">
        <f t="shared" si="14"/>
        <v>#DIV/0!</v>
      </c>
      <c r="X59" t="e">
        <f t="shared" si="14"/>
        <v>#DIV/0!</v>
      </c>
      <c r="Y59" t="e">
        <f t="shared" si="14"/>
        <v>#DIV/0!</v>
      </c>
      <c r="Z59" t="e">
        <f t="shared" si="14"/>
        <v>#DIV/0!</v>
      </c>
      <c r="AA59" t="e">
        <f t="shared" si="14"/>
        <v>#DIV/0!</v>
      </c>
      <c r="AB59" t="e">
        <f t="shared" si="14"/>
        <v>#DIV/0!</v>
      </c>
      <c r="AC59" t="e">
        <f t="shared" si="14"/>
        <v>#DIV/0!</v>
      </c>
      <c r="AD59" s="5"/>
      <c r="AE59" s="5"/>
      <c r="AF59" s="5"/>
      <c r="AG59" s="5"/>
      <c r="AH59" s="5"/>
      <c r="AI59" s="5"/>
      <c r="AJ59" s="5"/>
    </row>
    <row r="60" spans="1:36" ht="84" x14ac:dyDescent="0.35">
      <c r="A60" s="11" t="s">
        <v>50</v>
      </c>
      <c r="D60" s="15">
        <f t="shared" si="10"/>
        <v>1.5018120000000001</v>
      </c>
      <c r="E60" s="15">
        <f t="shared" si="10"/>
        <v>1.4748600000000001</v>
      </c>
      <c r="F60" s="15">
        <f t="shared" si="10"/>
        <v>2.6951999999999955E-2</v>
      </c>
      <c r="G60" s="15">
        <f t="shared" si="10"/>
        <v>1.7945410657419729</v>
      </c>
      <c r="H60" s="15">
        <f t="shared" si="10"/>
        <v>0.59133999999999998</v>
      </c>
      <c r="I60" s="15">
        <f t="shared" si="10"/>
        <v>0.88352000000000008</v>
      </c>
      <c r="J60" s="15">
        <f t="shared" si="10"/>
        <v>1.3855351284142594</v>
      </c>
      <c r="K60" s="15">
        <f t="shared" si="10"/>
        <v>91.153626869359172</v>
      </c>
      <c r="L60">
        <f t="shared" ref="L60:AC60" si="15">AVERAGE(L33:L38)</f>
        <v>10.233333333333333</v>
      </c>
      <c r="M60">
        <f t="shared" si="15"/>
        <v>10.282333333333336</v>
      </c>
      <c r="N60">
        <f t="shared" si="15"/>
        <v>10.783333333333333</v>
      </c>
      <c r="O60">
        <f t="shared" si="15"/>
        <v>1135.1919803820001</v>
      </c>
      <c r="P60">
        <f t="shared" si="15"/>
        <v>105.23460666666666</v>
      </c>
      <c r="Q60">
        <f t="shared" si="15"/>
        <v>1.2828458317170974</v>
      </c>
      <c r="R60">
        <f t="shared" si="15"/>
        <v>0.84397752086651145</v>
      </c>
      <c r="S60">
        <f t="shared" si="15"/>
        <v>6.937973670784527</v>
      </c>
      <c r="T60" t="e">
        <f t="shared" si="15"/>
        <v>#DIV/0!</v>
      </c>
      <c r="U60" t="e">
        <f t="shared" si="15"/>
        <v>#DIV/0!</v>
      </c>
      <c r="V60" t="e">
        <f t="shared" si="15"/>
        <v>#DIV/0!</v>
      </c>
      <c r="W60" t="e">
        <f t="shared" si="15"/>
        <v>#DIV/0!</v>
      </c>
      <c r="X60" t="e">
        <f t="shared" si="15"/>
        <v>#DIV/0!</v>
      </c>
      <c r="Y60" t="e">
        <f t="shared" si="15"/>
        <v>#DIV/0!</v>
      </c>
      <c r="Z60" t="e">
        <f t="shared" si="15"/>
        <v>#DIV/0!</v>
      </c>
      <c r="AA60" t="e">
        <f t="shared" si="15"/>
        <v>#DIV/0!</v>
      </c>
      <c r="AB60" t="e">
        <f t="shared" si="15"/>
        <v>#DIV/0!</v>
      </c>
      <c r="AC60" t="e">
        <f t="shared" si="15"/>
        <v>#DIV/0!</v>
      </c>
      <c r="AD60" s="5"/>
      <c r="AE60" s="5"/>
      <c r="AF60" s="5"/>
      <c r="AG60" s="5"/>
      <c r="AH60" s="5"/>
      <c r="AI60" s="5"/>
      <c r="AJ60" s="5"/>
    </row>
    <row r="61" spans="1:36" ht="63" x14ac:dyDescent="0.35">
      <c r="A61" s="11" t="s">
        <v>51</v>
      </c>
      <c r="D61" s="15">
        <f t="shared" si="10"/>
        <v>1.5016719999999999</v>
      </c>
      <c r="E61" s="15">
        <f t="shared" si="10"/>
        <v>1.4731799999999999</v>
      </c>
      <c r="F61" s="15">
        <f t="shared" si="10"/>
        <v>2.8491999999999917E-2</v>
      </c>
      <c r="G61" s="15">
        <f t="shared" si="10"/>
        <v>1.8972486478262678</v>
      </c>
      <c r="H61" s="15">
        <f t="shared" si="10"/>
        <v>0.59006000000000003</v>
      </c>
      <c r="I61" s="15">
        <f t="shared" si="10"/>
        <v>0.88312000000000013</v>
      </c>
      <c r="J61" s="15">
        <f t="shared" si="10"/>
        <v>1.3845884496883998</v>
      </c>
      <c r="K61" s="15">
        <f t="shared" si="10"/>
        <v>91.091345374236809</v>
      </c>
      <c r="L61">
        <f t="shared" ref="L61:AC61" si="16">AVERAGE(L39:L44)</f>
        <v>10.366333333333332</v>
      </c>
      <c r="M61">
        <f t="shared" si="16"/>
        <v>10.271666666666667</v>
      </c>
      <c r="N61">
        <f t="shared" si="16"/>
        <v>11.002666666666665</v>
      </c>
      <c r="O61">
        <f t="shared" si="16"/>
        <v>1170.9757249858333</v>
      </c>
      <c r="P61">
        <f t="shared" si="16"/>
        <v>106.47846799999998</v>
      </c>
      <c r="Q61">
        <f t="shared" si="16"/>
        <v>1.3041880608799257</v>
      </c>
      <c r="R61">
        <f t="shared" si="16"/>
        <v>0.85801846110521429</v>
      </c>
      <c r="S61">
        <f t="shared" si="16"/>
        <v>6.2191890095314015</v>
      </c>
      <c r="T61" t="e">
        <f t="shared" si="16"/>
        <v>#DIV/0!</v>
      </c>
      <c r="U61" t="e">
        <f t="shared" si="16"/>
        <v>#DIV/0!</v>
      </c>
      <c r="V61" t="e">
        <f t="shared" si="16"/>
        <v>#DIV/0!</v>
      </c>
      <c r="W61" t="e">
        <f t="shared" si="16"/>
        <v>#DIV/0!</v>
      </c>
      <c r="X61" t="e">
        <f t="shared" si="16"/>
        <v>#DIV/0!</v>
      </c>
      <c r="Y61" t="e">
        <f t="shared" si="16"/>
        <v>#DIV/0!</v>
      </c>
      <c r="Z61" t="e">
        <f t="shared" si="16"/>
        <v>#DIV/0!</v>
      </c>
      <c r="AA61" t="e">
        <f t="shared" si="16"/>
        <v>#DIV/0!</v>
      </c>
      <c r="AB61" t="e">
        <f t="shared" si="16"/>
        <v>#DIV/0!</v>
      </c>
      <c r="AC61" t="e">
        <f t="shared" si="16"/>
        <v>#DIV/0!</v>
      </c>
      <c r="AD61" s="5"/>
      <c r="AE61" s="5"/>
      <c r="AF61" s="5"/>
      <c r="AG61" s="5"/>
      <c r="AH61" s="5"/>
      <c r="AI61" s="5"/>
      <c r="AJ61" s="5"/>
    </row>
    <row r="62" spans="1:36" ht="105" x14ac:dyDescent="0.35">
      <c r="A62" s="11" t="s">
        <v>52</v>
      </c>
      <c r="D62" s="15">
        <f t="shared" si="10"/>
        <v>1.5009519999999998</v>
      </c>
      <c r="E62" s="15">
        <f t="shared" si="10"/>
        <v>1.4776799999999999</v>
      </c>
      <c r="F62" s="15">
        <f t="shared" si="10"/>
        <v>2.371199999999991E-2</v>
      </c>
      <c r="G62" s="15">
        <f t="shared" si="10"/>
        <v>1.5792108704607009</v>
      </c>
      <c r="H62" s="15">
        <f t="shared" si="10"/>
        <v>0.59388000000000007</v>
      </c>
      <c r="I62" s="15">
        <f t="shared" si="10"/>
        <v>0.88379999999999992</v>
      </c>
      <c r="J62" s="15">
        <f t="shared" si="10"/>
        <v>1.3877364787961757</v>
      </c>
      <c r="K62" s="15">
        <f t="shared" si="10"/>
        <v>91.298452552379956</v>
      </c>
      <c r="L62">
        <f t="shared" ref="L62:AC62" si="17">AVERAGE(L45:L50)</f>
        <v>10.361999999999998</v>
      </c>
      <c r="M62">
        <f t="shared" si="17"/>
        <v>10.375249999999999</v>
      </c>
      <c r="N62">
        <f t="shared" si="17"/>
        <v>11.663</v>
      </c>
      <c r="O62">
        <f t="shared" si="17"/>
        <v>836.14234793433332</v>
      </c>
      <c r="P62">
        <f t="shared" si="17"/>
        <v>71.684827666666664</v>
      </c>
      <c r="Q62" t="e">
        <f t="shared" si="17"/>
        <v>#DIV/0!</v>
      </c>
      <c r="R62" t="e">
        <f t="shared" si="17"/>
        <v>#DIV/0!</v>
      </c>
      <c r="S62" t="e">
        <f t="shared" si="17"/>
        <v>#DIV/0!</v>
      </c>
      <c r="T62" t="e">
        <f t="shared" si="17"/>
        <v>#DIV/0!</v>
      </c>
      <c r="U62" t="e">
        <f t="shared" si="17"/>
        <v>#DIV/0!</v>
      </c>
      <c r="V62" t="e">
        <f t="shared" si="17"/>
        <v>#DIV/0!</v>
      </c>
      <c r="W62" t="e">
        <f t="shared" si="17"/>
        <v>#DIV/0!</v>
      </c>
      <c r="X62" t="e">
        <f t="shared" si="17"/>
        <v>#DIV/0!</v>
      </c>
      <c r="Y62" t="e">
        <f t="shared" si="17"/>
        <v>#DIV/0!</v>
      </c>
      <c r="Z62" t="e">
        <f t="shared" si="17"/>
        <v>#DIV/0!</v>
      </c>
      <c r="AA62" t="e">
        <f t="shared" si="17"/>
        <v>#DIV/0!</v>
      </c>
      <c r="AB62" t="e">
        <f t="shared" si="17"/>
        <v>#DIV/0!</v>
      </c>
      <c r="AC62" t="e">
        <f t="shared" si="17"/>
        <v>#DIV/0!</v>
      </c>
      <c r="AD62" s="5"/>
      <c r="AE62" s="5"/>
      <c r="AF62" s="5"/>
      <c r="AG62" s="5"/>
      <c r="AH62" s="5"/>
      <c r="AI62" s="5"/>
      <c r="AJ62" s="5"/>
    </row>
    <row r="63" spans="1:36" ht="21" x14ac:dyDescent="0.35">
      <c r="AD63" s="5"/>
      <c r="AE63" s="5"/>
      <c r="AF63" s="5"/>
      <c r="AG63" s="5"/>
      <c r="AH63" s="5"/>
      <c r="AI63" s="5"/>
      <c r="AJ63" s="5"/>
    </row>
    <row r="64" spans="1:36" ht="21" x14ac:dyDescent="0.35">
      <c r="AD64" s="5"/>
      <c r="AE64" s="5"/>
      <c r="AF64" s="5"/>
      <c r="AG64" s="5"/>
      <c r="AH64" s="5"/>
      <c r="AI64" s="5"/>
      <c r="AJ64" s="5"/>
    </row>
    <row r="65" spans="1:36" ht="21" x14ac:dyDescent="0.35">
      <c r="AD65" s="5"/>
      <c r="AE65" s="5"/>
      <c r="AF65" s="5"/>
      <c r="AG65" s="5"/>
      <c r="AH65" s="5"/>
      <c r="AI65" s="5"/>
      <c r="AJ65" s="5"/>
    </row>
    <row r="66" spans="1:36" ht="42" x14ac:dyDescent="0.35">
      <c r="A66" s="11" t="s">
        <v>39</v>
      </c>
      <c r="B66" s="1" t="s">
        <v>6</v>
      </c>
      <c r="C66" s="2" t="s">
        <v>7</v>
      </c>
      <c r="D66" s="12" t="s">
        <v>8</v>
      </c>
      <c r="E66" s="13" t="s">
        <v>9</v>
      </c>
      <c r="F66" s="2" t="s">
        <v>10</v>
      </c>
      <c r="G66" s="1" t="s">
        <v>11</v>
      </c>
      <c r="H66" s="14" t="s">
        <v>12</v>
      </c>
      <c r="I66" s="2" t="s">
        <v>13</v>
      </c>
      <c r="J66" s="2" t="s">
        <v>14</v>
      </c>
      <c r="K66" s="1" t="s">
        <v>15</v>
      </c>
      <c r="L66" s="1"/>
      <c r="AD66" s="5"/>
      <c r="AE66" s="5"/>
      <c r="AF66" s="5"/>
      <c r="AG66" s="5"/>
      <c r="AH66" s="5"/>
      <c r="AI66" s="5"/>
      <c r="AJ66" s="5"/>
    </row>
    <row r="67" spans="1:36" ht="63" x14ac:dyDescent="0.35">
      <c r="A67" s="11" t="s">
        <v>45</v>
      </c>
      <c r="D67" s="15">
        <f t="shared" ref="D67:K74" si="18">_xlfn.STDEV.S(D16:D20)</f>
        <v>2.0651876428063498E-3</v>
      </c>
      <c r="E67" s="15">
        <f t="shared" si="18"/>
        <v>1.7905845972754256E-2</v>
      </c>
      <c r="F67" s="15">
        <f t="shared" si="18"/>
        <v>1.8594174356502086E-2</v>
      </c>
      <c r="G67" s="15">
        <f t="shared" si="18"/>
        <v>1.2373511317226429</v>
      </c>
      <c r="H67" s="15">
        <f t="shared" si="18"/>
        <v>6.832056791333049E-3</v>
      </c>
      <c r="I67" s="15">
        <f t="shared" si="18"/>
        <v>1.7784873347876293E-2</v>
      </c>
      <c r="J67" s="15">
        <f t="shared" si="18"/>
        <v>1.3643540093190477E-2</v>
      </c>
      <c r="K67" s="15">
        <f t="shared" si="18"/>
        <v>0.89760132192042552</v>
      </c>
      <c r="L67" s="15"/>
      <c r="AD67" s="5"/>
      <c r="AE67" s="5"/>
      <c r="AF67" s="5"/>
      <c r="AG67" s="5"/>
      <c r="AH67" s="5"/>
      <c r="AI67" s="5"/>
      <c r="AJ67" s="5"/>
    </row>
    <row r="68" spans="1:36" ht="63" x14ac:dyDescent="0.35">
      <c r="A68" s="11" t="s">
        <v>46</v>
      </c>
      <c r="D68" s="15">
        <f t="shared" si="18"/>
        <v>1.5459624833740542E-3</v>
      </c>
      <c r="E68" s="15">
        <f t="shared" si="18"/>
        <v>1.6807353152712631E-2</v>
      </c>
      <c r="F68" s="15">
        <f t="shared" si="18"/>
        <v>1.6649207788961003E-2</v>
      </c>
      <c r="G68" s="15">
        <f t="shared" si="18"/>
        <v>1.1081747174824075</v>
      </c>
      <c r="H68" s="15">
        <f t="shared" si="18"/>
        <v>5.7694887121823961E-3</v>
      </c>
      <c r="I68" s="15">
        <f t="shared" si="18"/>
        <v>1.3790160260127518E-2</v>
      </c>
      <c r="J68" s="15">
        <f t="shared" si="18"/>
        <v>8.3526972982466523E-3</v>
      </c>
      <c r="K68" s="15">
        <f t="shared" si="18"/>
        <v>0.54951955909517469</v>
      </c>
      <c r="L68" s="15"/>
      <c r="AD68" s="5"/>
      <c r="AE68" s="5"/>
      <c r="AF68" s="5"/>
      <c r="AG68" s="5"/>
      <c r="AH68" s="5"/>
      <c r="AI68" s="5"/>
      <c r="AJ68" s="5"/>
    </row>
    <row r="69" spans="1:36" ht="63" x14ac:dyDescent="0.35">
      <c r="A69" s="11" t="s">
        <v>47</v>
      </c>
      <c r="D69" s="15">
        <f t="shared" si="18"/>
        <v>1.7601136326953356E-3</v>
      </c>
      <c r="E69" s="15">
        <f t="shared" si="18"/>
        <v>1.1942026628675752E-2</v>
      </c>
      <c r="F69" s="15">
        <f t="shared" si="18"/>
        <v>1.1506650251050552E-2</v>
      </c>
      <c r="G69" s="15">
        <f t="shared" si="18"/>
        <v>0.76642476393648773</v>
      </c>
      <c r="H69" s="15">
        <f t="shared" si="18"/>
        <v>3.426482161050895E-2</v>
      </c>
      <c r="I69" s="15">
        <f t="shared" si="18"/>
        <v>2.6423152726349697E-2</v>
      </c>
      <c r="J69" s="15">
        <f t="shared" si="18"/>
        <v>4.5795515481138839E-2</v>
      </c>
      <c r="K69" s="15">
        <f t="shared" si="18"/>
        <v>3.0128628606012442</v>
      </c>
      <c r="L69" s="15"/>
      <c r="AD69" s="5"/>
      <c r="AE69" s="5"/>
      <c r="AF69" s="5"/>
      <c r="AG69" s="5"/>
      <c r="AH69" s="5"/>
      <c r="AI69" s="5"/>
      <c r="AJ69" s="5"/>
    </row>
    <row r="70" spans="1:36" ht="84" x14ac:dyDescent="0.35">
      <c r="A70" s="11" t="s">
        <v>48</v>
      </c>
      <c r="D70" s="15">
        <f t="shared" si="18"/>
        <v>1.8793615937333363E-3</v>
      </c>
      <c r="E70" s="15">
        <f t="shared" si="18"/>
        <v>1.1952698440101335E-2</v>
      </c>
      <c r="F70" s="15">
        <f t="shared" si="18"/>
        <v>1.1570350037920294E-2</v>
      </c>
      <c r="G70" s="15">
        <f t="shared" si="18"/>
        <v>0.77058671209193264</v>
      </c>
      <c r="H70" s="15">
        <f t="shared" si="18"/>
        <v>3.3333196666386525E-2</v>
      </c>
      <c r="I70" s="15">
        <f t="shared" si="18"/>
        <v>2.583815008858031E-2</v>
      </c>
      <c r="J70" s="15">
        <f t="shared" si="18"/>
        <v>4.4636716480137215E-2</v>
      </c>
      <c r="K70" s="15">
        <f t="shared" si="18"/>
        <v>2.9366260842195602</v>
      </c>
      <c r="L70" s="15"/>
      <c r="AD70" s="5"/>
      <c r="AE70" s="5"/>
      <c r="AF70" s="5"/>
      <c r="AG70" s="5"/>
      <c r="AH70" s="5"/>
      <c r="AI70" s="5"/>
      <c r="AJ70" s="5"/>
    </row>
    <row r="71" spans="1:36" ht="63" x14ac:dyDescent="0.35">
      <c r="A71" s="11" t="s">
        <v>49</v>
      </c>
      <c r="D71" s="15">
        <f t="shared" si="18"/>
        <v>1.2214745187681412E-3</v>
      </c>
      <c r="E71" s="15">
        <f t="shared" si="18"/>
        <v>1.9192837205582722E-2</v>
      </c>
      <c r="F71" s="15">
        <f t="shared" si="18"/>
        <v>1.8197444875586288E-2</v>
      </c>
      <c r="G71" s="15">
        <f t="shared" si="18"/>
        <v>1.2136784527776792</v>
      </c>
      <c r="H71" s="15">
        <f t="shared" si="18"/>
        <v>3.7492372557628294E-2</v>
      </c>
      <c r="I71" s="15">
        <f t="shared" si="18"/>
        <v>2.3240008605850394E-2</v>
      </c>
      <c r="J71" s="15">
        <f t="shared" si="18"/>
        <v>4.6411541094534936E-2</v>
      </c>
      <c r="K71" s="15">
        <f t="shared" si="18"/>
        <v>3.0533908614825656</v>
      </c>
      <c r="L71" s="15"/>
      <c r="AD71" s="5"/>
      <c r="AE71" s="5"/>
      <c r="AF71" s="5"/>
      <c r="AG71" s="5"/>
      <c r="AH71" s="5"/>
      <c r="AI71" s="5"/>
      <c r="AJ71" s="5"/>
    </row>
    <row r="72" spans="1:36" ht="84" x14ac:dyDescent="0.35">
      <c r="A72" s="11" t="s">
        <v>50</v>
      </c>
      <c r="D72" s="15">
        <f t="shared" si="18"/>
        <v>9.9095913134697E-4</v>
      </c>
      <c r="E72" s="15">
        <f t="shared" si="18"/>
        <v>2.0278387509858862E-2</v>
      </c>
      <c r="F72" s="15">
        <f t="shared" si="18"/>
        <v>1.93964687507804E-2</v>
      </c>
      <c r="G72" s="15">
        <f t="shared" si="18"/>
        <v>1.2934685131149968</v>
      </c>
      <c r="H72" s="15">
        <f t="shared" si="18"/>
        <v>3.2025958221417801E-2</v>
      </c>
      <c r="I72" s="15">
        <f t="shared" si="18"/>
        <v>1.9994674290920503E-2</v>
      </c>
      <c r="J72" s="15">
        <f t="shared" si="18"/>
        <v>3.8167632859429208E-2</v>
      </c>
      <c r="K72" s="15">
        <f t="shared" si="18"/>
        <v>2.5110284775940293</v>
      </c>
      <c r="L72" s="15"/>
      <c r="AD72" s="5"/>
      <c r="AE72" s="5"/>
      <c r="AF72" s="5"/>
      <c r="AG72" s="5"/>
      <c r="AH72" s="5"/>
      <c r="AI72" s="5"/>
      <c r="AJ72" s="5"/>
    </row>
    <row r="73" spans="1:36" ht="63" x14ac:dyDescent="0.35">
      <c r="A73" s="11" t="s">
        <v>51</v>
      </c>
      <c r="D73" s="15">
        <f t="shared" si="18"/>
        <v>8.2885463140408122E-4</v>
      </c>
      <c r="E73" s="15">
        <f t="shared" si="18"/>
        <v>2.061523708328377E-2</v>
      </c>
      <c r="F73" s="15">
        <f t="shared" si="18"/>
        <v>2.0544756021914613E-2</v>
      </c>
      <c r="G73" s="15">
        <f t="shared" si="18"/>
        <v>1.3684789338581802</v>
      </c>
      <c r="H73" s="15">
        <f t="shared" si="18"/>
        <v>2.0401421519100054E-2</v>
      </c>
      <c r="I73" s="15">
        <f t="shared" si="18"/>
        <v>1.3597683626265105E-2</v>
      </c>
      <c r="J73" s="15">
        <f t="shared" si="18"/>
        <v>2.1680542645537385E-2</v>
      </c>
      <c r="K73" s="15">
        <f t="shared" si="18"/>
        <v>1.4263514898379857</v>
      </c>
      <c r="L73" s="15"/>
      <c r="AD73" s="5"/>
      <c r="AE73" s="5"/>
      <c r="AF73" s="5"/>
      <c r="AG73" s="5"/>
      <c r="AH73" s="5"/>
      <c r="AI73" s="5"/>
      <c r="AJ73" s="5"/>
    </row>
    <row r="74" spans="1:36" ht="105" x14ac:dyDescent="0.35">
      <c r="A74" s="11" t="s">
        <v>52</v>
      </c>
      <c r="D74" s="15">
        <f t="shared" si="18"/>
        <v>8.7005746936625835E-4</v>
      </c>
      <c r="E74" s="15">
        <f t="shared" si="18"/>
        <v>3.1291724145530844E-2</v>
      </c>
      <c r="F74" s="15">
        <f t="shared" si="18"/>
        <v>2.4692245746387575E-2</v>
      </c>
      <c r="G74" s="15">
        <f t="shared" si="18"/>
        <v>1.6447103881729139</v>
      </c>
      <c r="H74" s="15">
        <f t="shared" si="18"/>
        <v>4.227517001739909E-2</v>
      </c>
      <c r="I74" s="15">
        <f t="shared" si="18"/>
        <v>1.8928866844055897E-2</v>
      </c>
      <c r="J74" s="15">
        <f t="shared" si="18"/>
        <v>4.6566744347967155E-2</v>
      </c>
      <c r="K74" s="15">
        <f t="shared" si="18"/>
        <v>3.063601601839947</v>
      </c>
      <c r="L74" s="15"/>
      <c r="AD74" s="5"/>
      <c r="AE74" s="5"/>
      <c r="AF74" s="5"/>
      <c r="AG74" s="5"/>
      <c r="AH74" s="5"/>
      <c r="AI74" s="5"/>
      <c r="AJ74" s="5"/>
    </row>
    <row r="75" spans="1:36" ht="21" x14ac:dyDescent="0.35">
      <c r="AD75" s="5"/>
      <c r="AE75" s="5"/>
      <c r="AF75" s="5"/>
      <c r="AG75" s="5"/>
      <c r="AH75" s="5"/>
      <c r="AI75" s="5"/>
      <c r="AJ75" s="5"/>
    </row>
    <row r="76" spans="1:36" ht="21" x14ac:dyDescent="0.35">
      <c r="AD76" s="5"/>
      <c r="AE76" s="5"/>
      <c r="AF76" s="5"/>
      <c r="AG76" s="5"/>
      <c r="AH76" s="5"/>
      <c r="AI76" s="5"/>
      <c r="AJ76" s="5"/>
    </row>
    <row r="77" spans="1:36" ht="21" x14ac:dyDescent="0.35">
      <c r="AD77" s="5"/>
      <c r="AE77" s="5"/>
      <c r="AF77" s="5"/>
      <c r="AG77" s="5"/>
      <c r="AH77" s="5"/>
      <c r="AI77" s="5"/>
      <c r="AJ77" s="5"/>
    </row>
    <row r="78" spans="1:36" ht="21" x14ac:dyDescent="0.35">
      <c r="AD78" s="5"/>
      <c r="AE78" s="5"/>
      <c r="AF78" s="5"/>
      <c r="AG78" s="5"/>
      <c r="AH78" s="5"/>
      <c r="AI78" s="5"/>
      <c r="AJ78" s="5"/>
    </row>
    <row r="79" spans="1:36" ht="21" x14ac:dyDescent="0.35"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 spans="1:36" ht="21" x14ac:dyDescent="0.35"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spans="5:36" ht="21" x14ac:dyDescent="0.35"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5:36" ht="21" x14ac:dyDescent="0.35"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5:36" ht="21" x14ac:dyDescent="0.35"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5:36" ht="21" x14ac:dyDescent="0.35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5:36" ht="21" x14ac:dyDescent="0.35"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5:36" ht="21" x14ac:dyDescent="0.35"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5:36" ht="21" x14ac:dyDescent="0.35"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spans="5:36" ht="21" x14ac:dyDescent="0.35"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spans="5:36" ht="21" x14ac:dyDescent="0.35"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5:36" ht="21" x14ac:dyDescent="0.35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5:36" ht="21" x14ac:dyDescent="0.35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spans="5:36" ht="21" x14ac:dyDescent="0.35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5:36" ht="21" x14ac:dyDescent="0.35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spans="5:36" ht="21" x14ac:dyDescent="0.35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5:36" ht="21" x14ac:dyDescent="0.35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5:36" ht="21" x14ac:dyDescent="0.35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5:36" ht="21" x14ac:dyDescent="0.35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spans="5:36" ht="21" x14ac:dyDescent="0.35"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5:36" ht="21" x14ac:dyDescent="0.35"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5:36" ht="21" x14ac:dyDescent="0.35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5:36" ht="21" x14ac:dyDescent="0.35"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5:36" ht="21" x14ac:dyDescent="0.35"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5:36" ht="21" x14ac:dyDescent="0.35"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5:36" ht="21" x14ac:dyDescent="0.35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5:36" ht="21" x14ac:dyDescent="0.35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5:36" ht="21" x14ac:dyDescent="0.35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5:36" ht="21" x14ac:dyDescent="0.35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5:36" ht="21" x14ac:dyDescent="0.35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5:36" ht="21" x14ac:dyDescent="0.35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5:36" ht="21" x14ac:dyDescent="0.35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5:36" ht="21" x14ac:dyDescent="0.35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5:36" ht="21" x14ac:dyDescent="0.35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5:36" ht="21" x14ac:dyDescent="0.35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5:36" ht="21" x14ac:dyDescent="0.35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5:36" ht="21" x14ac:dyDescent="0.35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5:36" ht="21" x14ac:dyDescent="0.35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5:36" ht="21" x14ac:dyDescent="0.35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5:36" ht="21" x14ac:dyDescent="0.35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</sheetData>
  <mergeCells count="8">
    <mergeCell ref="A39:A44"/>
    <mergeCell ref="A45:A50"/>
    <mergeCell ref="A4:A8"/>
    <mergeCell ref="A9:A14"/>
    <mergeCell ref="A15:A20"/>
    <mergeCell ref="A21:A26"/>
    <mergeCell ref="A27:A32"/>
    <mergeCell ref="A33:A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7D27-5B89-4E9B-9FC7-B016B55FB5F2}">
  <dimension ref="A1:AC55"/>
  <sheetViews>
    <sheetView topLeftCell="C32" workbookViewId="0">
      <selection activeCell="A4" sqref="A4:AC55"/>
    </sheetView>
  </sheetViews>
  <sheetFormatPr defaultRowHeight="15" x14ac:dyDescent="0.25"/>
  <cols>
    <col min="6" max="6" width="9.85546875" bestFit="1" customWidth="1"/>
  </cols>
  <sheetData>
    <row r="1" spans="1:29" x14ac:dyDescent="0.25">
      <c r="A1" t="s">
        <v>53</v>
      </c>
      <c r="J1" t="s">
        <v>1</v>
      </c>
      <c r="M1" t="s">
        <v>2</v>
      </c>
      <c r="V1" t="s">
        <v>3</v>
      </c>
      <c r="W1" t="s">
        <v>4</v>
      </c>
    </row>
    <row r="2" spans="1:29" x14ac:dyDescent="0.25">
      <c r="J2">
        <v>0.83</v>
      </c>
      <c r="L2" t="s">
        <v>5</v>
      </c>
      <c r="M2">
        <v>1.52</v>
      </c>
      <c r="N2" t="s">
        <v>5</v>
      </c>
      <c r="V2">
        <f>(PI()/4 )*80^2</f>
        <v>5026.5482457436692</v>
      </c>
      <c r="W2">
        <f>10^2</f>
        <v>100</v>
      </c>
    </row>
    <row r="3" spans="1:29" ht="294" x14ac:dyDescent="0.35">
      <c r="A3" s="1"/>
      <c r="B3" s="1" t="s">
        <v>6</v>
      </c>
      <c r="C3" s="2" t="s">
        <v>7</v>
      </c>
      <c r="D3" s="12" t="s">
        <v>8</v>
      </c>
      <c r="E3" s="13" t="s">
        <v>9</v>
      </c>
      <c r="F3" s="2" t="s">
        <v>10</v>
      </c>
      <c r="G3" s="1" t="s">
        <v>11</v>
      </c>
      <c r="H3" s="14" t="s">
        <v>12</v>
      </c>
      <c r="I3" s="2" t="s">
        <v>13</v>
      </c>
      <c r="J3" s="2" t="s">
        <v>14</v>
      </c>
      <c r="K3" s="1" t="s">
        <v>15</v>
      </c>
      <c r="L3" s="13" t="s">
        <v>16</v>
      </c>
      <c r="M3" s="13" t="s">
        <v>17</v>
      </c>
      <c r="N3" s="13" t="s">
        <v>18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23</v>
      </c>
      <c r="T3" s="2" t="s">
        <v>24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40</v>
      </c>
      <c r="Z3" s="2" t="s">
        <v>41</v>
      </c>
      <c r="AA3" s="2" t="s">
        <v>42</v>
      </c>
      <c r="AB3" s="2" t="s">
        <v>43</v>
      </c>
      <c r="AC3" s="2" t="s">
        <v>44</v>
      </c>
    </row>
    <row r="4" spans="1:29" ht="21" x14ac:dyDescent="0.35">
      <c r="A4" s="80" t="s">
        <v>47</v>
      </c>
      <c r="B4" s="7">
        <v>1</v>
      </c>
      <c r="C4" s="7"/>
      <c r="D4" s="7">
        <v>1.5004999999999999</v>
      </c>
      <c r="E4" s="7">
        <v>1.4823</v>
      </c>
      <c r="F4" s="8">
        <f t="shared" ref="F4:F55" si="0">ABS(D4-E4)</f>
        <v>1.8199999999999994E-2</v>
      </c>
      <c r="G4" s="7">
        <f t="shared" ref="G4:G55" si="1">F4/D4*100</f>
        <v>1.21292902365878</v>
      </c>
      <c r="H4" s="7">
        <v>0.59309999999999996</v>
      </c>
      <c r="I4" s="7">
        <f t="shared" ref="I4:I55" si="2">ABS(E4-H4)</f>
        <v>0.88919999999999999</v>
      </c>
      <c r="J4" s="7">
        <f t="shared" ref="J4:J45" si="3">E4*$J$2/I4</f>
        <v>1.3836133603238865</v>
      </c>
      <c r="K4" s="7">
        <f t="shared" ref="K4:K45" si="4">J4/$M$2</f>
        <v>0.9102719475815042</v>
      </c>
      <c r="L4">
        <v>10.448</v>
      </c>
      <c r="M4">
        <v>10.148</v>
      </c>
      <c r="N4">
        <v>10.961</v>
      </c>
      <c r="O4" s="7">
        <f t="shared" ref="O4:O55" si="5">L4*M4*N4</f>
        <v>1162.1543181439999</v>
      </c>
      <c r="P4" s="7">
        <f t="shared" ref="P4:P55" si="6">L4*M4</f>
        <v>106.026304</v>
      </c>
      <c r="Q4" s="5">
        <f t="shared" ref="Q4:Q55" si="7">E4/(O4*0.001)</f>
        <v>1.2754760506911711</v>
      </c>
      <c r="R4" s="5">
        <f t="shared" ref="R4:R55" si="8">Q4/$M$2</f>
        <v>0.83912898071787567</v>
      </c>
      <c r="S4" s="5">
        <f t="shared" ref="S4:S55" si="9">ABS(J4-Q4)/((J4+Q4)/2)*100</f>
        <v>8.13340906738717</v>
      </c>
      <c r="T4" s="7"/>
      <c r="U4" s="7"/>
      <c r="V4" s="7"/>
      <c r="W4" s="7"/>
      <c r="X4" s="7"/>
      <c r="Y4" s="7">
        <v>1.4823999999999999</v>
      </c>
      <c r="Z4" s="7">
        <v>1.8E-3</v>
      </c>
      <c r="AA4" s="7">
        <f>Y4+Z4</f>
        <v>1.4842</v>
      </c>
      <c r="AB4" s="7">
        <f>Z4/AA4*100</f>
        <v>0.12127745586848132</v>
      </c>
      <c r="AC4" s="7">
        <f t="shared" ref="AC4:AC53" si="10">D4-AA4</f>
        <v>1.6299999999999981E-2</v>
      </c>
    </row>
    <row r="5" spans="1:29" ht="21" x14ac:dyDescent="0.35">
      <c r="A5" s="80"/>
      <c r="B5" s="5">
        <v>2</v>
      </c>
      <c r="C5" s="5" t="s">
        <v>54</v>
      </c>
      <c r="D5" s="5">
        <v>1.5019</v>
      </c>
      <c r="E5" s="5">
        <v>1.6093999999999999</v>
      </c>
      <c r="F5" s="6">
        <f>ABS(D5-E5)</f>
        <v>0.10749999999999993</v>
      </c>
      <c r="G5" s="5">
        <f t="shared" si="1"/>
        <v>7.1576003728610376</v>
      </c>
      <c r="H5" s="5">
        <v>0.5806</v>
      </c>
      <c r="I5" s="5">
        <f t="shared" si="2"/>
        <v>1.0287999999999999</v>
      </c>
      <c r="J5" s="5">
        <f t="shared" si="3"/>
        <v>1.2984078538102644</v>
      </c>
      <c r="K5" s="5">
        <f t="shared" si="4"/>
        <v>0.85421569329622649</v>
      </c>
      <c r="L5">
        <v>10.286</v>
      </c>
      <c r="M5">
        <v>10.327999999999999</v>
      </c>
      <c r="N5">
        <v>12.257</v>
      </c>
      <c r="O5" s="5">
        <f t="shared" si="5"/>
        <v>1302.1077846559999</v>
      </c>
      <c r="P5" s="5">
        <f t="shared" si="6"/>
        <v>106.233808</v>
      </c>
      <c r="Q5" s="5">
        <f t="shared" si="7"/>
        <v>1.2359959897061692</v>
      </c>
      <c r="R5" s="5">
        <f t="shared" si="8"/>
        <v>0.81315525638563757</v>
      </c>
      <c r="S5" s="5">
        <f t="shared" si="9"/>
        <v>4.9251712006165498</v>
      </c>
      <c r="T5" s="5"/>
      <c r="U5" s="5"/>
      <c r="V5" s="5"/>
      <c r="W5" s="5"/>
      <c r="X5" s="5"/>
      <c r="Y5" s="5">
        <v>1.6093999999999999</v>
      </c>
      <c r="Z5" s="5">
        <v>3.5499999999999997E-2</v>
      </c>
      <c r="AA5" s="5">
        <f t="shared" ref="AA5:AA55" si="11">Y5+Z5</f>
        <v>1.6449</v>
      </c>
      <c r="AB5" s="5">
        <f t="shared" ref="AB5:AB55" si="12">Z5/AA5*100</f>
        <v>2.1581859079579302</v>
      </c>
      <c r="AC5" s="5">
        <f t="shared" si="10"/>
        <v>-0.14300000000000002</v>
      </c>
    </row>
    <row r="6" spans="1:29" ht="21" x14ac:dyDescent="0.35">
      <c r="A6" s="80"/>
      <c r="B6" s="5">
        <v>3</v>
      </c>
      <c r="C6" s="5"/>
      <c r="D6" s="5">
        <v>1.4988999999999999</v>
      </c>
      <c r="E6" s="5">
        <v>1.2823</v>
      </c>
      <c r="F6" s="6">
        <f t="shared" si="0"/>
        <v>0.2165999999999999</v>
      </c>
      <c r="G6" s="5">
        <f t="shared" si="1"/>
        <v>14.450597104543325</v>
      </c>
      <c r="H6" s="5">
        <v>0.47410000000000002</v>
      </c>
      <c r="I6" s="5">
        <f t="shared" si="2"/>
        <v>0.80820000000000003</v>
      </c>
      <c r="J6" s="5">
        <f t="shared" si="3"/>
        <v>1.3168881464983915</v>
      </c>
      <c r="K6" s="5">
        <f t="shared" si="4"/>
        <v>0.86637378059104697</v>
      </c>
      <c r="L6">
        <v>10.779</v>
      </c>
      <c r="M6">
        <v>10.794</v>
      </c>
      <c r="N6">
        <v>10.472</v>
      </c>
      <c r="O6" s="5">
        <f t="shared" si="5"/>
        <v>1218.401764272</v>
      </c>
      <c r="P6" s="5">
        <f t="shared" si="6"/>
        <v>116.34852600000001</v>
      </c>
      <c r="Q6" s="5">
        <f t="shared" si="7"/>
        <v>1.0524443066332718</v>
      </c>
      <c r="R6" s="5">
        <f t="shared" si="8"/>
        <v>0.69239757015346826</v>
      </c>
      <c r="S6" s="5">
        <f t="shared" si="9"/>
        <v>22.322223250316032</v>
      </c>
      <c r="T6" s="5"/>
      <c r="U6" s="5"/>
      <c r="V6" s="5"/>
      <c r="W6" s="5"/>
      <c r="X6" s="5"/>
      <c r="Y6" s="5">
        <v>1.2816000000000001</v>
      </c>
      <c r="Z6" s="5">
        <v>0.22320000000000001</v>
      </c>
      <c r="AA6" s="5">
        <f t="shared" si="11"/>
        <v>1.5048000000000001</v>
      </c>
      <c r="AB6" s="5">
        <f t="shared" si="12"/>
        <v>14.832535885167463</v>
      </c>
      <c r="AC6" s="5">
        <f t="shared" si="10"/>
        <v>-5.9000000000002384E-3</v>
      </c>
    </row>
    <row r="7" spans="1:29" ht="21" x14ac:dyDescent="0.35">
      <c r="A7" s="80"/>
      <c r="B7" s="5">
        <v>4</v>
      </c>
      <c r="C7" s="5"/>
      <c r="D7" s="5">
        <v>1.5016</v>
      </c>
      <c r="E7" s="5">
        <v>1.3911</v>
      </c>
      <c r="F7" s="6">
        <f t="shared" si="0"/>
        <v>0.11050000000000004</v>
      </c>
      <c r="G7" s="5">
        <f t="shared" si="1"/>
        <v>7.3588172615876424</v>
      </c>
      <c r="H7" s="5">
        <v>0.52539999999999998</v>
      </c>
      <c r="I7" s="5">
        <f t="shared" si="2"/>
        <v>0.86570000000000003</v>
      </c>
      <c r="J7" s="5">
        <f t="shared" si="3"/>
        <v>1.3337333949405104</v>
      </c>
      <c r="K7" s="5">
        <f t="shared" si="4"/>
        <v>0.87745618088191468</v>
      </c>
      <c r="L7">
        <v>10.401</v>
      </c>
      <c r="M7">
        <v>10.172000000000001</v>
      </c>
      <c r="N7">
        <v>10.872</v>
      </c>
      <c r="O7" s="5">
        <f t="shared" si="5"/>
        <v>1150.246423584</v>
      </c>
      <c r="P7" s="5">
        <f t="shared" si="6"/>
        <v>105.79897200000001</v>
      </c>
      <c r="Q7" s="5">
        <f t="shared" si="7"/>
        <v>1.2093930235101582</v>
      </c>
      <c r="R7" s="5">
        <f t="shared" si="8"/>
        <v>0.79565330494089359</v>
      </c>
      <c r="S7" s="5">
        <f t="shared" si="9"/>
        <v>9.7785442774884288</v>
      </c>
      <c r="T7" s="5"/>
      <c r="U7" s="5"/>
      <c r="V7" s="5"/>
      <c r="W7" s="5"/>
      <c r="X7" s="5"/>
      <c r="Y7" s="5">
        <v>1.3913</v>
      </c>
      <c r="Z7" s="5">
        <v>9.5299999999999996E-2</v>
      </c>
      <c r="AA7" s="5">
        <f t="shared" si="11"/>
        <v>1.4865999999999999</v>
      </c>
      <c r="AB7" s="5">
        <f t="shared" si="12"/>
        <v>6.4106013722588449</v>
      </c>
      <c r="AC7" s="5">
        <f t="shared" si="10"/>
        <v>1.5000000000000124E-2</v>
      </c>
    </row>
    <row r="8" spans="1:29" ht="21" x14ac:dyDescent="0.35">
      <c r="A8" s="80"/>
      <c r="B8" s="5">
        <v>5</v>
      </c>
      <c r="C8" s="5"/>
      <c r="D8" s="6">
        <v>1.5019</v>
      </c>
      <c r="E8" s="5">
        <v>1.337</v>
      </c>
      <c r="F8" s="6">
        <f t="shared" si="0"/>
        <v>0.16490000000000005</v>
      </c>
      <c r="G8" s="5">
        <f t="shared" si="1"/>
        <v>10.979426060323593</v>
      </c>
      <c r="H8" s="5">
        <v>0.51729999999999998</v>
      </c>
      <c r="I8" s="5">
        <f t="shared" si="2"/>
        <v>0.81969999999999998</v>
      </c>
      <c r="J8" s="5">
        <f t="shared" si="3"/>
        <v>1.3538001707941929</v>
      </c>
      <c r="K8" s="5">
        <f t="shared" si="4"/>
        <v>0.89065800710144272</v>
      </c>
      <c r="L8">
        <v>10.117000000000001</v>
      </c>
      <c r="M8">
        <v>10.422000000000001</v>
      </c>
      <c r="N8">
        <v>11.391999999999999</v>
      </c>
      <c r="O8" s="5">
        <f t="shared" si="5"/>
        <v>1201.1653486080002</v>
      </c>
      <c r="P8" s="5">
        <f t="shared" si="6"/>
        <v>105.43937400000002</v>
      </c>
      <c r="Q8" s="5">
        <f t="shared" si="7"/>
        <v>1.1130857225855</v>
      </c>
      <c r="R8" s="5">
        <f t="shared" si="8"/>
        <v>0.73229323854309214</v>
      </c>
      <c r="S8" s="5">
        <f t="shared" si="9"/>
        <v>19.515653225363284</v>
      </c>
      <c r="T8" s="5"/>
      <c r="U8" s="5"/>
      <c r="V8" s="5"/>
      <c r="W8" s="5"/>
      <c r="X8" s="5"/>
      <c r="Y8" s="5">
        <v>1.3373999999999999</v>
      </c>
      <c r="Z8" s="5">
        <v>0.1431</v>
      </c>
      <c r="AA8" s="5">
        <f t="shared" si="11"/>
        <v>1.4804999999999999</v>
      </c>
      <c r="AB8" s="5">
        <f t="shared" si="12"/>
        <v>9.6656534954407309</v>
      </c>
      <c r="AC8" s="5">
        <f t="shared" si="10"/>
        <v>2.1400000000000086E-2</v>
      </c>
    </row>
    <row r="9" spans="1:29" ht="21" x14ac:dyDescent="0.35">
      <c r="A9" s="80"/>
      <c r="B9" s="5">
        <v>6</v>
      </c>
      <c r="C9" s="5"/>
      <c r="D9" s="6">
        <v>1.5016</v>
      </c>
      <c r="E9" s="5">
        <v>1.3523000000000001</v>
      </c>
      <c r="F9" s="6">
        <f t="shared" si="0"/>
        <v>0.14929999999999999</v>
      </c>
      <c r="G9" s="5">
        <f t="shared" si="1"/>
        <v>9.9427277570591368</v>
      </c>
      <c r="H9" s="5">
        <v>0.51</v>
      </c>
      <c r="I9" s="5">
        <f t="shared" si="2"/>
        <v>0.84230000000000005</v>
      </c>
      <c r="J9" s="5">
        <f t="shared" si="3"/>
        <v>1.3325525347263445</v>
      </c>
      <c r="K9" s="5">
        <f t="shared" si="4"/>
        <v>0.87667929916206877</v>
      </c>
      <c r="L9">
        <v>10.07</v>
      </c>
      <c r="M9">
        <v>10.33</v>
      </c>
      <c r="N9">
        <v>10.994999999999999</v>
      </c>
      <c r="O9" s="5"/>
      <c r="P9" s="5"/>
      <c r="Q9" s="5"/>
      <c r="R9" s="5"/>
      <c r="S9" s="5"/>
      <c r="T9" s="5"/>
      <c r="U9" s="5"/>
      <c r="V9" s="5"/>
      <c r="W9" s="5"/>
      <c r="X9" s="5"/>
      <c r="Y9" s="5">
        <v>1.3520000000000001</v>
      </c>
      <c r="Z9" s="5">
        <v>0.22120000000000001</v>
      </c>
      <c r="AA9" s="5">
        <f t="shared" si="11"/>
        <v>1.5732000000000002</v>
      </c>
      <c r="AB9" s="5">
        <f t="shared" si="12"/>
        <v>14.060513602847699</v>
      </c>
      <c r="AC9" s="5">
        <f t="shared" si="10"/>
        <v>-7.1600000000000108E-2</v>
      </c>
    </row>
    <row r="10" spans="1:29" ht="21" x14ac:dyDescent="0.35">
      <c r="A10" s="80"/>
      <c r="B10" s="5">
        <v>7</v>
      </c>
      <c r="C10" s="5"/>
      <c r="D10" s="6">
        <v>1.339</v>
      </c>
      <c r="E10" s="5">
        <v>1.2588999999999999</v>
      </c>
      <c r="F10" s="6">
        <f t="shared" si="0"/>
        <v>8.010000000000006E-2</v>
      </c>
      <c r="G10" s="5">
        <f t="shared" si="1"/>
        <v>5.9820761762509385</v>
      </c>
      <c r="H10" s="5">
        <v>0.4597</v>
      </c>
      <c r="I10" s="5">
        <f t="shared" si="2"/>
        <v>0.79919999999999991</v>
      </c>
      <c r="J10" s="5">
        <f t="shared" si="3"/>
        <v>1.3074161661661663</v>
      </c>
      <c r="K10" s="5">
        <f t="shared" si="4"/>
        <v>0.86014221458300411</v>
      </c>
      <c r="L10">
        <v>10.295</v>
      </c>
      <c r="M10">
        <v>10.266</v>
      </c>
      <c r="N10">
        <v>10.25</v>
      </c>
      <c r="O10" s="5">
        <f t="shared" si="5"/>
        <v>1083.3068174999999</v>
      </c>
      <c r="P10" s="5">
        <f t="shared" si="6"/>
        <v>105.68847</v>
      </c>
      <c r="Q10" s="5">
        <f t="shared" si="7"/>
        <v>1.1620899819547199</v>
      </c>
      <c r="R10" s="5">
        <f t="shared" si="8"/>
        <v>0.76453288286494725</v>
      </c>
      <c r="S10" s="5">
        <f t="shared" si="9"/>
        <v>11.76965559061507</v>
      </c>
      <c r="T10" s="5"/>
      <c r="U10" s="5"/>
      <c r="V10" s="5"/>
      <c r="W10" s="5"/>
      <c r="X10" s="5"/>
      <c r="Y10" s="5">
        <v>1.2597</v>
      </c>
      <c r="Z10" s="5">
        <v>8.7499999999999994E-2</v>
      </c>
      <c r="AA10" s="5">
        <f t="shared" si="11"/>
        <v>1.3472</v>
      </c>
      <c r="AB10" s="5">
        <f t="shared" si="12"/>
        <v>6.4949524940617582</v>
      </c>
      <c r="AC10" s="5">
        <f t="shared" si="10"/>
        <v>-8.1999999999999851E-3</v>
      </c>
    </row>
    <row r="11" spans="1:29" ht="21" x14ac:dyDescent="0.35">
      <c r="A11" s="80" t="s">
        <v>48</v>
      </c>
      <c r="B11" s="7">
        <v>8</v>
      </c>
      <c r="C11" s="7"/>
      <c r="D11" s="7">
        <v>1.5001</v>
      </c>
      <c r="E11" s="7">
        <v>1.4816</v>
      </c>
      <c r="F11" s="8">
        <f t="shared" si="0"/>
        <v>1.8499999999999961E-2</v>
      </c>
      <c r="G11" s="7">
        <f t="shared" si="1"/>
        <v>1.2332511165922246</v>
      </c>
      <c r="H11" s="7">
        <v>0.55410000000000004</v>
      </c>
      <c r="I11" s="7">
        <f t="shared" si="2"/>
        <v>0.92749999999999999</v>
      </c>
      <c r="J11" s="7">
        <f t="shared" si="3"/>
        <v>1.3258522911051212</v>
      </c>
      <c r="K11" s="7">
        <f t="shared" si="4"/>
        <v>0.87227124414810597</v>
      </c>
      <c r="L11">
        <v>10.401</v>
      </c>
      <c r="M11">
        <v>10.085000000000001</v>
      </c>
      <c r="N11">
        <v>12.15</v>
      </c>
      <c r="O11" s="7">
        <f t="shared" si="5"/>
        <v>1274.4631327500001</v>
      </c>
      <c r="P11" s="7">
        <f t="shared" si="6"/>
        <v>104.894085</v>
      </c>
      <c r="Q11" s="5">
        <f t="shared" si="7"/>
        <v>1.1625287243916156</v>
      </c>
      <c r="R11" s="5">
        <f t="shared" si="8"/>
        <v>0.76482152920501023</v>
      </c>
      <c r="S11" s="5">
        <f t="shared" si="9"/>
        <v>13.126893807369971</v>
      </c>
      <c r="T11" s="7"/>
      <c r="U11" s="7"/>
      <c r="V11" s="7"/>
      <c r="W11" s="7"/>
      <c r="X11" s="7"/>
      <c r="Y11" s="7">
        <v>1.4811000000000001</v>
      </c>
      <c r="Z11" s="7">
        <v>6.9900000000000004E-2</v>
      </c>
      <c r="AA11" s="7">
        <f t="shared" si="11"/>
        <v>1.5510000000000002</v>
      </c>
      <c r="AB11" s="7">
        <f t="shared" si="12"/>
        <v>4.5067698259187621</v>
      </c>
      <c r="AC11" s="7">
        <f t="shared" si="10"/>
        <v>-5.0900000000000167E-2</v>
      </c>
    </row>
    <row r="12" spans="1:29" ht="21" x14ac:dyDescent="0.35">
      <c r="A12" s="80"/>
      <c r="B12" s="5">
        <v>9</v>
      </c>
      <c r="C12" s="5"/>
      <c r="D12" s="5">
        <v>1.5004</v>
      </c>
      <c r="E12" s="5">
        <v>1.6052</v>
      </c>
      <c r="F12" s="6">
        <f t="shared" si="0"/>
        <v>0.1048</v>
      </c>
      <c r="G12" s="5">
        <f t="shared" si="1"/>
        <v>6.9848040522527324</v>
      </c>
      <c r="H12" s="5">
        <v>0.57289999999999996</v>
      </c>
      <c r="I12" s="5">
        <f t="shared" si="2"/>
        <v>1.0323</v>
      </c>
      <c r="J12" s="5">
        <f t="shared" si="3"/>
        <v>1.2906286932093383</v>
      </c>
      <c r="K12" s="5">
        <f t="shared" si="4"/>
        <v>0.84909782447982785</v>
      </c>
      <c r="L12">
        <v>10.186999999999999</v>
      </c>
      <c r="M12">
        <v>10.131</v>
      </c>
      <c r="N12">
        <v>13.302</v>
      </c>
      <c r="O12" s="5">
        <f t="shared" si="5"/>
        <v>1372.8262190939997</v>
      </c>
      <c r="P12" s="5">
        <f t="shared" si="6"/>
        <v>103.20449699999999</v>
      </c>
      <c r="Q12" s="5">
        <f t="shared" si="7"/>
        <v>1.169266712475346</v>
      </c>
      <c r="R12" s="5">
        <f t="shared" si="8"/>
        <v>0.76925441610220124</v>
      </c>
      <c r="S12" s="5">
        <f t="shared" si="9"/>
        <v>9.8672472377102984</v>
      </c>
      <c r="T12" s="5"/>
      <c r="U12" s="5"/>
      <c r="V12" s="5"/>
      <c r="W12" s="5"/>
      <c r="X12" s="5"/>
      <c r="Y12" s="5">
        <v>1.6052999999999999</v>
      </c>
      <c r="Z12" s="5">
        <v>6.3799999999999996E-2</v>
      </c>
      <c r="AA12" s="5">
        <f t="shared" si="11"/>
        <v>1.6691</v>
      </c>
      <c r="AB12" s="5">
        <f t="shared" si="12"/>
        <v>3.8224192678689111</v>
      </c>
      <c r="AC12" s="5">
        <f t="shared" si="10"/>
        <v>-0.16870000000000007</v>
      </c>
    </row>
    <row r="13" spans="1:29" ht="21" x14ac:dyDescent="0.35">
      <c r="A13" s="80"/>
      <c r="B13" s="5">
        <v>10</v>
      </c>
      <c r="C13" s="5"/>
      <c r="D13" s="5">
        <v>1.5019</v>
      </c>
      <c r="E13" s="5">
        <v>1.4555</v>
      </c>
      <c r="F13" s="6">
        <f t="shared" si="0"/>
        <v>4.6399999999999997E-2</v>
      </c>
      <c r="G13" s="5">
        <f t="shared" si="1"/>
        <v>3.0894200679139754</v>
      </c>
      <c r="H13" s="5">
        <v>0.56930000000000003</v>
      </c>
      <c r="I13" s="5">
        <f t="shared" si="2"/>
        <v>0.88619999999999999</v>
      </c>
      <c r="J13" s="5">
        <f t="shared" si="3"/>
        <v>1.3631967953058</v>
      </c>
      <c r="K13" s="5">
        <f t="shared" si="4"/>
        <v>0.89683999691171046</v>
      </c>
      <c r="L13">
        <v>10.09</v>
      </c>
      <c r="M13">
        <v>10.164</v>
      </c>
      <c r="N13">
        <v>11.063000000000001</v>
      </c>
      <c r="O13" s="5">
        <f t="shared" si="5"/>
        <v>1134.5633098800001</v>
      </c>
      <c r="P13" s="5">
        <f t="shared" si="6"/>
        <v>102.55476</v>
      </c>
      <c r="Q13" s="5">
        <f t="shared" si="7"/>
        <v>1.2828724385190498</v>
      </c>
      <c r="R13" s="5">
        <f t="shared" si="8"/>
        <v>0.84399502534148008</v>
      </c>
      <c r="S13" s="5">
        <f t="shared" si="9"/>
        <v>6.0712210973136678</v>
      </c>
      <c r="T13" s="5"/>
      <c r="U13" s="5"/>
      <c r="V13" s="5"/>
      <c r="W13" s="5"/>
      <c r="X13" s="5"/>
      <c r="Y13" s="5">
        <v>1.4542999999999999</v>
      </c>
      <c r="Z13" s="5">
        <v>3.7499999999999999E-2</v>
      </c>
      <c r="AA13" s="5">
        <f t="shared" si="11"/>
        <v>1.4918</v>
      </c>
      <c r="AB13" s="5">
        <f t="shared" si="12"/>
        <v>2.5137417884434909</v>
      </c>
      <c r="AC13" s="5">
        <f t="shared" si="10"/>
        <v>1.0099999999999998E-2</v>
      </c>
    </row>
    <row r="14" spans="1:29" ht="21" x14ac:dyDescent="0.35">
      <c r="A14" s="80"/>
      <c r="B14" s="5">
        <v>11</v>
      </c>
      <c r="C14" s="5"/>
      <c r="D14" s="6">
        <v>1.5001</v>
      </c>
      <c r="E14" s="5">
        <v>1.488</v>
      </c>
      <c r="F14" s="6">
        <f t="shared" si="0"/>
        <v>1.21E-2</v>
      </c>
      <c r="G14" s="5">
        <f t="shared" si="1"/>
        <v>0.80661289247383505</v>
      </c>
      <c r="H14" s="5">
        <v>0.54500000000000004</v>
      </c>
      <c r="I14" s="5">
        <f t="shared" si="2"/>
        <v>0.94299999999999995</v>
      </c>
      <c r="J14" s="5">
        <f t="shared" si="3"/>
        <v>1.3096924708377518</v>
      </c>
      <c r="K14" s="5">
        <f t="shared" si="4"/>
        <v>0.86163978344588932</v>
      </c>
      <c r="L14">
        <v>10.378</v>
      </c>
      <c r="M14">
        <v>10.305</v>
      </c>
      <c r="N14">
        <v>13.004</v>
      </c>
      <c r="O14" s="5">
        <f t="shared" si="5"/>
        <v>1390.7165511599999</v>
      </c>
      <c r="P14" s="5">
        <f t="shared" si="6"/>
        <v>106.94529</v>
      </c>
      <c r="Q14" s="5">
        <f t="shared" si="7"/>
        <v>1.0699520321080926</v>
      </c>
      <c r="R14" s="5">
        <f t="shared" si="8"/>
        <v>0.70391581059742936</v>
      </c>
      <c r="S14" s="5">
        <f t="shared" si="9"/>
        <v>20.149265021130351</v>
      </c>
      <c r="T14" s="5"/>
      <c r="U14" s="5"/>
      <c r="V14" s="5"/>
      <c r="W14" s="5"/>
      <c r="X14" s="5"/>
      <c r="Y14" s="5">
        <v>1.4870000000000001</v>
      </c>
      <c r="Z14" s="5">
        <v>5.4699999999999999E-2</v>
      </c>
      <c r="AA14" s="5">
        <f t="shared" si="11"/>
        <v>1.5417000000000001</v>
      </c>
      <c r="AB14" s="5">
        <f t="shared" si="12"/>
        <v>3.548031393915807</v>
      </c>
      <c r="AC14" s="5">
        <f t="shared" si="10"/>
        <v>-4.1600000000000081E-2</v>
      </c>
    </row>
    <row r="15" spans="1:29" ht="21" x14ac:dyDescent="0.35">
      <c r="A15" s="80"/>
      <c r="B15" s="5">
        <v>12</v>
      </c>
      <c r="C15" s="5"/>
      <c r="D15" s="5">
        <v>1.5016</v>
      </c>
      <c r="E15" s="5">
        <v>1.4458</v>
      </c>
      <c r="F15" s="6">
        <f t="shared" si="0"/>
        <v>5.5800000000000072E-2</v>
      </c>
      <c r="G15" s="5">
        <f t="shared" si="1"/>
        <v>3.7160362280234462</v>
      </c>
      <c r="H15" s="5">
        <v>0.57909999999999995</v>
      </c>
      <c r="I15" s="5">
        <f t="shared" si="2"/>
        <v>0.86670000000000003</v>
      </c>
      <c r="J15" s="5">
        <f t="shared" si="3"/>
        <v>1.3845782854505595</v>
      </c>
      <c r="K15" s="5">
        <f t="shared" si="4"/>
        <v>0.91090676674378912</v>
      </c>
      <c r="L15">
        <v>10.182</v>
      </c>
      <c r="M15">
        <v>10.137</v>
      </c>
      <c r="N15">
        <v>10.412000000000001</v>
      </c>
      <c r="O15" s="5">
        <f t="shared" si="5"/>
        <v>1074.6738928080001</v>
      </c>
      <c r="P15" s="5">
        <f t="shared" si="6"/>
        <v>103.21493400000001</v>
      </c>
      <c r="Q15" s="5">
        <f t="shared" si="7"/>
        <v>1.3453383483824006</v>
      </c>
      <c r="R15" s="5">
        <f t="shared" si="8"/>
        <v>0.88509101867263196</v>
      </c>
      <c r="S15" s="5">
        <f t="shared" si="9"/>
        <v>2.8748084525250674</v>
      </c>
      <c r="T15" s="5"/>
      <c r="U15" s="5"/>
      <c r="V15" s="5"/>
      <c r="W15" s="5"/>
      <c r="X15" s="5"/>
      <c r="Y15" s="5">
        <v>1.4454</v>
      </c>
      <c r="Z15" s="5">
        <v>4.6800000000000001E-2</v>
      </c>
      <c r="AA15" s="5">
        <f t="shared" si="11"/>
        <v>1.4922</v>
      </c>
      <c r="AB15" s="5">
        <f t="shared" si="12"/>
        <v>3.1363088057901085</v>
      </c>
      <c r="AC15" s="5">
        <f t="shared" si="10"/>
        <v>9.400000000000075E-3</v>
      </c>
    </row>
    <row r="16" spans="1:29" ht="21" x14ac:dyDescent="0.35">
      <c r="A16" s="80"/>
      <c r="B16" s="5">
        <v>13</v>
      </c>
      <c r="C16" s="5"/>
      <c r="D16" s="5">
        <v>1.5021</v>
      </c>
      <c r="E16" s="5">
        <v>1.4303999999999999</v>
      </c>
      <c r="F16" s="6">
        <f t="shared" si="0"/>
        <v>7.1700000000000097E-2</v>
      </c>
      <c r="G16" s="5">
        <f t="shared" si="1"/>
        <v>4.7733173557020239</v>
      </c>
      <c r="H16" s="5">
        <v>0.54810000000000003</v>
      </c>
      <c r="I16" s="5">
        <f t="shared" si="2"/>
        <v>0.88229999999999986</v>
      </c>
      <c r="J16" s="5">
        <f>E16*$J$2/I16</f>
        <v>1.3456103366201972</v>
      </c>
      <c r="K16" s="5">
        <f t="shared" si="4"/>
        <v>0.88526995830276134</v>
      </c>
      <c r="L16">
        <v>10.304</v>
      </c>
      <c r="M16">
        <v>10.252000000000001</v>
      </c>
      <c r="N16">
        <v>10.943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>
        <v>1.4295</v>
      </c>
      <c r="Z16" s="5">
        <v>7.6399999999999996E-2</v>
      </c>
      <c r="AA16" s="5">
        <f t="shared" si="11"/>
        <v>1.5059</v>
      </c>
      <c r="AB16" s="5">
        <f t="shared" si="12"/>
        <v>5.073378046351019</v>
      </c>
      <c r="AC16" s="5">
        <f t="shared" si="10"/>
        <v>-3.8000000000000256E-3</v>
      </c>
    </row>
    <row r="17" spans="1:29" ht="21" x14ac:dyDescent="0.35">
      <c r="A17" s="80"/>
      <c r="B17" s="5">
        <v>14</v>
      </c>
      <c r="C17" s="5"/>
      <c r="D17" s="5">
        <v>1.6252</v>
      </c>
      <c r="E17" s="5">
        <v>1.5682</v>
      </c>
      <c r="F17" s="6">
        <f t="shared" si="0"/>
        <v>5.699999999999994E-2</v>
      </c>
      <c r="G17" s="5">
        <f t="shared" si="1"/>
        <v>3.5072606448437078</v>
      </c>
      <c r="H17" s="5">
        <v>0.58399999999999996</v>
      </c>
      <c r="I17" s="5">
        <f t="shared" si="2"/>
        <v>0.98420000000000007</v>
      </c>
      <c r="J17" s="5">
        <f t="shared" si="3"/>
        <v>1.3225015240804714</v>
      </c>
      <c r="K17" s="5">
        <f t="shared" si="4"/>
        <v>0.87006679215820482</v>
      </c>
      <c r="L17">
        <v>10.093</v>
      </c>
      <c r="M17">
        <v>10.055</v>
      </c>
      <c r="N17">
        <v>12.148999999999999</v>
      </c>
      <c r="O17" s="5">
        <f t="shared" si="5"/>
        <v>1232.9426621349999</v>
      </c>
      <c r="P17" s="5">
        <f t="shared" si="6"/>
        <v>101.48511499999999</v>
      </c>
      <c r="Q17" s="5">
        <f t="shared" si="7"/>
        <v>1.2719164063026731</v>
      </c>
      <c r="R17" s="5">
        <f t="shared" si="8"/>
        <v>0.8367871094096534</v>
      </c>
      <c r="S17" s="5">
        <f t="shared" si="9"/>
        <v>3.8995350121040717</v>
      </c>
      <c r="T17" s="5"/>
      <c r="U17" s="5"/>
      <c r="V17" s="5"/>
      <c r="W17" s="5"/>
      <c r="X17" s="5"/>
      <c r="Y17" s="5">
        <v>1.5682</v>
      </c>
      <c r="Z17" s="5">
        <v>7.3599999999999999E-2</v>
      </c>
      <c r="AA17" s="5">
        <f t="shared" si="11"/>
        <v>1.6417999999999999</v>
      </c>
      <c r="AB17" s="5">
        <f t="shared" si="12"/>
        <v>4.4828846388110613</v>
      </c>
      <c r="AC17" s="5">
        <f t="shared" si="10"/>
        <v>-1.6599999999999948E-2</v>
      </c>
    </row>
    <row r="18" spans="1:29" ht="21" x14ac:dyDescent="0.35">
      <c r="A18" s="80" t="s">
        <v>49</v>
      </c>
      <c r="B18" s="5">
        <v>15</v>
      </c>
      <c r="C18" s="7"/>
      <c r="D18" s="7">
        <v>1.5005999999999999</v>
      </c>
      <c r="E18" s="7">
        <v>1.4334</v>
      </c>
      <c r="F18" s="8">
        <f t="shared" si="0"/>
        <v>6.7199999999999926E-2</v>
      </c>
      <c r="G18" s="7">
        <f t="shared" si="1"/>
        <v>4.4782087165133895</v>
      </c>
      <c r="H18" s="7">
        <v>0.55230000000000001</v>
      </c>
      <c r="I18" s="7">
        <f t="shared" si="2"/>
        <v>0.88109999999999999</v>
      </c>
      <c r="J18" s="7">
        <f t="shared" si="3"/>
        <v>1.3502689819543752</v>
      </c>
      <c r="K18" s="7">
        <f t="shared" si="4"/>
        <v>0.88833485654893107</v>
      </c>
      <c r="L18">
        <v>10.023</v>
      </c>
      <c r="M18">
        <v>10.101000000000001</v>
      </c>
      <c r="N18">
        <v>10.945</v>
      </c>
      <c r="O18" s="7">
        <f t="shared" si="5"/>
        <v>1108.097225235</v>
      </c>
      <c r="P18" s="7">
        <f t="shared" si="6"/>
        <v>101.242323</v>
      </c>
      <c r="Q18" s="5">
        <f t="shared" si="7"/>
        <v>1.2935688018675537</v>
      </c>
      <c r="R18" s="5">
        <f t="shared" si="8"/>
        <v>0.85103210649181171</v>
      </c>
      <c r="S18" s="5">
        <f t="shared" si="9"/>
        <v>4.2892329048157949</v>
      </c>
      <c r="T18" s="7"/>
      <c r="U18" s="7"/>
      <c r="V18" s="7"/>
      <c r="W18" s="7"/>
      <c r="X18" s="7"/>
      <c r="Y18" s="7">
        <v>1.4332</v>
      </c>
      <c r="Z18" s="7">
        <v>5.5599999999999997E-2</v>
      </c>
      <c r="AA18" s="7">
        <f t="shared" si="11"/>
        <v>1.4888000000000001</v>
      </c>
      <c r="AB18" s="7">
        <f t="shared" si="12"/>
        <v>3.7345513164965065</v>
      </c>
      <c r="AC18" s="7">
        <f t="shared" si="10"/>
        <v>1.1799999999999811E-2</v>
      </c>
    </row>
    <row r="19" spans="1:29" ht="21" x14ac:dyDescent="0.35">
      <c r="A19" s="80"/>
      <c r="B19" s="5">
        <v>16</v>
      </c>
      <c r="C19" s="5"/>
      <c r="D19" s="5">
        <v>1.5015000000000001</v>
      </c>
      <c r="E19" s="5">
        <v>1.4689000000000001</v>
      </c>
      <c r="F19" s="6">
        <f t="shared" si="0"/>
        <v>3.2599999999999962E-2</v>
      </c>
      <c r="G19" s="5">
        <f t="shared" si="1"/>
        <v>2.1711621711621687</v>
      </c>
      <c r="H19" s="5">
        <v>0.58989999999999998</v>
      </c>
      <c r="I19" s="5">
        <f t="shared" si="2"/>
        <v>0.87900000000000011</v>
      </c>
      <c r="J19" s="5">
        <f t="shared" si="3"/>
        <v>1.3870159271899885</v>
      </c>
      <c r="K19" s="5">
        <f t="shared" si="4"/>
        <v>0.91251047841446609</v>
      </c>
      <c r="L19">
        <v>10.093999999999999</v>
      </c>
      <c r="M19">
        <v>10.164999999999999</v>
      </c>
      <c r="N19">
        <v>10.42</v>
      </c>
      <c r="O19" s="5">
        <f t="shared" si="5"/>
        <v>1069.1494141999997</v>
      </c>
      <c r="P19" s="5">
        <f t="shared" si="6"/>
        <v>102.60550999999998</v>
      </c>
      <c r="Q19" s="5">
        <f t="shared" si="7"/>
        <v>1.3738959031269893</v>
      </c>
      <c r="R19" s="5">
        <f t="shared" si="8"/>
        <v>0.90387888363617719</v>
      </c>
      <c r="S19" s="5">
        <f t="shared" si="9"/>
        <v>0.95041239049585091</v>
      </c>
      <c r="T19" s="5"/>
      <c r="U19" s="5"/>
      <c r="V19" s="5"/>
      <c r="W19" s="5"/>
      <c r="X19" s="5"/>
      <c r="Y19" s="5">
        <v>1.4681999999999999</v>
      </c>
      <c r="Z19" s="5">
        <v>1.89E-2</v>
      </c>
      <c r="AA19" s="5">
        <f t="shared" si="11"/>
        <v>1.4870999999999999</v>
      </c>
      <c r="AB19" s="5">
        <f t="shared" si="12"/>
        <v>1.2709299979826509</v>
      </c>
      <c r="AC19" s="5">
        <f t="shared" si="10"/>
        <v>1.440000000000019E-2</v>
      </c>
    </row>
    <row r="20" spans="1:29" ht="21" x14ac:dyDescent="0.35">
      <c r="A20" s="80"/>
      <c r="B20" s="5">
        <v>17</v>
      </c>
      <c r="C20" s="5"/>
      <c r="D20" s="5">
        <v>1.4991000000000001</v>
      </c>
      <c r="E20" s="5">
        <v>1.2663</v>
      </c>
      <c r="F20" s="6">
        <f t="shared" si="0"/>
        <v>0.23280000000000012</v>
      </c>
      <c r="G20" s="5">
        <f t="shared" si="1"/>
        <v>15.52931759055434</v>
      </c>
      <c r="H20" s="5">
        <v>0.48970000000000002</v>
      </c>
      <c r="I20" s="5">
        <f t="shared" si="2"/>
        <v>0.77659999999999996</v>
      </c>
      <c r="J20" s="5">
        <f t="shared" si="3"/>
        <v>1.3533723924800414</v>
      </c>
      <c r="K20" s="5">
        <f t="shared" si="4"/>
        <v>0.89037657400002723</v>
      </c>
      <c r="L20">
        <v>10.08</v>
      </c>
      <c r="M20">
        <v>10.337</v>
      </c>
      <c r="N20">
        <v>9.6479999999999997</v>
      </c>
      <c r="O20" s="5">
        <f t="shared" si="5"/>
        <v>1005.29227008</v>
      </c>
      <c r="P20" s="5">
        <f t="shared" si="6"/>
        <v>104.19696</v>
      </c>
      <c r="Q20" s="5">
        <f t="shared" si="7"/>
        <v>1.2596336783721904</v>
      </c>
      <c r="R20" s="5">
        <f t="shared" si="8"/>
        <v>0.82870636735012526</v>
      </c>
      <c r="S20" s="5">
        <f t="shared" si="9"/>
        <v>7.1747796649609823</v>
      </c>
      <c r="T20" s="5"/>
      <c r="U20" s="5"/>
      <c r="V20" s="5"/>
      <c r="W20" s="5"/>
      <c r="X20" s="5"/>
      <c r="Y20" s="5">
        <v>1.266</v>
      </c>
      <c r="Z20" s="5">
        <v>0.22539999999999999</v>
      </c>
      <c r="AA20" s="5">
        <f t="shared" si="11"/>
        <v>1.4914000000000001</v>
      </c>
      <c r="AB20" s="5">
        <f t="shared" si="12"/>
        <v>15.113316347056454</v>
      </c>
      <c r="AC20" s="5">
        <f t="shared" si="10"/>
        <v>7.7000000000000401E-3</v>
      </c>
    </row>
    <row r="21" spans="1:29" ht="21" x14ac:dyDescent="0.35">
      <c r="A21" s="80"/>
      <c r="B21" s="5">
        <v>18</v>
      </c>
      <c r="C21" s="5"/>
      <c r="D21" s="5">
        <v>1.5013000000000001</v>
      </c>
      <c r="E21" s="5">
        <v>1.4069</v>
      </c>
      <c r="F21" s="6">
        <f t="shared" si="0"/>
        <v>9.4400000000000039E-2</v>
      </c>
      <c r="G21" s="5">
        <f t="shared" si="1"/>
        <v>6.2878838340105272</v>
      </c>
      <c r="H21" s="5">
        <v>0.52780000000000005</v>
      </c>
      <c r="I21" s="5">
        <f t="shared" si="2"/>
        <v>0.87909999999999999</v>
      </c>
      <c r="J21" s="5">
        <f t="shared" si="3"/>
        <v>1.3283210101239904</v>
      </c>
      <c r="K21" s="5">
        <f t="shared" si="4"/>
        <v>0.8738954013973621</v>
      </c>
      <c r="L21">
        <v>10.32</v>
      </c>
      <c r="M21">
        <v>10.393000000000001</v>
      </c>
      <c r="N21">
        <v>10.984</v>
      </c>
      <c r="O21" s="5">
        <f t="shared" si="5"/>
        <v>1178.0972678400001</v>
      </c>
      <c r="P21" s="5">
        <f t="shared" si="6"/>
        <v>107.25576000000001</v>
      </c>
      <c r="Q21" s="5">
        <f t="shared" si="7"/>
        <v>1.1942137872703005</v>
      </c>
      <c r="R21" s="5">
        <f t="shared" si="8"/>
        <v>0.78566696530940816</v>
      </c>
      <c r="S21" s="5">
        <f t="shared" si="9"/>
        <v>10.632735214770396</v>
      </c>
      <c r="T21" s="5"/>
      <c r="U21" s="5"/>
      <c r="V21" s="5"/>
      <c r="W21" s="5"/>
      <c r="X21" s="5"/>
      <c r="Y21" s="5">
        <v>1.4071</v>
      </c>
      <c r="Z21" s="5">
        <v>0.11899999999999999</v>
      </c>
      <c r="AA21" s="5">
        <f t="shared" si="11"/>
        <v>1.5261</v>
      </c>
      <c r="AB21" s="5">
        <f t="shared" si="12"/>
        <v>7.7976541511041209</v>
      </c>
      <c r="AC21" s="5">
        <f t="shared" si="10"/>
        <v>-2.4799999999999933E-2</v>
      </c>
    </row>
    <row r="22" spans="1:29" ht="21" x14ac:dyDescent="0.35">
      <c r="A22" s="80"/>
      <c r="B22" s="5">
        <v>19</v>
      </c>
      <c r="C22" s="5"/>
      <c r="D22" s="5">
        <v>1.4990000000000001</v>
      </c>
      <c r="E22" s="5">
        <v>1.4725999999999999</v>
      </c>
      <c r="F22" s="6">
        <f t="shared" si="0"/>
        <v>2.6400000000000201E-2</v>
      </c>
      <c r="G22" s="5">
        <f t="shared" si="1"/>
        <v>1.7611741160773982</v>
      </c>
      <c r="H22" s="5">
        <v>0.56669999999999998</v>
      </c>
      <c r="I22" s="5">
        <f t="shared" si="2"/>
        <v>0.90589999999999993</v>
      </c>
      <c r="J22" s="5">
        <f t="shared" si="3"/>
        <v>1.3492195606579092</v>
      </c>
      <c r="K22" s="5">
        <f t="shared" si="4"/>
        <v>0.88764444780125606</v>
      </c>
      <c r="L22">
        <v>10.477</v>
      </c>
      <c r="M22">
        <v>10.696</v>
      </c>
      <c r="N22">
        <v>11.233000000000001</v>
      </c>
      <c r="O22" s="5">
        <f t="shared" si="5"/>
        <v>1258.7923561360001</v>
      </c>
      <c r="P22" s="5">
        <f t="shared" si="6"/>
        <v>112.061992</v>
      </c>
      <c r="Q22" s="5">
        <f t="shared" si="7"/>
        <v>1.1698513998927556</v>
      </c>
      <c r="R22" s="5">
        <f t="shared" si="8"/>
        <v>0.76963907887681282</v>
      </c>
      <c r="S22" s="5">
        <f t="shared" si="9"/>
        <v>14.240818426642813</v>
      </c>
      <c r="T22" s="5"/>
      <c r="U22" s="5"/>
      <c r="V22" s="5"/>
      <c r="W22" s="5"/>
      <c r="X22" s="5"/>
      <c r="Y22" s="5">
        <v>1.472</v>
      </c>
      <c r="Z22" s="5">
        <v>5.16E-2</v>
      </c>
      <c r="AA22" s="5">
        <f t="shared" si="11"/>
        <v>1.5236000000000001</v>
      </c>
      <c r="AB22" s="5">
        <f t="shared" si="12"/>
        <v>3.3867156734050932</v>
      </c>
      <c r="AC22" s="5">
        <f t="shared" si="10"/>
        <v>-2.4599999999999955E-2</v>
      </c>
    </row>
    <row r="23" spans="1:29" ht="21" x14ac:dyDescent="0.35">
      <c r="A23" s="80"/>
      <c r="B23" s="5">
        <v>20</v>
      </c>
      <c r="C23" s="5"/>
      <c r="D23" s="5">
        <v>1.4982</v>
      </c>
      <c r="E23" s="5">
        <v>1.4515</v>
      </c>
      <c r="F23" s="6">
        <f t="shared" si="0"/>
        <v>4.6699999999999964E-2</v>
      </c>
      <c r="G23" s="5">
        <f t="shared" si="1"/>
        <v>3.1170738219196346</v>
      </c>
      <c r="H23" s="5">
        <v>0.57669999999999999</v>
      </c>
      <c r="I23" s="5">
        <f t="shared" si="2"/>
        <v>0.87480000000000002</v>
      </c>
      <c r="J23" s="5">
        <f t="shared" si="3"/>
        <v>1.3771662094192958</v>
      </c>
      <c r="K23" s="5">
        <f t="shared" si="4"/>
        <v>0.9060304009337472</v>
      </c>
      <c r="L23">
        <v>10.307</v>
      </c>
      <c r="M23">
        <v>10.087999999999999</v>
      </c>
      <c r="N23">
        <v>10.634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>
        <v>1.4501999999999999</v>
      </c>
      <c r="Z23" s="5">
        <v>3.2500000000000001E-2</v>
      </c>
      <c r="AA23" s="5">
        <f t="shared" si="11"/>
        <v>1.4826999999999999</v>
      </c>
      <c r="AB23" s="5">
        <f t="shared" si="12"/>
        <v>2.1919471234909289</v>
      </c>
      <c r="AC23" s="5">
        <f t="shared" si="10"/>
        <v>1.5500000000000069E-2</v>
      </c>
    </row>
    <row r="24" spans="1:29" ht="21" x14ac:dyDescent="0.35">
      <c r="A24" s="80"/>
      <c r="B24" s="5">
        <v>21</v>
      </c>
      <c r="C24" s="5"/>
      <c r="D24" s="5">
        <v>1.5008999999999999</v>
      </c>
      <c r="E24" s="5">
        <v>1.4499</v>
      </c>
      <c r="F24" s="6">
        <f t="shared" si="0"/>
        <v>5.0999999999999934E-2</v>
      </c>
      <c r="G24" s="5">
        <f t="shared" si="1"/>
        <v>3.3979612232660363</v>
      </c>
      <c r="H24" s="5">
        <v>0.53320000000000001</v>
      </c>
      <c r="I24" s="5">
        <f t="shared" si="2"/>
        <v>0.91669999999999996</v>
      </c>
      <c r="J24" s="5">
        <f t="shared" si="3"/>
        <v>1.3127708083342424</v>
      </c>
      <c r="K24" s="5">
        <f t="shared" si="4"/>
        <v>0.86366500548305425</v>
      </c>
      <c r="L24">
        <v>10.041</v>
      </c>
      <c r="M24">
        <v>10.173</v>
      </c>
      <c r="N24">
        <v>12.244999999999999</v>
      </c>
      <c r="O24" s="5">
        <f t="shared" si="5"/>
        <v>1250.791153785</v>
      </c>
      <c r="P24" s="5">
        <f t="shared" si="6"/>
        <v>102.147093</v>
      </c>
      <c r="Q24" s="5">
        <f t="shared" si="7"/>
        <v>1.1591863242816194</v>
      </c>
      <c r="R24" s="5">
        <f t="shared" si="8"/>
        <v>0.76262258176422326</v>
      </c>
      <c r="S24" s="5">
        <f t="shared" si="9"/>
        <v>12.426144614417131</v>
      </c>
      <c r="T24" s="5"/>
      <c r="U24" s="5"/>
      <c r="V24" s="5"/>
      <c r="W24" s="5"/>
      <c r="X24" s="5"/>
      <c r="Y24" s="5">
        <v>1.4501999999999999</v>
      </c>
      <c r="Z24" s="5">
        <v>0.10249999999999999</v>
      </c>
      <c r="AA24" s="5">
        <f t="shared" si="11"/>
        <v>1.5527</v>
      </c>
      <c r="AB24" s="5">
        <f t="shared" si="12"/>
        <v>6.6014040059251631</v>
      </c>
      <c r="AC24" s="5">
        <f t="shared" si="10"/>
        <v>-5.1800000000000068E-2</v>
      </c>
    </row>
    <row r="25" spans="1:29" ht="21" x14ac:dyDescent="0.35">
      <c r="A25" s="80" t="s">
        <v>50</v>
      </c>
      <c r="B25" s="5">
        <v>22</v>
      </c>
      <c r="C25" s="7"/>
      <c r="D25" s="7">
        <v>1.4994000000000001</v>
      </c>
      <c r="E25" s="7">
        <v>1.4303999999999999</v>
      </c>
      <c r="F25" s="8">
        <f t="shared" si="0"/>
        <v>6.9000000000000172E-2</v>
      </c>
      <c r="G25" s="7">
        <f t="shared" si="1"/>
        <v>4.6018407362945286</v>
      </c>
      <c r="H25" s="7">
        <v>0.55249999999999999</v>
      </c>
      <c r="I25" s="7">
        <f t="shared" si="2"/>
        <v>0.8778999999999999</v>
      </c>
      <c r="J25" s="7">
        <f t="shared" si="3"/>
        <v>1.3523544822872764</v>
      </c>
      <c r="K25" s="7">
        <f t="shared" si="4"/>
        <v>0.88970689624162924</v>
      </c>
      <c r="L25">
        <v>10.118</v>
      </c>
      <c r="M25">
        <v>10.212</v>
      </c>
      <c r="N25">
        <v>11.157999999999999</v>
      </c>
      <c r="O25" s="7">
        <f t="shared" si="5"/>
        <v>1152.900528528</v>
      </c>
      <c r="P25" s="7">
        <f t="shared" si="6"/>
        <v>103.32501600000001</v>
      </c>
      <c r="Q25" s="5">
        <f t="shared" si="7"/>
        <v>1.2406968030679155</v>
      </c>
      <c r="R25" s="5">
        <f t="shared" si="8"/>
        <v>0.81624789675520759</v>
      </c>
      <c r="S25" s="5">
        <f t="shared" si="9"/>
        <v>8.6120687122519595</v>
      </c>
      <c r="T25" s="7"/>
      <c r="U25" s="7"/>
      <c r="V25" s="7"/>
      <c r="W25" s="7"/>
      <c r="X25" s="7"/>
      <c r="Y25" s="7">
        <v>1.4296</v>
      </c>
      <c r="Z25" s="7">
        <v>6.54E-2</v>
      </c>
      <c r="AA25" s="7">
        <f t="shared" si="11"/>
        <v>1.4949999999999999</v>
      </c>
      <c r="AB25" s="7">
        <f t="shared" si="12"/>
        <v>4.3745819397993317</v>
      </c>
      <c r="AC25" s="7">
        <f t="shared" si="10"/>
        <v>4.4000000000001815E-3</v>
      </c>
    </row>
    <row r="26" spans="1:29" ht="21" x14ac:dyDescent="0.35">
      <c r="A26" s="80"/>
      <c r="B26" s="5">
        <v>23</v>
      </c>
      <c r="C26" s="5"/>
      <c r="D26" s="5">
        <v>1.5002</v>
      </c>
      <c r="E26" s="5">
        <v>1.4478</v>
      </c>
      <c r="F26" s="6">
        <f t="shared" si="0"/>
        <v>5.2400000000000002E-2</v>
      </c>
      <c r="G26" s="5">
        <f t="shared" si="1"/>
        <v>3.4928676176509796</v>
      </c>
      <c r="H26" s="5">
        <v>0.55510000000000004</v>
      </c>
      <c r="I26" s="5">
        <f t="shared" si="2"/>
        <v>0.89269999999999994</v>
      </c>
      <c r="J26" s="5">
        <f t="shared" si="3"/>
        <v>1.3461117956760389</v>
      </c>
      <c r="K26" s="5">
        <f t="shared" si="4"/>
        <v>0.88559986557634141</v>
      </c>
      <c r="L26">
        <v>10.448</v>
      </c>
      <c r="M26">
        <v>10.141</v>
      </c>
      <c r="N26">
        <v>10.824</v>
      </c>
      <c r="O26" s="5">
        <f t="shared" si="5"/>
        <v>1146.837090432</v>
      </c>
      <c r="P26" s="5">
        <f t="shared" si="6"/>
        <v>105.95316800000001</v>
      </c>
      <c r="Q26" s="5">
        <f t="shared" si="7"/>
        <v>1.2624286501360282</v>
      </c>
      <c r="R26" s="5">
        <f t="shared" si="8"/>
        <v>0.83054516456317651</v>
      </c>
      <c r="S26" s="5">
        <f t="shared" si="9"/>
        <v>6.4160895549357058</v>
      </c>
      <c r="T26" s="5"/>
      <c r="U26" s="5"/>
      <c r="V26" s="5"/>
      <c r="W26" s="5"/>
      <c r="X26" s="5"/>
      <c r="Y26" s="5">
        <v>1.4464999999999999</v>
      </c>
      <c r="Z26" s="5">
        <v>5.3800000000000001E-2</v>
      </c>
      <c r="AA26" s="5">
        <f t="shared" si="11"/>
        <v>1.5003</v>
      </c>
      <c r="AB26" s="5">
        <f t="shared" si="12"/>
        <v>3.5859494767713129</v>
      </c>
      <c r="AC26" s="5">
        <f t="shared" si="10"/>
        <v>-9.9999999999988987E-5</v>
      </c>
    </row>
    <row r="27" spans="1:29" ht="21" x14ac:dyDescent="0.35">
      <c r="A27" s="80"/>
      <c r="B27" s="5">
        <v>24</v>
      </c>
      <c r="C27" s="5"/>
      <c r="D27" s="5">
        <v>1.5004999999999999</v>
      </c>
      <c r="E27" s="5">
        <v>1.4415</v>
      </c>
      <c r="F27" s="6">
        <f t="shared" si="0"/>
        <v>5.8999999999999941E-2</v>
      </c>
      <c r="G27" s="5">
        <f t="shared" si="1"/>
        <v>3.9320226591136249</v>
      </c>
      <c r="H27" s="5">
        <v>0.57589999999999997</v>
      </c>
      <c r="I27" s="5">
        <f t="shared" si="2"/>
        <v>0.86560000000000004</v>
      </c>
      <c r="J27" s="5">
        <f t="shared" si="3"/>
        <v>1.3822146487985212</v>
      </c>
      <c r="K27" s="5">
        <f t="shared" si="4"/>
        <v>0.90935174263060603</v>
      </c>
      <c r="L27">
        <v>10.33</v>
      </c>
      <c r="M27">
        <v>10.07</v>
      </c>
      <c r="N27">
        <v>10.827999999999999</v>
      </c>
      <c r="O27" s="5">
        <f t="shared" si="5"/>
        <v>1126.3621267999999</v>
      </c>
      <c r="P27" s="5">
        <f t="shared" si="6"/>
        <v>104.0231</v>
      </c>
      <c r="Q27" s="5">
        <f t="shared" si="7"/>
        <v>1.2797837975033024</v>
      </c>
      <c r="R27" s="5">
        <f t="shared" si="8"/>
        <v>0.84196302467322526</v>
      </c>
      <c r="S27" s="5">
        <f t="shared" si="9"/>
        <v>7.6957859564133591</v>
      </c>
      <c r="T27" s="5"/>
      <c r="U27" s="5"/>
      <c r="V27" s="5"/>
      <c r="W27" s="5"/>
      <c r="X27" s="5"/>
      <c r="Y27" s="5">
        <v>1.4411</v>
      </c>
      <c r="Z27" s="5">
        <v>4.2700000000000002E-2</v>
      </c>
      <c r="AA27" s="5">
        <f t="shared" si="11"/>
        <v>1.4838</v>
      </c>
      <c r="AB27" s="5">
        <f t="shared" si="12"/>
        <v>2.8777463269982477</v>
      </c>
      <c r="AC27" s="5">
        <f t="shared" si="10"/>
        <v>1.6699999999999937E-2</v>
      </c>
    </row>
    <row r="28" spans="1:29" ht="21" x14ac:dyDescent="0.35">
      <c r="A28" s="80"/>
      <c r="B28" s="5">
        <v>25</v>
      </c>
      <c r="C28" s="5"/>
      <c r="D28" s="6">
        <v>1.5002</v>
      </c>
      <c r="E28" s="5">
        <v>1.373</v>
      </c>
      <c r="F28" s="6">
        <f t="shared" si="0"/>
        <v>0.12719999999999998</v>
      </c>
      <c r="G28" s="5">
        <f t="shared" si="1"/>
        <v>8.4788694840687899</v>
      </c>
      <c r="H28" s="5">
        <v>0.53700000000000003</v>
      </c>
      <c r="I28" s="5">
        <f t="shared" si="2"/>
        <v>0.83599999999999997</v>
      </c>
      <c r="J28" s="5">
        <f t="shared" si="3"/>
        <v>1.363145933014354</v>
      </c>
      <c r="K28" s="5">
        <f t="shared" si="4"/>
        <v>0.89680653487786455</v>
      </c>
      <c r="L28">
        <v>10.093999999999999</v>
      </c>
      <c r="M28">
        <v>10.019</v>
      </c>
      <c r="N28">
        <v>10.425000000000001</v>
      </c>
      <c r="O28" s="5">
        <f t="shared" si="5"/>
        <v>1054.2988690499999</v>
      </c>
      <c r="P28" s="5">
        <f t="shared" si="6"/>
        <v>101.13178599999999</v>
      </c>
      <c r="Q28" s="5">
        <f t="shared" si="7"/>
        <v>1.302287273851648</v>
      </c>
      <c r="R28" s="5">
        <f t="shared" si="8"/>
        <v>0.85676794332345263</v>
      </c>
      <c r="S28" s="5">
        <f t="shared" si="9"/>
        <v>4.5665116654161633</v>
      </c>
      <c r="T28" s="5"/>
      <c r="U28" s="5"/>
      <c r="V28" s="5"/>
      <c r="W28" s="5"/>
      <c r="X28" s="5"/>
      <c r="Y28" s="5">
        <v>1.3723000000000001</v>
      </c>
      <c r="Z28" s="5">
        <v>0.11360000000000001</v>
      </c>
      <c r="AA28" s="5">
        <f t="shared" si="11"/>
        <v>1.4859</v>
      </c>
      <c r="AB28" s="5">
        <f t="shared" si="12"/>
        <v>7.6451981963792992</v>
      </c>
      <c r="AC28" s="5">
        <f t="shared" si="10"/>
        <v>1.4299999999999979E-2</v>
      </c>
    </row>
    <row r="29" spans="1:29" ht="21" x14ac:dyDescent="0.35">
      <c r="A29" s="80"/>
      <c r="B29" s="5">
        <v>26</v>
      </c>
      <c r="C29" s="5"/>
      <c r="D29" s="6">
        <v>1.5001</v>
      </c>
      <c r="E29" s="5">
        <v>1.4379999999999999</v>
      </c>
      <c r="F29" s="6">
        <f t="shared" si="0"/>
        <v>6.2100000000000044E-2</v>
      </c>
      <c r="G29" s="5">
        <f t="shared" si="1"/>
        <v>4.139724018398776</v>
      </c>
      <c r="H29" s="5">
        <v>0.57320000000000004</v>
      </c>
      <c r="I29" s="5">
        <f t="shared" si="2"/>
        <v>0.8647999999999999</v>
      </c>
      <c r="J29" s="5">
        <f t="shared" si="3"/>
        <v>1.3801341350601295</v>
      </c>
      <c r="K29" s="5">
        <f t="shared" si="4"/>
        <v>0.90798298359219043</v>
      </c>
      <c r="L29">
        <v>10.212</v>
      </c>
      <c r="M29">
        <v>10.108000000000001</v>
      </c>
      <c r="N29">
        <v>10.597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v>1.4372</v>
      </c>
      <c r="Z29" s="5">
        <v>5.0999999999999997E-2</v>
      </c>
      <c r="AA29" s="5">
        <f t="shared" si="11"/>
        <v>1.4882</v>
      </c>
      <c r="AB29" s="5">
        <f t="shared" si="12"/>
        <v>3.4269587421045555</v>
      </c>
      <c r="AC29" s="5">
        <f t="shared" si="10"/>
        <v>1.1900000000000022E-2</v>
      </c>
    </row>
    <row r="30" spans="1:29" ht="21" x14ac:dyDescent="0.35">
      <c r="A30" s="80"/>
      <c r="B30" s="5">
        <v>27</v>
      </c>
      <c r="C30" s="5"/>
      <c r="D30" s="5">
        <v>1.5004999999999999</v>
      </c>
      <c r="E30" s="5">
        <v>1.4157999999999999</v>
      </c>
      <c r="F30" s="6">
        <f t="shared" si="0"/>
        <v>8.4699999999999998E-2</v>
      </c>
      <c r="G30" s="5">
        <f t="shared" si="1"/>
        <v>5.6447850716427856</v>
      </c>
      <c r="H30" s="5">
        <v>0.54749999999999999</v>
      </c>
      <c r="I30" s="5">
        <f t="shared" si="2"/>
        <v>0.86829999999999996</v>
      </c>
      <c r="J30" s="5">
        <f t="shared" si="3"/>
        <v>1.3533502245767592</v>
      </c>
      <c r="K30" s="5">
        <f t="shared" si="4"/>
        <v>0.89036198985313109</v>
      </c>
      <c r="L30">
        <v>10.477</v>
      </c>
      <c r="M30">
        <v>10.07</v>
      </c>
      <c r="N30">
        <v>11.127000000000001</v>
      </c>
      <c r="O30" s="5">
        <f t="shared" si="5"/>
        <v>1173.9362205300001</v>
      </c>
      <c r="P30" s="5">
        <f t="shared" si="6"/>
        <v>105.50339000000001</v>
      </c>
      <c r="Q30" s="5">
        <f t="shared" si="7"/>
        <v>1.2060280407404118</v>
      </c>
      <c r="R30" s="5">
        <f t="shared" si="8"/>
        <v>0.79343950048711298</v>
      </c>
      <c r="S30" s="5">
        <f t="shared" si="9"/>
        <v>11.512341558319088</v>
      </c>
      <c r="T30" s="5"/>
      <c r="U30" s="5"/>
      <c r="V30" s="5"/>
      <c r="W30" s="5"/>
      <c r="X30" s="5"/>
      <c r="Y30" s="5">
        <v>1.4160999999999999</v>
      </c>
      <c r="Z30" s="5">
        <v>6.3299999999999995E-2</v>
      </c>
      <c r="AA30" s="5">
        <f t="shared" si="11"/>
        <v>1.4793999999999998</v>
      </c>
      <c r="AB30" s="5">
        <f t="shared" si="12"/>
        <v>4.2787616601324867</v>
      </c>
      <c r="AC30" s="5">
        <f t="shared" si="10"/>
        <v>2.1100000000000119E-2</v>
      </c>
    </row>
    <row r="31" spans="1:29" ht="21" x14ac:dyDescent="0.35">
      <c r="A31" s="80"/>
      <c r="B31" s="5">
        <v>28</v>
      </c>
      <c r="C31" s="5"/>
      <c r="D31" s="5">
        <v>1.3855999999999999</v>
      </c>
      <c r="E31" s="5">
        <v>1.3119000000000001</v>
      </c>
      <c r="F31" s="6">
        <f t="shared" si="0"/>
        <v>7.3699999999999877E-2</v>
      </c>
      <c r="G31" s="5">
        <f t="shared" si="1"/>
        <v>5.3189953810623471</v>
      </c>
      <c r="H31" s="5">
        <v>0.52210000000000001</v>
      </c>
      <c r="I31" s="5">
        <f t="shared" si="2"/>
        <v>0.78980000000000006</v>
      </c>
      <c r="J31" s="5">
        <f t="shared" si="3"/>
        <v>1.3786743479361865</v>
      </c>
      <c r="K31" s="5">
        <f t="shared" si="4"/>
        <v>0.90702259732643842</v>
      </c>
      <c r="L31">
        <v>10.117000000000001</v>
      </c>
      <c r="M31">
        <v>10.188000000000001</v>
      </c>
      <c r="N31">
        <v>9.8989999999999991</v>
      </c>
      <c r="O31" s="5">
        <f t="shared" si="5"/>
        <v>1020.309688404</v>
      </c>
      <c r="P31" s="5">
        <f t="shared" si="6"/>
        <v>103.07199600000001</v>
      </c>
      <c r="Q31" s="5">
        <f t="shared" si="7"/>
        <v>1.2857860852542866</v>
      </c>
      <c r="R31" s="5">
        <f t="shared" si="8"/>
        <v>0.84591189819360957</v>
      </c>
      <c r="S31" s="5">
        <f t="shared" si="9"/>
        <v>6.9723882197547811</v>
      </c>
      <c r="T31" s="5"/>
      <c r="U31" s="5"/>
      <c r="V31" s="5"/>
      <c r="W31" s="5"/>
      <c r="X31" s="5"/>
      <c r="Y31" s="5">
        <v>1.3121</v>
      </c>
      <c r="Z31" s="5">
        <v>6.1899999999999997E-2</v>
      </c>
      <c r="AA31" s="5">
        <f t="shared" si="11"/>
        <v>1.3740000000000001</v>
      </c>
      <c r="AB31" s="5">
        <f t="shared" si="12"/>
        <v>4.5050946142649195</v>
      </c>
      <c r="AC31" s="5">
        <f t="shared" si="10"/>
        <v>1.1599999999999833E-2</v>
      </c>
    </row>
    <row r="32" spans="1:29" ht="21" x14ac:dyDescent="0.35">
      <c r="A32" s="80" t="s">
        <v>51</v>
      </c>
      <c r="B32" s="5">
        <v>29</v>
      </c>
      <c r="C32" s="7"/>
      <c r="D32" s="7">
        <v>1.5013000000000001</v>
      </c>
      <c r="E32" s="7">
        <v>1.4577</v>
      </c>
      <c r="F32" s="8">
        <f t="shared" si="0"/>
        <v>4.3600000000000083E-2</v>
      </c>
      <c r="G32" s="7">
        <f t="shared" si="1"/>
        <v>2.9041497368946967</v>
      </c>
      <c r="H32" s="7">
        <v>0.57369999999999999</v>
      </c>
      <c r="I32" s="7">
        <f t="shared" si="2"/>
        <v>0.88400000000000001</v>
      </c>
      <c r="J32" s="7">
        <f t="shared" si="3"/>
        <v>1.3686549773755654</v>
      </c>
      <c r="K32" s="7">
        <f t="shared" si="4"/>
        <v>0.90043090616813515</v>
      </c>
      <c r="L32">
        <v>10.239000000000001</v>
      </c>
      <c r="M32">
        <v>10.282999999999999</v>
      </c>
      <c r="N32">
        <v>10.909000000000001</v>
      </c>
      <c r="O32" s="7">
        <f t="shared" si="5"/>
        <v>1148.5828320330002</v>
      </c>
      <c r="P32" s="7">
        <f t="shared" si="6"/>
        <v>105.287637</v>
      </c>
      <c r="Q32" s="5">
        <f t="shared" si="7"/>
        <v>1.269129190639094</v>
      </c>
      <c r="R32" s="5">
        <f t="shared" si="8"/>
        <v>0.83495341489414077</v>
      </c>
      <c r="S32" s="5">
        <f t="shared" si="9"/>
        <v>7.5461660543197455</v>
      </c>
      <c r="T32" s="7"/>
      <c r="U32" s="7"/>
      <c r="V32" s="7"/>
      <c r="W32" s="7"/>
      <c r="X32" s="7"/>
      <c r="Y32" s="7">
        <v>1.4581999999999999</v>
      </c>
      <c r="Z32" s="7">
        <v>4.7600000000000003E-2</v>
      </c>
      <c r="AA32" s="7">
        <f t="shared" si="11"/>
        <v>1.5058</v>
      </c>
      <c r="AB32" s="7">
        <f t="shared" si="12"/>
        <v>3.1611103732235355</v>
      </c>
      <c r="AC32" s="7">
        <f t="shared" si="10"/>
        <v>-4.4999999999999485E-3</v>
      </c>
    </row>
    <row r="33" spans="1:29" ht="21" x14ac:dyDescent="0.35">
      <c r="A33" s="80"/>
      <c r="B33" s="5">
        <v>30</v>
      </c>
      <c r="C33" s="5"/>
      <c r="D33" s="5">
        <v>1.4996</v>
      </c>
      <c r="E33" s="5">
        <v>1.4746999999999999</v>
      </c>
      <c r="F33" s="6">
        <f t="shared" si="0"/>
        <v>2.4900000000000144E-2</v>
      </c>
      <c r="G33" s="5">
        <f t="shared" si="1"/>
        <v>1.6604427847426075</v>
      </c>
      <c r="H33" s="5">
        <v>0.58209999999999995</v>
      </c>
      <c r="I33" s="5">
        <f t="shared" si="2"/>
        <v>0.89259999999999995</v>
      </c>
      <c r="J33" s="5">
        <f t="shared" si="3"/>
        <v>1.3712760475016805</v>
      </c>
      <c r="K33" s="5">
        <f t="shared" si="4"/>
        <v>0.90215529440900033</v>
      </c>
      <c r="L33">
        <v>10.14</v>
      </c>
      <c r="M33">
        <v>10.054</v>
      </c>
      <c r="N33">
        <v>10.695</v>
      </c>
      <c r="O33" s="5">
        <f t="shared" si="5"/>
        <v>1090.3291542000002</v>
      </c>
      <c r="P33" s="5">
        <f t="shared" si="6"/>
        <v>101.94756000000001</v>
      </c>
      <c r="Q33" s="5">
        <f t="shared" si="7"/>
        <v>1.3525273485711951</v>
      </c>
      <c r="R33" s="5">
        <f t="shared" si="8"/>
        <v>0.88982062405999673</v>
      </c>
      <c r="S33" s="5">
        <f t="shared" si="9"/>
        <v>1.3766558157256847</v>
      </c>
      <c r="T33" s="5"/>
      <c r="U33" s="5"/>
      <c r="V33" s="5"/>
      <c r="W33" s="5"/>
      <c r="X33" s="5"/>
      <c r="Y33" s="5">
        <v>1.474</v>
      </c>
      <c r="Z33" s="5">
        <v>3.2500000000000001E-2</v>
      </c>
      <c r="AA33" s="5">
        <f t="shared" si="11"/>
        <v>1.5065</v>
      </c>
      <c r="AB33" s="5">
        <f t="shared" si="12"/>
        <v>2.1573182874211749</v>
      </c>
      <c r="AC33" s="5">
        <f t="shared" si="10"/>
        <v>-6.8999999999999062E-3</v>
      </c>
    </row>
    <row r="34" spans="1:29" ht="21" x14ac:dyDescent="0.35">
      <c r="A34" s="80"/>
      <c r="B34" s="5">
        <v>31</v>
      </c>
      <c r="C34" s="5"/>
      <c r="D34" s="5">
        <v>1.5007999999999999</v>
      </c>
      <c r="E34" s="5">
        <v>1.4767999999999999</v>
      </c>
      <c r="F34" s="6">
        <f t="shared" si="0"/>
        <v>2.4000000000000021E-2</v>
      </c>
      <c r="G34" s="5">
        <f t="shared" si="1"/>
        <v>1.5991471215351827</v>
      </c>
      <c r="H34" s="5">
        <v>0.57589999999999997</v>
      </c>
      <c r="I34" s="5">
        <f t="shared" si="2"/>
        <v>0.90089999999999992</v>
      </c>
      <c r="J34" s="5">
        <f t="shared" si="3"/>
        <v>1.3605772005772006</v>
      </c>
      <c r="K34" s="5">
        <f t="shared" si="4"/>
        <v>0.89511657932710564</v>
      </c>
      <c r="L34">
        <v>10.198</v>
      </c>
      <c r="M34">
        <v>10.164999999999999</v>
      </c>
      <c r="N34">
        <v>10.874000000000001</v>
      </c>
      <c r="O34" s="5">
        <f t="shared" si="5"/>
        <v>1127.2278735800001</v>
      </c>
      <c r="P34" s="5">
        <f t="shared" si="6"/>
        <v>103.66266999999999</v>
      </c>
      <c r="Q34" s="5">
        <f t="shared" si="7"/>
        <v>1.3101166451019191</v>
      </c>
      <c r="R34" s="5">
        <f t="shared" si="8"/>
        <v>0.86191884546178887</v>
      </c>
      <c r="S34" s="5">
        <f t="shared" si="9"/>
        <v>3.7788348939299778</v>
      </c>
      <c r="T34" s="5"/>
      <c r="U34" s="5"/>
      <c r="V34" s="5"/>
      <c r="W34" s="5"/>
      <c r="X34" s="5"/>
      <c r="Y34" s="5">
        <v>1.4749000000000001</v>
      </c>
      <c r="Z34" s="5">
        <v>2.7199999999999998E-2</v>
      </c>
      <c r="AA34" s="5">
        <f t="shared" si="11"/>
        <v>1.5021</v>
      </c>
      <c r="AB34" s="5">
        <f t="shared" si="12"/>
        <v>1.8107982158311695</v>
      </c>
      <c r="AC34" s="5">
        <f t="shared" si="10"/>
        <v>-1.3000000000000789E-3</v>
      </c>
    </row>
    <row r="35" spans="1:29" ht="21" x14ac:dyDescent="0.35">
      <c r="A35" s="80"/>
      <c r="B35" s="5">
        <v>32</v>
      </c>
      <c r="C35" s="5"/>
      <c r="D35" s="5">
        <v>1.4996</v>
      </c>
      <c r="E35" s="5">
        <v>1.4787999999999999</v>
      </c>
      <c r="F35" s="6">
        <f t="shared" si="0"/>
        <v>2.0800000000000152E-2</v>
      </c>
      <c r="G35" s="5">
        <f t="shared" si="1"/>
        <v>1.3870365430781642</v>
      </c>
      <c r="H35" s="5">
        <v>0.58819999999999995</v>
      </c>
      <c r="I35" s="5">
        <f t="shared" si="2"/>
        <v>0.89059999999999995</v>
      </c>
      <c r="J35" s="5">
        <f t="shared" si="3"/>
        <v>1.3781765102178307</v>
      </c>
      <c r="K35" s="5">
        <f t="shared" si="4"/>
        <v>0.90669507251173076</v>
      </c>
      <c r="L35">
        <v>10.236000000000001</v>
      </c>
      <c r="M35">
        <v>10.099</v>
      </c>
      <c r="N35">
        <v>10.728999999999999</v>
      </c>
      <c r="O35" s="5">
        <f t="shared" si="5"/>
        <v>1109.0928223559999</v>
      </c>
      <c r="P35" s="5">
        <f t="shared" si="6"/>
        <v>103.37336400000001</v>
      </c>
      <c r="Q35" s="5">
        <f t="shared" si="7"/>
        <v>1.3333419621800873</v>
      </c>
      <c r="R35" s="5">
        <f t="shared" si="8"/>
        <v>0.87719865932900476</v>
      </c>
      <c r="S35" s="5">
        <f t="shared" si="9"/>
        <v>3.3069697657707078</v>
      </c>
      <c r="T35" s="5"/>
      <c r="U35" s="5"/>
      <c r="V35" s="5"/>
      <c r="W35" s="5"/>
      <c r="X35" s="5"/>
      <c r="Y35" s="5">
        <v>1.4786999999999999</v>
      </c>
      <c r="Z35" s="5">
        <v>2.1499999999999998E-2</v>
      </c>
      <c r="AA35" s="5">
        <f t="shared" si="11"/>
        <v>1.5002</v>
      </c>
      <c r="AB35" s="5">
        <f t="shared" si="12"/>
        <v>1.4331422477003066</v>
      </c>
      <c r="AC35" s="5">
        <f t="shared" si="10"/>
        <v>-5.9999999999993392E-4</v>
      </c>
    </row>
    <row r="36" spans="1:29" ht="21" x14ac:dyDescent="0.35">
      <c r="A36" s="80"/>
      <c r="B36" s="5">
        <v>33</v>
      </c>
      <c r="C36" s="5"/>
      <c r="D36" s="5">
        <v>1.4987999999999999</v>
      </c>
      <c r="E36" s="5">
        <v>1.5027999999999999</v>
      </c>
      <c r="F36" s="6">
        <f t="shared" si="0"/>
        <v>4.0000000000000036E-3</v>
      </c>
      <c r="G36" s="5">
        <f t="shared" si="1"/>
        <v>0.26688017080330961</v>
      </c>
      <c r="H36" s="5">
        <v>0.60129999999999995</v>
      </c>
      <c r="I36" s="5">
        <f t="shared" si="2"/>
        <v>0.90149999999999997</v>
      </c>
      <c r="J36" s="5">
        <f t="shared" si="3"/>
        <v>1.3836095396561285</v>
      </c>
      <c r="K36" s="5">
        <f t="shared" si="4"/>
        <v>0.91026943398429505</v>
      </c>
      <c r="L36">
        <v>10.154999999999999</v>
      </c>
      <c r="M36">
        <v>10.164999999999999</v>
      </c>
      <c r="N36">
        <v>10.685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>
        <v>1.5021</v>
      </c>
      <c r="Z36" s="5">
        <v>0</v>
      </c>
      <c r="AA36" s="5">
        <f t="shared" si="11"/>
        <v>1.5021</v>
      </c>
      <c r="AB36" s="5">
        <f t="shared" si="12"/>
        <v>0</v>
      </c>
      <c r="AC36" s="5">
        <f t="shared" si="10"/>
        <v>-3.3000000000000806E-3</v>
      </c>
    </row>
    <row r="37" spans="1:29" ht="21" x14ac:dyDescent="0.35">
      <c r="A37" s="80"/>
      <c r="B37" s="5">
        <v>34</v>
      </c>
      <c r="C37" s="5" t="s">
        <v>54</v>
      </c>
      <c r="D37" s="5">
        <v>1.5018</v>
      </c>
      <c r="E37" s="5">
        <v>1.5696000000000001</v>
      </c>
      <c r="F37" s="6">
        <f t="shared" si="0"/>
        <v>6.7800000000000082E-2</v>
      </c>
      <c r="G37" s="5">
        <f t="shared" si="1"/>
        <v>4.5145825009988068</v>
      </c>
      <c r="H37" s="5">
        <v>0.55010000000000003</v>
      </c>
      <c r="I37" s="5">
        <f t="shared" si="2"/>
        <v>1.0195000000000001</v>
      </c>
      <c r="J37" s="5">
        <f t="shared" si="3"/>
        <v>1.2778499264345267</v>
      </c>
      <c r="K37" s="5">
        <f t="shared" si="4"/>
        <v>0.84069074107534647</v>
      </c>
      <c r="L37">
        <v>10.33</v>
      </c>
      <c r="M37">
        <v>10.382</v>
      </c>
      <c r="N37">
        <v>12.52</v>
      </c>
      <c r="O37" s="5">
        <f t="shared" si="5"/>
        <v>1342.7206712</v>
      </c>
      <c r="P37" s="5">
        <f t="shared" si="6"/>
        <v>107.24606</v>
      </c>
      <c r="Q37" s="5">
        <f t="shared" si="7"/>
        <v>1.1689698637001218</v>
      </c>
      <c r="R37" s="5">
        <f t="shared" si="8"/>
        <v>0.76905912085534323</v>
      </c>
      <c r="S37" s="5">
        <f t="shared" si="9"/>
        <v>8.8997206229407855</v>
      </c>
      <c r="T37" s="5"/>
      <c r="U37" s="5"/>
      <c r="V37" s="5"/>
      <c r="W37" s="5"/>
      <c r="X37" s="5"/>
      <c r="Y37" s="5">
        <v>1.5710999999999999</v>
      </c>
      <c r="Z37" s="5">
        <v>4.6199999999999998E-2</v>
      </c>
      <c r="AA37" s="5">
        <f t="shared" si="11"/>
        <v>1.6173</v>
      </c>
      <c r="AB37" s="5">
        <f t="shared" si="12"/>
        <v>2.8566128733073639</v>
      </c>
      <c r="AC37" s="5">
        <f t="shared" si="10"/>
        <v>-0.11549999999999994</v>
      </c>
    </row>
    <row r="38" spans="1:29" ht="21" x14ac:dyDescent="0.35">
      <c r="A38" s="80"/>
      <c r="B38" s="5">
        <v>35</v>
      </c>
      <c r="C38" s="5"/>
      <c r="D38" s="6">
        <v>1.4372</v>
      </c>
      <c r="E38" s="5">
        <v>1.4200999999999999</v>
      </c>
      <c r="F38" s="6">
        <f t="shared" si="0"/>
        <v>1.7100000000000115E-2</v>
      </c>
      <c r="G38" s="5">
        <f t="shared" si="1"/>
        <v>1.1898135263011491</v>
      </c>
      <c r="H38" s="5">
        <v>0.54330000000000001</v>
      </c>
      <c r="I38" s="5">
        <f t="shared" si="2"/>
        <v>0.87679999999999991</v>
      </c>
      <c r="J38" s="5">
        <f t="shared" si="3"/>
        <v>1.3443008667883212</v>
      </c>
      <c r="K38" s="5">
        <f t="shared" si="4"/>
        <v>0.88440846499231651</v>
      </c>
      <c r="L38">
        <v>10.211</v>
      </c>
      <c r="M38">
        <v>10.164999999999999</v>
      </c>
      <c r="N38">
        <v>10.661</v>
      </c>
      <c r="O38" s="5">
        <f t="shared" si="5"/>
        <v>1106.556522715</v>
      </c>
      <c r="P38" s="5">
        <f t="shared" si="6"/>
        <v>103.794815</v>
      </c>
      <c r="Q38" s="5">
        <f t="shared" si="7"/>
        <v>1.2833506204596787</v>
      </c>
      <c r="R38" s="5">
        <f t="shared" si="8"/>
        <v>0.84430961872347288</v>
      </c>
      <c r="S38" s="5">
        <f t="shared" si="9"/>
        <v>4.6391423386574777</v>
      </c>
      <c r="T38" s="5"/>
      <c r="U38" s="5"/>
      <c r="V38" s="5"/>
      <c r="W38" s="5"/>
      <c r="X38" s="5"/>
      <c r="Y38" s="5">
        <v>1.4192</v>
      </c>
      <c r="Z38" s="5">
        <v>2.7300000000000001E-2</v>
      </c>
      <c r="AA38" s="5">
        <f t="shared" si="11"/>
        <v>1.4465000000000001</v>
      </c>
      <c r="AB38" s="5">
        <f t="shared" si="12"/>
        <v>1.8873142067058417</v>
      </c>
      <c r="AC38" s="5">
        <f t="shared" si="10"/>
        <v>-9.300000000000086E-3</v>
      </c>
    </row>
    <row r="39" spans="1:29" ht="21" x14ac:dyDescent="0.35">
      <c r="A39" s="80" t="s">
        <v>52</v>
      </c>
      <c r="B39" s="5">
        <v>36</v>
      </c>
      <c r="C39" s="7"/>
      <c r="D39" s="7">
        <v>1.5017799999999999</v>
      </c>
      <c r="E39" s="7">
        <v>1.4854000000000001</v>
      </c>
      <c r="F39" s="8">
        <f t="shared" si="0"/>
        <v>1.6379999999999839E-2</v>
      </c>
      <c r="G39" s="7">
        <f t="shared" si="1"/>
        <v>1.0907056959075125</v>
      </c>
      <c r="H39" s="7">
        <v>0.5141</v>
      </c>
      <c r="I39" s="7">
        <f t="shared" si="2"/>
        <v>0.97130000000000005</v>
      </c>
      <c r="J39" s="7">
        <f t="shared" si="3"/>
        <v>1.2693112323689899</v>
      </c>
      <c r="K39" s="7">
        <f t="shared" si="4"/>
        <v>0.83507317919012491</v>
      </c>
      <c r="L39">
        <v>10.164999999999999</v>
      </c>
      <c r="M39">
        <v>10.301</v>
      </c>
      <c r="N39">
        <v>11.843</v>
      </c>
      <c r="O39" s="7">
        <f t="shared" si="5"/>
        <v>1240.0765625949998</v>
      </c>
      <c r="P39" s="7">
        <f t="shared" si="6"/>
        <v>104.70966499999999</v>
      </c>
      <c r="Q39" s="5">
        <f t="shared" si="7"/>
        <v>1.1978292670023802</v>
      </c>
      <c r="R39" s="5">
        <f t="shared" si="8"/>
        <v>0.78804557039630274</v>
      </c>
      <c r="S39" s="5">
        <f t="shared" si="9"/>
        <v>5.7947218964484062</v>
      </c>
      <c r="T39" s="7"/>
      <c r="U39" s="7"/>
      <c r="V39" s="7"/>
      <c r="W39" s="7"/>
      <c r="X39" s="7"/>
      <c r="Y39" s="7">
        <v>1.4852000000000001</v>
      </c>
      <c r="Z39" s="7">
        <v>4.8300000000000003E-2</v>
      </c>
      <c r="AA39" s="7">
        <f t="shared" si="11"/>
        <v>1.5335000000000001</v>
      </c>
      <c r="AB39" s="7">
        <f t="shared" si="12"/>
        <v>3.1496576459080536</v>
      </c>
      <c r="AC39" s="7">
        <f t="shared" si="10"/>
        <v>-3.1720000000000192E-2</v>
      </c>
    </row>
    <row r="40" spans="1:29" ht="21" x14ac:dyDescent="0.35">
      <c r="A40" s="80"/>
      <c r="B40" s="5">
        <v>37</v>
      </c>
      <c r="C40" s="5"/>
      <c r="D40" s="6">
        <v>1.5021</v>
      </c>
      <c r="E40" s="5">
        <v>1.5476000000000001</v>
      </c>
      <c r="F40" s="6">
        <f t="shared" si="0"/>
        <v>4.5500000000000096E-2</v>
      </c>
      <c r="G40" s="5">
        <f t="shared" si="1"/>
        <v>3.0290926036881762</v>
      </c>
      <c r="H40" s="5">
        <v>0.50329999999999997</v>
      </c>
      <c r="I40" s="5">
        <f t="shared" si="2"/>
        <v>1.0443000000000002</v>
      </c>
      <c r="J40" s="5">
        <f t="shared" si="3"/>
        <v>1.2300181940055537</v>
      </c>
      <c r="K40" s="5">
        <f t="shared" si="4"/>
        <v>0.80922249605628527</v>
      </c>
      <c r="L40">
        <v>10.721</v>
      </c>
      <c r="M40">
        <v>10.246</v>
      </c>
      <c r="N40">
        <v>12.952999999999999</v>
      </c>
      <c r="O40" s="5">
        <f t="shared" si="5"/>
        <v>1422.8529317980001</v>
      </c>
      <c r="P40" s="5">
        <f t="shared" si="6"/>
        <v>109.84736600000001</v>
      </c>
      <c r="Q40" s="5">
        <f t="shared" si="7"/>
        <v>1.0876739017885442</v>
      </c>
      <c r="R40" s="5">
        <f t="shared" si="8"/>
        <v>0.71557493538720007</v>
      </c>
      <c r="S40" s="5">
        <f t="shared" si="9"/>
        <v>12.283278911406811</v>
      </c>
      <c r="T40" s="5"/>
      <c r="U40" s="5"/>
      <c r="V40" s="5"/>
      <c r="W40" s="5"/>
      <c r="X40" s="5"/>
      <c r="Y40" s="5">
        <v>1.5470999999999999</v>
      </c>
      <c r="Z40" s="5">
        <v>4.0399999999999998E-2</v>
      </c>
      <c r="AA40" s="5">
        <f t="shared" si="11"/>
        <v>1.5874999999999999</v>
      </c>
      <c r="AB40" s="5">
        <f t="shared" si="12"/>
        <v>2.5448818897637797</v>
      </c>
      <c r="AC40" s="5">
        <f t="shared" si="10"/>
        <v>-8.539999999999992E-2</v>
      </c>
    </row>
    <row r="41" spans="1:29" ht="21" x14ac:dyDescent="0.35">
      <c r="A41" s="80"/>
      <c r="B41" s="5">
        <v>38</v>
      </c>
      <c r="C41" s="5"/>
      <c r="D41" s="5">
        <v>1.5008999999999999</v>
      </c>
      <c r="E41" s="5">
        <v>1.4714</v>
      </c>
      <c r="F41" s="6">
        <f t="shared" si="0"/>
        <v>2.949999999999986E-2</v>
      </c>
      <c r="G41" s="5">
        <f t="shared" si="1"/>
        <v>1.9654873742421122</v>
      </c>
      <c r="H41" s="5">
        <v>0.5232</v>
      </c>
      <c r="I41" s="5">
        <f t="shared" si="2"/>
        <v>0.94820000000000004</v>
      </c>
      <c r="J41" s="5">
        <f t="shared" si="3"/>
        <v>1.2879793292554313</v>
      </c>
      <c r="K41" s="5">
        <f t="shared" si="4"/>
        <v>0.84735482187857325</v>
      </c>
      <c r="L41">
        <v>10.092000000000001</v>
      </c>
      <c r="M41">
        <v>10.292</v>
      </c>
      <c r="N41">
        <v>11.82</v>
      </c>
      <c r="O41" s="5">
        <f t="shared" si="5"/>
        <v>1227.7063324800001</v>
      </c>
      <c r="P41" s="5">
        <f t="shared" si="6"/>
        <v>103.86686400000001</v>
      </c>
      <c r="Q41" s="5">
        <f t="shared" si="7"/>
        <v>1.1984950806824723</v>
      </c>
      <c r="R41" s="5">
        <f t="shared" si="8"/>
        <v>0.78848360571215281</v>
      </c>
      <c r="S41" s="5">
        <f t="shared" si="9"/>
        <v>7.1976810390897015</v>
      </c>
      <c r="T41" s="5"/>
      <c r="U41" s="5"/>
      <c r="V41" s="5"/>
      <c r="W41" s="5"/>
      <c r="X41" s="5"/>
      <c r="Y41" s="5">
        <v>1.4714</v>
      </c>
      <c r="Z41" s="5">
        <v>5.2999999999999999E-2</v>
      </c>
      <c r="AA41" s="5">
        <f t="shared" si="11"/>
        <v>1.5244</v>
      </c>
      <c r="AB41" s="5">
        <f t="shared" si="12"/>
        <v>3.4767777486224087</v>
      </c>
      <c r="AC41" s="5">
        <f t="shared" si="10"/>
        <v>-2.3500000000000076E-2</v>
      </c>
    </row>
    <row r="42" spans="1:29" ht="21" x14ac:dyDescent="0.35">
      <c r="A42" s="80"/>
      <c r="B42" s="5">
        <v>39</v>
      </c>
      <c r="C42" s="5"/>
      <c r="D42" s="5">
        <v>1.4998</v>
      </c>
      <c r="E42" s="5">
        <v>1.5295000000000001</v>
      </c>
      <c r="F42" s="6">
        <f t="shared" si="0"/>
        <v>2.970000000000006E-2</v>
      </c>
      <c r="G42" s="5">
        <f t="shared" si="1"/>
        <v>1.9802640352046978</v>
      </c>
      <c r="H42" s="5">
        <v>0.54969999999999997</v>
      </c>
      <c r="I42" s="5">
        <f t="shared" si="2"/>
        <v>0.97980000000000012</v>
      </c>
      <c r="J42" s="5">
        <f t="shared" si="3"/>
        <v>1.295657276995305</v>
      </c>
      <c r="K42" s="5">
        <f t="shared" si="4"/>
        <v>0.85240610328638489</v>
      </c>
      <c r="L42">
        <v>10.532</v>
      </c>
      <c r="M42">
        <v>10.303000000000001</v>
      </c>
      <c r="N42">
        <v>11.465</v>
      </c>
      <c r="O42" s="5">
        <f t="shared" si="5"/>
        <v>1244.0808621400001</v>
      </c>
      <c r="P42" s="5">
        <f t="shared" si="6"/>
        <v>108.51119600000001</v>
      </c>
      <c r="Q42" s="5">
        <f t="shared" si="7"/>
        <v>1.2294216931920627</v>
      </c>
      <c r="R42" s="5">
        <f t="shared" si="8"/>
        <v>0.80883006131056756</v>
      </c>
      <c r="S42" s="5">
        <f t="shared" si="9"/>
        <v>5.2462187983235538</v>
      </c>
      <c r="T42" s="5"/>
      <c r="U42" s="5"/>
      <c r="V42" s="5"/>
      <c r="W42" s="5"/>
      <c r="X42" s="5"/>
      <c r="Y42" s="5">
        <v>1.5270999999999999</v>
      </c>
      <c r="Z42" s="5">
        <v>7.7000000000000002E-3</v>
      </c>
      <c r="AA42" s="5">
        <f t="shared" si="11"/>
        <v>1.5347999999999999</v>
      </c>
      <c r="AB42" s="5">
        <f t="shared" si="12"/>
        <v>0.50169403179567373</v>
      </c>
      <c r="AC42" s="5">
        <f t="shared" si="10"/>
        <v>-3.499999999999992E-2</v>
      </c>
    </row>
    <row r="43" spans="1:29" ht="21" x14ac:dyDescent="0.35">
      <c r="A43" s="80"/>
      <c r="B43" s="5">
        <v>40</v>
      </c>
      <c r="C43" s="5"/>
      <c r="D43" s="5">
        <v>1.5024</v>
      </c>
      <c r="E43" s="5">
        <v>1.4961</v>
      </c>
      <c r="F43" s="6">
        <f t="shared" si="0"/>
        <v>6.2999999999999723E-3</v>
      </c>
      <c r="G43" s="5">
        <f t="shared" si="1"/>
        <v>0.41932907348242626</v>
      </c>
      <c r="H43" s="5">
        <v>0.52270000000000005</v>
      </c>
      <c r="I43" s="5">
        <f t="shared" si="2"/>
        <v>0.97339999999999993</v>
      </c>
      <c r="J43" s="5">
        <f t="shared" si="3"/>
        <v>1.2756965276350936</v>
      </c>
      <c r="K43" s="5">
        <f t="shared" si="4"/>
        <v>0.83927403133887735</v>
      </c>
      <c r="L43">
        <v>10.023</v>
      </c>
      <c r="M43">
        <v>10.513</v>
      </c>
      <c r="N43">
        <v>11.89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>
        <v>1.4959</v>
      </c>
      <c r="Z43" s="5">
        <v>2.64E-2</v>
      </c>
      <c r="AA43" s="5">
        <f t="shared" si="11"/>
        <v>1.5223</v>
      </c>
      <c r="AB43" s="5">
        <f t="shared" si="12"/>
        <v>1.7342179596662943</v>
      </c>
      <c r="AC43" s="5">
        <f t="shared" si="10"/>
        <v>-1.9900000000000029E-2</v>
      </c>
    </row>
    <row r="44" spans="1:29" ht="21" x14ac:dyDescent="0.35">
      <c r="A44" s="80"/>
      <c r="B44" s="5">
        <v>41</v>
      </c>
      <c r="C44" s="5"/>
      <c r="D44" s="5">
        <v>1.5014000000000001</v>
      </c>
      <c r="E44" s="5">
        <v>1.4410000000000001</v>
      </c>
      <c r="F44" s="6">
        <f t="shared" si="0"/>
        <v>6.0400000000000009E-2</v>
      </c>
      <c r="G44" s="5">
        <f t="shared" si="1"/>
        <v>4.0229119488477423</v>
      </c>
      <c r="H44" s="5">
        <v>0.55110000000000003</v>
      </c>
      <c r="I44" s="5">
        <f t="shared" si="2"/>
        <v>0.88990000000000002</v>
      </c>
      <c r="J44" s="5">
        <f t="shared" si="3"/>
        <v>1.3440049443757724</v>
      </c>
      <c r="K44" s="5">
        <f t="shared" si="4"/>
        <v>0.8842137791945871</v>
      </c>
      <c r="L44">
        <v>10.118</v>
      </c>
      <c r="M44">
        <v>10.141</v>
      </c>
      <c r="N44">
        <v>11.036</v>
      </c>
      <c r="O44" s="5">
        <f t="shared" si="5"/>
        <v>1132.3668569680001</v>
      </c>
      <c r="P44" s="5">
        <f t="shared" si="6"/>
        <v>102.606638</v>
      </c>
      <c r="Q44" s="5">
        <f t="shared" si="7"/>
        <v>1.2725557897891757</v>
      </c>
      <c r="R44" s="5">
        <f t="shared" si="8"/>
        <v>0.83720775644024714</v>
      </c>
      <c r="S44" s="5">
        <f t="shared" si="9"/>
        <v>5.4613029733016374</v>
      </c>
      <c r="T44" s="5"/>
      <c r="U44" s="5"/>
      <c r="V44" s="5"/>
      <c r="W44" s="5"/>
      <c r="X44" s="5"/>
      <c r="Y44" s="16">
        <v>1.4397</v>
      </c>
      <c r="Z44" s="5">
        <v>7.8E-2</v>
      </c>
      <c r="AA44" s="5">
        <f t="shared" si="11"/>
        <v>1.5177</v>
      </c>
      <c r="AB44" s="5">
        <f t="shared" si="12"/>
        <v>5.1393556038742831</v>
      </c>
      <c r="AC44" s="5">
        <f t="shared" si="10"/>
        <v>-1.6299999999999981E-2</v>
      </c>
    </row>
    <row r="45" spans="1:29" ht="21" x14ac:dyDescent="0.35">
      <c r="A45" s="80"/>
      <c r="B45" s="17">
        <v>42</v>
      </c>
      <c r="C45" s="17"/>
      <c r="D45" s="17">
        <v>1.7081</v>
      </c>
      <c r="E45" s="17">
        <v>1.6833</v>
      </c>
      <c r="F45" s="18">
        <f t="shared" si="0"/>
        <v>2.4799999999999933E-2</v>
      </c>
      <c r="G45" s="17">
        <f t="shared" si="1"/>
        <v>1.4519056261342973</v>
      </c>
      <c r="H45" s="17">
        <v>0.60899999999999999</v>
      </c>
      <c r="I45" s="17">
        <f t="shared" si="2"/>
        <v>1.0743</v>
      </c>
      <c r="J45" s="17">
        <f t="shared" si="3"/>
        <v>1.3005110304384249</v>
      </c>
      <c r="K45" s="17">
        <f t="shared" si="4"/>
        <v>0.85559936213054266</v>
      </c>
      <c r="L45">
        <v>10.282999999999999</v>
      </c>
      <c r="M45">
        <v>10.282999999999999</v>
      </c>
      <c r="N45">
        <v>12.907</v>
      </c>
      <c r="O45" s="17">
        <f t="shared" si="5"/>
        <v>1364.7873287229997</v>
      </c>
      <c r="P45" s="17">
        <f t="shared" si="6"/>
        <v>105.74008899999998</v>
      </c>
      <c r="Q45" s="17">
        <f t="shared" si="7"/>
        <v>1.2333789774960948</v>
      </c>
      <c r="R45" s="17">
        <f t="shared" si="8"/>
        <v>0.81143353782637817</v>
      </c>
      <c r="S45" s="17">
        <f t="shared" si="9"/>
        <v>5.2987345727016937</v>
      </c>
      <c r="T45" s="17"/>
      <c r="U45" s="17"/>
      <c r="V45" s="17"/>
      <c r="W45" s="17"/>
      <c r="X45" s="17"/>
      <c r="Y45" s="17">
        <v>1.6826000000000001</v>
      </c>
      <c r="Z45" s="17">
        <v>3.4700000000000002E-2</v>
      </c>
      <c r="AA45" s="17">
        <f t="shared" si="11"/>
        <v>1.7173</v>
      </c>
      <c r="AB45" s="17">
        <f t="shared" si="12"/>
        <v>2.0206137541489548</v>
      </c>
      <c r="AC45" s="17">
        <f t="shared" si="10"/>
        <v>-9.200000000000097E-3</v>
      </c>
    </row>
    <row r="46" spans="1:29" ht="21" x14ac:dyDescent="0.35">
      <c r="A46" s="80"/>
      <c r="B46" s="5">
        <v>2.1</v>
      </c>
      <c r="C46" s="5"/>
      <c r="D46" s="5"/>
      <c r="E46" s="5">
        <v>0.15579999999999999</v>
      </c>
      <c r="F46" s="6">
        <f t="shared" si="0"/>
        <v>0.15579999999999999</v>
      </c>
      <c r="G46" s="5" t="e">
        <f t="shared" si="1"/>
        <v>#DIV/0!</v>
      </c>
      <c r="H46" s="5">
        <v>3.9699999999999999E-2</v>
      </c>
      <c r="I46" s="5">
        <f t="shared" si="2"/>
        <v>0.11609999999999999</v>
      </c>
      <c r="J46" s="5">
        <f>E46*$J$2/I46</f>
        <v>1.1138156761412574</v>
      </c>
      <c r="K46" s="5">
        <f>J46/$M$2</f>
        <v>0.73277347114556413</v>
      </c>
      <c r="L46" s="5"/>
      <c r="M46" s="5"/>
      <c r="N46" s="5"/>
      <c r="O46" s="5">
        <f t="shared" si="5"/>
        <v>0</v>
      </c>
      <c r="P46" s="5">
        <f t="shared" si="6"/>
        <v>0</v>
      </c>
      <c r="Q46" s="5" t="e">
        <f t="shared" si="7"/>
        <v>#DIV/0!</v>
      </c>
      <c r="R46" s="5" t="e">
        <f t="shared" si="8"/>
        <v>#DIV/0!</v>
      </c>
      <c r="S46" s="5" t="e">
        <f t="shared" si="9"/>
        <v>#DIV/0!</v>
      </c>
      <c r="T46" s="5"/>
      <c r="U46" s="5"/>
      <c r="V46" s="5"/>
      <c r="W46" s="5"/>
      <c r="X46" s="5"/>
      <c r="Y46" s="5"/>
      <c r="Z46" s="5"/>
      <c r="AA46" s="5">
        <f t="shared" si="11"/>
        <v>0</v>
      </c>
      <c r="AB46" s="5" t="e">
        <f t="shared" si="12"/>
        <v>#DIV/0!</v>
      </c>
      <c r="AC46" s="5">
        <f t="shared" si="10"/>
        <v>0</v>
      </c>
    </row>
    <row r="47" spans="1:29" ht="21" x14ac:dyDescent="0.35">
      <c r="A47" s="80"/>
      <c r="B47" s="5">
        <v>2.2000000000000002</v>
      </c>
      <c r="C47" s="5"/>
      <c r="D47" s="5"/>
      <c r="E47" s="5">
        <v>0.67</v>
      </c>
      <c r="F47" s="6">
        <f t="shared" si="0"/>
        <v>0.67</v>
      </c>
      <c r="G47" s="5" t="e">
        <f t="shared" si="1"/>
        <v>#DIV/0!</v>
      </c>
      <c r="H47" s="5">
        <v>0.24540000000000001</v>
      </c>
      <c r="I47" s="5">
        <f t="shared" si="2"/>
        <v>0.42460000000000003</v>
      </c>
      <c r="J47" s="5">
        <f t="shared" ref="J47:J55" si="13">E47*$J$2/I47</f>
        <v>1.3097032501177579</v>
      </c>
      <c r="K47" s="5">
        <f t="shared" ref="K47:K55" si="14">J47/$M$2</f>
        <v>0.86164687507747229</v>
      </c>
      <c r="L47" s="5"/>
      <c r="M47" s="5"/>
      <c r="N47" s="5"/>
      <c r="O47" s="5">
        <f t="shared" si="5"/>
        <v>0</v>
      </c>
      <c r="P47" s="5">
        <f t="shared" si="6"/>
        <v>0</v>
      </c>
      <c r="Q47" s="5" t="e">
        <f t="shared" si="7"/>
        <v>#DIV/0!</v>
      </c>
      <c r="R47" s="5" t="e">
        <f t="shared" si="8"/>
        <v>#DIV/0!</v>
      </c>
      <c r="S47" s="5" t="e">
        <f t="shared" si="9"/>
        <v>#DIV/0!</v>
      </c>
      <c r="T47" s="5"/>
      <c r="U47" s="5"/>
      <c r="V47" s="5"/>
      <c r="W47" s="5"/>
      <c r="X47" s="5"/>
      <c r="Y47" s="5"/>
      <c r="Z47" s="5"/>
      <c r="AA47" s="5">
        <f t="shared" si="11"/>
        <v>0</v>
      </c>
      <c r="AB47" s="5" t="e">
        <f t="shared" si="12"/>
        <v>#DIV/0!</v>
      </c>
      <c r="AC47" s="5">
        <f t="shared" si="10"/>
        <v>0</v>
      </c>
    </row>
    <row r="48" spans="1:29" ht="21" x14ac:dyDescent="0.35">
      <c r="A48" s="80"/>
      <c r="B48" s="5">
        <v>2.2999999999999998</v>
      </c>
      <c r="C48" s="5"/>
      <c r="D48" s="5"/>
      <c r="E48" s="5">
        <v>0.77800000000000002</v>
      </c>
      <c r="F48" s="6">
        <f t="shared" si="0"/>
        <v>0.77800000000000002</v>
      </c>
      <c r="G48" s="5" t="e">
        <f t="shared" si="1"/>
        <v>#DIV/0!</v>
      </c>
      <c r="H48" s="5">
        <v>0.29249999999999998</v>
      </c>
      <c r="I48" s="5">
        <f t="shared" si="2"/>
        <v>0.48550000000000004</v>
      </c>
      <c r="J48" s="5">
        <f t="shared" si="13"/>
        <v>1.33005149330587</v>
      </c>
      <c r="K48" s="5">
        <f t="shared" si="14"/>
        <v>0.87503387717491443</v>
      </c>
      <c r="L48" s="5"/>
      <c r="M48" s="5"/>
      <c r="N48" s="5"/>
      <c r="O48" s="5">
        <f t="shared" si="5"/>
        <v>0</v>
      </c>
      <c r="P48" s="5">
        <f t="shared" si="6"/>
        <v>0</v>
      </c>
      <c r="Q48" s="5" t="e">
        <f t="shared" si="7"/>
        <v>#DIV/0!</v>
      </c>
      <c r="R48" s="5" t="e">
        <f t="shared" si="8"/>
        <v>#DIV/0!</v>
      </c>
      <c r="S48" s="5" t="e">
        <f t="shared" si="9"/>
        <v>#DIV/0!</v>
      </c>
      <c r="T48" s="5"/>
      <c r="U48" s="5"/>
      <c r="V48" s="5"/>
      <c r="W48" s="5"/>
      <c r="X48" s="5"/>
      <c r="Y48" s="5"/>
      <c r="Z48" s="5"/>
      <c r="AA48" s="5">
        <f t="shared" si="11"/>
        <v>0</v>
      </c>
      <c r="AB48" s="5" t="e">
        <f t="shared" si="12"/>
        <v>#DIV/0!</v>
      </c>
      <c r="AC48" s="5">
        <f t="shared" si="10"/>
        <v>0</v>
      </c>
    </row>
    <row r="49" spans="1:29" ht="21" x14ac:dyDescent="0.35">
      <c r="A49" s="80"/>
      <c r="B49" s="5">
        <v>9.1</v>
      </c>
      <c r="C49" s="5"/>
      <c r="D49" s="5"/>
      <c r="E49" s="5">
        <v>0.20680000000000001</v>
      </c>
      <c r="F49" s="6">
        <f t="shared" si="0"/>
        <v>0.20680000000000001</v>
      </c>
      <c r="G49" s="5" t="e">
        <f t="shared" si="1"/>
        <v>#DIV/0!</v>
      </c>
      <c r="H49" s="5">
        <v>4.7300000000000002E-2</v>
      </c>
      <c r="I49" s="5">
        <f t="shared" si="2"/>
        <v>0.1595</v>
      </c>
      <c r="J49" s="5">
        <f t="shared" si="13"/>
        <v>1.0761379310344827</v>
      </c>
      <c r="K49" s="5">
        <f t="shared" si="14"/>
        <v>0.70798548094373859</v>
      </c>
      <c r="L49" s="5"/>
      <c r="M49" s="5"/>
      <c r="N49" s="5"/>
      <c r="O49" s="5">
        <f t="shared" si="5"/>
        <v>0</v>
      </c>
      <c r="P49" s="5">
        <f t="shared" si="6"/>
        <v>0</v>
      </c>
      <c r="Q49" s="5" t="e">
        <f t="shared" si="7"/>
        <v>#DIV/0!</v>
      </c>
      <c r="R49" s="5" t="e">
        <f t="shared" si="8"/>
        <v>#DIV/0!</v>
      </c>
      <c r="S49" s="5" t="e">
        <f t="shared" si="9"/>
        <v>#DIV/0!</v>
      </c>
      <c r="T49" s="5"/>
      <c r="U49" s="5"/>
      <c r="V49" s="5"/>
      <c r="W49" s="5"/>
      <c r="X49" s="5"/>
      <c r="Y49" s="5"/>
      <c r="Z49" s="5"/>
      <c r="AA49" s="5">
        <f t="shared" si="11"/>
        <v>0</v>
      </c>
      <c r="AB49" s="5" t="e">
        <f t="shared" si="12"/>
        <v>#DIV/0!</v>
      </c>
      <c r="AC49" s="5">
        <f t="shared" si="10"/>
        <v>0</v>
      </c>
    </row>
    <row r="50" spans="1:29" ht="21" x14ac:dyDescent="0.35">
      <c r="A50" s="80"/>
      <c r="B50" s="5">
        <v>9.1999999999999993</v>
      </c>
      <c r="C50" s="5"/>
      <c r="D50" s="5"/>
      <c r="E50" s="5">
        <v>0.49320000000000003</v>
      </c>
      <c r="F50" s="6">
        <f t="shared" si="0"/>
        <v>0.49320000000000003</v>
      </c>
      <c r="G50" s="5" t="e">
        <f t="shared" si="1"/>
        <v>#DIV/0!</v>
      </c>
      <c r="H50" s="5">
        <v>0.1835</v>
      </c>
      <c r="I50" s="5">
        <f t="shared" si="2"/>
        <v>0.30970000000000003</v>
      </c>
      <c r="J50" s="5">
        <f t="shared" si="13"/>
        <v>1.321782370035518</v>
      </c>
      <c r="K50" s="5">
        <f t="shared" si="14"/>
        <v>0.86959366449705133</v>
      </c>
      <c r="L50" s="5"/>
      <c r="M50" s="5"/>
      <c r="N50" s="5"/>
      <c r="O50" s="5">
        <f t="shared" si="5"/>
        <v>0</v>
      </c>
      <c r="P50" s="5">
        <f t="shared" si="6"/>
        <v>0</v>
      </c>
      <c r="Q50" s="5" t="e">
        <f t="shared" si="7"/>
        <v>#DIV/0!</v>
      </c>
      <c r="R50" s="5" t="e">
        <f t="shared" si="8"/>
        <v>#DIV/0!</v>
      </c>
      <c r="S50" s="5" t="e">
        <f t="shared" si="9"/>
        <v>#DIV/0!</v>
      </c>
      <c r="T50" s="5"/>
      <c r="U50" s="5"/>
      <c r="V50" s="5"/>
      <c r="W50" s="5"/>
      <c r="X50" s="5"/>
      <c r="Y50" s="5"/>
      <c r="Z50" s="5"/>
      <c r="AA50" s="5">
        <f t="shared" si="11"/>
        <v>0</v>
      </c>
      <c r="AB50" s="5" t="e">
        <f t="shared" si="12"/>
        <v>#DIV/0!</v>
      </c>
      <c r="AC50" s="5">
        <f>D50-AA50</f>
        <v>0</v>
      </c>
    </row>
    <row r="51" spans="1:29" ht="21" x14ac:dyDescent="0.35">
      <c r="A51" s="80"/>
      <c r="B51" s="5">
        <v>9.3000000000000007</v>
      </c>
      <c r="C51" s="5"/>
      <c r="D51" s="5"/>
      <c r="E51" s="5">
        <v>0.62019999999999997</v>
      </c>
      <c r="F51" s="6">
        <f t="shared" si="0"/>
        <v>0.62019999999999997</v>
      </c>
      <c r="G51" s="5" t="e">
        <f t="shared" si="1"/>
        <v>#DIV/0!</v>
      </c>
      <c r="H51" s="5">
        <v>0.22750000000000001</v>
      </c>
      <c r="I51" s="5">
        <f t="shared" si="2"/>
        <v>0.39269999999999994</v>
      </c>
      <c r="J51" s="5">
        <f t="shared" si="13"/>
        <v>1.3108377896613193</v>
      </c>
      <c r="K51" s="5">
        <f t="shared" si="14"/>
        <v>0.8623932826719205</v>
      </c>
      <c r="L51" s="5"/>
      <c r="M51" s="5"/>
      <c r="N51" s="5"/>
      <c r="O51" s="5">
        <f t="shared" si="5"/>
        <v>0</v>
      </c>
      <c r="P51" s="5">
        <f t="shared" si="6"/>
        <v>0</v>
      </c>
      <c r="Q51" s="5" t="e">
        <f t="shared" si="7"/>
        <v>#DIV/0!</v>
      </c>
      <c r="R51" s="5" t="e">
        <f t="shared" si="8"/>
        <v>#DIV/0!</v>
      </c>
      <c r="S51" s="5" t="e">
        <f t="shared" si="9"/>
        <v>#DIV/0!</v>
      </c>
      <c r="T51" s="5"/>
      <c r="U51" s="5"/>
      <c r="V51" s="5"/>
      <c r="W51" s="5"/>
      <c r="X51" s="5"/>
      <c r="Y51" s="5"/>
      <c r="Z51" s="5"/>
      <c r="AA51" s="5">
        <f t="shared" si="11"/>
        <v>0</v>
      </c>
      <c r="AB51" s="5" t="e">
        <f t="shared" si="12"/>
        <v>#DIV/0!</v>
      </c>
      <c r="AC51" s="5">
        <f t="shared" si="10"/>
        <v>0</v>
      </c>
    </row>
    <row r="52" spans="1:29" ht="21" x14ac:dyDescent="0.35">
      <c r="B52" s="5">
        <v>9.4</v>
      </c>
      <c r="D52" s="5"/>
      <c r="E52" s="5">
        <v>0.30349999999999999</v>
      </c>
      <c r="F52" s="6">
        <f t="shared" si="0"/>
        <v>0.30349999999999999</v>
      </c>
      <c r="G52" s="5" t="e">
        <f t="shared" si="1"/>
        <v>#DIV/0!</v>
      </c>
      <c r="H52" s="5">
        <v>0.1133</v>
      </c>
      <c r="I52" s="5">
        <f t="shared" si="2"/>
        <v>0.19019999999999998</v>
      </c>
      <c r="J52" s="5">
        <f t="shared" si="13"/>
        <v>1.3244216614090432</v>
      </c>
      <c r="K52" s="5">
        <f t="shared" si="14"/>
        <v>0.87133004040068629</v>
      </c>
      <c r="L52" s="5"/>
      <c r="M52" s="5"/>
      <c r="N52" s="5"/>
      <c r="O52" s="5">
        <f t="shared" si="5"/>
        <v>0</v>
      </c>
      <c r="P52" s="5">
        <f t="shared" si="6"/>
        <v>0</v>
      </c>
      <c r="Q52" s="5" t="e">
        <f t="shared" si="7"/>
        <v>#DIV/0!</v>
      </c>
      <c r="R52" s="5" t="e">
        <f t="shared" si="8"/>
        <v>#DIV/0!</v>
      </c>
      <c r="S52" s="5" t="e">
        <f t="shared" si="9"/>
        <v>#DIV/0!</v>
      </c>
      <c r="T52" s="5"/>
      <c r="U52" s="5"/>
      <c r="V52" s="5"/>
      <c r="W52" s="5"/>
      <c r="X52" s="5"/>
      <c r="Y52" s="5"/>
      <c r="Z52" s="5"/>
      <c r="AA52" s="5">
        <f t="shared" si="11"/>
        <v>0</v>
      </c>
      <c r="AB52" s="5" t="e">
        <f t="shared" si="12"/>
        <v>#DIV/0!</v>
      </c>
      <c r="AC52" s="5">
        <f t="shared" si="10"/>
        <v>0</v>
      </c>
    </row>
    <row r="53" spans="1:29" ht="21" x14ac:dyDescent="0.35">
      <c r="B53" s="5">
        <v>37.1</v>
      </c>
      <c r="D53" s="5"/>
      <c r="E53" s="5">
        <v>0.54649999999999999</v>
      </c>
      <c r="F53" s="6">
        <f t="shared" si="0"/>
        <v>0.54649999999999999</v>
      </c>
      <c r="G53" s="5" t="e">
        <f t="shared" si="1"/>
        <v>#DIV/0!</v>
      </c>
      <c r="H53" s="5">
        <v>0.1678</v>
      </c>
      <c r="I53" s="5">
        <f t="shared" si="2"/>
        <v>0.37869999999999998</v>
      </c>
      <c r="J53" s="5">
        <f t="shared" si="13"/>
        <v>1.1977686823343014</v>
      </c>
      <c r="K53" s="5">
        <f t="shared" si="14"/>
        <v>0.7880057120620404</v>
      </c>
      <c r="L53" s="5"/>
      <c r="M53" s="5"/>
      <c r="N53" s="5"/>
      <c r="O53" s="5">
        <f t="shared" si="5"/>
        <v>0</v>
      </c>
      <c r="P53" s="5">
        <f t="shared" si="6"/>
        <v>0</v>
      </c>
      <c r="Q53" s="5" t="e">
        <f t="shared" si="7"/>
        <v>#DIV/0!</v>
      </c>
      <c r="R53" s="5" t="e">
        <f t="shared" si="8"/>
        <v>#DIV/0!</v>
      </c>
      <c r="S53" s="5" t="e">
        <f t="shared" si="9"/>
        <v>#DIV/0!</v>
      </c>
      <c r="T53" s="5"/>
      <c r="U53" s="5"/>
      <c r="V53" s="5"/>
      <c r="W53" s="5"/>
      <c r="X53" s="5"/>
      <c r="Y53" s="5"/>
      <c r="Z53" s="5"/>
      <c r="AA53" s="5">
        <f t="shared" si="11"/>
        <v>0</v>
      </c>
      <c r="AB53" s="5" t="e">
        <f t="shared" si="12"/>
        <v>#DIV/0!</v>
      </c>
      <c r="AC53" s="5">
        <f t="shared" si="10"/>
        <v>0</v>
      </c>
    </row>
    <row r="54" spans="1:29" ht="21" x14ac:dyDescent="0.35">
      <c r="B54" s="5">
        <v>37.200000000000003</v>
      </c>
      <c r="D54" s="5"/>
      <c r="E54" s="5">
        <v>0.52600000000000002</v>
      </c>
      <c r="F54" s="6">
        <f t="shared" si="0"/>
        <v>0.52600000000000002</v>
      </c>
      <c r="G54" s="5" t="e">
        <f t="shared" si="1"/>
        <v>#DIV/0!</v>
      </c>
      <c r="H54" s="5">
        <v>0.1711</v>
      </c>
      <c r="I54" s="5">
        <f t="shared" si="2"/>
        <v>0.35489999999999999</v>
      </c>
      <c r="J54" s="5">
        <f t="shared" si="13"/>
        <v>1.2301493378416457</v>
      </c>
      <c r="K54" s="5">
        <f t="shared" si="14"/>
        <v>0.80930877489581954</v>
      </c>
      <c r="L54" s="5"/>
      <c r="M54" s="5"/>
      <c r="N54" s="5"/>
      <c r="O54" s="5">
        <f t="shared" si="5"/>
        <v>0</v>
      </c>
      <c r="P54" s="5">
        <f t="shared" si="6"/>
        <v>0</v>
      </c>
      <c r="Q54" s="5" t="e">
        <f t="shared" si="7"/>
        <v>#DIV/0!</v>
      </c>
      <c r="R54" s="5" t="e">
        <f t="shared" si="8"/>
        <v>#DIV/0!</v>
      </c>
      <c r="S54" s="5" t="e">
        <f t="shared" si="9"/>
        <v>#DIV/0!</v>
      </c>
      <c r="T54" s="5"/>
      <c r="U54" s="5"/>
      <c r="V54" s="5"/>
      <c r="W54" s="5"/>
      <c r="X54" s="5"/>
      <c r="Y54" s="5"/>
      <c r="Z54" s="5"/>
      <c r="AA54" s="5">
        <f t="shared" si="11"/>
        <v>0</v>
      </c>
      <c r="AB54" s="5" t="e">
        <f t="shared" si="12"/>
        <v>#DIV/0!</v>
      </c>
      <c r="AC54" s="5">
        <f>D54-AA54</f>
        <v>0</v>
      </c>
    </row>
    <row r="55" spans="1:29" ht="21" x14ac:dyDescent="0.35">
      <c r="B55" s="5">
        <v>37.299999999999997</v>
      </c>
      <c r="D55" s="5"/>
      <c r="E55" s="5">
        <v>0.48049999999999998</v>
      </c>
      <c r="F55" s="6">
        <f t="shared" si="0"/>
        <v>0.48049999999999998</v>
      </c>
      <c r="G55" s="5" t="e">
        <f t="shared" si="1"/>
        <v>#DIV/0!</v>
      </c>
      <c r="H55" s="5">
        <v>0.16639999999999999</v>
      </c>
      <c r="I55" s="5">
        <f t="shared" si="2"/>
        <v>0.31409999999999999</v>
      </c>
      <c r="J55" s="5">
        <f t="shared" si="13"/>
        <v>1.269707099649793</v>
      </c>
      <c r="K55" s="5">
        <f t="shared" si="14"/>
        <v>0.83533361819065333</v>
      </c>
      <c r="L55" s="5"/>
      <c r="M55" s="5"/>
      <c r="N55" s="5"/>
      <c r="O55" s="5">
        <f t="shared" si="5"/>
        <v>0</v>
      </c>
      <c r="P55" s="5">
        <f t="shared" si="6"/>
        <v>0</v>
      </c>
      <c r="Q55" s="5" t="e">
        <f t="shared" si="7"/>
        <v>#DIV/0!</v>
      </c>
      <c r="R55" s="5" t="e">
        <f t="shared" si="8"/>
        <v>#DIV/0!</v>
      </c>
      <c r="S55" s="5" t="e">
        <f t="shared" si="9"/>
        <v>#DIV/0!</v>
      </c>
      <c r="T55" s="5"/>
      <c r="U55" s="5"/>
      <c r="V55" s="5"/>
      <c r="W55" s="5"/>
      <c r="X55" s="5"/>
      <c r="Y55" s="5"/>
      <c r="Z55" s="5"/>
      <c r="AA55" s="5">
        <f t="shared" si="11"/>
        <v>0</v>
      </c>
      <c r="AB55" s="5" t="e">
        <f t="shared" si="12"/>
        <v>#DIV/0!</v>
      </c>
      <c r="AC55" s="5">
        <f>D55-AA55</f>
        <v>0</v>
      </c>
    </row>
  </sheetData>
  <mergeCells count="7">
    <mergeCell ref="A46:A51"/>
    <mergeCell ref="A4:A10"/>
    <mergeCell ref="A11:A17"/>
    <mergeCell ref="A18:A24"/>
    <mergeCell ref="A25:A31"/>
    <mergeCell ref="A32:A38"/>
    <mergeCell ref="A39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CD347-C8CA-4499-A2C6-8B4216F29C47}">
  <dimension ref="A1:AC36"/>
  <sheetViews>
    <sheetView topLeftCell="A26" workbookViewId="0">
      <selection activeCell="H19" sqref="H19"/>
    </sheetView>
  </sheetViews>
  <sheetFormatPr defaultRowHeight="15" x14ac:dyDescent="0.25"/>
  <cols>
    <col min="4" max="4" width="9.85546875" bestFit="1" customWidth="1"/>
    <col min="6" max="6" width="9.85546875" bestFit="1" customWidth="1"/>
  </cols>
  <sheetData>
    <row r="1" spans="1:29" x14ac:dyDescent="0.25">
      <c r="A1" t="s">
        <v>55</v>
      </c>
      <c r="J1" t="s">
        <v>1</v>
      </c>
      <c r="M1" t="s">
        <v>2</v>
      </c>
      <c r="V1" t="s">
        <v>3</v>
      </c>
      <c r="W1" t="s">
        <v>4</v>
      </c>
    </row>
    <row r="2" spans="1:29" x14ac:dyDescent="0.25">
      <c r="J2">
        <v>0.83</v>
      </c>
      <c r="L2" t="s">
        <v>5</v>
      </c>
      <c r="M2">
        <v>1.52</v>
      </c>
      <c r="N2" t="s">
        <v>5</v>
      </c>
      <c r="V2">
        <f>(PI()/4 )*80^2</f>
        <v>5026.5482457436692</v>
      </c>
      <c r="W2">
        <f>10^2</f>
        <v>100</v>
      </c>
    </row>
    <row r="3" spans="1:29" ht="294" x14ac:dyDescent="0.35">
      <c r="A3" s="1"/>
      <c r="B3" s="1" t="s">
        <v>6</v>
      </c>
      <c r="C3" s="2" t="s">
        <v>7</v>
      </c>
      <c r="D3" s="12" t="s">
        <v>8</v>
      </c>
      <c r="E3" s="13" t="s">
        <v>9</v>
      </c>
      <c r="F3" s="2" t="s">
        <v>10</v>
      </c>
      <c r="G3" s="1" t="s">
        <v>11</v>
      </c>
      <c r="H3" s="14" t="s">
        <v>12</v>
      </c>
      <c r="I3" s="2" t="s">
        <v>13</v>
      </c>
      <c r="J3" s="2" t="s">
        <v>14</v>
      </c>
      <c r="K3" s="1" t="s">
        <v>15</v>
      </c>
      <c r="L3" s="13" t="s">
        <v>16</v>
      </c>
      <c r="M3" s="13" t="s">
        <v>17</v>
      </c>
      <c r="N3" s="13" t="s">
        <v>18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23</v>
      </c>
      <c r="T3" s="2" t="s">
        <v>24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40</v>
      </c>
      <c r="Z3" s="2" t="s">
        <v>41</v>
      </c>
      <c r="AA3" s="2" t="s">
        <v>42</v>
      </c>
      <c r="AB3" s="2" t="s">
        <v>43</v>
      </c>
      <c r="AC3" s="2" t="s">
        <v>44</v>
      </c>
    </row>
    <row r="4" spans="1:29" ht="21" x14ac:dyDescent="0.35">
      <c r="A4" s="80" t="s">
        <v>56</v>
      </c>
      <c r="B4" s="7">
        <v>1</v>
      </c>
      <c r="C4" s="7"/>
      <c r="D4" s="7">
        <v>1.5028999999999999</v>
      </c>
      <c r="E4" s="7">
        <v>1.5029999999999999</v>
      </c>
      <c r="F4" s="8">
        <f t="shared" ref="F4:F24" si="0">ABS(D4-E4)</f>
        <v>9.9999999999988987E-5</v>
      </c>
      <c r="G4" s="7">
        <f t="shared" ref="G4:G24" si="1">F4/D4*100</f>
        <v>6.6538026482127217E-3</v>
      </c>
      <c r="H4" s="7">
        <v>0.58409999999999995</v>
      </c>
      <c r="I4" s="7">
        <f t="shared" ref="I4:I24" si="2">ABS(E4-H4)</f>
        <v>0.91889999999999994</v>
      </c>
      <c r="J4" s="7">
        <f>E4*$J$2/I4</f>
        <v>1.3575905974534768</v>
      </c>
      <c r="K4" s="7">
        <f>J4/$M$2</f>
        <v>0.8931517088509715</v>
      </c>
      <c r="L4">
        <v>10.353999999999999</v>
      </c>
      <c r="M4">
        <v>10.212</v>
      </c>
      <c r="N4">
        <v>11.298</v>
      </c>
      <c r="O4" s="7">
        <f t="shared" ref="O4:O15" si="3">L4*M4*N4</f>
        <v>1194.5945723039999</v>
      </c>
      <c r="P4" s="7">
        <f t="shared" ref="P4:P15" si="4">L4*M4</f>
        <v>105.73504799999999</v>
      </c>
      <c r="Q4" s="5">
        <f t="shared" ref="Q4:Q15" si="5">E4/(O4*0.001)</f>
        <v>1.2581674442913149</v>
      </c>
      <c r="R4" s="5">
        <f t="shared" ref="R4:R15" si="6">Q4/$M$2</f>
        <v>0.8277417396653387</v>
      </c>
      <c r="S4" s="5">
        <f t="shared" ref="S4:S15" si="7">ABS(J4-Q4)/((J4+Q4)/2)*100</f>
        <v>7.6018616076465211</v>
      </c>
      <c r="T4" s="7"/>
      <c r="U4" s="7"/>
      <c r="V4" s="7"/>
      <c r="W4" s="7"/>
      <c r="X4" s="7"/>
      <c r="Y4" s="7"/>
      <c r="Z4" s="7"/>
      <c r="AA4" s="7">
        <f t="shared" ref="AA4:AA24" si="8">Y4+Z4</f>
        <v>0</v>
      </c>
      <c r="AB4" s="7" t="e">
        <f t="shared" ref="AB4:AB24" si="9">Z4/AA4*100</f>
        <v>#DIV/0!</v>
      </c>
      <c r="AC4" s="7">
        <f t="shared" ref="AC4:AC24" si="10">D4-AA4</f>
        <v>1.5028999999999999</v>
      </c>
    </row>
    <row r="5" spans="1:29" ht="21" x14ac:dyDescent="0.35">
      <c r="A5" s="80"/>
      <c r="B5" s="5">
        <v>2</v>
      </c>
      <c r="C5" s="5"/>
      <c r="D5" s="5">
        <v>1.5016</v>
      </c>
      <c r="E5" s="5">
        <v>1.5350999999999999</v>
      </c>
      <c r="F5" s="6">
        <f>ABS(D5-E5)</f>
        <v>3.3499999999999863E-2</v>
      </c>
      <c r="G5" s="5">
        <f t="shared" si="1"/>
        <v>2.2309536494405875</v>
      </c>
      <c r="H5" s="5">
        <v>0.60260000000000002</v>
      </c>
      <c r="I5" s="5">
        <f t="shared" si="2"/>
        <v>0.93249999999999988</v>
      </c>
      <c r="J5" s="5">
        <f t="shared" ref="J5:J24" si="11">E5*$J$2/I5</f>
        <v>1.3663624664879357</v>
      </c>
      <c r="K5" s="5">
        <f t="shared" ref="K5:K24" si="12">J5/$M$2</f>
        <v>0.89892267532101033</v>
      </c>
      <c r="L5">
        <v>10.303000000000001</v>
      </c>
      <c r="M5">
        <v>10.25</v>
      </c>
      <c r="N5">
        <v>11.228999999999999</v>
      </c>
      <c r="O5" s="5">
        <f t="shared" si="3"/>
        <v>1185.8469667500001</v>
      </c>
      <c r="P5" s="5">
        <f t="shared" si="4"/>
        <v>105.60575000000001</v>
      </c>
      <c r="Q5" s="5">
        <f t="shared" si="5"/>
        <v>1.2945177944901125</v>
      </c>
      <c r="R5" s="5">
        <f t="shared" si="6"/>
        <v>0.85165644374349503</v>
      </c>
      <c r="S5" s="5">
        <f t="shared" si="7"/>
        <v>5.4000680189506571</v>
      </c>
      <c r="T5" s="5"/>
      <c r="U5" s="5"/>
      <c r="V5" s="5"/>
      <c r="W5" s="5"/>
      <c r="X5" s="5"/>
      <c r="Y5" s="5"/>
      <c r="Z5" s="5"/>
      <c r="AA5" s="5">
        <f t="shared" si="8"/>
        <v>0</v>
      </c>
      <c r="AB5" s="5" t="e">
        <f t="shared" si="9"/>
        <v>#DIV/0!</v>
      </c>
      <c r="AC5" s="5">
        <f t="shared" si="10"/>
        <v>1.5016</v>
      </c>
    </row>
    <row r="6" spans="1:29" ht="21" x14ac:dyDescent="0.35">
      <c r="A6" s="80"/>
      <c r="B6" s="5">
        <v>3</v>
      </c>
      <c r="C6" s="5"/>
      <c r="D6" s="5">
        <v>1.5008999999999999</v>
      </c>
      <c r="E6" s="5">
        <v>1.5145</v>
      </c>
      <c r="F6" s="6">
        <f t="shared" si="0"/>
        <v>1.3600000000000056E-2</v>
      </c>
      <c r="G6" s="5">
        <f t="shared" si="1"/>
        <v>0.906122992870948</v>
      </c>
      <c r="H6" s="5">
        <v>0.60229999999999995</v>
      </c>
      <c r="I6" s="5">
        <f t="shared" si="2"/>
        <v>0.91220000000000001</v>
      </c>
      <c r="J6" s="5">
        <f t="shared" si="11"/>
        <v>1.3780256522692391</v>
      </c>
      <c r="K6" s="5">
        <f t="shared" si="12"/>
        <v>0.90659582386134152</v>
      </c>
      <c r="L6">
        <v>10.236000000000001</v>
      </c>
      <c r="M6">
        <v>10.137</v>
      </c>
      <c r="N6">
        <v>10.864000000000001</v>
      </c>
      <c r="O6" s="5">
        <f t="shared" si="3"/>
        <v>1127.2739748480003</v>
      </c>
      <c r="P6" s="5">
        <f t="shared" si="4"/>
        <v>103.76233200000001</v>
      </c>
      <c r="Q6" s="5">
        <f t="shared" si="5"/>
        <v>1.3435065776305291</v>
      </c>
      <c r="R6" s="5">
        <f t="shared" si="6"/>
        <v>0.88388590633587438</v>
      </c>
      <c r="S6" s="5">
        <f t="shared" si="7"/>
        <v>2.5367382579174067</v>
      </c>
      <c r="T6" s="5"/>
      <c r="U6" s="5"/>
      <c r="V6" s="5"/>
      <c r="W6" s="5"/>
      <c r="X6" s="5"/>
      <c r="Y6" s="5"/>
      <c r="Z6" s="5"/>
      <c r="AA6" s="5">
        <f t="shared" si="8"/>
        <v>0</v>
      </c>
      <c r="AB6" s="5" t="e">
        <f t="shared" si="9"/>
        <v>#DIV/0!</v>
      </c>
      <c r="AC6" s="5">
        <f t="shared" si="10"/>
        <v>1.5008999999999999</v>
      </c>
    </row>
    <row r="7" spans="1:29" ht="21" x14ac:dyDescent="0.35">
      <c r="A7" s="80"/>
      <c r="B7" s="5">
        <v>4</v>
      </c>
      <c r="C7" s="5"/>
      <c r="D7" s="5">
        <v>1.502</v>
      </c>
      <c r="E7" s="5">
        <v>1.5048999999999999</v>
      </c>
      <c r="F7" s="6">
        <f t="shared" si="0"/>
        <v>2.8999999999999027E-3</v>
      </c>
      <c r="G7" s="5">
        <f t="shared" si="1"/>
        <v>0.1930758988015914</v>
      </c>
      <c r="H7" s="5">
        <v>0.60960000000000003</v>
      </c>
      <c r="I7" s="5">
        <f t="shared" si="2"/>
        <v>0.89529999999999987</v>
      </c>
      <c r="J7" s="5">
        <f t="shared" si="11"/>
        <v>1.3951379425890764</v>
      </c>
      <c r="K7" s="5">
        <f t="shared" si="12"/>
        <v>0.91785390959807656</v>
      </c>
      <c r="L7">
        <v>10.188000000000001</v>
      </c>
      <c r="M7">
        <v>10.118</v>
      </c>
      <c r="N7">
        <v>10.59</v>
      </c>
      <c r="O7" s="5">
        <f t="shared" si="3"/>
        <v>1091.6403285600002</v>
      </c>
      <c r="P7" s="5">
        <f t="shared" si="4"/>
        <v>103.08218400000001</v>
      </c>
      <c r="Q7" s="5">
        <f t="shared" si="5"/>
        <v>1.378567611170189</v>
      </c>
      <c r="R7" s="5">
        <f t="shared" si="6"/>
        <v>0.90695237576986121</v>
      </c>
      <c r="S7" s="5">
        <f t="shared" si="7"/>
        <v>1.1948154624004177</v>
      </c>
      <c r="T7" s="5"/>
      <c r="U7" s="5"/>
      <c r="V7" s="5"/>
      <c r="W7" s="5"/>
      <c r="X7" s="5"/>
      <c r="Y7" s="5"/>
      <c r="Z7" s="5"/>
      <c r="AA7" s="5">
        <f t="shared" si="8"/>
        <v>0</v>
      </c>
      <c r="AB7" s="5" t="e">
        <f t="shared" si="9"/>
        <v>#DIV/0!</v>
      </c>
      <c r="AC7" s="5">
        <f t="shared" si="10"/>
        <v>1.502</v>
      </c>
    </row>
    <row r="8" spans="1:29" ht="21" x14ac:dyDescent="0.35">
      <c r="A8" s="80"/>
      <c r="B8" s="5">
        <v>5</v>
      </c>
      <c r="C8" s="5"/>
      <c r="D8" s="6">
        <v>1.5019</v>
      </c>
      <c r="E8" s="5">
        <v>1.5132000000000001</v>
      </c>
      <c r="F8" s="6">
        <f t="shared" si="0"/>
        <v>1.1300000000000088E-2</v>
      </c>
      <c r="G8" s="5">
        <f t="shared" si="1"/>
        <v>0.75238031826353868</v>
      </c>
      <c r="H8" s="5">
        <v>0.5958</v>
      </c>
      <c r="I8" s="5">
        <f t="shared" si="2"/>
        <v>0.9174000000000001</v>
      </c>
      <c r="J8" s="5">
        <f t="shared" si="11"/>
        <v>1.3690385873119686</v>
      </c>
      <c r="K8" s="5">
        <f t="shared" si="12"/>
        <v>0.90068328112629514</v>
      </c>
      <c r="L8">
        <v>10.542999999999999</v>
      </c>
      <c r="M8">
        <v>10.211</v>
      </c>
      <c r="N8">
        <v>10.85</v>
      </c>
      <c r="O8" s="5">
        <f t="shared" si="3"/>
        <v>1168.0521170499999</v>
      </c>
      <c r="P8" s="5">
        <f t="shared" si="4"/>
        <v>107.654573</v>
      </c>
      <c r="Q8" s="5">
        <f t="shared" si="5"/>
        <v>1.2954901394483116</v>
      </c>
      <c r="R8" s="5">
        <f t="shared" si="6"/>
        <v>0.85229614437388923</v>
      </c>
      <c r="S8" s="5">
        <f t="shared" si="7"/>
        <v>5.5205595740063442</v>
      </c>
      <c r="T8" s="5"/>
      <c r="U8" s="5"/>
      <c r="V8" s="5"/>
      <c r="W8" s="5"/>
      <c r="X8" s="5"/>
      <c r="Y8" s="5"/>
      <c r="Z8" s="5"/>
      <c r="AA8" s="5">
        <f t="shared" si="8"/>
        <v>0</v>
      </c>
      <c r="AB8" s="5" t="e">
        <f t="shared" si="9"/>
        <v>#DIV/0!</v>
      </c>
      <c r="AC8" s="5">
        <f t="shared" si="10"/>
        <v>1.5019</v>
      </c>
    </row>
    <row r="9" spans="1:29" ht="21" x14ac:dyDescent="0.35">
      <c r="A9" s="80"/>
      <c r="B9" s="5">
        <v>6</v>
      </c>
      <c r="C9" s="5"/>
      <c r="D9" s="6">
        <v>1.5</v>
      </c>
      <c r="E9" s="5">
        <v>1.5284</v>
      </c>
      <c r="F9" s="6">
        <f t="shared" si="0"/>
        <v>2.8399999999999981E-2</v>
      </c>
      <c r="G9" s="5">
        <f t="shared" si="1"/>
        <v>1.893333333333332</v>
      </c>
      <c r="H9" s="5">
        <v>0.60419999999999996</v>
      </c>
      <c r="I9" s="5">
        <f t="shared" si="2"/>
        <v>0.92420000000000002</v>
      </c>
      <c r="J9" s="5">
        <f t="shared" si="11"/>
        <v>1.3726163168145422</v>
      </c>
      <c r="K9" s="5">
        <f t="shared" si="12"/>
        <v>0.90303705053588301</v>
      </c>
      <c r="L9">
        <v>10.118</v>
      </c>
      <c r="M9">
        <v>10.16</v>
      </c>
      <c r="N9">
        <v>11.131</v>
      </c>
      <c r="O9" s="5">
        <f t="shared" si="3"/>
        <v>1144.2543332800001</v>
      </c>
      <c r="P9" s="5">
        <f t="shared" si="4"/>
        <v>102.79888000000001</v>
      </c>
      <c r="Q9" s="5">
        <f t="shared" si="5"/>
        <v>1.3357170303378689</v>
      </c>
      <c r="R9" s="5">
        <f t="shared" si="6"/>
        <v>0.87876120416965064</v>
      </c>
      <c r="S9" s="5">
        <f t="shared" si="7"/>
        <v>2.7248703720662624</v>
      </c>
      <c r="T9" s="5"/>
      <c r="U9" s="5"/>
      <c r="V9" s="5"/>
      <c r="W9" s="5"/>
      <c r="X9" s="5"/>
      <c r="Y9" s="5"/>
      <c r="Z9" s="5"/>
      <c r="AA9" s="5">
        <f t="shared" si="8"/>
        <v>0</v>
      </c>
      <c r="AB9" s="5" t="e">
        <f t="shared" si="9"/>
        <v>#DIV/0!</v>
      </c>
      <c r="AC9" s="5">
        <f t="shared" si="10"/>
        <v>1.5</v>
      </c>
    </row>
    <row r="10" spans="1:29" ht="21" x14ac:dyDescent="0.35">
      <c r="A10" s="80"/>
      <c r="B10" s="5">
        <v>7</v>
      </c>
      <c r="C10" s="5"/>
      <c r="D10" s="6">
        <v>1.5025999999999999</v>
      </c>
      <c r="E10" s="5">
        <v>1.4983</v>
      </c>
      <c r="F10" s="6">
        <f t="shared" si="0"/>
        <v>4.2999999999999705E-3</v>
      </c>
      <c r="G10" s="5">
        <f t="shared" si="1"/>
        <v>0.28617063756155803</v>
      </c>
      <c r="H10" s="5">
        <v>0.60150000000000003</v>
      </c>
      <c r="I10" s="5">
        <f t="shared" si="2"/>
        <v>0.89679999999999993</v>
      </c>
      <c r="J10" s="5">
        <f t="shared" si="11"/>
        <v>1.3866960303300624</v>
      </c>
      <c r="K10" s="5">
        <f t="shared" si="12"/>
        <v>0.91230001995398835</v>
      </c>
      <c r="L10">
        <v>10.496</v>
      </c>
      <c r="M10">
        <v>10.188000000000001</v>
      </c>
      <c r="N10">
        <v>10.756</v>
      </c>
      <c r="O10" s="5">
        <f t="shared" si="3"/>
        <v>1150.1740154880001</v>
      </c>
      <c r="P10" s="5">
        <f t="shared" si="4"/>
        <v>106.93324800000001</v>
      </c>
      <c r="Q10" s="5">
        <f t="shared" si="5"/>
        <v>1.3026724476680995</v>
      </c>
      <c r="R10" s="5">
        <f t="shared" si="6"/>
        <v>0.8570213471500655</v>
      </c>
      <c r="S10" s="5">
        <f t="shared" si="7"/>
        <v>6.2485734736138516</v>
      </c>
      <c r="T10" s="5"/>
      <c r="U10" s="5"/>
      <c r="V10" s="5"/>
      <c r="W10" s="5"/>
      <c r="X10" s="5"/>
      <c r="Y10" s="5"/>
      <c r="Z10" s="5"/>
      <c r="AA10" s="5">
        <f t="shared" si="8"/>
        <v>0</v>
      </c>
      <c r="AB10" s="5" t="e">
        <f t="shared" si="9"/>
        <v>#DIV/0!</v>
      </c>
      <c r="AC10" s="5">
        <f t="shared" si="10"/>
        <v>1.5025999999999999</v>
      </c>
    </row>
    <row r="11" spans="1:29" ht="21" x14ac:dyDescent="0.35">
      <c r="A11" s="80" t="s">
        <v>57</v>
      </c>
      <c r="B11" s="7">
        <v>8</v>
      </c>
      <c r="C11" s="7"/>
      <c r="D11" s="7">
        <v>1.4993000000000001</v>
      </c>
      <c r="E11" s="7">
        <v>1.5296000000000001</v>
      </c>
      <c r="F11" s="8">
        <f t="shared" si="0"/>
        <v>3.0299999999999994E-2</v>
      </c>
      <c r="G11" s="7">
        <f t="shared" si="1"/>
        <v>2.0209431067831649</v>
      </c>
      <c r="H11" s="7">
        <v>0.61209999999999998</v>
      </c>
      <c r="I11" s="7">
        <f t="shared" si="2"/>
        <v>0.91750000000000009</v>
      </c>
      <c r="J11" s="7">
        <f t="shared" si="11"/>
        <v>1.383725340599455</v>
      </c>
      <c r="K11" s="7">
        <f t="shared" si="12"/>
        <v>0.91034561881543086</v>
      </c>
      <c r="L11">
        <v>10.542999999999999</v>
      </c>
      <c r="M11">
        <v>10.307</v>
      </c>
      <c r="N11">
        <v>10.803000000000001</v>
      </c>
      <c r="O11" s="7">
        <f t="shared" si="3"/>
        <v>1173.9263709030001</v>
      </c>
      <c r="P11" s="7">
        <f>L11*M11</f>
        <v>108.666701</v>
      </c>
      <c r="Q11" s="5">
        <f t="shared" si="5"/>
        <v>1.302977799896778</v>
      </c>
      <c r="R11" s="5">
        <f t="shared" si="6"/>
        <v>0.85722223677419607</v>
      </c>
      <c r="S11" s="5">
        <f t="shared" si="7"/>
        <v>6.0109015756584814</v>
      </c>
      <c r="T11" s="7"/>
      <c r="U11" s="7"/>
      <c r="V11" s="7"/>
      <c r="W11" s="7"/>
      <c r="X11" s="7"/>
      <c r="Y11" s="7"/>
      <c r="Z11" s="7"/>
      <c r="AA11" s="7">
        <f t="shared" si="8"/>
        <v>0</v>
      </c>
      <c r="AB11" s="7" t="e">
        <f t="shared" si="9"/>
        <v>#DIV/0!</v>
      </c>
      <c r="AC11" s="7">
        <f t="shared" si="10"/>
        <v>1.4993000000000001</v>
      </c>
    </row>
    <row r="12" spans="1:29" ht="21" x14ac:dyDescent="0.35">
      <c r="A12" s="80"/>
      <c r="B12" s="5">
        <v>9</v>
      </c>
      <c r="C12" s="5"/>
      <c r="D12" s="5">
        <v>1.5012000000000001</v>
      </c>
      <c r="E12" s="5">
        <v>1.5107999999999999</v>
      </c>
      <c r="F12" s="6">
        <f t="shared" si="0"/>
        <v>9.5999999999998309E-3</v>
      </c>
      <c r="G12" s="5">
        <f t="shared" si="1"/>
        <v>0.63948840927257067</v>
      </c>
      <c r="H12" s="5">
        <v>0.60540000000000005</v>
      </c>
      <c r="I12" s="5">
        <f t="shared" si="2"/>
        <v>0.90539999999999987</v>
      </c>
      <c r="J12" s="5">
        <f t="shared" si="11"/>
        <v>1.3849834327369119</v>
      </c>
      <c r="K12" s="5">
        <f t="shared" si="12"/>
        <v>0.91117331101112631</v>
      </c>
      <c r="L12">
        <v>10.282999999999999</v>
      </c>
      <c r="M12">
        <v>10.259</v>
      </c>
      <c r="N12">
        <v>10.625</v>
      </c>
      <c r="O12" s="5">
        <f t="shared" si="3"/>
        <v>1120.8662806249999</v>
      </c>
      <c r="P12" s="5">
        <f t="shared" si="4"/>
        <v>105.493297</v>
      </c>
      <c r="Q12" s="5">
        <f t="shared" si="5"/>
        <v>1.3478860289717798</v>
      </c>
      <c r="R12" s="5">
        <f t="shared" si="6"/>
        <v>0.88676712432353932</v>
      </c>
      <c r="S12" s="5">
        <f t="shared" si="7"/>
        <v>2.7149049220914838</v>
      </c>
      <c r="T12" s="5"/>
      <c r="U12" s="5"/>
      <c r="V12" s="5"/>
      <c r="W12" s="5"/>
      <c r="X12" s="5"/>
      <c r="Y12" s="5"/>
      <c r="Z12" s="5"/>
      <c r="AA12" s="5">
        <f t="shared" si="8"/>
        <v>0</v>
      </c>
      <c r="AB12" s="5" t="e">
        <f t="shared" si="9"/>
        <v>#DIV/0!</v>
      </c>
      <c r="AC12" s="5">
        <f t="shared" si="10"/>
        <v>1.5012000000000001</v>
      </c>
    </row>
    <row r="13" spans="1:29" ht="21" x14ac:dyDescent="0.35">
      <c r="A13" s="80"/>
      <c r="B13" s="5">
        <v>10</v>
      </c>
      <c r="C13" s="5"/>
      <c r="D13" s="5">
        <v>1.5046999999999999</v>
      </c>
      <c r="E13" s="5">
        <v>1.5502</v>
      </c>
      <c r="F13" s="6">
        <f t="shared" si="0"/>
        <v>4.5500000000000096E-2</v>
      </c>
      <c r="G13" s="5">
        <f t="shared" si="1"/>
        <v>3.0238585764604307</v>
      </c>
      <c r="H13" s="5">
        <v>0.61280000000000001</v>
      </c>
      <c r="I13" s="5">
        <f t="shared" si="2"/>
        <v>0.93740000000000001</v>
      </c>
      <c r="J13" s="5">
        <f t="shared" si="11"/>
        <v>1.3725901429485809</v>
      </c>
      <c r="K13" s="5">
        <f t="shared" si="12"/>
        <v>0.90301983088722426</v>
      </c>
      <c r="L13">
        <v>10.225</v>
      </c>
      <c r="M13">
        <v>10.188000000000001</v>
      </c>
      <c r="N13">
        <v>11.085000000000001</v>
      </c>
      <c r="O13" s="5">
        <f t="shared" si="3"/>
        <v>1154.7499455000002</v>
      </c>
      <c r="P13" s="5">
        <f t="shared" si="4"/>
        <v>104.17230000000001</v>
      </c>
      <c r="Q13" s="5">
        <f t="shared" si="5"/>
        <v>1.3424551402154621</v>
      </c>
      <c r="R13" s="5">
        <f t="shared" si="6"/>
        <v>0.88319417119438293</v>
      </c>
      <c r="S13" s="5">
        <f t="shared" si="7"/>
        <v>2.2198526794367361</v>
      </c>
      <c r="T13" s="5"/>
      <c r="U13" s="5"/>
      <c r="V13" s="5"/>
      <c r="W13" s="5"/>
      <c r="X13" s="5"/>
      <c r="Y13" s="5"/>
      <c r="Z13" s="5"/>
      <c r="AA13" s="5">
        <f t="shared" si="8"/>
        <v>0</v>
      </c>
      <c r="AB13" s="5" t="e">
        <f t="shared" si="9"/>
        <v>#DIV/0!</v>
      </c>
      <c r="AC13" s="5">
        <f t="shared" si="10"/>
        <v>1.5046999999999999</v>
      </c>
    </row>
    <row r="14" spans="1:29" ht="21" x14ac:dyDescent="0.35">
      <c r="A14" s="80"/>
      <c r="B14" s="5">
        <v>11</v>
      </c>
      <c r="C14" s="5"/>
      <c r="D14" s="6">
        <v>1.5017</v>
      </c>
      <c r="E14" s="5">
        <v>1.4968999999999999</v>
      </c>
      <c r="F14" s="6">
        <f t="shared" si="0"/>
        <v>4.8000000000001375E-3</v>
      </c>
      <c r="G14" s="5">
        <f t="shared" si="1"/>
        <v>0.31963774389026683</v>
      </c>
      <c r="H14" s="5">
        <v>0.59819999999999995</v>
      </c>
      <c r="I14" s="5">
        <f t="shared" si="2"/>
        <v>0.89869999999999994</v>
      </c>
      <c r="J14" s="5">
        <f t="shared" si="11"/>
        <v>1.3824713475019472</v>
      </c>
      <c r="K14" s="5">
        <f t="shared" si="12"/>
        <v>0.90952062335654427</v>
      </c>
      <c r="L14">
        <v>10.425000000000001</v>
      </c>
      <c r="M14">
        <v>10.282999999999999</v>
      </c>
      <c r="N14">
        <v>10.638</v>
      </c>
      <c r="O14" s="5">
        <f t="shared" si="3"/>
        <v>1140.3965254500001</v>
      </c>
      <c r="P14" s="5">
        <f t="shared" si="4"/>
        <v>107.200275</v>
      </c>
      <c r="Q14" s="5">
        <f t="shared" si="5"/>
        <v>1.3126136099102228</v>
      </c>
      <c r="R14" s="5">
        <f t="shared" si="6"/>
        <v>0.86356158546725181</v>
      </c>
      <c r="S14" s="5">
        <f t="shared" si="7"/>
        <v>5.1840842641786002</v>
      </c>
      <c r="T14" s="5"/>
      <c r="U14" s="5"/>
      <c r="V14" s="5"/>
      <c r="W14" s="5"/>
      <c r="X14" s="5"/>
      <c r="Y14" s="5"/>
      <c r="Z14" s="5"/>
      <c r="AA14" s="5">
        <f t="shared" si="8"/>
        <v>0</v>
      </c>
      <c r="AB14" s="5" t="e">
        <f t="shared" si="9"/>
        <v>#DIV/0!</v>
      </c>
      <c r="AC14" s="5">
        <f t="shared" si="10"/>
        <v>1.5017</v>
      </c>
    </row>
    <row r="15" spans="1:29" ht="21" x14ac:dyDescent="0.35">
      <c r="A15" s="80"/>
      <c r="B15" s="5">
        <v>12</v>
      </c>
      <c r="C15" s="5"/>
      <c r="D15" s="5">
        <v>1.5024</v>
      </c>
      <c r="E15" s="5">
        <v>1.5129999999999999</v>
      </c>
      <c r="F15" s="6">
        <f t="shared" si="0"/>
        <v>1.0599999999999943E-2</v>
      </c>
      <c r="G15" s="5">
        <f t="shared" si="1"/>
        <v>0.70553780617678008</v>
      </c>
      <c r="H15" s="5">
        <v>0.59040000000000004</v>
      </c>
      <c r="I15" s="5">
        <f t="shared" si="2"/>
        <v>0.92259999999999986</v>
      </c>
      <c r="J15" s="5">
        <f t="shared" si="11"/>
        <v>1.3611424235855194</v>
      </c>
      <c r="K15" s="5">
        <f t="shared" si="12"/>
        <v>0.89548843656942068</v>
      </c>
      <c r="L15">
        <v>10.472</v>
      </c>
      <c r="M15">
        <v>10.445</v>
      </c>
      <c r="N15">
        <v>10.85</v>
      </c>
      <c r="O15" s="5">
        <f t="shared" si="3"/>
        <v>1186.773434</v>
      </c>
      <c r="P15" s="5">
        <f t="shared" si="4"/>
        <v>109.38003999999999</v>
      </c>
      <c r="Q15" s="5">
        <f t="shared" si="5"/>
        <v>1.2748852954185692</v>
      </c>
      <c r="R15" s="5">
        <f t="shared" si="6"/>
        <v>0.83874032593326919</v>
      </c>
      <c r="S15" s="5">
        <f t="shared" si="7"/>
        <v>6.5444780830710538</v>
      </c>
      <c r="T15" s="5"/>
      <c r="U15" s="5"/>
      <c r="V15" s="5"/>
      <c r="W15" s="5"/>
      <c r="X15" s="5"/>
      <c r="Y15" s="5"/>
      <c r="Z15" s="5"/>
      <c r="AA15" s="5">
        <f t="shared" si="8"/>
        <v>0</v>
      </c>
      <c r="AB15" s="5" t="e">
        <f t="shared" si="9"/>
        <v>#DIV/0!</v>
      </c>
      <c r="AC15" s="5">
        <f t="shared" si="10"/>
        <v>1.5024</v>
      </c>
    </row>
    <row r="16" spans="1:29" ht="21" x14ac:dyDescent="0.35">
      <c r="A16" s="80"/>
      <c r="B16" s="5">
        <v>13</v>
      </c>
      <c r="C16" s="5"/>
      <c r="D16" s="5">
        <v>1.5014000000000001</v>
      </c>
      <c r="E16" s="5">
        <v>1.5034000000000001</v>
      </c>
      <c r="F16" s="6">
        <f t="shared" si="0"/>
        <v>2.0000000000000018E-3</v>
      </c>
      <c r="G16" s="5">
        <f t="shared" si="1"/>
        <v>0.13320900492873328</v>
      </c>
      <c r="H16" s="5">
        <v>0.59279999999999999</v>
      </c>
      <c r="I16" s="5">
        <f t="shared" si="2"/>
        <v>0.91060000000000008</v>
      </c>
      <c r="J16" s="5">
        <f t="shared" si="11"/>
        <v>1.3703294531078409</v>
      </c>
      <c r="K16" s="5">
        <f t="shared" si="12"/>
        <v>0.90153253493936902</v>
      </c>
      <c r="L16">
        <v>10.992000000000001</v>
      </c>
      <c r="M16">
        <v>10.685</v>
      </c>
      <c r="N16">
        <v>10.462</v>
      </c>
      <c r="O16" s="5">
        <f>L16*M16*N16</f>
        <v>1228.7568782400001</v>
      </c>
      <c r="P16" s="5">
        <f>L16*M16</f>
        <v>117.44952000000002</v>
      </c>
      <c r="Q16" s="5">
        <f>E16/(O16*0.001)</f>
        <v>1.2235129883084623</v>
      </c>
      <c r="R16" s="5">
        <f>Q16/$M$2</f>
        <v>0.80494275546609362</v>
      </c>
      <c r="S16" s="5">
        <f>ABS(J16-Q16)/((J16+Q16)/2)*100</f>
        <v>11.320384187962715</v>
      </c>
      <c r="T16" s="5"/>
      <c r="U16" s="5"/>
      <c r="V16" s="5"/>
      <c r="W16" s="5"/>
      <c r="X16" s="5"/>
      <c r="Y16" s="5"/>
      <c r="Z16" s="5"/>
      <c r="AA16" s="5">
        <f t="shared" si="8"/>
        <v>0</v>
      </c>
      <c r="AB16" s="5" t="e">
        <f t="shared" si="9"/>
        <v>#DIV/0!</v>
      </c>
      <c r="AC16" s="5">
        <f t="shared" si="10"/>
        <v>1.5014000000000001</v>
      </c>
    </row>
    <row r="17" spans="1:29" ht="21" x14ac:dyDescent="0.35">
      <c r="A17" s="80"/>
      <c r="B17" s="5">
        <v>14</v>
      </c>
      <c r="C17" s="5" t="s">
        <v>58</v>
      </c>
      <c r="D17" s="5">
        <v>1.5024999999999999</v>
      </c>
      <c r="E17" s="5">
        <v>1.6020000000000001</v>
      </c>
      <c r="F17" s="6">
        <f t="shared" si="0"/>
        <v>9.9500000000000144E-2</v>
      </c>
      <c r="G17" s="5">
        <f t="shared" si="1"/>
        <v>6.6222961730449352</v>
      </c>
      <c r="H17" s="5">
        <v>0.62119999999999997</v>
      </c>
      <c r="I17" s="5">
        <f t="shared" si="2"/>
        <v>0.98080000000000012</v>
      </c>
      <c r="J17" s="5">
        <f t="shared" si="11"/>
        <v>1.3556892332789559</v>
      </c>
      <c r="K17" s="5">
        <f t="shared" si="12"/>
        <v>0.89190081136773414</v>
      </c>
      <c r="L17">
        <v>10.212</v>
      </c>
      <c r="M17">
        <v>10.212</v>
      </c>
      <c r="N17">
        <v>11.725</v>
      </c>
      <c r="O17" s="5">
        <f t="shared" ref="O17" si="13">L17*M17*N17</f>
        <v>1222.7409683999999</v>
      </c>
      <c r="P17" s="5">
        <f t="shared" ref="P17" si="14">L17*M17</f>
        <v>104.284944</v>
      </c>
      <c r="Q17" s="5">
        <f t="shared" ref="Q17:Q22" si="15">E17/(O17*0.001)</f>
        <v>1.310171198480635</v>
      </c>
      <c r="R17" s="5">
        <f t="shared" ref="R17:R22" si="16">Q17/$M$2</f>
        <v>0.86195473584252302</v>
      </c>
      <c r="S17" s="5">
        <f t="shared" ref="S17:S22" si="17">ABS(J17-Q17)/((J17+Q17)/2)*100</f>
        <v>3.4148850597011062</v>
      </c>
      <c r="T17" s="5"/>
      <c r="U17" s="5"/>
      <c r="V17" s="5"/>
      <c r="W17" s="5"/>
      <c r="X17" s="5"/>
      <c r="Y17" s="5"/>
      <c r="Z17" s="5"/>
      <c r="AA17" s="5">
        <f t="shared" si="8"/>
        <v>0</v>
      </c>
      <c r="AB17" s="5" t="e">
        <f t="shared" si="9"/>
        <v>#DIV/0!</v>
      </c>
      <c r="AC17" s="5">
        <f t="shared" si="10"/>
        <v>1.5024999999999999</v>
      </c>
    </row>
    <row r="18" spans="1:29" ht="21" x14ac:dyDescent="0.35">
      <c r="A18" s="80" t="s">
        <v>59</v>
      </c>
      <c r="B18" s="5">
        <v>15</v>
      </c>
      <c r="C18" s="7"/>
      <c r="D18" s="7">
        <v>1.5026999999999999</v>
      </c>
      <c r="E18" s="7"/>
      <c r="F18" s="8">
        <f t="shared" si="0"/>
        <v>1.5026999999999999</v>
      </c>
      <c r="G18" s="7">
        <f t="shared" si="1"/>
        <v>100</v>
      </c>
      <c r="H18" s="7"/>
      <c r="I18" s="7">
        <f t="shared" si="2"/>
        <v>0</v>
      </c>
      <c r="J18" s="7" t="e">
        <f t="shared" si="11"/>
        <v>#DIV/0!</v>
      </c>
      <c r="K18" s="7" t="e">
        <f t="shared" si="12"/>
        <v>#DIV/0!</v>
      </c>
      <c r="O18" s="7">
        <f>L18*M18*N18</f>
        <v>0</v>
      </c>
      <c r="P18" s="7">
        <f>L18*M18</f>
        <v>0</v>
      </c>
      <c r="Q18" s="5" t="e">
        <f t="shared" si="15"/>
        <v>#DIV/0!</v>
      </c>
      <c r="R18" s="5" t="e">
        <f t="shared" si="16"/>
        <v>#DIV/0!</v>
      </c>
      <c r="S18" s="5" t="e">
        <f t="shared" si="17"/>
        <v>#DIV/0!</v>
      </c>
      <c r="T18" s="7"/>
      <c r="U18" s="7"/>
      <c r="V18" s="7"/>
      <c r="W18" s="7"/>
      <c r="X18" s="7"/>
      <c r="Y18" s="7"/>
      <c r="Z18" s="7"/>
      <c r="AA18" s="7">
        <f t="shared" si="8"/>
        <v>0</v>
      </c>
      <c r="AB18" s="7" t="e">
        <f t="shared" si="9"/>
        <v>#DIV/0!</v>
      </c>
      <c r="AC18" s="7">
        <f t="shared" si="10"/>
        <v>1.5026999999999999</v>
      </c>
    </row>
    <row r="19" spans="1:29" ht="21" x14ac:dyDescent="0.35">
      <c r="A19" s="80"/>
      <c r="B19" s="5">
        <v>16</v>
      </c>
      <c r="C19" s="5"/>
      <c r="D19" s="5">
        <v>1.5025999999999999</v>
      </c>
      <c r="E19" s="5">
        <v>1.5102</v>
      </c>
      <c r="F19" s="6">
        <f t="shared" si="0"/>
        <v>7.6000000000000512E-3</v>
      </c>
      <c r="G19" s="5">
        <f t="shared" si="1"/>
        <v>0.50578996406229537</v>
      </c>
      <c r="H19" s="5">
        <v>0.58199999999999996</v>
      </c>
      <c r="I19" s="5">
        <f t="shared" si="2"/>
        <v>0.92820000000000003</v>
      </c>
      <c r="J19" s="5">
        <f t="shared" si="11"/>
        <v>1.3504266321913381</v>
      </c>
      <c r="K19" s="5">
        <f t="shared" si="12"/>
        <v>0.88843857381009084</v>
      </c>
      <c r="L19">
        <v>11.205</v>
      </c>
      <c r="M19">
        <v>11.071999999999999</v>
      </c>
      <c r="N19">
        <v>12.971</v>
      </c>
      <c r="O19" s="5">
        <f>L19*M19*N19</f>
        <v>1609.20508896</v>
      </c>
      <c r="P19" s="5">
        <f>L19*M19</f>
        <v>124.06175999999999</v>
      </c>
      <c r="Q19" s="5">
        <f t="shared" si="15"/>
        <v>0.93847577935265836</v>
      </c>
      <c r="R19" s="5">
        <f t="shared" si="16"/>
        <v>0.61741827588990683</v>
      </c>
      <c r="S19" s="5">
        <f t="shared" si="17"/>
        <v>35.995492928053245</v>
      </c>
      <c r="T19" s="5"/>
      <c r="U19" s="5"/>
      <c r="V19" s="5"/>
      <c r="W19" s="5"/>
      <c r="X19" s="5"/>
      <c r="Y19" s="5"/>
      <c r="Z19" s="5"/>
      <c r="AA19" s="5">
        <f t="shared" si="8"/>
        <v>0</v>
      </c>
      <c r="AB19" s="5" t="e">
        <f t="shared" si="9"/>
        <v>#DIV/0!</v>
      </c>
      <c r="AC19" s="5">
        <f t="shared" si="10"/>
        <v>1.5025999999999999</v>
      </c>
    </row>
    <row r="20" spans="1:29" ht="21" x14ac:dyDescent="0.35">
      <c r="A20" s="80"/>
      <c r="B20" s="5">
        <v>17</v>
      </c>
      <c r="C20" s="5"/>
      <c r="D20" s="5">
        <v>1.5001</v>
      </c>
      <c r="E20" s="5">
        <v>1.4914000000000001</v>
      </c>
      <c r="F20" s="6">
        <f t="shared" si="0"/>
        <v>8.69999999999993E-3</v>
      </c>
      <c r="G20" s="5">
        <f t="shared" si="1"/>
        <v>0.57996133591093457</v>
      </c>
      <c r="H20" s="5">
        <v>0.58089999999999997</v>
      </c>
      <c r="I20" s="5">
        <f t="shared" si="2"/>
        <v>0.91050000000000009</v>
      </c>
      <c r="J20" s="5">
        <f t="shared" si="11"/>
        <v>1.35954091158704</v>
      </c>
      <c r="K20" s="5">
        <f t="shared" si="12"/>
        <v>0.89443481025463156</v>
      </c>
      <c r="L20">
        <v>11.347</v>
      </c>
      <c r="M20">
        <v>11.063000000000001</v>
      </c>
      <c r="N20">
        <v>12.566000000000001</v>
      </c>
      <c r="O20" s="5">
        <f>L20*M20*N20</f>
        <v>1577.4333653260001</v>
      </c>
      <c r="P20" s="5">
        <f>L20*M20</f>
        <v>125.53186100000001</v>
      </c>
      <c r="Q20" s="5">
        <f t="shared" si="15"/>
        <v>0.9454599051743654</v>
      </c>
      <c r="R20" s="5">
        <f t="shared" si="16"/>
        <v>0.62201309550945094</v>
      </c>
      <c r="S20" s="5">
        <f t="shared" si="17"/>
        <v>35.928924918514412</v>
      </c>
      <c r="T20" s="5"/>
      <c r="U20" s="5"/>
      <c r="V20" s="5"/>
      <c r="W20" s="5"/>
      <c r="X20" s="5"/>
      <c r="Y20" s="5"/>
      <c r="Z20" s="5"/>
      <c r="AA20" s="5">
        <f t="shared" si="8"/>
        <v>0</v>
      </c>
      <c r="AB20" s="5" t="e">
        <f t="shared" si="9"/>
        <v>#DIV/0!</v>
      </c>
      <c r="AC20" s="5">
        <f t="shared" si="10"/>
        <v>1.5001</v>
      </c>
    </row>
    <row r="21" spans="1:29" ht="21" x14ac:dyDescent="0.35">
      <c r="A21" s="80"/>
      <c r="B21" s="5">
        <v>18</v>
      </c>
      <c r="C21" s="5"/>
      <c r="D21" s="5">
        <v>1.5009999999999999</v>
      </c>
      <c r="E21" s="5">
        <v>1.4863999999999999</v>
      </c>
      <c r="F21" s="6">
        <f t="shared" si="0"/>
        <v>1.4599999999999946E-2</v>
      </c>
      <c r="G21" s="5">
        <f t="shared" si="1"/>
        <v>0.97268487674883053</v>
      </c>
      <c r="H21" s="5">
        <v>0.57650000000000001</v>
      </c>
      <c r="I21" s="5">
        <f t="shared" si="2"/>
        <v>0.90989999999999993</v>
      </c>
      <c r="J21" s="5">
        <f t="shared" si="11"/>
        <v>1.3558764699417518</v>
      </c>
      <c r="K21" s="5">
        <f t="shared" si="12"/>
        <v>0.89202399338273142</v>
      </c>
      <c r="L21">
        <v>10.920999999999999</v>
      </c>
      <c r="M21">
        <v>11.157</v>
      </c>
      <c r="N21">
        <v>12.978</v>
      </c>
      <c r="O21" s="5">
        <f>L21*M21*N21</f>
        <v>1581.312157866</v>
      </c>
      <c r="P21" s="5">
        <f>L21*M21</f>
        <v>121.845597</v>
      </c>
      <c r="Q21" s="5">
        <f t="shared" si="15"/>
        <v>0.93997886034463607</v>
      </c>
      <c r="R21" s="5">
        <f t="shared" si="16"/>
        <v>0.61840714496357641</v>
      </c>
      <c r="S21" s="5">
        <f t="shared" si="17"/>
        <v>36.230297624653566</v>
      </c>
      <c r="T21" s="5"/>
      <c r="U21" s="5"/>
      <c r="V21" s="5"/>
      <c r="W21" s="5"/>
      <c r="X21" s="5"/>
      <c r="Y21" s="5"/>
      <c r="Z21" s="5"/>
      <c r="AA21" s="5">
        <f t="shared" si="8"/>
        <v>0</v>
      </c>
      <c r="AB21" s="5" t="e">
        <f t="shared" si="9"/>
        <v>#DIV/0!</v>
      </c>
      <c r="AC21" s="5">
        <f t="shared" si="10"/>
        <v>1.5009999999999999</v>
      </c>
    </row>
    <row r="22" spans="1:29" ht="21" x14ac:dyDescent="0.35">
      <c r="A22" s="80"/>
      <c r="B22" s="5">
        <v>19</v>
      </c>
      <c r="C22" s="5"/>
      <c r="D22" s="5">
        <v>1.4993000000000001</v>
      </c>
      <c r="E22" s="5">
        <v>1.448</v>
      </c>
      <c r="F22" s="6">
        <f t="shared" si="0"/>
        <v>5.1300000000000123E-2</v>
      </c>
      <c r="G22" s="5">
        <f t="shared" si="1"/>
        <v>3.421596745147744</v>
      </c>
      <c r="H22" s="5">
        <v>0.58740000000000003</v>
      </c>
      <c r="I22" s="5">
        <f t="shared" si="2"/>
        <v>0.86059999999999992</v>
      </c>
      <c r="J22" s="5">
        <f t="shared" si="11"/>
        <v>1.3965140599581687</v>
      </c>
      <c r="K22" s="5">
        <f t="shared" si="12"/>
        <v>0.91875924997247937</v>
      </c>
      <c r="L22">
        <v>11.162000000000001</v>
      </c>
      <c r="M22">
        <v>11.074</v>
      </c>
      <c r="N22">
        <v>13.244999999999999</v>
      </c>
      <c r="O22" s="5">
        <f>L22*M22*N22</f>
        <v>1637.1878010600001</v>
      </c>
      <c r="P22" s="5">
        <f>L22*M22</f>
        <v>123.60798800000001</v>
      </c>
      <c r="Q22" s="5">
        <f t="shared" si="15"/>
        <v>0.88444343346712573</v>
      </c>
      <c r="R22" s="5">
        <f t="shared" si="16"/>
        <v>0.58187067991258268</v>
      </c>
      <c r="S22" s="5">
        <f t="shared" si="17"/>
        <v>44.899620266230464</v>
      </c>
      <c r="T22" s="5"/>
      <c r="U22" s="5"/>
      <c r="V22" s="5"/>
      <c r="W22" s="5"/>
      <c r="X22" s="5"/>
      <c r="Y22" s="5"/>
      <c r="Z22" s="5"/>
      <c r="AA22" s="5">
        <f t="shared" si="8"/>
        <v>0</v>
      </c>
      <c r="AB22" s="5" t="e">
        <f t="shared" si="9"/>
        <v>#DIV/0!</v>
      </c>
      <c r="AC22" s="5">
        <f t="shared" si="10"/>
        <v>1.4993000000000001</v>
      </c>
    </row>
    <row r="23" spans="1:29" ht="21" x14ac:dyDescent="0.35">
      <c r="A23" s="80"/>
      <c r="B23" s="5">
        <v>20</v>
      </c>
      <c r="C23" s="5"/>
      <c r="D23" s="5">
        <v>1.5023</v>
      </c>
      <c r="E23" s="5"/>
      <c r="F23" s="6">
        <f t="shared" si="0"/>
        <v>1.5023</v>
      </c>
      <c r="G23" s="5">
        <f t="shared" si="1"/>
        <v>100</v>
      </c>
      <c r="H23" s="5"/>
      <c r="I23" s="5">
        <f t="shared" si="2"/>
        <v>0</v>
      </c>
      <c r="J23" s="5" t="e">
        <f t="shared" si="11"/>
        <v>#DIV/0!</v>
      </c>
      <c r="K23" s="5" t="e">
        <f t="shared" si="12"/>
        <v>#DIV/0!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>
        <f t="shared" si="8"/>
        <v>0</v>
      </c>
      <c r="AB23" s="5" t="e">
        <f t="shared" si="9"/>
        <v>#DIV/0!</v>
      </c>
      <c r="AC23" s="5">
        <f t="shared" si="10"/>
        <v>1.5023</v>
      </c>
    </row>
    <row r="24" spans="1:29" ht="21" x14ac:dyDescent="0.35">
      <c r="A24" s="80"/>
      <c r="B24" s="5">
        <v>21</v>
      </c>
      <c r="C24" s="5"/>
      <c r="D24" s="5">
        <v>1.5001</v>
      </c>
      <c r="E24" s="5"/>
      <c r="F24" s="6">
        <f t="shared" si="0"/>
        <v>1.5001</v>
      </c>
      <c r="G24" s="5">
        <f t="shared" si="1"/>
        <v>100</v>
      </c>
      <c r="H24" s="5"/>
      <c r="I24" s="5">
        <f t="shared" si="2"/>
        <v>0</v>
      </c>
      <c r="J24" s="5" t="e">
        <f t="shared" si="11"/>
        <v>#DIV/0!</v>
      </c>
      <c r="K24" s="5" t="e">
        <f t="shared" si="12"/>
        <v>#DIV/0!</v>
      </c>
      <c r="L24" s="5"/>
      <c r="M24" s="5"/>
      <c r="N24" s="5"/>
      <c r="O24" s="5">
        <f>L24*M24*N24</f>
        <v>0</v>
      </c>
      <c r="P24" s="5">
        <f>L24*M24</f>
        <v>0</v>
      </c>
      <c r="Q24" s="5" t="e">
        <f>E24/(O24*0.001)</f>
        <v>#DIV/0!</v>
      </c>
      <c r="R24" s="5" t="e">
        <f>Q24/$M$2</f>
        <v>#DIV/0!</v>
      </c>
      <c r="S24" s="5" t="e">
        <f>ABS(J24-Q24)/((J24+Q24)/2)*100</f>
        <v>#DIV/0!</v>
      </c>
      <c r="T24" s="5"/>
      <c r="U24" s="5"/>
      <c r="V24" s="5"/>
      <c r="W24" s="5"/>
      <c r="X24" s="5"/>
      <c r="Y24" s="5"/>
      <c r="Z24" s="5"/>
      <c r="AA24" s="5">
        <f t="shared" si="8"/>
        <v>0</v>
      </c>
      <c r="AB24" s="5" t="e">
        <f t="shared" si="9"/>
        <v>#DIV/0!</v>
      </c>
      <c r="AC24" s="5">
        <f t="shared" si="10"/>
        <v>1.5001</v>
      </c>
    </row>
    <row r="25" spans="1:29" ht="21" x14ac:dyDescent="0.35">
      <c r="A25" s="80" t="s">
        <v>56</v>
      </c>
      <c r="B25" s="5" t="s">
        <v>39</v>
      </c>
      <c r="C25" s="7"/>
      <c r="D25" s="7">
        <f>AVERAGE(D4:D24)</f>
        <v>1.5015809523809527</v>
      </c>
      <c r="E25" s="7">
        <f t="shared" ref="E25:AC25" si="18">AVERAGE(E4:E10)</f>
        <v>1.5139142857142858</v>
      </c>
      <c r="F25" s="7">
        <f t="shared" si="18"/>
        <v>1.3442857142857121E-2</v>
      </c>
      <c r="G25" s="7">
        <f t="shared" si="18"/>
        <v>0.89552723327425254</v>
      </c>
      <c r="H25" s="7">
        <f t="shared" si="18"/>
        <v>0.60001428571428572</v>
      </c>
      <c r="I25" s="7">
        <f t="shared" si="18"/>
        <v>0.91389999999999993</v>
      </c>
      <c r="J25" s="7">
        <f t="shared" si="18"/>
        <v>1.3750667990366146</v>
      </c>
      <c r="K25" s="7">
        <f t="shared" si="18"/>
        <v>0.90464920989250963</v>
      </c>
      <c r="L25" s="7">
        <f t="shared" si="18"/>
        <v>10.319714285714285</v>
      </c>
      <c r="M25" s="7">
        <f t="shared" si="18"/>
        <v>10.182285714285713</v>
      </c>
      <c r="N25" s="7">
        <f t="shared" si="18"/>
        <v>10.959714285714288</v>
      </c>
      <c r="O25" s="7">
        <f t="shared" si="18"/>
        <v>1151.690901182857</v>
      </c>
      <c r="P25" s="7">
        <f t="shared" si="18"/>
        <v>105.08171642857145</v>
      </c>
      <c r="Q25" s="7">
        <f t="shared" si="18"/>
        <v>1.3155198635766323</v>
      </c>
      <c r="R25" s="7">
        <f t="shared" si="18"/>
        <v>0.86547359445831074</v>
      </c>
      <c r="S25" s="7">
        <f t="shared" si="18"/>
        <v>4.4610695380859235</v>
      </c>
      <c r="T25" s="7" t="e">
        <f t="shared" si="18"/>
        <v>#DIV/0!</v>
      </c>
      <c r="U25" s="7" t="e">
        <f t="shared" si="18"/>
        <v>#DIV/0!</v>
      </c>
      <c r="V25" s="7" t="e">
        <f t="shared" si="18"/>
        <v>#DIV/0!</v>
      </c>
      <c r="W25" s="7" t="e">
        <f t="shared" si="18"/>
        <v>#DIV/0!</v>
      </c>
      <c r="X25" s="7" t="e">
        <f t="shared" si="18"/>
        <v>#DIV/0!</v>
      </c>
      <c r="Y25" s="7" t="e">
        <f t="shared" si="18"/>
        <v>#DIV/0!</v>
      </c>
      <c r="Z25" s="7" t="e">
        <f t="shared" si="18"/>
        <v>#DIV/0!</v>
      </c>
      <c r="AA25" s="7">
        <f t="shared" si="18"/>
        <v>0</v>
      </c>
      <c r="AB25" s="7" t="e">
        <f t="shared" si="18"/>
        <v>#DIV/0!</v>
      </c>
      <c r="AC25" s="7">
        <f t="shared" si="18"/>
        <v>1.5016999999999998</v>
      </c>
    </row>
    <row r="26" spans="1:29" ht="84" x14ac:dyDescent="0.35">
      <c r="A26" s="80"/>
      <c r="B26" s="19" t="s">
        <v>60</v>
      </c>
      <c r="C26" s="5"/>
      <c r="D26" s="5">
        <f t="shared" ref="D26:AC26" si="19">_xlfn.STDEV.S(D4:D10)</f>
        <v>9.9331096171673973E-4</v>
      </c>
      <c r="E26" s="5">
        <f t="shared" si="19"/>
        <v>1.3562869481471413E-2</v>
      </c>
      <c r="F26" s="5">
        <f t="shared" si="19"/>
        <v>1.293185435824486E-2</v>
      </c>
      <c r="G26" s="5">
        <f t="shared" si="19"/>
        <v>0.86162959456895583</v>
      </c>
      <c r="H26" s="5">
        <f t="shared" si="19"/>
        <v>8.1091365285149535E-3</v>
      </c>
      <c r="I26" s="5">
        <f t="shared" si="19"/>
        <v>1.3726859315468605E-2</v>
      </c>
      <c r="J26" s="5">
        <f t="shared" si="19"/>
        <v>1.2717257716993342E-2</v>
      </c>
      <c r="K26" s="5">
        <f t="shared" si="19"/>
        <v>8.3666169190745581E-3</v>
      </c>
      <c r="L26" s="5">
        <f t="shared" si="19"/>
        <v>0.15675534471027769</v>
      </c>
      <c r="M26" s="5">
        <f t="shared" si="19"/>
        <v>4.6557184500046984E-2</v>
      </c>
      <c r="N26" s="5">
        <f t="shared" si="19"/>
        <v>0.26321012789893056</v>
      </c>
      <c r="O26" s="5">
        <f t="shared" si="19"/>
        <v>35.437532466085784</v>
      </c>
      <c r="P26" s="5">
        <f t="shared" si="19"/>
        <v>1.9017299486795174</v>
      </c>
      <c r="Q26" s="5">
        <f t="shared" si="19"/>
        <v>3.9713207360847165E-2</v>
      </c>
      <c r="R26" s="5">
        <f t="shared" si="19"/>
        <v>2.6127110105820518E-2</v>
      </c>
      <c r="S26" s="5">
        <f t="shared" si="19"/>
        <v>2.3255765067999108</v>
      </c>
      <c r="T26" s="5" t="e">
        <f t="shared" si="19"/>
        <v>#DIV/0!</v>
      </c>
      <c r="U26" s="5" t="e">
        <f t="shared" si="19"/>
        <v>#DIV/0!</v>
      </c>
      <c r="V26" s="5" t="e">
        <f t="shared" si="19"/>
        <v>#DIV/0!</v>
      </c>
      <c r="W26" s="5" t="e">
        <f t="shared" si="19"/>
        <v>#DIV/0!</v>
      </c>
      <c r="X26" s="5" t="e">
        <f t="shared" si="19"/>
        <v>#DIV/0!</v>
      </c>
      <c r="Y26" s="5" t="e">
        <f t="shared" si="19"/>
        <v>#DIV/0!</v>
      </c>
      <c r="Z26" s="5" t="e">
        <f t="shared" si="19"/>
        <v>#DIV/0!</v>
      </c>
      <c r="AA26" s="5">
        <f t="shared" si="19"/>
        <v>0</v>
      </c>
      <c r="AB26" s="5" t="e">
        <f t="shared" si="19"/>
        <v>#DIV/0!</v>
      </c>
      <c r="AC26" s="5">
        <f t="shared" si="19"/>
        <v>9.9331096171673973E-4</v>
      </c>
    </row>
    <row r="27" spans="1:29" ht="21" x14ac:dyDescent="0.35">
      <c r="A27" s="80"/>
      <c r="B27" s="5" t="s">
        <v>61</v>
      </c>
      <c r="C27" s="5"/>
      <c r="D27" s="5">
        <f t="shared" ref="D27:AC27" si="20">MIN(D4:D10)</f>
        <v>1.5</v>
      </c>
      <c r="E27" s="5">
        <f t="shared" si="20"/>
        <v>1.4983</v>
      </c>
      <c r="F27" s="5">
        <f t="shared" si="20"/>
        <v>9.9999999999988987E-5</v>
      </c>
      <c r="G27" s="5">
        <f t="shared" si="20"/>
        <v>6.6538026482127217E-3</v>
      </c>
      <c r="H27" s="5">
        <f t="shared" si="20"/>
        <v>0.58409999999999995</v>
      </c>
      <c r="I27" s="5">
        <f t="shared" si="20"/>
        <v>0.89529999999999987</v>
      </c>
      <c r="J27" s="5">
        <f t="shared" si="20"/>
        <v>1.3575905974534768</v>
      </c>
      <c r="K27" s="5">
        <f t="shared" si="20"/>
        <v>0.8931517088509715</v>
      </c>
      <c r="L27" s="5">
        <f t="shared" si="20"/>
        <v>10.118</v>
      </c>
      <c r="M27" s="5">
        <f t="shared" si="20"/>
        <v>10.118</v>
      </c>
      <c r="N27" s="5">
        <f t="shared" si="20"/>
        <v>10.59</v>
      </c>
      <c r="O27" s="5">
        <f t="shared" si="20"/>
        <v>1091.6403285600002</v>
      </c>
      <c r="P27" s="5">
        <f t="shared" si="20"/>
        <v>102.79888000000001</v>
      </c>
      <c r="Q27" s="5">
        <f t="shared" si="20"/>
        <v>1.2581674442913149</v>
      </c>
      <c r="R27" s="5">
        <f t="shared" si="20"/>
        <v>0.8277417396653387</v>
      </c>
      <c r="S27" s="5">
        <f t="shared" si="20"/>
        <v>1.1948154624004177</v>
      </c>
      <c r="T27" s="5">
        <f t="shared" si="20"/>
        <v>0</v>
      </c>
      <c r="U27" s="5">
        <f t="shared" si="20"/>
        <v>0</v>
      </c>
      <c r="V27" s="5">
        <f t="shared" si="20"/>
        <v>0</v>
      </c>
      <c r="W27" s="5">
        <f t="shared" si="20"/>
        <v>0</v>
      </c>
      <c r="X27" s="5">
        <f t="shared" si="20"/>
        <v>0</v>
      </c>
      <c r="Y27" s="5">
        <f t="shared" si="20"/>
        <v>0</v>
      </c>
      <c r="Z27" s="5">
        <f t="shared" si="20"/>
        <v>0</v>
      </c>
      <c r="AA27" s="5">
        <f t="shared" si="20"/>
        <v>0</v>
      </c>
      <c r="AB27" s="5" t="e">
        <f t="shared" si="20"/>
        <v>#DIV/0!</v>
      </c>
      <c r="AC27" s="5">
        <f t="shared" si="20"/>
        <v>1.5</v>
      </c>
    </row>
    <row r="28" spans="1:29" ht="21" x14ac:dyDescent="0.35">
      <c r="A28" s="80"/>
      <c r="B28" s="5" t="s">
        <v>62</v>
      </c>
      <c r="C28" s="5"/>
      <c r="D28" s="5">
        <f t="shared" ref="D28:AC28" si="21">MAX(D4:D10)</f>
        <v>1.5028999999999999</v>
      </c>
      <c r="E28" s="5">
        <f t="shared" si="21"/>
        <v>1.5350999999999999</v>
      </c>
      <c r="F28" s="5">
        <f t="shared" si="21"/>
        <v>3.3499999999999863E-2</v>
      </c>
      <c r="G28" s="5">
        <f t="shared" si="21"/>
        <v>2.2309536494405875</v>
      </c>
      <c r="H28" s="5">
        <f t="shared" si="21"/>
        <v>0.60960000000000003</v>
      </c>
      <c r="I28" s="5">
        <f t="shared" si="21"/>
        <v>0.93249999999999988</v>
      </c>
      <c r="J28" s="5">
        <f t="shared" si="21"/>
        <v>1.3951379425890764</v>
      </c>
      <c r="K28" s="5">
        <f t="shared" si="21"/>
        <v>0.91785390959807656</v>
      </c>
      <c r="L28" s="5">
        <f t="shared" si="21"/>
        <v>10.542999999999999</v>
      </c>
      <c r="M28" s="5">
        <f t="shared" si="21"/>
        <v>10.25</v>
      </c>
      <c r="N28" s="5">
        <f t="shared" si="21"/>
        <v>11.298</v>
      </c>
      <c r="O28" s="5">
        <f t="shared" si="21"/>
        <v>1194.5945723039999</v>
      </c>
      <c r="P28" s="5">
        <f t="shared" si="21"/>
        <v>107.654573</v>
      </c>
      <c r="Q28" s="5">
        <f t="shared" si="21"/>
        <v>1.378567611170189</v>
      </c>
      <c r="R28" s="5">
        <f t="shared" si="21"/>
        <v>0.90695237576986121</v>
      </c>
      <c r="S28" s="5">
        <f t="shared" si="21"/>
        <v>7.6018616076465211</v>
      </c>
      <c r="T28" s="5">
        <f t="shared" si="21"/>
        <v>0</v>
      </c>
      <c r="U28" s="5">
        <f t="shared" si="21"/>
        <v>0</v>
      </c>
      <c r="V28" s="5">
        <f t="shared" si="21"/>
        <v>0</v>
      </c>
      <c r="W28" s="5">
        <f t="shared" si="21"/>
        <v>0</v>
      </c>
      <c r="X28" s="5">
        <f t="shared" si="21"/>
        <v>0</v>
      </c>
      <c r="Y28" s="5">
        <f t="shared" si="21"/>
        <v>0</v>
      </c>
      <c r="Z28" s="5">
        <f t="shared" si="21"/>
        <v>0</v>
      </c>
      <c r="AA28" s="5">
        <f t="shared" si="21"/>
        <v>0</v>
      </c>
      <c r="AB28" s="5" t="e">
        <f t="shared" si="21"/>
        <v>#DIV/0!</v>
      </c>
      <c r="AC28" s="5">
        <f t="shared" si="21"/>
        <v>1.5028999999999999</v>
      </c>
    </row>
    <row r="29" spans="1:29" ht="21" x14ac:dyDescent="0.35">
      <c r="A29" s="80" t="s">
        <v>57</v>
      </c>
      <c r="B29" s="7" t="s">
        <v>39</v>
      </c>
      <c r="C29" s="7"/>
      <c r="D29" s="7">
        <f t="shared" ref="D29:Z29" si="22">AVERAGE(D11:D17)</f>
        <v>1.5018857142857143</v>
      </c>
      <c r="E29" s="7">
        <f t="shared" si="22"/>
        <v>1.5294142857142856</v>
      </c>
      <c r="F29" s="7">
        <f t="shared" si="22"/>
        <v>2.8900000000000019E-2</v>
      </c>
      <c r="G29" s="7">
        <f t="shared" si="22"/>
        <v>1.9235672600795546</v>
      </c>
      <c r="H29" s="7">
        <f t="shared" si="22"/>
        <v>0.60470000000000013</v>
      </c>
      <c r="I29" s="7">
        <f t="shared" si="22"/>
        <v>0.92471428571428582</v>
      </c>
      <c r="J29" s="7">
        <f t="shared" si="22"/>
        <v>1.3729901962513158</v>
      </c>
      <c r="K29" s="7">
        <f t="shared" si="22"/>
        <v>0.90328302384954995</v>
      </c>
      <c r="L29" s="7">
        <f t="shared" si="22"/>
        <v>10.450285714285714</v>
      </c>
      <c r="M29" s="7">
        <f t="shared" si="22"/>
        <v>10.339857142857143</v>
      </c>
      <c r="N29" s="7">
        <f t="shared" si="22"/>
        <v>10.884</v>
      </c>
      <c r="O29" s="7">
        <f t="shared" si="22"/>
        <v>1175.4586290168572</v>
      </c>
      <c r="P29" s="7">
        <f>AVERAGE(P11:P17)</f>
        <v>108.09243957142859</v>
      </c>
      <c r="Q29" s="7">
        <f t="shared" si="22"/>
        <v>1.3020717230288441</v>
      </c>
      <c r="R29" s="7">
        <f t="shared" si="22"/>
        <v>0.85662613357160799</v>
      </c>
      <c r="S29" s="7">
        <f t="shared" si="22"/>
        <v>5.3442129674428829</v>
      </c>
      <c r="T29" s="7" t="e">
        <f t="shared" si="22"/>
        <v>#DIV/0!</v>
      </c>
      <c r="U29" s="7" t="e">
        <f t="shared" si="22"/>
        <v>#DIV/0!</v>
      </c>
      <c r="V29" s="7" t="e">
        <f t="shared" si="22"/>
        <v>#DIV/0!</v>
      </c>
      <c r="W29" s="7" t="e">
        <f t="shared" si="22"/>
        <v>#DIV/0!</v>
      </c>
      <c r="X29" s="7" t="e">
        <f t="shared" si="22"/>
        <v>#DIV/0!</v>
      </c>
      <c r="Y29" s="7" t="e">
        <f t="shared" si="22"/>
        <v>#DIV/0!</v>
      </c>
      <c r="Z29" s="7" t="e">
        <f t="shared" si="22"/>
        <v>#DIV/0!</v>
      </c>
      <c r="AA29" s="7" t="e">
        <f>Y29+Z29</f>
        <v>#DIV/0!</v>
      </c>
      <c r="AB29" s="7" t="e">
        <f>Z29/AA29*100</f>
        <v>#DIV/0!</v>
      </c>
      <c r="AC29" s="7" t="e">
        <f>D29-AA29</f>
        <v>#DIV/0!</v>
      </c>
    </row>
    <row r="30" spans="1:29" ht="84" x14ac:dyDescent="0.35">
      <c r="A30" s="80"/>
      <c r="B30" s="19" t="s">
        <v>60</v>
      </c>
      <c r="C30" s="5"/>
      <c r="D30" s="5">
        <f t="shared" ref="D30:Z30" si="23">_xlfn.STDEV.S(D11:D17)</f>
        <v>1.6324098458296915E-3</v>
      </c>
      <c r="E30" s="5">
        <f t="shared" si="23"/>
        <v>3.6630152814834109E-2</v>
      </c>
      <c r="F30" s="5">
        <f t="shared" si="23"/>
        <v>3.4817811533753878E-2</v>
      </c>
      <c r="G30" s="5">
        <f t="shared" si="23"/>
        <v>2.3169161707722474</v>
      </c>
      <c r="H30" s="5">
        <f t="shared" si="23"/>
        <v>1.1412420134806339E-2</v>
      </c>
      <c r="I30" s="5">
        <f t="shared" si="23"/>
        <v>2.7724984434707351E-2</v>
      </c>
      <c r="J30" s="5">
        <f t="shared" si="23"/>
        <v>1.1517420922556896E-2</v>
      </c>
      <c r="K30" s="5">
        <f t="shared" si="23"/>
        <v>7.5772506069453245E-3</v>
      </c>
      <c r="L30" s="5">
        <f t="shared" si="23"/>
        <v>0.27039459701561769</v>
      </c>
      <c r="M30" s="5">
        <f t="shared" si="23"/>
        <v>0.17341513637456671</v>
      </c>
      <c r="N30" s="5">
        <f t="shared" si="23"/>
        <v>0.42053140984552712</v>
      </c>
      <c r="O30" s="5">
        <f t="shared" si="23"/>
        <v>40.507655237418298</v>
      </c>
      <c r="P30" s="5">
        <f t="shared" si="23"/>
        <v>4.5999757556210747</v>
      </c>
      <c r="Q30" s="5">
        <f t="shared" si="23"/>
        <v>4.2461554212177094E-2</v>
      </c>
      <c r="R30" s="5">
        <f t="shared" si="23"/>
        <v>2.7935233034327041E-2</v>
      </c>
      <c r="S30" s="5">
        <f t="shared" si="23"/>
        <v>3.1097311751154</v>
      </c>
      <c r="T30" s="5" t="e">
        <f t="shared" si="23"/>
        <v>#DIV/0!</v>
      </c>
      <c r="U30" s="5" t="e">
        <f t="shared" si="23"/>
        <v>#DIV/0!</v>
      </c>
      <c r="V30" s="5" t="e">
        <f t="shared" si="23"/>
        <v>#DIV/0!</v>
      </c>
      <c r="W30" s="5" t="e">
        <f t="shared" si="23"/>
        <v>#DIV/0!</v>
      </c>
      <c r="X30" s="5" t="e">
        <f t="shared" si="23"/>
        <v>#DIV/0!</v>
      </c>
      <c r="Y30" s="5" t="e">
        <f t="shared" si="23"/>
        <v>#DIV/0!</v>
      </c>
      <c r="Z30" s="5" t="e">
        <f t="shared" si="23"/>
        <v>#DIV/0!</v>
      </c>
      <c r="AA30" s="5" t="e">
        <f>Y30+Z30</f>
        <v>#DIV/0!</v>
      </c>
      <c r="AB30" s="5" t="e">
        <f>Z30/AA30*100</f>
        <v>#DIV/0!</v>
      </c>
      <c r="AC30" s="5" t="e">
        <f>D30-AA30</f>
        <v>#DIV/0!</v>
      </c>
    </row>
    <row r="31" spans="1:29" ht="21" x14ac:dyDescent="0.35">
      <c r="A31" s="80"/>
      <c r="B31" s="5" t="s">
        <v>61</v>
      </c>
      <c r="C31" s="5"/>
      <c r="D31" s="5">
        <f t="shared" ref="D31:Z31" si="24">MIN(D11:D17)</f>
        <v>1.4993000000000001</v>
      </c>
      <c r="E31" s="5">
        <f t="shared" si="24"/>
        <v>1.4968999999999999</v>
      </c>
      <c r="F31" s="5">
        <f t="shared" si="24"/>
        <v>2.0000000000000018E-3</v>
      </c>
      <c r="G31" s="5">
        <f t="shared" si="24"/>
        <v>0.13320900492873328</v>
      </c>
      <c r="H31" s="5">
        <f t="shared" si="24"/>
        <v>0.59040000000000004</v>
      </c>
      <c r="I31" s="5">
        <f t="shared" si="24"/>
        <v>0.89869999999999994</v>
      </c>
      <c r="J31" s="5">
        <f t="shared" si="24"/>
        <v>1.3556892332789559</v>
      </c>
      <c r="K31" s="5">
        <f t="shared" si="24"/>
        <v>0.89190081136773414</v>
      </c>
      <c r="L31" s="5">
        <f t="shared" si="24"/>
        <v>10.212</v>
      </c>
      <c r="M31" s="5">
        <f t="shared" si="24"/>
        <v>10.188000000000001</v>
      </c>
      <c r="N31" s="5">
        <f t="shared" si="24"/>
        <v>10.462</v>
      </c>
      <c r="O31" s="5">
        <f t="shared" si="24"/>
        <v>1120.8662806249999</v>
      </c>
      <c r="P31" s="5">
        <f t="shared" si="24"/>
        <v>104.17230000000001</v>
      </c>
      <c r="Q31" s="5">
        <f t="shared" si="24"/>
        <v>1.2235129883084623</v>
      </c>
      <c r="R31" s="5">
        <f t="shared" si="24"/>
        <v>0.80494275546609362</v>
      </c>
      <c r="S31" s="5">
        <f t="shared" si="24"/>
        <v>2.2198526794367361</v>
      </c>
      <c r="T31" s="5">
        <f t="shared" si="24"/>
        <v>0</v>
      </c>
      <c r="U31" s="5">
        <f t="shared" si="24"/>
        <v>0</v>
      </c>
      <c r="V31" s="5">
        <f t="shared" si="24"/>
        <v>0</v>
      </c>
      <c r="W31" s="5">
        <f t="shared" si="24"/>
        <v>0</v>
      </c>
      <c r="X31" s="5">
        <f t="shared" si="24"/>
        <v>0</v>
      </c>
      <c r="Y31" s="5">
        <f t="shared" si="24"/>
        <v>0</v>
      </c>
      <c r="Z31" s="5">
        <f t="shared" si="24"/>
        <v>0</v>
      </c>
      <c r="AA31" s="5">
        <f>Y31+Z31</f>
        <v>0</v>
      </c>
      <c r="AB31" s="5" t="e">
        <f>Z31/AA31*100</f>
        <v>#DIV/0!</v>
      </c>
      <c r="AC31" s="5">
        <f>D31-AA31</f>
        <v>1.4993000000000001</v>
      </c>
    </row>
    <row r="32" spans="1:29" ht="21" x14ac:dyDescent="0.35">
      <c r="A32" s="80"/>
      <c r="B32" s="5" t="s">
        <v>62</v>
      </c>
      <c r="C32" s="5"/>
      <c r="D32" s="5">
        <f t="shared" ref="D32:Z32" si="25">MAX(D11:D17)</f>
        <v>1.5046999999999999</v>
      </c>
      <c r="E32" s="5">
        <f t="shared" si="25"/>
        <v>1.6020000000000001</v>
      </c>
      <c r="F32" s="5">
        <f t="shared" si="25"/>
        <v>9.9500000000000144E-2</v>
      </c>
      <c r="G32" s="5">
        <f t="shared" si="25"/>
        <v>6.6222961730449352</v>
      </c>
      <c r="H32" s="5">
        <f t="shared" si="25"/>
        <v>0.62119999999999997</v>
      </c>
      <c r="I32" s="5">
        <f t="shared" si="25"/>
        <v>0.98080000000000012</v>
      </c>
      <c r="J32" s="5">
        <f t="shared" si="25"/>
        <v>1.3849834327369119</v>
      </c>
      <c r="K32" s="5">
        <f t="shared" si="25"/>
        <v>0.91117331101112631</v>
      </c>
      <c r="L32" s="5">
        <f t="shared" si="25"/>
        <v>10.992000000000001</v>
      </c>
      <c r="M32" s="5">
        <f t="shared" si="25"/>
        <v>10.685</v>
      </c>
      <c r="N32" s="5">
        <f t="shared" si="25"/>
        <v>11.725</v>
      </c>
      <c r="O32" s="5">
        <f t="shared" si="25"/>
        <v>1228.7568782400001</v>
      </c>
      <c r="P32" s="5">
        <f t="shared" si="25"/>
        <v>117.44952000000002</v>
      </c>
      <c r="Q32" s="5">
        <f t="shared" si="25"/>
        <v>1.3478860289717798</v>
      </c>
      <c r="R32" s="5">
        <f t="shared" si="25"/>
        <v>0.88676712432353932</v>
      </c>
      <c r="S32" s="5">
        <f t="shared" si="25"/>
        <v>11.320384187962715</v>
      </c>
      <c r="T32" s="5">
        <f t="shared" si="25"/>
        <v>0</v>
      </c>
      <c r="U32" s="5">
        <f t="shared" si="25"/>
        <v>0</v>
      </c>
      <c r="V32" s="5">
        <f t="shared" si="25"/>
        <v>0</v>
      </c>
      <c r="W32" s="5">
        <f t="shared" si="25"/>
        <v>0</v>
      </c>
      <c r="X32" s="5">
        <f t="shared" si="25"/>
        <v>0</v>
      </c>
      <c r="Y32" s="5">
        <f t="shared" si="25"/>
        <v>0</v>
      </c>
      <c r="Z32" s="5">
        <f t="shared" si="25"/>
        <v>0</v>
      </c>
      <c r="AA32" s="5">
        <f>Y32+Z32</f>
        <v>0</v>
      </c>
      <c r="AB32" s="5" t="e">
        <f>Z32/AA32*100</f>
        <v>#DIV/0!</v>
      </c>
      <c r="AC32" s="5">
        <f>D32-AA32</f>
        <v>1.5046999999999999</v>
      </c>
    </row>
    <row r="33" spans="1:29" ht="21" x14ac:dyDescent="0.35">
      <c r="A33" s="80" t="s">
        <v>59</v>
      </c>
      <c r="B33" s="7" t="s">
        <v>39</v>
      </c>
      <c r="C33" s="7"/>
      <c r="D33" s="7">
        <f t="shared" ref="D33:S33" si="26">AVERAGE(D19:D22)</f>
        <v>1.50075</v>
      </c>
      <c r="E33" s="7">
        <f t="shared" si="26"/>
        <v>1.484</v>
      </c>
      <c r="F33" s="7">
        <f t="shared" si="26"/>
        <v>2.0550000000000013E-2</v>
      </c>
      <c r="G33" s="7">
        <f t="shared" si="26"/>
        <v>1.3700082304674512</v>
      </c>
      <c r="H33" s="7">
        <f t="shared" si="26"/>
        <v>0.58169999999999999</v>
      </c>
      <c r="I33" s="7">
        <f t="shared" si="26"/>
        <v>0.90229999999999999</v>
      </c>
      <c r="J33" s="7">
        <f t="shared" si="26"/>
        <v>1.3655895184195748</v>
      </c>
      <c r="K33" s="7">
        <f t="shared" si="26"/>
        <v>0.89841415685498327</v>
      </c>
      <c r="L33" s="7">
        <f>AVERAGE(L19:L22)</f>
        <v>11.15875</v>
      </c>
      <c r="M33" s="7">
        <f>AVERAGE(M19:M22)</f>
        <v>11.0915</v>
      </c>
      <c r="N33" s="7">
        <f>AVERAGE(N19:N22)</f>
        <v>12.94</v>
      </c>
      <c r="O33" s="7">
        <f t="shared" si="26"/>
        <v>1601.284603303</v>
      </c>
      <c r="P33" s="7">
        <f t="shared" si="26"/>
        <v>123.76180149999999</v>
      </c>
      <c r="Q33" s="7">
        <f t="shared" si="26"/>
        <v>0.92708949458469636</v>
      </c>
      <c r="R33" s="7">
        <f t="shared" si="26"/>
        <v>0.60992729906887921</v>
      </c>
      <c r="S33" s="7">
        <f t="shared" si="26"/>
        <v>38.26358393436292</v>
      </c>
      <c r="T33" s="7" t="e">
        <f t="shared" ref="T33:AC33" si="27">AVERAGE(T18:T24)</f>
        <v>#DIV/0!</v>
      </c>
      <c r="U33" s="7" t="e">
        <f t="shared" si="27"/>
        <v>#DIV/0!</v>
      </c>
      <c r="V33" s="7" t="e">
        <f t="shared" si="27"/>
        <v>#DIV/0!</v>
      </c>
      <c r="W33" s="7" t="e">
        <f t="shared" si="27"/>
        <v>#DIV/0!</v>
      </c>
      <c r="X33" s="7" t="e">
        <f t="shared" si="27"/>
        <v>#DIV/0!</v>
      </c>
      <c r="Y33" s="7" t="e">
        <f t="shared" si="27"/>
        <v>#DIV/0!</v>
      </c>
      <c r="Z33" s="7" t="e">
        <f t="shared" si="27"/>
        <v>#DIV/0!</v>
      </c>
      <c r="AA33" s="7">
        <f t="shared" si="27"/>
        <v>0</v>
      </c>
      <c r="AB33" s="7" t="e">
        <f t="shared" si="27"/>
        <v>#DIV/0!</v>
      </c>
      <c r="AC33" s="7">
        <f t="shared" si="27"/>
        <v>1.5011571428571426</v>
      </c>
    </row>
    <row r="34" spans="1:29" ht="84" x14ac:dyDescent="0.35">
      <c r="A34" s="80"/>
      <c r="B34" s="19" t="s">
        <v>60</v>
      </c>
      <c r="C34" s="5"/>
      <c r="D34" s="5">
        <f t="shared" ref="D34:S34" si="28">_xlfn.STDEV.S(D19:D22)</f>
        <v>1.4153915830374172E-3</v>
      </c>
      <c r="E34" s="5">
        <f t="shared" si="28"/>
        <v>2.6095721232927589E-2</v>
      </c>
      <c r="F34" s="5">
        <f t="shared" si="28"/>
        <v>2.0729126046861442E-2</v>
      </c>
      <c r="G34" s="5">
        <f t="shared" si="28"/>
        <v>1.3829833198036083</v>
      </c>
      <c r="H34" s="5">
        <f t="shared" si="28"/>
        <v>4.4818151084874925E-3</v>
      </c>
      <c r="I34" s="5">
        <f t="shared" si="28"/>
        <v>2.9067163604314796E-2</v>
      </c>
      <c r="J34" s="5">
        <f t="shared" si="28"/>
        <v>2.0953673850423741E-2</v>
      </c>
      <c r="K34" s="5">
        <f t="shared" si="28"/>
        <v>1.3785311743699829E-2</v>
      </c>
      <c r="L34" s="5">
        <f>_xlfn.STDEV.S(L19:L22)</f>
        <v>0.17711836908312675</v>
      </c>
      <c r="M34" s="5">
        <f>_xlfn.STDEV.S(M19:M22)</f>
        <v>4.3927971347043432E-2</v>
      </c>
      <c r="N34" s="5">
        <f>_xlfn.STDEV.S(N19:N22)</f>
        <v>0.28006308813075137</v>
      </c>
      <c r="O34" s="5">
        <f t="shared" si="28"/>
        <v>27.806197342741328</v>
      </c>
      <c r="P34" s="5">
        <f t="shared" si="28"/>
        <v>1.5186160381374685</v>
      </c>
      <c r="Q34" s="5">
        <f t="shared" si="28"/>
        <v>2.858870257396106E-2</v>
      </c>
      <c r="R34" s="5">
        <f t="shared" si="28"/>
        <v>1.8808356956553363E-2</v>
      </c>
      <c r="S34" s="5">
        <f t="shared" si="28"/>
        <v>4.4259123710373016</v>
      </c>
      <c r="T34" s="5" t="e">
        <f t="shared" ref="T34:AC34" si="29">_xlfn.STDEV.S(T18:T24)</f>
        <v>#DIV/0!</v>
      </c>
      <c r="U34" s="5" t="e">
        <f t="shared" si="29"/>
        <v>#DIV/0!</v>
      </c>
      <c r="V34" s="5" t="e">
        <f t="shared" si="29"/>
        <v>#DIV/0!</v>
      </c>
      <c r="W34" s="5" t="e">
        <f t="shared" si="29"/>
        <v>#DIV/0!</v>
      </c>
      <c r="X34" s="5" t="e">
        <f t="shared" si="29"/>
        <v>#DIV/0!</v>
      </c>
      <c r="Y34" s="5" t="e">
        <f t="shared" si="29"/>
        <v>#DIV/0!</v>
      </c>
      <c r="Z34" s="5" t="e">
        <f t="shared" si="29"/>
        <v>#DIV/0!</v>
      </c>
      <c r="AA34" s="5">
        <f t="shared" si="29"/>
        <v>0</v>
      </c>
      <c r="AB34" s="5" t="e">
        <f t="shared" si="29"/>
        <v>#DIV/0!</v>
      </c>
      <c r="AC34" s="5">
        <f t="shared" si="29"/>
        <v>1.3830607878387079E-3</v>
      </c>
    </row>
    <row r="35" spans="1:29" ht="21" x14ac:dyDescent="0.35">
      <c r="A35" s="80"/>
      <c r="B35" s="5" t="s">
        <v>61</v>
      </c>
      <c r="C35" s="5"/>
      <c r="D35" s="5">
        <f t="shared" ref="D35:S35" si="30">MIN(D19:D22)</f>
        <v>1.4993000000000001</v>
      </c>
      <c r="E35" s="5">
        <f t="shared" si="30"/>
        <v>1.448</v>
      </c>
      <c r="F35" s="5">
        <f t="shared" si="30"/>
        <v>7.6000000000000512E-3</v>
      </c>
      <c r="G35" s="5">
        <f t="shared" si="30"/>
        <v>0.50578996406229537</v>
      </c>
      <c r="H35" s="5">
        <f t="shared" si="30"/>
        <v>0.57650000000000001</v>
      </c>
      <c r="I35" s="5">
        <f t="shared" si="30"/>
        <v>0.86059999999999992</v>
      </c>
      <c r="J35" s="5">
        <f t="shared" si="30"/>
        <v>1.3504266321913381</v>
      </c>
      <c r="K35" s="5">
        <f t="shared" si="30"/>
        <v>0.88843857381009084</v>
      </c>
      <c r="L35" s="5">
        <f>MIN(L19:L22)</f>
        <v>10.920999999999999</v>
      </c>
      <c r="M35" s="5">
        <f>MIN(M19:M22)</f>
        <v>11.063000000000001</v>
      </c>
      <c r="N35" s="5">
        <f>MIN(N19:N22)</f>
        <v>12.566000000000001</v>
      </c>
      <c r="O35" s="5">
        <f t="shared" si="30"/>
        <v>1577.4333653260001</v>
      </c>
      <c r="P35" s="5">
        <f t="shared" si="30"/>
        <v>121.845597</v>
      </c>
      <c r="Q35" s="5">
        <f t="shared" si="30"/>
        <v>0.88444343346712573</v>
      </c>
      <c r="R35" s="5">
        <f t="shared" si="30"/>
        <v>0.58187067991258268</v>
      </c>
      <c r="S35" s="5">
        <f t="shared" si="30"/>
        <v>35.928924918514412</v>
      </c>
      <c r="T35" s="5">
        <f t="shared" ref="T35:AC35" si="31">MIN(T18:T24)</f>
        <v>0</v>
      </c>
      <c r="U35" s="5">
        <f t="shared" si="31"/>
        <v>0</v>
      </c>
      <c r="V35" s="5">
        <f t="shared" si="31"/>
        <v>0</v>
      </c>
      <c r="W35" s="5">
        <f t="shared" si="31"/>
        <v>0</v>
      </c>
      <c r="X35" s="5">
        <f t="shared" si="31"/>
        <v>0</v>
      </c>
      <c r="Y35" s="5">
        <f t="shared" si="31"/>
        <v>0</v>
      </c>
      <c r="Z35" s="5">
        <f t="shared" si="31"/>
        <v>0</v>
      </c>
      <c r="AA35" s="5">
        <f t="shared" si="31"/>
        <v>0</v>
      </c>
      <c r="AB35" s="5" t="e">
        <f t="shared" si="31"/>
        <v>#DIV/0!</v>
      </c>
      <c r="AC35" s="5">
        <f t="shared" si="31"/>
        <v>1.4993000000000001</v>
      </c>
    </row>
    <row r="36" spans="1:29" ht="21" x14ac:dyDescent="0.35">
      <c r="A36" s="80"/>
      <c r="B36" s="5" t="s">
        <v>62</v>
      </c>
      <c r="C36" s="5"/>
      <c r="D36" s="5">
        <f t="shared" ref="D36:S36" si="32">MAX(D19:D22)</f>
        <v>1.5025999999999999</v>
      </c>
      <c r="E36" s="5">
        <f t="shared" si="32"/>
        <v>1.5102</v>
      </c>
      <c r="F36" s="5">
        <f t="shared" si="32"/>
        <v>5.1300000000000123E-2</v>
      </c>
      <c r="G36" s="5">
        <f t="shared" si="32"/>
        <v>3.421596745147744</v>
      </c>
      <c r="H36" s="5">
        <f t="shared" si="32"/>
        <v>0.58740000000000003</v>
      </c>
      <c r="I36" s="5">
        <f t="shared" si="32"/>
        <v>0.92820000000000003</v>
      </c>
      <c r="J36" s="5">
        <f t="shared" si="32"/>
        <v>1.3965140599581687</v>
      </c>
      <c r="K36" s="5">
        <f t="shared" si="32"/>
        <v>0.91875924997247937</v>
      </c>
      <c r="L36" s="5">
        <f>MAX(L19:L22)</f>
        <v>11.347</v>
      </c>
      <c r="M36" s="5">
        <f>MAX(M19:M22)</f>
        <v>11.157</v>
      </c>
      <c r="N36" s="5">
        <f>MAX(N19:N22)</f>
        <v>13.244999999999999</v>
      </c>
      <c r="O36" s="5">
        <f t="shared" si="32"/>
        <v>1637.1878010600001</v>
      </c>
      <c r="P36" s="5">
        <f t="shared" si="32"/>
        <v>125.53186100000001</v>
      </c>
      <c r="Q36" s="5">
        <f t="shared" si="32"/>
        <v>0.9454599051743654</v>
      </c>
      <c r="R36" s="5">
        <f t="shared" si="32"/>
        <v>0.62201309550945094</v>
      </c>
      <c r="S36" s="5">
        <f t="shared" si="32"/>
        <v>44.899620266230464</v>
      </c>
      <c r="T36" s="5">
        <f t="shared" ref="T36:AC36" si="33">MAX(T18:T24)</f>
        <v>0</v>
      </c>
      <c r="U36" s="5">
        <f t="shared" si="33"/>
        <v>0</v>
      </c>
      <c r="V36" s="5">
        <f t="shared" si="33"/>
        <v>0</v>
      </c>
      <c r="W36" s="5">
        <f t="shared" si="33"/>
        <v>0</v>
      </c>
      <c r="X36" s="5">
        <f t="shared" si="33"/>
        <v>0</v>
      </c>
      <c r="Y36" s="5">
        <f t="shared" si="33"/>
        <v>0</v>
      </c>
      <c r="Z36" s="5">
        <f t="shared" si="33"/>
        <v>0</v>
      </c>
      <c r="AA36" s="5">
        <f t="shared" si="33"/>
        <v>0</v>
      </c>
      <c r="AB36" s="5" t="e">
        <f t="shared" si="33"/>
        <v>#DIV/0!</v>
      </c>
      <c r="AC36" s="5">
        <f t="shared" si="33"/>
        <v>1.5026999999999999</v>
      </c>
    </row>
  </sheetData>
  <mergeCells count="6">
    <mergeCell ref="A33:A36"/>
    <mergeCell ref="A4:A10"/>
    <mergeCell ref="A11:A17"/>
    <mergeCell ref="A18:A24"/>
    <mergeCell ref="A25:A28"/>
    <mergeCell ref="A29:A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BEFA6-BEFD-4A24-9483-D588D0F6FF89}">
  <dimension ref="A1:AC36"/>
  <sheetViews>
    <sheetView workbookViewId="0">
      <selection activeCell="A4" sqref="A4:S10"/>
    </sheetView>
  </sheetViews>
  <sheetFormatPr defaultRowHeight="15" x14ac:dyDescent="0.25"/>
  <sheetData>
    <row r="1" spans="1:29" x14ac:dyDescent="0.25">
      <c r="A1" t="s">
        <v>55</v>
      </c>
      <c r="J1" t="s">
        <v>1</v>
      </c>
      <c r="M1" t="s">
        <v>2</v>
      </c>
      <c r="V1" t="s">
        <v>3</v>
      </c>
      <c r="W1" t="s">
        <v>4</v>
      </c>
    </row>
    <row r="2" spans="1:29" x14ac:dyDescent="0.25">
      <c r="J2">
        <v>0.83</v>
      </c>
      <c r="L2" t="s">
        <v>5</v>
      </c>
      <c r="M2">
        <v>1.52</v>
      </c>
      <c r="N2" t="s">
        <v>5</v>
      </c>
      <c r="V2">
        <f>(PI()/4 )*80^2</f>
        <v>5026.5482457436692</v>
      </c>
      <c r="W2">
        <f>10^2</f>
        <v>100</v>
      </c>
    </row>
    <row r="3" spans="1:29" ht="294" x14ac:dyDescent="0.35">
      <c r="A3" s="1"/>
      <c r="B3" s="1" t="s">
        <v>6</v>
      </c>
      <c r="C3" s="2" t="s">
        <v>7</v>
      </c>
      <c r="D3" s="12" t="s">
        <v>8</v>
      </c>
      <c r="E3" s="13" t="s">
        <v>9</v>
      </c>
      <c r="F3" s="2" t="s">
        <v>10</v>
      </c>
      <c r="G3" s="1" t="s">
        <v>11</v>
      </c>
      <c r="H3" s="14" t="s">
        <v>12</v>
      </c>
      <c r="I3" s="2" t="s">
        <v>13</v>
      </c>
      <c r="J3" s="2" t="s">
        <v>14</v>
      </c>
      <c r="K3" s="1" t="s">
        <v>15</v>
      </c>
      <c r="L3" s="13" t="s">
        <v>16</v>
      </c>
      <c r="M3" s="13" t="s">
        <v>17</v>
      </c>
      <c r="N3" s="13" t="s">
        <v>18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23</v>
      </c>
      <c r="T3" s="2" t="s">
        <v>24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40</v>
      </c>
      <c r="Z3" s="2" t="s">
        <v>41</v>
      </c>
      <c r="AA3" s="2" t="s">
        <v>42</v>
      </c>
      <c r="AB3" s="2" t="s">
        <v>43</v>
      </c>
      <c r="AC3" s="2" t="s">
        <v>44</v>
      </c>
    </row>
    <row r="4" spans="1:29" ht="21" x14ac:dyDescent="0.35">
      <c r="A4" s="80">
        <v>24</v>
      </c>
      <c r="B4" s="7">
        <v>1</v>
      </c>
      <c r="C4" s="7"/>
      <c r="D4" s="7">
        <v>1.502</v>
      </c>
      <c r="E4" s="7">
        <v>1.502</v>
      </c>
      <c r="F4" s="8"/>
      <c r="G4" s="7"/>
      <c r="H4" s="7"/>
      <c r="I4" s="7"/>
      <c r="J4" s="7"/>
      <c r="K4" s="7"/>
      <c r="L4">
        <v>10.441000000000001</v>
      </c>
      <c r="M4">
        <v>10.481</v>
      </c>
      <c r="N4">
        <v>11.581</v>
      </c>
      <c r="O4" s="7">
        <f>L4*M4*N4</f>
        <v>1267.3333933010001</v>
      </c>
      <c r="P4" s="7">
        <f>L4*M4</f>
        <v>109.43212100000001</v>
      </c>
      <c r="Q4" s="5">
        <f>E4/(O4*0.001)</f>
        <v>1.1851656461823106</v>
      </c>
      <c r="R4" s="5">
        <f>Q4/$M$2</f>
        <v>0.77971424090941488</v>
      </c>
      <c r="S4" s="5">
        <f>ABS(J4-Q4)/((J4+Q4)/2)*100</f>
        <v>200</v>
      </c>
      <c r="T4" s="7"/>
      <c r="U4" s="7"/>
      <c r="V4" s="7"/>
      <c r="W4" s="7"/>
      <c r="X4" s="7"/>
      <c r="Y4" s="7"/>
      <c r="Z4" s="7"/>
      <c r="AA4" s="7">
        <f>Y4+Z4</f>
        <v>0</v>
      </c>
      <c r="AB4" s="7" t="e">
        <f>Z4/AA4*100</f>
        <v>#DIV/0!</v>
      </c>
      <c r="AC4" s="7">
        <f>D4-AA4</f>
        <v>1.502</v>
      </c>
    </row>
    <row r="5" spans="1:29" ht="21" x14ac:dyDescent="0.35">
      <c r="A5" s="80"/>
      <c r="B5" s="5">
        <v>2</v>
      </c>
      <c r="C5" s="5"/>
      <c r="D5" s="5">
        <v>1.5001</v>
      </c>
      <c r="E5" s="5">
        <v>1.5001</v>
      </c>
      <c r="F5" s="6"/>
      <c r="G5" s="5"/>
      <c r="H5" s="5"/>
      <c r="I5" s="5"/>
      <c r="J5" s="5"/>
      <c r="K5" s="5"/>
      <c r="L5">
        <v>10.26</v>
      </c>
      <c r="M5">
        <v>10.326000000000001</v>
      </c>
      <c r="N5">
        <v>11.682</v>
      </c>
      <c r="O5" s="5">
        <f>L5*M5*N5</f>
        <v>1237.6466863200001</v>
      </c>
      <c r="P5" s="5">
        <f>L5*M5</f>
        <v>105.94476</v>
      </c>
      <c r="Q5" s="5">
        <f>E5/(O5*0.001)</f>
        <v>1.2120583495927861</v>
      </c>
      <c r="R5" s="5">
        <f>Q5/$M$2</f>
        <v>0.79740680894262239</v>
      </c>
      <c r="S5" s="5">
        <f>ABS(J5-Q5)/((J5+Q5)/2)*100</f>
        <v>200</v>
      </c>
      <c r="T5" s="5"/>
      <c r="U5" s="5"/>
      <c r="V5" s="5"/>
      <c r="W5" s="5"/>
      <c r="X5" s="5"/>
      <c r="Y5" s="5"/>
      <c r="Z5" s="5"/>
      <c r="AA5" s="5">
        <f>Y5+Z5</f>
        <v>0</v>
      </c>
      <c r="AB5" s="5" t="e">
        <f>Z5/AA5*100</f>
        <v>#DIV/0!</v>
      </c>
      <c r="AC5" s="5">
        <f>D5-AA5</f>
        <v>1.5001</v>
      </c>
    </row>
    <row r="6" spans="1:29" ht="21" x14ac:dyDescent="0.35">
      <c r="A6" s="80"/>
      <c r="B6" s="5">
        <v>3</v>
      </c>
      <c r="C6" s="5"/>
      <c r="D6" s="5">
        <v>1.5006999999999999</v>
      </c>
      <c r="E6" s="5">
        <v>1.5006999999999999</v>
      </c>
      <c r="F6" s="6"/>
      <c r="G6" s="5"/>
      <c r="H6" s="5"/>
      <c r="I6" s="5"/>
      <c r="J6" s="5"/>
      <c r="K6" s="5"/>
      <c r="L6">
        <v>10.659000000000001</v>
      </c>
      <c r="M6">
        <v>10.637</v>
      </c>
      <c r="N6">
        <v>11.933999999999999</v>
      </c>
      <c r="O6" s="5">
        <f>L6*M6*N6</f>
        <v>1353.0743303220002</v>
      </c>
      <c r="P6" s="5">
        <f>L6*M6</f>
        <v>113.37978300000002</v>
      </c>
      <c r="Q6" s="5">
        <f>E6/(O6*0.001)</f>
        <v>1.1091038876207697</v>
      </c>
      <c r="R6" s="5">
        <f>Q6/$M$2</f>
        <v>0.7296736102768222</v>
      </c>
      <c r="S6" s="5">
        <f>ABS(J6-Q6)/((J6+Q6)/2)*100</f>
        <v>200</v>
      </c>
      <c r="T6" s="5"/>
      <c r="U6" s="5"/>
      <c r="V6" s="5"/>
      <c r="W6" s="5"/>
      <c r="X6" s="5"/>
      <c r="Y6" s="5"/>
      <c r="Z6" s="5"/>
      <c r="AA6" s="5">
        <f>Y6+Z6</f>
        <v>0</v>
      </c>
      <c r="AB6" s="5" t="e">
        <f>Z6/AA6*100</f>
        <v>#DIV/0!</v>
      </c>
      <c r="AC6" s="5">
        <f>D6-AA6</f>
        <v>1.5006999999999999</v>
      </c>
    </row>
    <row r="7" spans="1:29" ht="21" x14ac:dyDescent="0.35">
      <c r="A7" s="80"/>
      <c r="B7" s="5">
        <v>4</v>
      </c>
      <c r="C7" s="5"/>
      <c r="D7" s="5">
        <v>1.502</v>
      </c>
      <c r="E7" s="5">
        <v>1.502</v>
      </c>
      <c r="F7" s="6"/>
      <c r="G7" s="5"/>
      <c r="H7" s="5"/>
      <c r="I7" s="5"/>
      <c r="J7" s="5"/>
      <c r="K7" s="5"/>
      <c r="L7" s="5"/>
      <c r="M7" s="5"/>
      <c r="N7" s="5"/>
      <c r="O7" s="5">
        <f>L7*M7*N7</f>
        <v>0</v>
      </c>
      <c r="P7" s="5">
        <f>L7*M7</f>
        <v>0</v>
      </c>
      <c r="Q7" s="5" t="e">
        <f>E7/(O7*0.001)</f>
        <v>#DIV/0!</v>
      </c>
      <c r="R7" s="5" t="e">
        <f>Q7/$M$2</f>
        <v>#DIV/0!</v>
      </c>
      <c r="S7" s="5" t="e">
        <f>ABS(J7-Q7)/((J7+Q7)/2)*100</f>
        <v>#DIV/0!</v>
      </c>
      <c r="T7" s="5"/>
      <c r="U7" s="5"/>
      <c r="V7" s="5"/>
      <c r="W7" s="5"/>
      <c r="X7" s="5"/>
      <c r="Y7" s="5"/>
      <c r="Z7" s="5"/>
      <c r="AA7" s="5">
        <f>Y7+Z7</f>
        <v>0</v>
      </c>
      <c r="AB7" s="5" t="e">
        <f>Z7/AA7*100</f>
        <v>#DIV/0!</v>
      </c>
      <c r="AC7" s="5">
        <f>D7-AA7</f>
        <v>1.502</v>
      </c>
    </row>
    <row r="8" spans="1:29" ht="21" x14ac:dyDescent="0.35">
      <c r="A8" s="80"/>
      <c r="B8" s="5">
        <v>5</v>
      </c>
      <c r="C8" s="5"/>
      <c r="D8" s="6">
        <v>1.5013000000000001</v>
      </c>
      <c r="E8" s="6">
        <v>1.5013000000000001</v>
      </c>
      <c r="F8" s="6"/>
      <c r="G8" s="5"/>
      <c r="H8" s="5"/>
      <c r="I8" s="5"/>
      <c r="J8" s="5"/>
      <c r="K8" s="5"/>
      <c r="L8">
        <v>10.395</v>
      </c>
      <c r="M8">
        <v>10.686</v>
      </c>
      <c r="N8">
        <v>11.664999999999999</v>
      </c>
      <c r="O8" s="5">
        <f>L8*M8*N8</f>
        <v>1295.7595150499999</v>
      </c>
      <c r="P8" s="5">
        <f>L8*M8</f>
        <v>111.08096999999999</v>
      </c>
      <c r="Q8" s="5">
        <f>E8/(O8*0.001)</f>
        <v>1.1586254876485078</v>
      </c>
      <c r="R8" s="5">
        <f>Q8/$M$2</f>
        <v>0.76225361029507088</v>
      </c>
      <c r="S8" s="5">
        <f>ABS(J8-Q8)/((J8+Q8)/2)*100</f>
        <v>200</v>
      </c>
      <c r="T8" s="5"/>
      <c r="U8" s="5"/>
      <c r="V8" s="5"/>
      <c r="W8" s="5"/>
      <c r="X8" s="5"/>
      <c r="Y8" s="5"/>
      <c r="Z8" s="5"/>
      <c r="AA8" s="5">
        <f>Y8+Z8</f>
        <v>0</v>
      </c>
      <c r="AB8" s="5" t="e">
        <f>Z8/AA8*100</f>
        <v>#DIV/0!</v>
      </c>
      <c r="AC8" s="5">
        <f>D8-AA8</f>
        <v>1.5013000000000001</v>
      </c>
    </row>
    <row r="9" spans="1:29" ht="21" x14ac:dyDescent="0.35">
      <c r="A9" s="80"/>
      <c r="B9" s="5"/>
      <c r="C9" s="5"/>
      <c r="D9" s="6"/>
      <c r="E9" s="5"/>
      <c r="F9" s="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" x14ac:dyDescent="0.35">
      <c r="A10" s="80"/>
      <c r="B10" s="5"/>
      <c r="C10" s="5"/>
      <c r="D10" s="6"/>
      <c r="E10" s="5"/>
      <c r="F10" s="6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" x14ac:dyDescent="0.35">
      <c r="A11" s="80" t="s">
        <v>57</v>
      </c>
      <c r="B11" s="7"/>
      <c r="C11" s="7"/>
      <c r="D11" s="7"/>
      <c r="E11" s="7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5"/>
      <c r="R11" s="5"/>
      <c r="S11" s="5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21" x14ac:dyDescent="0.35">
      <c r="A12" s="80"/>
      <c r="B12" s="5"/>
      <c r="C12" s="5"/>
      <c r="D12" s="5"/>
      <c r="E12" s="5"/>
      <c r="F12" s="6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" x14ac:dyDescent="0.35">
      <c r="A13" s="80"/>
      <c r="B13" s="5"/>
      <c r="C13" s="5"/>
      <c r="D13" s="5"/>
      <c r="E13" s="5"/>
      <c r="F13" s="6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" x14ac:dyDescent="0.35">
      <c r="A14" s="80"/>
      <c r="B14" s="5"/>
      <c r="C14" s="5"/>
      <c r="D14" s="6"/>
      <c r="E14" s="5"/>
      <c r="F14" s="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" x14ac:dyDescent="0.35">
      <c r="A15" s="80"/>
      <c r="B15" s="5"/>
      <c r="C15" s="5"/>
      <c r="D15" s="5"/>
      <c r="E15" s="5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1" x14ac:dyDescent="0.35">
      <c r="A16" s="80"/>
      <c r="B16" s="5"/>
      <c r="C16" s="5"/>
      <c r="D16" s="5"/>
      <c r="E16" s="5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" x14ac:dyDescent="0.35">
      <c r="A17" s="80"/>
      <c r="B17" s="5"/>
      <c r="C17" s="5"/>
      <c r="D17" s="5"/>
      <c r="E17" s="5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" x14ac:dyDescent="0.35">
      <c r="A18" s="80" t="s">
        <v>59</v>
      </c>
      <c r="B18" s="5"/>
      <c r="C18" s="7"/>
      <c r="D18" s="7"/>
      <c r="E18" s="7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5"/>
      <c r="R18" s="5"/>
      <c r="S18" s="5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21" x14ac:dyDescent="0.35">
      <c r="A19" s="80"/>
      <c r="B19" s="5"/>
      <c r="C19" s="5"/>
      <c r="D19" s="5"/>
      <c r="E19" s="5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" x14ac:dyDescent="0.35">
      <c r="A20" s="80"/>
      <c r="B20" s="5"/>
      <c r="C20" s="5"/>
      <c r="D20" s="5"/>
      <c r="E20" s="5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1" x14ac:dyDescent="0.35">
      <c r="A21" s="80"/>
      <c r="B21" s="5"/>
      <c r="C21" s="5"/>
      <c r="D21" s="5"/>
      <c r="E21" s="5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1" x14ac:dyDescent="0.35">
      <c r="A22" s="80"/>
      <c r="B22" s="5"/>
      <c r="C22" s="5"/>
      <c r="D22" s="5"/>
      <c r="E22" s="5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1" x14ac:dyDescent="0.35">
      <c r="A23" s="80"/>
      <c r="B23" s="5"/>
      <c r="C23" s="5"/>
      <c r="D23" s="5"/>
      <c r="E23" s="5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1" x14ac:dyDescent="0.35">
      <c r="A24" s="80"/>
      <c r="B24" s="5"/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1" x14ac:dyDescent="0.35">
      <c r="A25" s="80" t="s">
        <v>56</v>
      </c>
      <c r="B25" s="5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21" x14ac:dyDescent="0.35">
      <c r="A26" s="80"/>
      <c r="B26" s="1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21" x14ac:dyDescent="0.35">
      <c r="A27" s="80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21" x14ac:dyDescent="0.35">
      <c r="A28" s="80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21" x14ac:dyDescent="0.35">
      <c r="A29" s="80" t="s">
        <v>57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ht="21" x14ac:dyDescent="0.35">
      <c r="A30" s="80"/>
      <c r="B30" s="1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" x14ac:dyDescent="0.35">
      <c r="A31" s="80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" x14ac:dyDescent="0.35">
      <c r="A32" s="80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21" x14ac:dyDescent="0.35">
      <c r="A33" s="80" t="s">
        <v>59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ht="21" x14ac:dyDescent="0.35">
      <c r="A34" s="80"/>
      <c r="B34" s="19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21" x14ac:dyDescent="0.35">
      <c r="A35" s="80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21" x14ac:dyDescent="0.35">
      <c r="A36" s="80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</sheetData>
  <mergeCells count="6">
    <mergeCell ref="A33:A36"/>
    <mergeCell ref="A4:A10"/>
    <mergeCell ref="A11:A17"/>
    <mergeCell ref="A18:A24"/>
    <mergeCell ref="A25:A28"/>
    <mergeCell ref="A29:A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0AA7-1FB0-45DC-8675-82F6EE765DFE}">
  <dimension ref="A1:AG59"/>
  <sheetViews>
    <sheetView workbookViewId="0">
      <selection sqref="A1:XFD1048576"/>
    </sheetView>
  </sheetViews>
  <sheetFormatPr defaultRowHeight="15" x14ac:dyDescent="0.25"/>
  <cols>
    <col min="1" max="1" width="10.7109375" customWidth="1"/>
    <col min="2" max="2" width="19.5703125" customWidth="1"/>
    <col min="3" max="3" width="34.5703125" hidden="1" customWidth="1"/>
    <col min="4" max="4" width="24.42578125" customWidth="1"/>
    <col min="5" max="5" width="27.85546875" customWidth="1"/>
    <col min="6" max="6" width="24.42578125" hidden="1" customWidth="1"/>
    <col min="7" max="7" width="20.5703125" hidden="1" customWidth="1"/>
    <col min="8" max="8" width="20" customWidth="1"/>
    <col min="9" max="9" width="23.85546875" hidden="1" customWidth="1"/>
    <col min="10" max="10" width="20" customWidth="1"/>
    <col min="11" max="11" width="15.140625" customWidth="1"/>
    <col min="12" max="12" width="23.42578125" customWidth="1"/>
    <col min="13" max="13" width="21.85546875" customWidth="1"/>
    <col min="14" max="14" width="25.140625" customWidth="1"/>
    <col min="15" max="15" width="20.85546875" customWidth="1"/>
    <col min="16" max="16" width="16.5703125" customWidth="1"/>
    <col min="17" max="17" width="27.5703125" customWidth="1"/>
    <col min="18" max="18" width="22.140625" customWidth="1"/>
    <col min="19" max="19" width="24.42578125" customWidth="1"/>
    <col min="20" max="22" width="17.85546875" customWidth="1"/>
    <col min="23" max="23" width="19.140625" customWidth="1"/>
    <col min="24" max="24" width="19.85546875" customWidth="1"/>
    <col min="25" max="25" width="16.42578125" customWidth="1"/>
    <col min="26" max="26" width="15.85546875" customWidth="1"/>
    <col min="27" max="27" width="15.42578125" customWidth="1"/>
    <col min="28" max="28" width="16.85546875" customWidth="1"/>
    <col min="29" max="29" width="16.5703125" customWidth="1"/>
    <col min="30" max="30" width="15.85546875" customWidth="1"/>
    <col min="31" max="31" width="18.5703125" customWidth="1"/>
  </cols>
  <sheetData>
    <row r="1" spans="1:31" x14ac:dyDescent="0.25">
      <c r="A1" t="s">
        <v>112</v>
      </c>
      <c r="J1" t="s">
        <v>1</v>
      </c>
      <c r="M1" t="s">
        <v>2</v>
      </c>
      <c r="X1" t="s">
        <v>3</v>
      </c>
      <c r="Y1" t="s">
        <v>4</v>
      </c>
    </row>
    <row r="2" spans="1:31" x14ac:dyDescent="0.25">
      <c r="J2">
        <v>0.83</v>
      </c>
      <c r="L2" t="s">
        <v>5</v>
      </c>
      <c r="M2">
        <v>1.52</v>
      </c>
      <c r="N2" t="s">
        <v>5</v>
      </c>
      <c r="X2">
        <f>(PI()/4 )*80^2</f>
        <v>5026.5482457436692</v>
      </c>
      <c r="Y2">
        <f>10^2</f>
        <v>100</v>
      </c>
    </row>
    <row r="3" spans="1:31" ht="105" x14ac:dyDescent="0.35">
      <c r="A3" s="1"/>
      <c r="B3" s="1" t="s">
        <v>113</v>
      </c>
      <c r="C3" s="2" t="s">
        <v>7</v>
      </c>
      <c r="D3" s="12" t="s">
        <v>8</v>
      </c>
      <c r="E3" s="13" t="s">
        <v>9</v>
      </c>
      <c r="F3" s="2" t="s">
        <v>10</v>
      </c>
      <c r="G3" s="1" t="s">
        <v>11</v>
      </c>
      <c r="H3" s="14" t="s">
        <v>12</v>
      </c>
      <c r="I3" s="2" t="s">
        <v>13</v>
      </c>
      <c r="J3" s="2" t="s">
        <v>14</v>
      </c>
      <c r="K3" s="1" t="s">
        <v>15</v>
      </c>
      <c r="L3" s="13" t="s">
        <v>16</v>
      </c>
      <c r="M3" s="13" t="s">
        <v>17</v>
      </c>
      <c r="N3" s="13" t="s">
        <v>18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23</v>
      </c>
      <c r="T3" s="2" t="s">
        <v>95</v>
      </c>
      <c r="U3" s="2" t="s">
        <v>114</v>
      </c>
      <c r="V3" s="2" t="s">
        <v>74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40</v>
      </c>
      <c r="AB3" s="2" t="s">
        <v>41</v>
      </c>
      <c r="AC3" s="2" t="s">
        <v>42</v>
      </c>
      <c r="AD3" s="2" t="s">
        <v>43</v>
      </c>
      <c r="AE3" s="2" t="s">
        <v>44</v>
      </c>
    </row>
    <row r="4" spans="1:31" ht="21" x14ac:dyDescent="0.35">
      <c r="A4" s="81" t="s">
        <v>115</v>
      </c>
      <c r="B4" s="7">
        <v>1</v>
      </c>
      <c r="C4" s="7"/>
      <c r="D4" s="7">
        <v>1.5002</v>
      </c>
      <c r="E4" s="7">
        <v>1.4854000000000001</v>
      </c>
      <c r="F4" s="8">
        <f t="shared" ref="F4:F23" si="0">ABS(D4-E4)</f>
        <v>1.4799999999999924E-2</v>
      </c>
      <c r="G4" s="7">
        <f t="shared" ref="G4:G17" si="1">F4/D4*100</f>
        <v>0.98653512864950843</v>
      </c>
      <c r="H4" s="7">
        <v>0.6</v>
      </c>
      <c r="I4" s="7">
        <f t="shared" ref="I4:I23" si="2">ABS(E4-H4)</f>
        <v>0.88540000000000008</v>
      </c>
      <c r="J4" s="7">
        <f>E4*$J$2/I4</f>
        <v>1.3924576462615765</v>
      </c>
      <c r="K4" s="5">
        <f>(J4/$M$2)*100</f>
        <v>91.609055675103718</v>
      </c>
      <c r="L4" s="7">
        <f>AVERAGE(10.265, 10.098, 10.107, 10.239)</f>
        <v>10.177250000000001</v>
      </c>
      <c r="M4" s="7">
        <f>AVERAGE(10.179, 10.135, 9.992, 10.066)</f>
        <v>10.093</v>
      </c>
      <c r="N4" s="7">
        <f>AVERAGE(10.426, 10.284, 10.451, 10.412)</f>
        <v>10.39325</v>
      </c>
      <c r="O4" s="7">
        <f t="shared" ref="O4:O23" si="3">L4*M4*N4</f>
        <v>1067.5840830563125</v>
      </c>
      <c r="P4" s="7">
        <f t="shared" ref="P4:P23" si="4">L4*M4</f>
        <v>102.71898425000001</v>
      </c>
      <c r="Q4" s="5">
        <f t="shared" ref="Q4:Q23" si="5">E4/(O4*0.001)</f>
        <v>1.3913658170582228</v>
      </c>
      <c r="R4" s="5">
        <f t="shared" ref="R4:R23" si="6">Q4/$M$2</f>
        <v>0.91537224806462025</v>
      </c>
      <c r="S4" s="5">
        <f t="shared" ref="S4:S23" si="7">ABS(J4-Q4)/((J4+Q4)/2)*100</f>
        <v>7.8440980021891898E-2</v>
      </c>
      <c r="T4" s="7">
        <v>0.99970000000000003</v>
      </c>
      <c r="U4" s="7">
        <v>70.040099999999995</v>
      </c>
      <c r="V4" s="7">
        <v>2.8635999999999999</v>
      </c>
      <c r="W4" s="7"/>
      <c r="X4" s="7"/>
      <c r="Y4" s="7"/>
      <c r="Z4" s="7"/>
      <c r="AA4" s="7"/>
      <c r="AB4" s="7"/>
      <c r="AC4" s="7">
        <f t="shared" ref="AC4:AC23" si="8">AA4+AB4</f>
        <v>0</v>
      </c>
      <c r="AD4" s="7" t="e">
        <f t="shared" ref="AD4:AD23" si="9">AB4/AC4*100</f>
        <v>#DIV/0!</v>
      </c>
      <c r="AE4" s="7">
        <f t="shared" ref="AE4:AE23" si="10">D4-AC4</f>
        <v>1.5002</v>
      </c>
    </row>
    <row r="5" spans="1:31" ht="21" x14ac:dyDescent="0.35">
      <c r="A5" s="80"/>
      <c r="B5" s="5">
        <v>2</v>
      </c>
      <c r="C5" s="5"/>
      <c r="D5" s="5">
        <v>1.4999</v>
      </c>
      <c r="E5" s="5">
        <v>1.4730000000000001</v>
      </c>
      <c r="F5" s="6">
        <f t="shared" si="0"/>
        <v>2.6899999999999924E-2</v>
      </c>
      <c r="G5" s="5">
        <f t="shared" si="1"/>
        <v>1.7934528968597856</v>
      </c>
      <c r="H5" s="5">
        <v>0.58609999999999995</v>
      </c>
      <c r="I5" s="5">
        <f>ABS(E5-H5)</f>
        <v>0.88690000000000013</v>
      </c>
      <c r="J5" s="5">
        <f>E5*$J$2/I5</f>
        <v>1.3784981395873266</v>
      </c>
      <c r="K5" s="5">
        <f t="shared" ref="K5:K28" si="11">(J5/$M$2)*100</f>
        <v>90.690667078113592</v>
      </c>
      <c r="L5" s="7">
        <f>AVERAGE(10.106, 10.008, 9.983, 10.209)</f>
        <v>10.076499999999999</v>
      </c>
      <c r="M5" s="7">
        <f>AVERAGE(10.228, 10.104, 10.138, 9.971)</f>
        <v>10.110250000000001</v>
      </c>
      <c r="N5" s="7">
        <f>AVERAGE(10.425, 10.63, 10.629, 10.498)</f>
        <v>10.545499999999999</v>
      </c>
      <c r="O5" s="5">
        <f t="shared" si="3"/>
        <v>1074.3326633151873</v>
      </c>
      <c r="P5" s="5">
        <f t="shared" si="4"/>
        <v>101.875934125</v>
      </c>
      <c r="Q5" s="5">
        <f t="shared" si="5"/>
        <v>1.3710836971619209</v>
      </c>
      <c r="R5" s="5">
        <f t="shared" si="6"/>
        <v>0.90202874813284273</v>
      </c>
      <c r="S5" s="5">
        <f t="shared" si="7"/>
        <v>0.53931418416493182</v>
      </c>
      <c r="T5" s="5">
        <v>0.99950000000000006</v>
      </c>
      <c r="U5" s="5">
        <v>40.808</v>
      </c>
      <c r="V5" s="5">
        <v>2.6219999999999999</v>
      </c>
      <c r="W5" s="5"/>
      <c r="X5" s="5"/>
      <c r="Y5" s="5"/>
      <c r="Z5" s="5"/>
      <c r="AA5" s="5"/>
      <c r="AB5" s="5"/>
      <c r="AC5" s="5">
        <f t="shared" si="8"/>
        <v>0</v>
      </c>
      <c r="AD5" s="5" t="e">
        <f t="shared" si="9"/>
        <v>#DIV/0!</v>
      </c>
      <c r="AE5" s="5">
        <f t="shared" si="10"/>
        <v>1.4999</v>
      </c>
    </row>
    <row r="6" spans="1:31" ht="21" x14ac:dyDescent="0.35">
      <c r="A6" s="80"/>
      <c r="B6" s="5">
        <v>3</v>
      </c>
      <c r="C6" s="5"/>
      <c r="D6" s="5">
        <v>1.5001</v>
      </c>
      <c r="E6" s="5">
        <v>1.4769000000000001</v>
      </c>
      <c r="F6" s="6">
        <f t="shared" si="0"/>
        <v>2.3199999999999887E-2</v>
      </c>
      <c r="G6" s="5">
        <f t="shared" si="1"/>
        <v>1.546563562429164</v>
      </c>
      <c r="H6" s="5">
        <v>0.59740000000000004</v>
      </c>
      <c r="I6" s="5">
        <f t="shared" si="2"/>
        <v>0.87950000000000006</v>
      </c>
      <c r="J6" s="5">
        <f t="shared" ref="J6:J23" si="12">E6*$J$2/I6</f>
        <v>1.3937771461057418</v>
      </c>
      <c r="K6" s="5">
        <f t="shared" si="11"/>
        <v>91.695864875377737</v>
      </c>
      <c r="L6" s="7">
        <f>AVERAGE(10.213, 10.151, 10.077, 10.31)</f>
        <v>10.187749999999999</v>
      </c>
      <c r="M6" s="7">
        <f>AVERAGE(10.152, 10.129, 10.052, 10.063)</f>
        <v>10.099</v>
      </c>
      <c r="N6" s="7">
        <f>AVERAGE(10.468, 10.266, 10.442, 10.297)</f>
        <v>10.36825</v>
      </c>
      <c r="O6" s="5">
        <f t="shared" si="3"/>
        <v>1066.7486741298126</v>
      </c>
      <c r="P6" s="5">
        <f t="shared" si="4"/>
        <v>102.88608725</v>
      </c>
      <c r="Q6" s="5">
        <f t="shared" si="5"/>
        <v>1.3844873078513675</v>
      </c>
      <c r="R6" s="5">
        <f t="shared" si="6"/>
        <v>0.91084691306011023</v>
      </c>
      <c r="S6" s="5">
        <f t="shared" si="7"/>
        <v>0.66875118681683676</v>
      </c>
      <c r="T6" s="5">
        <v>0.99880000000000002</v>
      </c>
      <c r="U6" s="5">
        <v>52.56</v>
      </c>
      <c r="V6" s="5">
        <v>2.9674</v>
      </c>
      <c r="W6" s="5"/>
      <c r="X6" s="5"/>
      <c r="Y6" s="5"/>
      <c r="Z6" s="5"/>
      <c r="AA6" s="5"/>
      <c r="AB6" s="5"/>
      <c r="AC6" s="5">
        <f t="shared" si="8"/>
        <v>0</v>
      </c>
      <c r="AD6" s="5" t="e">
        <f t="shared" si="9"/>
        <v>#DIV/0!</v>
      </c>
      <c r="AE6" s="5">
        <f t="shared" si="10"/>
        <v>1.5001</v>
      </c>
    </row>
    <row r="7" spans="1:31" ht="21" x14ac:dyDescent="0.35">
      <c r="A7" s="80"/>
      <c r="B7" s="5">
        <v>4</v>
      </c>
      <c r="C7" s="5"/>
      <c r="D7" s="5">
        <v>1.5001</v>
      </c>
      <c r="E7" s="5">
        <v>1.4849000000000001</v>
      </c>
      <c r="F7" s="6">
        <f t="shared" si="0"/>
        <v>1.519999999999988E-2</v>
      </c>
      <c r="G7" s="5">
        <f t="shared" si="1"/>
        <v>1.0132657822811733</v>
      </c>
      <c r="H7" s="5">
        <v>0.58989999999999998</v>
      </c>
      <c r="I7" s="5">
        <f t="shared" si="2"/>
        <v>0.89500000000000013</v>
      </c>
      <c r="J7" s="5">
        <f t="shared" si="12"/>
        <v>1.3770581005586591</v>
      </c>
      <c r="K7" s="5">
        <f t="shared" si="11"/>
        <v>90.595927668332834</v>
      </c>
      <c r="L7" s="7">
        <f>AVERAGE(10.117, 10.062, 10.292, 10.086)</f>
        <v>10.139250000000001</v>
      </c>
      <c r="M7" s="7">
        <f>AVERAGE(10.153, 10.211, 10.105, 10.059)</f>
        <v>10.132</v>
      </c>
      <c r="N7" s="7">
        <f>AVERAGE(10.543, 10.53, 10.663, 10.625)</f>
        <v>10.590250000000001</v>
      </c>
      <c r="O7" s="5">
        <f t="shared" si="3"/>
        <v>1087.9457125102501</v>
      </c>
      <c r="P7" s="5">
        <f t="shared" si="4"/>
        <v>102.730881</v>
      </c>
      <c r="Q7" s="5">
        <f t="shared" si="5"/>
        <v>1.364865896271465</v>
      </c>
      <c r="R7" s="5">
        <f t="shared" si="6"/>
        <v>0.89793808965227961</v>
      </c>
      <c r="S7" s="5">
        <f t="shared" si="7"/>
        <v>0.88931745017653019</v>
      </c>
      <c r="T7" s="5">
        <v>0.999</v>
      </c>
      <c r="U7" s="5">
        <v>52.070999999999998</v>
      </c>
      <c r="V7" s="5">
        <v>2.6387999999999998</v>
      </c>
      <c r="W7" s="5"/>
      <c r="X7" s="5"/>
      <c r="Y7" s="5"/>
      <c r="Z7" s="5"/>
      <c r="AA7" s="5"/>
      <c r="AB7" s="5"/>
      <c r="AC7" s="5">
        <f t="shared" si="8"/>
        <v>0</v>
      </c>
      <c r="AD7" s="5" t="e">
        <f t="shared" si="9"/>
        <v>#DIV/0!</v>
      </c>
      <c r="AE7" s="5">
        <f t="shared" si="10"/>
        <v>1.5001</v>
      </c>
    </row>
    <row r="8" spans="1:31" ht="21" x14ac:dyDescent="0.35">
      <c r="A8" s="83"/>
      <c r="B8" s="5">
        <v>5</v>
      </c>
      <c r="C8" s="5"/>
      <c r="D8" s="6">
        <v>1.4745999999999999</v>
      </c>
      <c r="E8" s="5"/>
      <c r="F8" s="6">
        <f t="shared" si="0"/>
        <v>1.4745999999999999</v>
      </c>
      <c r="G8" s="5">
        <f t="shared" si="1"/>
        <v>100</v>
      </c>
      <c r="H8" s="5"/>
      <c r="I8" s="5">
        <f t="shared" si="2"/>
        <v>0</v>
      </c>
      <c r="J8" s="5" t="e">
        <f t="shared" si="12"/>
        <v>#DIV/0!</v>
      </c>
      <c r="K8" s="5" t="e">
        <f t="shared" si="11"/>
        <v>#DIV/0!</v>
      </c>
      <c r="L8" s="7"/>
      <c r="M8" s="7"/>
      <c r="N8" s="7"/>
      <c r="O8" s="5">
        <f t="shared" si="3"/>
        <v>0</v>
      </c>
      <c r="P8" s="5">
        <f t="shared" si="4"/>
        <v>0</v>
      </c>
      <c r="Q8" s="1" t="e">
        <f t="shared" si="5"/>
        <v>#DIV/0!</v>
      </c>
      <c r="R8" s="1" t="e">
        <f t="shared" si="6"/>
        <v>#DIV/0!</v>
      </c>
      <c r="S8" s="1" t="e">
        <f t="shared" si="7"/>
        <v>#DIV/0!</v>
      </c>
      <c r="T8" s="5"/>
      <c r="U8" s="5"/>
      <c r="V8" s="5"/>
      <c r="W8" s="5"/>
      <c r="X8" s="5"/>
      <c r="Y8" s="5"/>
      <c r="Z8" s="5"/>
      <c r="AA8" s="5"/>
      <c r="AB8" s="5"/>
      <c r="AC8" s="5">
        <f t="shared" si="8"/>
        <v>0</v>
      </c>
      <c r="AD8" s="5" t="e">
        <f t="shared" si="9"/>
        <v>#DIV/0!</v>
      </c>
      <c r="AE8" s="5">
        <f t="shared" si="10"/>
        <v>1.4745999999999999</v>
      </c>
    </row>
    <row r="9" spans="1:31" ht="21" x14ac:dyDescent="0.35">
      <c r="A9" s="80" t="s">
        <v>116</v>
      </c>
      <c r="B9" s="7">
        <v>6</v>
      </c>
      <c r="C9" s="7"/>
      <c r="D9" s="7">
        <v>1.5</v>
      </c>
      <c r="E9" s="7">
        <v>1.472</v>
      </c>
      <c r="F9" s="8">
        <f t="shared" si="0"/>
        <v>2.8000000000000025E-2</v>
      </c>
      <c r="G9" s="7">
        <f t="shared" si="1"/>
        <v>1.8666666666666683</v>
      </c>
      <c r="H9" s="7">
        <v>0.58709999999999996</v>
      </c>
      <c r="I9" s="7">
        <f t="shared" si="2"/>
        <v>0.88490000000000002</v>
      </c>
      <c r="J9" s="7">
        <f t="shared" si="12"/>
        <v>1.3806757825743021</v>
      </c>
      <c r="K9" s="7">
        <f t="shared" si="11"/>
        <v>90.833933064098829</v>
      </c>
      <c r="L9" s="7">
        <f>AVERAGE(10.322, 10.145, 10.08, 10.265)</f>
        <v>10.202999999999999</v>
      </c>
      <c r="M9" s="7">
        <f>AVERAGE(10.201, 10.133, 9.969, 9.999)</f>
        <v>10.0755</v>
      </c>
      <c r="N9" s="7">
        <f>AVERAGE(10.454, 10.501, 10.48, 10.479)</f>
        <v>10.4785</v>
      </c>
      <c r="O9" s="7">
        <f t="shared" si="3"/>
        <v>1077.1932212302499</v>
      </c>
      <c r="P9" s="7">
        <f t="shared" si="4"/>
        <v>102.8003265</v>
      </c>
      <c r="Q9" s="5">
        <f t="shared" si="5"/>
        <v>1.3665143550744274</v>
      </c>
      <c r="R9" s="5">
        <f t="shared" si="6"/>
        <v>0.89902260202264961</v>
      </c>
      <c r="S9" s="5">
        <f t="shared" si="7"/>
        <v>1.0309754178132871</v>
      </c>
      <c r="T9" s="7">
        <v>0.99990000000000001</v>
      </c>
      <c r="U9" s="7">
        <v>59.275399999999998</v>
      </c>
      <c r="V9" s="7">
        <v>2.7553999999999998</v>
      </c>
      <c r="W9" s="7"/>
      <c r="X9" s="7"/>
      <c r="Y9" s="7"/>
      <c r="Z9" s="7"/>
      <c r="AA9" s="7"/>
      <c r="AB9" s="7"/>
      <c r="AC9" s="7">
        <f t="shared" si="8"/>
        <v>0</v>
      </c>
      <c r="AD9" s="7" t="e">
        <f t="shared" si="9"/>
        <v>#DIV/0!</v>
      </c>
      <c r="AE9" s="7">
        <f t="shared" si="10"/>
        <v>1.5</v>
      </c>
    </row>
    <row r="10" spans="1:31" ht="21" x14ac:dyDescent="0.35">
      <c r="A10" s="80"/>
      <c r="B10" s="5">
        <v>7</v>
      </c>
      <c r="C10" s="5"/>
      <c r="D10" s="5">
        <v>1.5001</v>
      </c>
      <c r="E10" s="5">
        <v>1.4899</v>
      </c>
      <c r="F10" s="6">
        <f t="shared" si="0"/>
        <v>1.0199999999999987E-2</v>
      </c>
      <c r="G10" s="5">
        <f t="shared" si="1"/>
        <v>0.67995466968868656</v>
      </c>
      <c r="H10" s="5">
        <v>0.5887</v>
      </c>
      <c r="I10" s="5">
        <f t="shared" si="2"/>
        <v>0.9012</v>
      </c>
      <c r="J10" s="5">
        <f t="shared" si="12"/>
        <v>1.3721893031513537</v>
      </c>
      <c r="K10" s="5">
        <f t="shared" si="11"/>
        <v>90.27561204943116</v>
      </c>
      <c r="L10" s="7">
        <f>AVERAGE(10.173, 10.124, 10.215, 10.049)</f>
        <v>10.14025</v>
      </c>
      <c r="M10" s="7">
        <f>AVERAGE(10.119, 10.14, 10.061, 10.027)</f>
        <v>10.08675</v>
      </c>
      <c r="N10" s="7">
        <f>AVERAGE(10.736, 10.695, 10.727, 10.683)</f>
        <v>10.71025</v>
      </c>
      <c r="O10" s="5">
        <f t="shared" si="3"/>
        <v>1095.4675757647969</v>
      </c>
      <c r="P10" s="5">
        <f t="shared" si="4"/>
        <v>102.28216668750001</v>
      </c>
      <c r="Q10" s="5">
        <f t="shared" si="5"/>
        <v>1.3600585110516223</v>
      </c>
      <c r="R10" s="5">
        <f t="shared" si="6"/>
        <v>0.89477533621817262</v>
      </c>
      <c r="S10" s="5">
        <f t="shared" si="7"/>
        <v>0.88797158417857558</v>
      </c>
      <c r="T10" s="5">
        <v>0.99880000000000002</v>
      </c>
      <c r="U10" s="5">
        <v>56.246000000000002</v>
      </c>
      <c r="V10" s="5">
        <v>2.6133000000000002</v>
      </c>
      <c r="W10" s="5"/>
      <c r="X10" s="5"/>
      <c r="Y10" s="5"/>
      <c r="Z10" s="5"/>
      <c r="AA10" s="5"/>
      <c r="AB10" s="5"/>
      <c r="AC10" s="5">
        <f t="shared" si="8"/>
        <v>0</v>
      </c>
      <c r="AD10" s="5" t="e">
        <f t="shared" si="9"/>
        <v>#DIV/0!</v>
      </c>
      <c r="AE10" s="5">
        <f t="shared" si="10"/>
        <v>1.5001</v>
      </c>
    </row>
    <row r="11" spans="1:31" ht="21" x14ac:dyDescent="0.35">
      <c r="A11" s="80"/>
      <c r="B11" s="5">
        <v>8</v>
      </c>
      <c r="C11" s="5"/>
      <c r="D11" s="5">
        <v>1.5002</v>
      </c>
      <c r="E11" s="5">
        <v>1.4569000000000001</v>
      </c>
      <c r="F11" s="6">
        <f t="shared" si="0"/>
        <v>4.3299999999999894E-2</v>
      </c>
      <c r="G11" s="5">
        <f t="shared" si="1"/>
        <v>2.8862818290894476</v>
      </c>
      <c r="H11" s="5">
        <v>0.55349999999999999</v>
      </c>
      <c r="I11" s="5">
        <f t="shared" si="2"/>
        <v>0.90340000000000009</v>
      </c>
      <c r="J11" s="5">
        <f t="shared" si="12"/>
        <v>1.3385288908567632</v>
      </c>
      <c r="K11" s="5">
        <f t="shared" si="11"/>
        <v>88.061111240576523</v>
      </c>
      <c r="L11" s="7">
        <f>AVERAGE(10.069, 10.634, 10.063, 10.038)</f>
        <v>10.201000000000001</v>
      </c>
      <c r="M11" s="7">
        <f>AVERAGE(10.094, 10.114, 9.895, 10.007)</f>
        <v>10.0275</v>
      </c>
      <c r="N11" s="7">
        <f>AVERAGE(10.993, 10.755, 11.04, 10.929)</f>
        <v>10.92925</v>
      </c>
      <c r="O11" s="5">
        <f t="shared" si="3"/>
        <v>1117.9587476793752</v>
      </c>
      <c r="P11" s="5">
        <f t="shared" si="4"/>
        <v>102.29052750000001</v>
      </c>
      <c r="Q11" s="5">
        <f t="shared" si="5"/>
        <v>1.3031786754423533</v>
      </c>
      <c r="R11" s="5">
        <f t="shared" si="6"/>
        <v>0.85735439173839034</v>
      </c>
      <c r="S11" s="5">
        <f t="shared" si="7"/>
        <v>2.6763155668992931</v>
      </c>
      <c r="T11" s="5">
        <v>1</v>
      </c>
      <c r="U11" s="5">
        <v>23.757400000000001</v>
      </c>
      <c r="V11" s="5">
        <v>1.7082999999999999</v>
      </c>
      <c r="W11" s="5"/>
      <c r="X11" s="5"/>
      <c r="Y11" s="5"/>
      <c r="Z11" s="5"/>
      <c r="AA11" s="5"/>
      <c r="AB11" s="5"/>
      <c r="AC11" s="5">
        <f t="shared" si="8"/>
        <v>0</v>
      </c>
      <c r="AD11" s="5" t="e">
        <f t="shared" si="9"/>
        <v>#DIV/0!</v>
      </c>
      <c r="AE11" s="5">
        <f t="shared" si="10"/>
        <v>1.5002</v>
      </c>
    </row>
    <row r="12" spans="1:31" ht="21" x14ac:dyDescent="0.35">
      <c r="A12" s="80"/>
      <c r="B12" s="5">
        <v>9</v>
      </c>
      <c r="C12" s="5"/>
      <c r="D12" s="6">
        <v>1.5</v>
      </c>
      <c r="E12" s="5">
        <v>1.4776</v>
      </c>
      <c r="F12" s="6">
        <f t="shared" si="0"/>
        <v>2.2399999999999975E-2</v>
      </c>
      <c r="G12" s="5">
        <f t="shared" si="1"/>
        <v>1.4933333333333318</v>
      </c>
      <c r="H12" s="5">
        <v>0.59050000000000002</v>
      </c>
      <c r="I12" s="5">
        <f t="shared" si="2"/>
        <v>0.8871</v>
      </c>
      <c r="J12" s="5">
        <f t="shared" si="12"/>
        <v>1.3824912636681321</v>
      </c>
      <c r="K12" s="5">
        <f t="shared" si="11"/>
        <v>90.953372609745529</v>
      </c>
      <c r="L12" s="7">
        <f>AVERAGE(10.153, 10.136, 10.259, 10.076)</f>
        <v>10.156000000000001</v>
      </c>
      <c r="M12" s="7">
        <f>AVERAGE(10.106, 10.189, 10.024, 10.069)</f>
        <v>10.097000000000001</v>
      </c>
      <c r="N12" s="7">
        <f>AVERAGE(10.572, 10.551, 10.477, 10.609)</f>
        <v>10.552249999999999</v>
      </c>
      <c r="O12" s="5">
        <f t="shared" si="3"/>
        <v>1082.0818691470001</v>
      </c>
      <c r="P12" s="5">
        <f t="shared" si="4"/>
        <v>102.54513200000002</v>
      </c>
      <c r="Q12" s="5">
        <f t="shared" si="5"/>
        <v>1.3655159023824923</v>
      </c>
      <c r="R12" s="5">
        <f t="shared" si="6"/>
        <v>0.89836572525163971</v>
      </c>
      <c r="S12" s="5">
        <f t="shared" si="7"/>
        <v>1.2354670319172734</v>
      </c>
      <c r="T12" s="5">
        <v>0.99980000000000002</v>
      </c>
      <c r="U12" s="5">
        <v>95.593299999999999</v>
      </c>
      <c r="V12" s="5">
        <v>3.0766</v>
      </c>
      <c r="W12" s="5"/>
      <c r="X12" s="5"/>
      <c r="Y12" s="5"/>
      <c r="Z12" s="5"/>
      <c r="AA12" s="5"/>
      <c r="AB12" s="5"/>
      <c r="AC12" s="5">
        <f t="shared" si="8"/>
        <v>0</v>
      </c>
      <c r="AD12" s="5" t="e">
        <f t="shared" si="9"/>
        <v>#DIV/0!</v>
      </c>
      <c r="AE12" s="5">
        <f t="shared" si="10"/>
        <v>1.5</v>
      </c>
    </row>
    <row r="13" spans="1:31" ht="21" x14ac:dyDescent="0.35">
      <c r="A13" s="83"/>
      <c r="B13" s="1">
        <v>10</v>
      </c>
      <c r="C13" s="5"/>
      <c r="D13" s="5">
        <v>1.4494</v>
      </c>
      <c r="E13" s="5"/>
      <c r="F13" s="6">
        <f t="shared" si="0"/>
        <v>1.4494</v>
      </c>
      <c r="G13" s="5">
        <f t="shared" si="1"/>
        <v>100</v>
      </c>
      <c r="H13" s="5"/>
      <c r="I13" s="5">
        <f t="shared" si="2"/>
        <v>0</v>
      </c>
      <c r="J13" s="5" t="e">
        <f t="shared" si="12"/>
        <v>#DIV/0!</v>
      </c>
      <c r="K13" s="5" t="e">
        <f t="shared" si="11"/>
        <v>#DIV/0!</v>
      </c>
      <c r="L13" s="7"/>
      <c r="M13" s="7"/>
      <c r="N13" s="7"/>
      <c r="O13" s="5">
        <f t="shared" si="3"/>
        <v>0</v>
      </c>
      <c r="P13" s="5">
        <f t="shared" si="4"/>
        <v>0</v>
      </c>
      <c r="Q13" s="1" t="e">
        <f t="shared" si="5"/>
        <v>#DIV/0!</v>
      </c>
      <c r="R13" s="1" t="e">
        <f t="shared" si="6"/>
        <v>#DIV/0!</v>
      </c>
      <c r="S13" s="1" t="e">
        <f t="shared" si="7"/>
        <v>#DIV/0!</v>
      </c>
      <c r="T13" s="5"/>
      <c r="U13" s="5"/>
      <c r="V13" s="5"/>
      <c r="W13" s="5"/>
      <c r="X13" s="5"/>
      <c r="Y13" s="5"/>
      <c r="Z13" s="5"/>
      <c r="AA13" s="5"/>
      <c r="AB13" s="5"/>
      <c r="AC13" s="5">
        <f t="shared" si="8"/>
        <v>0</v>
      </c>
      <c r="AD13" s="5" t="e">
        <f t="shared" si="9"/>
        <v>#DIV/0!</v>
      </c>
      <c r="AE13" s="5">
        <f t="shared" si="10"/>
        <v>1.4494</v>
      </c>
    </row>
    <row r="14" spans="1:31" ht="21" x14ac:dyDescent="0.35">
      <c r="A14" s="80" t="s">
        <v>117</v>
      </c>
      <c r="B14" s="5">
        <v>11</v>
      </c>
      <c r="C14" s="7"/>
      <c r="D14" s="7">
        <v>1.4999</v>
      </c>
      <c r="E14" s="7">
        <v>1.4867999999999999</v>
      </c>
      <c r="F14" s="8">
        <f t="shared" si="0"/>
        <v>1.3100000000000112E-2</v>
      </c>
      <c r="G14" s="7">
        <f t="shared" si="1"/>
        <v>0.87339155943730318</v>
      </c>
      <c r="H14" s="7">
        <v>0.60350000000000004</v>
      </c>
      <c r="I14" s="7">
        <f t="shared" si="2"/>
        <v>0.88329999999999986</v>
      </c>
      <c r="J14" s="7">
        <f t="shared" si="12"/>
        <v>1.3970836635344732</v>
      </c>
      <c r="K14" s="5">
        <f t="shared" si="11"/>
        <v>91.913398916741656</v>
      </c>
      <c r="L14" s="7">
        <f>AVERAGE(10.126, 10.068, 10.099, 10.257)</f>
        <v>10.137499999999999</v>
      </c>
      <c r="M14" s="7">
        <f>AVERAGE(10.276, 10.184, 10.253, 10.104)</f>
        <v>10.20425</v>
      </c>
      <c r="N14" s="7">
        <f>AVERAGE(10.365, 10.386, 10.382, 10.399)</f>
        <v>10.382999999999999</v>
      </c>
      <c r="O14" s="7">
        <f t="shared" si="3"/>
        <v>1074.0755025656249</v>
      </c>
      <c r="P14" s="7">
        <f t="shared" si="4"/>
        <v>103.445584375</v>
      </c>
      <c r="Q14" s="5">
        <f t="shared" si="5"/>
        <v>1.3842602279341696</v>
      </c>
      <c r="R14" s="5">
        <f t="shared" si="6"/>
        <v>0.91069751837774315</v>
      </c>
      <c r="S14" s="5">
        <f t="shared" si="7"/>
        <v>0.92210356580770969</v>
      </c>
      <c r="T14" s="7">
        <v>0.99970000000000003</v>
      </c>
      <c r="U14" s="7">
        <v>65.148899999999998</v>
      </c>
      <c r="V14" s="7">
        <v>2.7711000000000001</v>
      </c>
      <c r="W14" s="7"/>
      <c r="X14" s="7"/>
      <c r="Y14" s="7"/>
      <c r="Z14" s="7"/>
      <c r="AA14" s="7"/>
      <c r="AB14" s="7"/>
      <c r="AC14" s="7">
        <f t="shared" si="8"/>
        <v>0</v>
      </c>
      <c r="AD14" s="7" t="e">
        <f t="shared" si="9"/>
        <v>#DIV/0!</v>
      </c>
      <c r="AE14" s="7">
        <f t="shared" si="10"/>
        <v>1.4999</v>
      </c>
    </row>
    <row r="15" spans="1:31" ht="21" x14ac:dyDescent="0.35">
      <c r="A15" s="80"/>
      <c r="B15" s="5">
        <v>12</v>
      </c>
      <c r="C15" s="5"/>
      <c r="D15" s="5">
        <v>1.4999</v>
      </c>
      <c r="E15" s="5">
        <v>1.4603999999999999</v>
      </c>
      <c r="F15" s="6">
        <f t="shared" si="0"/>
        <v>3.9500000000000091E-2</v>
      </c>
      <c r="G15" s="5">
        <f t="shared" si="1"/>
        <v>2.6335089005933789</v>
      </c>
      <c r="H15" s="5">
        <v>0.5716</v>
      </c>
      <c r="I15" s="5">
        <f t="shared" si="2"/>
        <v>0.88879999999999992</v>
      </c>
      <c r="J15" s="5">
        <f t="shared" si="12"/>
        <v>1.3637848784878486</v>
      </c>
      <c r="K15" s="5">
        <f t="shared" si="11"/>
        <v>89.722689374200556</v>
      </c>
      <c r="L15" s="7">
        <f>AVERAGE(10.244, 10.132, 10.082,10.005)</f>
        <v>10.11575</v>
      </c>
      <c r="M15" s="7">
        <f>AVERAGE(10.136, 10.177, 9.877, 10.096)</f>
        <v>10.0715</v>
      </c>
      <c r="N15" s="7">
        <f>AVERAGE(10.51, 10.796, 10.77, 10.637)</f>
        <v>10.678249999999998</v>
      </c>
      <c r="O15" s="5">
        <f t="shared" si="3"/>
        <v>1087.9083976567813</v>
      </c>
      <c r="P15" s="5">
        <f t="shared" si="4"/>
        <v>101.88077612500001</v>
      </c>
      <c r="Q15" s="5">
        <f t="shared" si="5"/>
        <v>1.3423924322539644</v>
      </c>
      <c r="R15" s="5">
        <f t="shared" si="6"/>
        <v>0.88315291595655554</v>
      </c>
      <c r="S15" s="5">
        <f t="shared" si="7"/>
        <v>1.5810084689550574</v>
      </c>
      <c r="T15" s="5">
        <v>0.99780000000000002</v>
      </c>
      <c r="U15" s="5">
        <v>30.666899999999998</v>
      </c>
      <c r="V15" s="5">
        <v>2.3763999999999998</v>
      </c>
      <c r="W15" s="5"/>
      <c r="X15" s="5"/>
      <c r="Y15" s="5"/>
      <c r="Z15" s="5"/>
      <c r="AA15" s="5"/>
      <c r="AB15" s="5"/>
      <c r="AC15" s="5">
        <f t="shared" si="8"/>
        <v>0</v>
      </c>
      <c r="AD15" s="5" t="e">
        <f t="shared" si="9"/>
        <v>#DIV/0!</v>
      </c>
      <c r="AE15" s="5">
        <f t="shared" si="10"/>
        <v>1.4999</v>
      </c>
    </row>
    <row r="16" spans="1:31" ht="21" x14ac:dyDescent="0.35">
      <c r="A16" s="80"/>
      <c r="B16" s="5">
        <v>13</v>
      </c>
      <c r="C16" s="5"/>
      <c r="D16" s="5">
        <v>1.4999</v>
      </c>
      <c r="E16" s="5">
        <v>1.4703999999999999</v>
      </c>
      <c r="F16" s="6">
        <f t="shared" si="0"/>
        <v>2.9500000000000082E-2</v>
      </c>
      <c r="G16" s="5">
        <f t="shared" si="1"/>
        <v>1.9667977865191069</v>
      </c>
      <c r="H16" s="5">
        <v>0.57640000000000002</v>
      </c>
      <c r="I16" s="5">
        <f t="shared" si="2"/>
        <v>0.89399999999999991</v>
      </c>
      <c r="J16" s="5">
        <f t="shared" si="12"/>
        <v>1.3651364653243849</v>
      </c>
      <c r="K16" s="5">
        <f t="shared" si="11"/>
        <v>89.811609560814802</v>
      </c>
      <c r="L16" s="7">
        <f>AVERAGE(10.251, 10.298, 10.251, 10.275)</f>
        <v>10.268749999999999</v>
      </c>
      <c r="M16" s="7">
        <f>AVERAGE(10.174, 10.115, 9.906, 10.007)</f>
        <v>10.0505</v>
      </c>
      <c r="N16" s="7">
        <f>AVERAGE(10.717, 10.57, 10.639, 10.802)</f>
        <v>10.681999999999999</v>
      </c>
      <c r="O16" s="5">
        <f t="shared" si="3"/>
        <v>1102.4472597687495</v>
      </c>
      <c r="P16" s="5">
        <f t="shared" si="4"/>
        <v>103.20607187499998</v>
      </c>
      <c r="Q16" s="5">
        <f t="shared" si="5"/>
        <v>1.3337599481252578</v>
      </c>
      <c r="R16" s="5">
        <f t="shared" si="6"/>
        <v>0.87747365008240641</v>
      </c>
      <c r="S16" s="5">
        <f t="shared" si="7"/>
        <v>2.3251368257607705</v>
      </c>
      <c r="T16" s="5">
        <v>0.99950000000000006</v>
      </c>
      <c r="U16" s="5">
        <v>29.776299999999999</v>
      </c>
      <c r="V16" s="5">
        <v>2.0933000000000002</v>
      </c>
      <c r="W16" s="5"/>
      <c r="X16" s="5"/>
      <c r="Y16" s="5"/>
      <c r="Z16" s="5"/>
      <c r="AA16" s="5"/>
      <c r="AB16" s="5"/>
      <c r="AC16" s="5">
        <f t="shared" si="8"/>
        <v>0</v>
      </c>
      <c r="AD16" s="5" t="e">
        <f t="shared" si="9"/>
        <v>#DIV/0!</v>
      </c>
      <c r="AE16" s="5">
        <f t="shared" si="10"/>
        <v>1.4999</v>
      </c>
    </row>
    <row r="17" spans="1:31" ht="21" x14ac:dyDescent="0.35">
      <c r="A17" s="80"/>
      <c r="B17" s="5">
        <v>14</v>
      </c>
      <c r="C17" s="5"/>
      <c r="D17" s="5">
        <v>1.4998</v>
      </c>
      <c r="E17" s="5">
        <v>1.474</v>
      </c>
      <c r="F17" s="6">
        <f t="shared" si="0"/>
        <v>2.5800000000000045E-2</v>
      </c>
      <c r="G17" s="5">
        <f t="shared" si="1"/>
        <v>1.7202293639151915</v>
      </c>
      <c r="H17" s="5">
        <v>0.56810000000000005</v>
      </c>
      <c r="I17" s="5">
        <f t="shared" si="2"/>
        <v>0.90589999999999993</v>
      </c>
      <c r="J17" s="5">
        <f t="shared" si="12"/>
        <v>1.3505022629429297</v>
      </c>
      <c r="K17" s="5">
        <f t="shared" si="11"/>
        <v>88.848833088350645</v>
      </c>
      <c r="L17" s="7">
        <f>AVERAGE(10.179, 9.86, 10.091, 9.991)</f>
        <v>10.030250000000001</v>
      </c>
      <c r="M17" s="7">
        <f>AVERAGE(10.164, 10.221, 10.319, 10.092)</f>
        <v>10.199</v>
      </c>
      <c r="N17" s="7">
        <f>AVERAGE(10.827, 10.898, 10.893, 10.574)</f>
        <v>10.798</v>
      </c>
      <c r="O17" s="5">
        <f t="shared" si="3"/>
        <v>1104.6194162605002</v>
      </c>
      <c r="P17" s="5">
        <f t="shared" si="4"/>
        <v>102.29851975000001</v>
      </c>
      <c r="Q17" s="5">
        <f t="shared" si="5"/>
        <v>1.3343962439026957</v>
      </c>
      <c r="R17" s="5">
        <f t="shared" si="6"/>
        <v>0.87789226572545775</v>
      </c>
      <c r="S17" s="5">
        <f t="shared" si="7"/>
        <v>1.1997488172583697</v>
      </c>
      <c r="T17" s="5">
        <v>0.99790000000000001</v>
      </c>
      <c r="U17" s="5">
        <v>27.305599999999998</v>
      </c>
      <c r="V17" s="5">
        <v>2.0960999999999999</v>
      </c>
      <c r="W17" s="5"/>
      <c r="X17" s="5"/>
      <c r="Y17" s="5"/>
      <c r="Z17" s="5"/>
      <c r="AA17" s="5"/>
      <c r="AB17" s="5"/>
      <c r="AC17" s="5">
        <f t="shared" si="8"/>
        <v>0</v>
      </c>
      <c r="AD17" s="5" t="e">
        <f t="shared" si="9"/>
        <v>#DIV/0!</v>
      </c>
      <c r="AE17" s="5">
        <f t="shared" si="10"/>
        <v>1.4998</v>
      </c>
    </row>
    <row r="18" spans="1:31" ht="21" x14ac:dyDescent="0.35">
      <c r="A18" s="83"/>
      <c r="B18" s="1">
        <v>15</v>
      </c>
      <c r="C18" s="1"/>
      <c r="D18" s="1">
        <v>1.4323999999999999</v>
      </c>
      <c r="E18" s="1"/>
      <c r="F18" s="10">
        <f>ABS(D18-E18)</f>
        <v>1.4323999999999999</v>
      </c>
      <c r="G18" s="1">
        <f>F18/D18*100</f>
        <v>100</v>
      </c>
      <c r="H18" s="1"/>
      <c r="I18" s="1">
        <f t="shared" si="2"/>
        <v>0</v>
      </c>
      <c r="J18" s="1" t="e">
        <f t="shared" si="12"/>
        <v>#DIV/0!</v>
      </c>
      <c r="K18" s="5" t="e">
        <f t="shared" si="11"/>
        <v>#DIV/0!</v>
      </c>
      <c r="L18" s="7"/>
      <c r="M18" s="7"/>
      <c r="N18" s="7"/>
      <c r="O18" s="1">
        <f t="shared" si="3"/>
        <v>0</v>
      </c>
      <c r="P18" s="1">
        <f t="shared" si="4"/>
        <v>0</v>
      </c>
      <c r="Q18" s="1" t="e">
        <f t="shared" si="5"/>
        <v>#DIV/0!</v>
      </c>
      <c r="R18" s="1" t="e">
        <f t="shared" si="6"/>
        <v>#DIV/0!</v>
      </c>
      <c r="S18" s="1" t="e">
        <f t="shared" si="7"/>
        <v>#DIV/0!</v>
      </c>
      <c r="T18" s="1"/>
      <c r="U18" s="1"/>
      <c r="V18" s="1"/>
      <c r="W18" s="1"/>
      <c r="X18" s="1"/>
      <c r="Y18" s="1"/>
      <c r="Z18" s="1"/>
      <c r="AA18" s="1"/>
      <c r="AB18" s="1"/>
      <c r="AC18" s="1">
        <f t="shared" si="8"/>
        <v>0</v>
      </c>
      <c r="AD18" s="1" t="e">
        <f t="shared" si="9"/>
        <v>#DIV/0!</v>
      </c>
      <c r="AE18" s="1">
        <f t="shared" si="10"/>
        <v>1.4323999999999999</v>
      </c>
    </row>
    <row r="19" spans="1:31" ht="21" x14ac:dyDescent="0.35">
      <c r="A19" s="80" t="s">
        <v>118</v>
      </c>
      <c r="B19" s="5">
        <v>16</v>
      </c>
      <c r="C19" s="5"/>
      <c r="D19" s="5">
        <v>1.5003</v>
      </c>
      <c r="E19" s="5">
        <v>1.4718</v>
      </c>
      <c r="F19" s="6">
        <f t="shared" si="0"/>
        <v>2.849999999999997E-2</v>
      </c>
      <c r="G19" s="5">
        <f t="shared" ref="G19:G23" si="13">F19/D19*100</f>
        <v>1.8996200759848012</v>
      </c>
      <c r="H19" s="5">
        <v>0.59499999999999997</v>
      </c>
      <c r="I19" s="5">
        <f t="shared" si="2"/>
        <v>0.87680000000000002</v>
      </c>
      <c r="J19" s="5">
        <f t="shared" si="12"/>
        <v>1.393241332116788</v>
      </c>
      <c r="K19" s="5">
        <f t="shared" si="11"/>
        <v>91.660613955051844</v>
      </c>
      <c r="L19" s="7">
        <f>AVERAGE(10.18, 10.125, 10.253, 10.103)</f>
        <v>10.16525</v>
      </c>
      <c r="M19" s="7">
        <f>AVERAGE(10.306, 10.247, 10.148, 10.046)</f>
        <v>10.18675</v>
      </c>
      <c r="N19" s="7">
        <f>AVERAGE(10.505, 10.347, 10.371, 10.313)</f>
        <v>10.384</v>
      </c>
      <c r="O19" s="5">
        <f t="shared" si="3"/>
        <v>1075.2721347830002</v>
      </c>
      <c r="P19" s="5">
        <f t="shared" si="4"/>
        <v>103.55086043750001</v>
      </c>
      <c r="Q19" s="5">
        <f t="shared" si="5"/>
        <v>1.3687697768686462</v>
      </c>
      <c r="R19" s="5">
        <f t="shared" si="6"/>
        <v>0.90050643215042514</v>
      </c>
      <c r="S19" s="5">
        <f t="shared" si="7"/>
        <v>1.7720099074569557</v>
      </c>
      <c r="T19" s="5">
        <v>0.99909999999999999</v>
      </c>
      <c r="U19" s="5">
        <v>45.922499999999999</v>
      </c>
      <c r="V19" s="5">
        <v>2.1474000000000002</v>
      </c>
      <c r="W19" s="5"/>
      <c r="X19" s="5"/>
      <c r="Y19" s="5"/>
      <c r="Z19" s="5"/>
      <c r="AA19" s="5"/>
      <c r="AB19" s="5"/>
      <c r="AC19" s="5">
        <f t="shared" si="8"/>
        <v>0</v>
      </c>
      <c r="AD19" s="5" t="e">
        <f t="shared" si="9"/>
        <v>#DIV/0!</v>
      </c>
      <c r="AE19" s="5">
        <f t="shared" si="10"/>
        <v>1.5003</v>
      </c>
    </row>
    <row r="20" spans="1:31" ht="21" x14ac:dyDescent="0.35">
      <c r="A20" s="80"/>
      <c r="B20" s="5">
        <v>17</v>
      </c>
      <c r="C20" s="5"/>
      <c r="D20" s="5">
        <v>1.5</v>
      </c>
      <c r="E20" s="5">
        <v>1.4642999999999999</v>
      </c>
      <c r="F20" s="6">
        <f t="shared" si="0"/>
        <v>3.5700000000000065E-2</v>
      </c>
      <c r="G20" s="5">
        <f t="shared" si="13"/>
        <v>2.3800000000000043</v>
      </c>
      <c r="H20" s="5">
        <v>0.5645</v>
      </c>
      <c r="I20" s="5">
        <f t="shared" si="2"/>
        <v>0.89979999999999993</v>
      </c>
      <c r="J20" s="5">
        <f t="shared" si="12"/>
        <v>1.3507101578128473</v>
      </c>
      <c r="K20" s="5">
        <f t="shared" si="11"/>
        <v>88.862510382424162</v>
      </c>
      <c r="L20" s="7">
        <f>AVERAGE(10.141, 10.17, 10.19, 10.069)</f>
        <v>10.1425</v>
      </c>
      <c r="M20" s="7">
        <f>AVERAGE(10.27, 10.238, 10.3, 10.052)</f>
        <v>10.215</v>
      </c>
      <c r="N20" s="7">
        <f>AVERAGE(10.789, 10.838, 10.736, 10.629)</f>
        <v>10.747999999999999</v>
      </c>
      <c r="O20" s="5">
        <f t="shared" si="3"/>
        <v>1113.55339185</v>
      </c>
      <c r="P20" s="5">
        <f t="shared" si="4"/>
        <v>103.6056375</v>
      </c>
      <c r="Q20" s="5">
        <f t="shared" si="5"/>
        <v>1.3149796055735483</v>
      </c>
      <c r="R20" s="5">
        <f t="shared" si="6"/>
        <v>0.86511816156154497</v>
      </c>
      <c r="S20" s="5">
        <f t="shared" si="7"/>
        <v>2.680773489103113</v>
      </c>
      <c r="T20" s="5">
        <v>0.99909999999999999</v>
      </c>
      <c r="U20" s="5">
        <v>32.265099999999997</v>
      </c>
      <c r="V20" s="5">
        <v>2.0950000000000002</v>
      </c>
      <c r="W20" s="5"/>
      <c r="X20" s="5"/>
      <c r="Y20" s="5"/>
      <c r="Z20" s="5"/>
      <c r="AA20" s="5"/>
      <c r="AB20" s="5"/>
      <c r="AC20" s="5">
        <f t="shared" si="8"/>
        <v>0</v>
      </c>
      <c r="AD20" s="5" t="e">
        <f t="shared" si="9"/>
        <v>#DIV/0!</v>
      </c>
      <c r="AE20" s="5">
        <f t="shared" si="10"/>
        <v>1.5</v>
      </c>
    </row>
    <row r="21" spans="1:31" ht="21" x14ac:dyDescent="0.35">
      <c r="A21" s="80"/>
      <c r="B21" s="5">
        <v>18</v>
      </c>
      <c r="C21" s="5"/>
      <c r="D21" s="5">
        <v>1.5001</v>
      </c>
      <c r="E21" s="5">
        <v>1.4610000000000001</v>
      </c>
      <c r="F21" s="6">
        <f t="shared" si="0"/>
        <v>3.9099999999999913E-2</v>
      </c>
      <c r="G21" s="5">
        <f t="shared" si="13"/>
        <v>2.6064929004732962</v>
      </c>
      <c r="H21" s="5">
        <v>0.57969999999999999</v>
      </c>
      <c r="I21" s="5">
        <f t="shared" si="2"/>
        <v>0.88130000000000008</v>
      </c>
      <c r="J21" s="5">
        <f t="shared" si="12"/>
        <v>1.3759559741291274</v>
      </c>
      <c r="K21" s="5">
        <f t="shared" si="11"/>
        <v>90.523419350600491</v>
      </c>
      <c r="L21" s="7">
        <f>AVERAGE(10.265, 10.136, 9.95, 10.181)</f>
        <v>10.132999999999999</v>
      </c>
      <c r="M21" s="7">
        <f>AVERAGE(9.951, 10.153, 10.28, 10.136)</f>
        <v>10.129999999999999</v>
      </c>
      <c r="N21" s="7">
        <f>AVERAGE(10.37, 10.375, 10.424, 10.408)</f>
        <v>10.39425</v>
      </c>
      <c r="O21" s="5">
        <f t="shared" si="3"/>
        <v>1066.9415940824997</v>
      </c>
      <c r="P21" s="5">
        <f t="shared" si="4"/>
        <v>102.64728999999998</v>
      </c>
      <c r="Q21" s="5">
        <f t="shared" si="5"/>
        <v>1.3693345616133419</v>
      </c>
      <c r="R21" s="5">
        <f t="shared" si="6"/>
        <v>0.90087800106140914</v>
      </c>
      <c r="S21" s="5">
        <f t="shared" si="7"/>
        <v>0.48238337105509632</v>
      </c>
      <c r="T21" s="5">
        <v>0.99980000000000002</v>
      </c>
      <c r="U21" s="5">
        <v>44.377299999999998</v>
      </c>
      <c r="V21" s="5">
        <v>1.9081999999999999</v>
      </c>
      <c r="W21" s="5"/>
      <c r="X21" s="5"/>
      <c r="Y21" s="5"/>
      <c r="Z21" s="5"/>
      <c r="AA21" s="5"/>
      <c r="AB21" s="5"/>
      <c r="AC21" s="5">
        <f t="shared" si="8"/>
        <v>0</v>
      </c>
      <c r="AD21" s="5" t="e">
        <f t="shared" si="9"/>
        <v>#DIV/0!</v>
      </c>
      <c r="AE21" s="5">
        <f t="shared" si="10"/>
        <v>1.5001</v>
      </c>
    </row>
    <row r="22" spans="1:31" ht="21" x14ac:dyDescent="0.35">
      <c r="A22" s="80"/>
      <c r="B22" s="5">
        <v>19</v>
      </c>
      <c r="C22" s="5"/>
      <c r="D22" s="5">
        <v>1.5001</v>
      </c>
      <c r="E22" s="5">
        <v>1.4635</v>
      </c>
      <c r="F22" s="6">
        <f t="shared" si="0"/>
        <v>3.6599999999999966E-2</v>
      </c>
      <c r="G22" s="5">
        <f t="shared" si="13"/>
        <v>2.4398373441770529</v>
      </c>
      <c r="H22" s="5">
        <v>0.58160000000000001</v>
      </c>
      <c r="I22" s="5">
        <f t="shared" si="2"/>
        <v>0.88190000000000002</v>
      </c>
      <c r="J22" s="5">
        <f t="shared" si="12"/>
        <v>1.3773727179952375</v>
      </c>
      <c r="K22" s="5">
        <f t="shared" si="11"/>
        <v>90.61662618389721</v>
      </c>
      <c r="L22" s="7">
        <f>AVERAGE(9.99, 10.109, 10.13, 10.161)</f>
        <v>10.0975</v>
      </c>
      <c r="M22" s="7">
        <f>AVERAGE(10.159, 9.992, 10.193, 10.319)</f>
        <v>10.165750000000001</v>
      </c>
      <c r="N22" s="7">
        <f>AVERAGE(10.234, 10.333, 10.384, 10.29)</f>
        <v>10.31025</v>
      </c>
      <c r="O22" s="5">
        <f t="shared" si="3"/>
        <v>1058.3333532089064</v>
      </c>
      <c r="P22" s="5">
        <f t="shared" si="4"/>
        <v>102.64866062500001</v>
      </c>
      <c r="Q22" s="5">
        <f t="shared" si="5"/>
        <v>1.3828346196995618</v>
      </c>
      <c r="R22" s="5">
        <f t="shared" si="6"/>
        <v>0.90975961822339591</v>
      </c>
      <c r="S22" s="5">
        <f t="shared" si="7"/>
        <v>0.39576024813308341</v>
      </c>
      <c r="T22" s="5">
        <v>0.99470000000000003</v>
      </c>
      <c r="U22" s="5">
        <v>44.418199999999999</v>
      </c>
      <c r="V22" s="5">
        <v>1.8898999999999999</v>
      </c>
      <c r="W22" s="5"/>
      <c r="X22" s="5"/>
      <c r="Y22" s="5"/>
      <c r="Z22" s="5"/>
      <c r="AA22" s="5"/>
      <c r="AB22" s="5"/>
      <c r="AC22" s="5">
        <f t="shared" si="8"/>
        <v>0</v>
      </c>
      <c r="AD22" s="5" t="e">
        <f t="shared" si="9"/>
        <v>#DIV/0!</v>
      </c>
      <c r="AE22" s="5">
        <f t="shared" si="10"/>
        <v>1.5001</v>
      </c>
    </row>
    <row r="23" spans="1:31" ht="21" x14ac:dyDescent="0.35">
      <c r="A23" s="83"/>
      <c r="B23" s="1">
        <v>20</v>
      </c>
      <c r="C23" s="1"/>
      <c r="D23" s="1">
        <v>1.3832</v>
      </c>
      <c r="E23" s="1"/>
      <c r="F23" s="10">
        <f t="shared" si="0"/>
        <v>1.3832</v>
      </c>
      <c r="G23" s="1">
        <f t="shared" si="13"/>
        <v>100</v>
      </c>
      <c r="H23" s="1"/>
      <c r="I23" s="1">
        <f t="shared" si="2"/>
        <v>0</v>
      </c>
      <c r="J23" s="1" t="e">
        <f t="shared" si="12"/>
        <v>#DIV/0!</v>
      </c>
      <c r="K23" s="5" t="e">
        <f t="shared" si="11"/>
        <v>#DIV/0!</v>
      </c>
      <c r="L23" s="7"/>
      <c r="M23" s="7"/>
      <c r="N23" s="7"/>
      <c r="O23" s="1">
        <f t="shared" si="3"/>
        <v>0</v>
      </c>
      <c r="P23" s="1">
        <f t="shared" si="4"/>
        <v>0</v>
      </c>
      <c r="Q23" s="1" t="e">
        <f t="shared" si="5"/>
        <v>#DIV/0!</v>
      </c>
      <c r="R23" s="1" t="e">
        <f t="shared" si="6"/>
        <v>#DIV/0!</v>
      </c>
      <c r="S23" s="1" t="e">
        <f t="shared" si="7"/>
        <v>#DIV/0!</v>
      </c>
      <c r="T23" s="1"/>
      <c r="U23" s="1"/>
      <c r="V23" s="1"/>
      <c r="W23" s="1"/>
      <c r="X23" s="1"/>
      <c r="Y23" s="1"/>
      <c r="Z23" s="1"/>
      <c r="AA23" s="1"/>
      <c r="AB23" s="1"/>
      <c r="AC23" s="1">
        <f t="shared" si="8"/>
        <v>0</v>
      </c>
      <c r="AD23" s="1" t="e">
        <f t="shared" si="9"/>
        <v>#DIV/0!</v>
      </c>
      <c r="AE23" s="1">
        <f t="shared" si="10"/>
        <v>1.3832</v>
      </c>
    </row>
    <row r="24" spans="1:31" ht="21" x14ac:dyDescent="0.35">
      <c r="A24" s="81" t="s">
        <v>119</v>
      </c>
      <c r="B24" s="5">
        <v>21</v>
      </c>
      <c r="C24" s="5"/>
      <c r="D24" s="5">
        <v>1.4998</v>
      </c>
      <c r="E24" s="5">
        <v>1.4922</v>
      </c>
      <c r="F24" s="6">
        <f>ABS(D24-E24)</f>
        <v>7.6000000000000512E-3</v>
      </c>
      <c r="G24" s="5">
        <f>F24/D24*100</f>
        <v>0.50673423123083428</v>
      </c>
      <c r="H24" s="5">
        <v>0.59940000000000004</v>
      </c>
      <c r="I24" s="5">
        <f>ABS(E24-H24)</f>
        <v>0.89279999999999993</v>
      </c>
      <c r="J24" s="5">
        <f>E24*$J$2/I24</f>
        <v>1.3872379032258066</v>
      </c>
      <c r="K24" s="5">
        <f t="shared" si="11"/>
        <v>91.265651528013592</v>
      </c>
      <c r="L24" s="7">
        <f>AVERAGE(10.128, 10.24, 10.171, 10.079)</f>
        <v>10.154500000000001</v>
      </c>
      <c r="M24" s="7">
        <f>AVERAGE(10.059, 10.216, 10.094, 10.088)</f>
        <v>10.11425</v>
      </c>
      <c r="N24" s="7">
        <f>AVERAGE(10.413, 10.537, 10.471, 10.542)</f>
        <v>10.49075</v>
      </c>
      <c r="O24" s="5">
        <f>L24*M24*N24</f>
        <v>1077.454069409969</v>
      </c>
      <c r="P24" s="5">
        <f>L24*M24</f>
        <v>102.70515162500001</v>
      </c>
      <c r="Q24" s="5">
        <f>E24/(O24*0.001)</f>
        <v>1.3849314252598743</v>
      </c>
      <c r="R24" s="5">
        <f>Q24/$M$2</f>
        <v>0.91113909556570682</v>
      </c>
      <c r="S24" s="5">
        <f>ABS(J24-Q24)/((J24+Q24)/2)*100</f>
        <v>0.16640238691279649</v>
      </c>
      <c r="T24" s="5">
        <v>0.99660000000000004</v>
      </c>
      <c r="U24" s="5">
        <v>62.9101</v>
      </c>
      <c r="V24" s="5">
        <v>2.6595</v>
      </c>
      <c r="W24" s="5"/>
      <c r="X24" s="5"/>
      <c r="Y24" s="5"/>
      <c r="Z24" s="5"/>
      <c r="AA24" s="5"/>
      <c r="AB24" s="5"/>
      <c r="AC24" s="5">
        <f>AA24+AB24</f>
        <v>0</v>
      </c>
      <c r="AD24" s="5" t="e">
        <f>AB24/AC24*100</f>
        <v>#DIV/0!</v>
      </c>
      <c r="AE24" s="5">
        <f>D24-AC24</f>
        <v>1.4998</v>
      </c>
    </row>
    <row r="25" spans="1:31" ht="21" x14ac:dyDescent="0.35">
      <c r="A25" s="80"/>
      <c r="B25" s="5">
        <v>22</v>
      </c>
      <c r="C25" s="5"/>
      <c r="D25" s="5">
        <v>1.4999</v>
      </c>
      <c r="E25" s="5">
        <v>1.496</v>
      </c>
      <c r="F25" s="6">
        <f>ABS(D25-E25)</f>
        <v>3.9000000000000146E-3</v>
      </c>
      <c r="G25" s="5">
        <f>F25/D25*100</f>
        <v>0.26001733448896686</v>
      </c>
      <c r="H25" s="5">
        <v>0.58940000000000003</v>
      </c>
      <c r="I25" s="5">
        <f>ABS(E25-H25)</f>
        <v>0.90659999999999996</v>
      </c>
      <c r="J25" s="5">
        <f>E25*$J$2/I25</f>
        <v>1.3696007059342599</v>
      </c>
      <c r="K25" s="5">
        <f t="shared" si="11"/>
        <v>90.105309600938142</v>
      </c>
      <c r="L25" s="7">
        <f>AVERAGE(10.178, 10, 10.215, 10.12)</f>
        <v>10.12825</v>
      </c>
      <c r="M25" s="7">
        <f>AVERAGE(10.102, 10.216, 10.203, 10.045)</f>
        <v>10.141499999999999</v>
      </c>
      <c r="N25" s="7">
        <f>AVERAGE(10.536, 10.619, 10.568, 10.602)</f>
        <v>10.581250000000001</v>
      </c>
      <c r="O25" s="5">
        <f>L25*M25*N25</f>
        <v>1086.8599437867188</v>
      </c>
      <c r="P25" s="5">
        <f>L25*M25</f>
        <v>102.71564737499999</v>
      </c>
      <c r="Q25" s="5">
        <f>E25/(O25*0.001)</f>
        <v>1.3764422992605654</v>
      </c>
      <c r="R25" s="5">
        <f>Q25/$M$2</f>
        <v>0.90555414425037195</v>
      </c>
      <c r="S25" s="5">
        <f>ABS(J25-Q25)/((J25+Q25)/2)*100</f>
        <v>0.4982874130785962</v>
      </c>
      <c r="T25" s="5">
        <v>0.99990000000000001</v>
      </c>
      <c r="U25" s="5">
        <v>57.849800000000002</v>
      </c>
      <c r="V25" s="5">
        <v>2.5053999999999998</v>
      </c>
      <c r="W25" s="5"/>
      <c r="X25" s="5"/>
      <c r="Y25" s="5"/>
      <c r="Z25" s="5"/>
      <c r="AA25" s="5"/>
      <c r="AB25" s="5"/>
      <c r="AC25" s="5">
        <f>AA25+AB25</f>
        <v>0</v>
      </c>
      <c r="AD25" s="5" t="e">
        <f>AB25/AC25*100</f>
        <v>#DIV/0!</v>
      </c>
      <c r="AE25" s="5">
        <f>D25-AC25</f>
        <v>1.4999</v>
      </c>
    </row>
    <row r="26" spans="1:31" ht="21" x14ac:dyDescent="0.35">
      <c r="A26" s="80"/>
      <c r="B26" s="5">
        <v>23</v>
      </c>
      <c r="C26" s="5"/>
      <c r="D26" s="5">
        <v>1.5002</v>
      </c>
      <c r="E26" s="5">
        <v>1.5012000000000001</v>
      </c>
      <c r="F26" s="6">
        <f>ABS(D26-E26)</f>
        <v>1.0000000000001119E-3</v>
      </c>
      <c r="G26" s="5">
        <f>F26/D26*100</f>
        <v>6.6657778962812414E-2</v>
      </c>
      <c r="H26" s="5">
        <v>0.56200000000000006</v>
      </c>
      <c r="I26" s="5">
        <f>ABS(E26-H26)</f>
        <v>0.93920000000000003</v>
      </c>
      <c r="J26" s="5">
        <f>E26*$J$2/I26</f>
        <v>1.3266567291311755</v>
      </c>
      <c r="K26" s="5">
        <f t="shared" si="11"/>
        <v>87.280047969156286</v>
      </c>
      <c r="L26" s="7">
        <f>AVERAGE(10.058, 10.259, 10.176, 10.119)</f>
        <v>10.153</v>
      </c>
      <c r="M26" s="7">
        <f>AVERAGE(10.117, 10.064, 10.219, 10.155)</f>
        <v>10.13875</v>
      </c>
      <c r="N26" s="7">
        <f>AVERAGE(11.002, 11.122, 11.151, 11.101)</f>
        <v>11.094000000000001</v>
      </c>
      <c r="O26" s="5">
        <f>L26*M26*N26</f>
        <v>1142.0022567525002</v>
      </c>
      <c r="P26" s="5">
        <f>L26*M26</f>
        <v>102.93872875000001</v>
      </c>
      <c r="Q26" s="5">
        <f>E26/(O26*0.001)</f>
        <v>1.3145333042238871</v>
      </c>
      <c r="R26" s="5">
        <f>Q26/$M$2</f>
        <v>0.86482454225255734</v>
      </c>
      <c r="S26" s="5">
        <f>ABS(J26-Q26)/((J26+Q26)/2)*100</f>
        <v>0.91802746142337599</v>
      </c>
      <c r="T26" s="5">
        <v>0.99990000000000001</v>
      </c>
      <c r="U26" s="5">
        <v>22.736499999999999</v>
      </c>
      <c r="V26" s="5">
        <v>1.7652000000000001</v>
      </c>
      <c r="W26" s="5"/>
      <c r="X26" s="5"/>
      <c r="Y26" s="5"/>
      <c r="Z26" s="5"/>
      <c r="AA26" s="5"/>
      <c r="AB26" s="5"/>
      <c r="AC26" s="5">
        <f>AA26+AB26</f>
        <v>0</v>
      </c>
      <c r="AD26" s="5" t="e">
        <f>AB26/AC26*100</f>
        <v>#DIV/0!</v>
      </c>
      <c r="AE26" s="5">
        <f>D26-AC26</f>
        <v>1.5002</v>
      </c>
    </row>
    <row r="27" spans="1:31" ht="21" x14ac:dyDescent="0.35">
      <c r="A27" s="80"/>
      <c r="B27" s="5">
        <v>24</v>
      </c>
      <c r="C27" s="5"/>
      <c r="D27" s="5">
        <v>1.5001</v>
      </c>
      <c r="E27" s="5">
        <v>1.4917</v>
      </c>
      <c r="F27" s="6">
        <f>ABS(D27-E27)</f>
        <v>8.3999999999999631E-3</v>
      </c>
      <c r="G27" s="5">
        <f>F27/D27*100</f>
        <v>0.55996266915538717</v>
      </c>
      <c r="H27" s="5">
        <v>0.59089999999999998</v>
      </c>
      <c r="I27" s="5">
        <f>ABS(E27-H27)</f>
        <v>0.90080000000000005</v>
      </c>
      <c r="J27" s="5">
        <f>E27*$J$2/I27</f>
        <v>1.3744571492007103</v>
      </c>
      <c r="K27" s="5">
        <f t="shared" si="11"/>
        <v>90.42481244741515</v>
      </c>
      <c r="L27" s="7">
        <f>AVERAGE(10.05, 10.184, 10.161, 10.231)</f>
        <v>10.156500000000001</v>
      </c>
      <c r="M27" s="7">
        <f>AVERAGE(10.052, 10.046, 10.126, 10.218)</f>
        <v>10.110499999999998</v>
      </c>
      <c r="N27" s="7">
        <f>AVERAGE(10.616, 10.643, 10.582, 10.561)</f>
        <v>10.6005</v>
      </c>
      <c r="O27" s="5">
        <f>L27*M27*N27</f>
        <v>1088.5366520966249</v>
      </c>
      <c r="P27" s="5">
        <f>L27*M27</f>
        <v>102.68729325</v>
      </c>
      <c r="Q27" s="5">
        <f>E27/(O27*0.001)</f>
        <v>1.3703718631125965</v>
      </c>
      <c r="R27" s="5">
        <f>Q27/$M$2</f>
        <v>0.90156043625828719</v>
      </c>
      <c r="S27" s="5">
        <f>ABS(J27-Q27)/((J27+Q27)/2)*100</f>
        <v>0.29767144472658663</v>
      </c>
      <c r="T27" s="5">
        <v>0.99729999999999996</v>
      </c>
      <c r="U27" s="5">
        <v>37.491399999999999</v>
      </c>
      <c r="V27" s="5">
        <v>2.2871999999999999</v>
      </c>
      <c r="W27" s="5"/>
      <c r="X27" s="5"/>
      <c r="Y27" s="5"/>
      <c r="Z27" s="5"/>
      <c r="AA27" s="5"/>
      <c r="AB27" s="5"/>
      <c r="AC27" s="5">
        <f>AA27+AB27</f>
        <v>0</v>
      </c>
      <c r="AD27" s="5" t="e">
        <f>AB27/AC27*100</f>
        <v>#DIV/0!</v>
      </c>
      <c r="AE27" s="5">
        <f>D27-AC27</f>
        <v>1.5001</v>
      </c>
    </row>
    <row r="28" spans="1:31" ht="21" x14ac:dyDescent="0.35">
      <c r="A28" s="83"/>
      <c r="B28" s="1">
        <v>25</v>
      </c>
      <c r="C28" s="5"/>
      <c r="D28" s="5">
        <v>1.4533</v>
      </c>
      <c r="E28" s="5"/>
      <c r="F28" s="10">
        <f>ABS(D28-E28)</f>
        <v>1.4533</v>
      </c>
      <c r="G28" s="1">
        <f>F28/D28*100</f>
        <v>100</v>
      </c>
      <c r="H28" s="5"/>
      <c r="I28" s="1">
        <f>ABS(E28-H28)</f>
        <v>0</v>
      </c>
      <c r="J28" s="1" t="e">
        <f>E28*$J$2/I28</f>
        <v>#DIV/0!</v>
      </c>
      <c r="K28" s="5" t="e">
        <f t="shared" si="11"/>
        <v>#DIV/0!</v>
      </c>
      <c r="L28" s="7"/>
      <c r="M28" s="7"/>
      <c r="N28" s="7"/>
      <c r="O28" s="1">
        <f>L28*M28*N28</f>
        <v>0</v>
      </c>
      <c r="P28" s="1">
        <f>L28*M28</f>
        <v>0</v>
      </c>
      <c r="Q28" s="1" t="e">
        <f>E28/(O28*0.001)</f>
        <v>#DIV/0!</v>
      </c>
      <c r="R28" s="1" t="e">
        <f>Q28/$M$2</f>
        <v>#DIV/0!</v>
      </c>
      <c r="S28" s="1" t="e">
        <f>ABS(J28-Q28)/((J28+Q28)/2)*100</f>
        <v>#DIV/0!</v>
      </c>
      <c r="T28" s="5"/>
      <c r="U28" s="5"/>
      <c r="V28" s="5"/>
      <c r="W28" s="5"/>
      <c r="X28" s="5"/>
      <c r="Y28" s="5"/>
      <c r="Z28" s="5"/>
      <c r="AA28" s="5"/>
      <c r="AB28" s="5"/>
      <c r="AC28" s="5">
        <f>AA28+AB28</f>
        <v>0</v>
      </c>
      <c r="AD28" s="5" t="e">
        <f>AB28/AC28*100</f>
        <v>#DIV/0!</v>
      </c>
      <c r="AE28" s="5">
        <f>D28-AC28</f>
        <v>1.4533</v>
      </c>
    </row>
    <row r="29" spans="1:31" ht="21" x14ac:dyDescent="0.35">
      <c r="A29" s="80" t="s">
        <v>115</v>
      </c>
      <c r="B29" s="5" t="s">
        <v>39</v>
      </c>
      <c r="C29" s="7"/>
      <c r="D29" s="7">
        <f>AVERAGE(D4:D8)</f>
        <v>1.4949799999999998</v>
      </c>
      <c r="E29" s="7">
        <f>AVERAGE(E4:E12)</f>
        <v>1.4770749999999999</v>
      </c>
      <c r="F29" s="7">
        <f t="shared" ref="F29:AE29" si="14">AVERAGE(F4:F8)</f>
        <v>0.31093999999999988</v>
      </c>
      <c r="G29" s="7">
        <f t="shared" si="14"/>
        <v>21.067963474043928</v>
      </c>
      <c r="H29" s="7">
        <f>AVERAGE(H4:H12)</f>
        <v>0.58664999999999989</v>
      </c>
      <c r="I29" s="7">
        <f t="shared" si="14"/>
        <v>0.70935999999999999</v>
      </c>
      <c r="J29" s="7" t="e">
        <f t="shared" si="14"/>
        <v>#DIV/0!</v>
      </c>
      <c r="K29" s="7" t="e">
        <f t="shared" si="14"/>
        <v>#DIV/0!</v>
      </c>
      <c r="L29" s="7">
        <f t="shared" si="14"/>
        <v>10.145187499999999</v>
      </c>
      <c r="M29" s="7">
        <f t="shared" si="14"/>
        <v>10.1085625</v>
      </c>
      <c r="N29" s="7">
        <f t="shared" si="14"/>
        <v>10.4743125</v>
      </c>
      <c r="O29" s="5">
        <f t="shared" si="14"/>
        <v>859.32222660231253</v>
      </c>
      <c r="P29" s="5">
        <f t="shared" si="14"/>
        <v>82.042377325000004</v>
      </c>
      <c r="Q29" s="5" t="e">
        <f t="shared" si="14"/>
        <v>#DIV/0!</v>
      </c>
      <c r="R29" s="5" t="e">
        <f t="shared" si="14"/>
        <v>#DIV/0!</v>
      </c>
      <c r="S29" s="5" t="e">
        <f t="shared" si="14"/>
        <v>#DIV/0!</v>
      </c>
      <c r="T29" s="5">
        <f t="shared" si="14"/>
        <v>0.99925000000000008</v>
      </c>
      <c r="U29" s="5">
        <f t="shared" si="14"/>
        <v>53.869774999999997</v>
      </c>
      <c r="V29" s="5">
        <f t="shared" si="14"/>
        <v>2.7729499999999998</v>
      </c>
      <c r="W29" s="5" t="e">
        <f t="shared" si="14"/>
        <v>#DIV/0!</v>
      </c>
      <c r="X29" s="5" t="e">
        <f t="shared" si="14"/>
        <v>#DIV/0!</v>
      </c>
      <c r="Y29" s="5" t="e">
        <f t="shared" si="14"/>
        <v>#DIV/0!</v>
      </c>
      <c r="Z29" s="7" t="e">
        <f t="shared" si="14"/>
        <v>#DIV/0!</v>
      </c>
      <c r="AA29" s="7" t="e">
        <f t="shared" si="14"/>
        <v>#DIV/0!</v>
      </c>
      <c r="AB29" s="7" t="e">
        <f t="shared" si="14"/>
        <v>#DIV/0!</v>
      </c>
      <c r="AC29" s="7">
        <f t="shared" si="14"/>
        <v>0</v>
      </c>
      <c r="AD29" s="7" t="e">
        <f t="shared" si="14"/>
        <v>#DIV/0!</v>
      </c>
      <c r="AE29" s="7">
        <f t="shared" si="14"/>
        <v>1.4949799999999998</v>
      </c>
    </row>
    <row r="30" spans="1:31" ht="42" x14ac:dyDescent="0.35">
      <c r="A30" s="80"/>
      <c r="B30" s="19" t="s">
        <v>60</v>
      </c>
      <c r="C30" s="5"/>
      <c r="D30" s="5">
        <f>_xlfn.STDEV.S(D4:D8)</f>
        <v>1.1393287497469764E-2</v>
      </c>
      <c r="E30" s="5">
        <f>_xlfn.STDEV.S(E4:E8)</f>
        <v>6.1038239380462626E-3</v>
      </c>
      <c r="F30" s="5">
        <f t="shared" ref="F30:AE30" si="15">_xlfn.STDEV.S(F4:F8)</f>
        <v>0.6505264544966638</v>
      </c>
      <c r="G30" s="5">
        <f t="shared" si="15"/>
        <v>44.12570924793517</v>
      </c>
      <c r="H30" s="5">
        <f t="shared" si="15"/>
        <v>6.4572956155550861E-3</v>
      </c>
      <c r="I30" s="5">
        <f t="shared" si="15"/>
        <v>0.39658289549601117</v>
      </c>
      <c r="J30" s="5" t="e">
        <f t="shared" si="15"/>
        <v>#DIV/0!</v>
      </c>
      <c r="K30" s="5" t="e">
        <f t="shared" si="15"/>
        <v>#DIV/0!</v>
      </c>
      <c r="L30" s="5">
        <f t="shared" si="15"/>
        <v>5.0308371983862635E-2</v>
      </c>
      <c r="M30" s="5">
        <f t="shared" si="15"/>
        <v>1.7183294940144471E-2</v>
      </c>
      <c r="N30" s="5">
        <f t="shared" si="15"/>
        <v>0.11004475888625213</v>
      </c>
      <c r="O30" s="5">
        <f>_xlfn.STDEV.S(O4:O8)</f>
        <v>480.45072778705901</v>
      </c>
      <c r="P30" s="5">
        <f t="shared" si="15"/>
        <v>45.864796287990551</v>
      </c>
      <c r="Q30" s="5" t="e">
        <f t="shared" si="15"/>
        <v>#DIV/0!</v>
      </c>
      <c r="R30" s="5" t="e">
        <f t="shared" si="15"/>
        <v>#DIV/0!</v>
      </c>
      <c r="S30" s="5" t="e">
        <f t="shared" si="15"/>
        <v>#DIV/0!</v>
      </c>
      <c r="T30" s="5">
        <f t="shared" si="15"/>
        <v>4.2031734043063173E-4</v>
      </c>
      <c r="U30" s="5">
        <f t="shared" si="15"/>
        <v>12.069803627337951</v>
      </c>
      <c r="V30" s="5">
        <f t="shared" si="15"/>
        <v>0.17010815187207626</v>
      </c>
      <c r="W30" s="5" t="e">
        <f t="shared" si="15"/>
        <v>#DIV/0!</v>
      </c>
      <c r="X30" s="5" t="e">
        <f t="shared" si="15"/>
        <v>#DIV/0!</v>
      </c>
      <c r="Y30" s="5" t="e">
        <f t="shared" si="15"/>
        <v>#DIV/0!</v>
      </c>
      <c r="Z30" s="5" t="e">
        <f t="shared" si="15"/>
        <v>#DIV/0!</v>
      </c>
      <c r="AA30" s="5" t="e">
        <f t="shared" si="15"/>
        <v>#DIV/0!</v>
      </c>
      <c r="AB30" s="5" t="e">
        <f t="shared" si="15"/>
        <v>#DIV/0!</v>
      </c>
      <c r="AC30" s="5">
        <f t="shared" si="15"/>
        <v>0</v>
      </c>
      <c r="AD30" s="5" t="e">
        <f t="shared" si="15"/>
        <v>#DIV/0!</v>
      </c>
      <c r="AE30" s="5">
        <f t="shared" si="15"/>
        <v>1.1393287497469764E-2</v>
      </c>
    </row>
    <row r="31" spans="1:31" ht="21" x14ac:dyDescent="0.35">
      <c r="A31" s="80"/>
      <c r="B31" s="5" t="s">
        <v>61</v>
      </c>
      <c r="C31" s="5"/>
      <c r="D31" s="5">
        <f t="shared" ref="D31:AE31" si="16">MIN(D4:D8)</f>
        <v>1.4745999999999999</v>
      </c>
      <c r="E31" s="5">
        <f t="shared" si="16"/>
        <v>1.4730000000000001</v>
      </c>
      <c r="F31" s="5">
        <f t="shared" si="16"/>
        <v>1.4799999999999924E-2</v>
      </c>
      <c r="G31" s="5">
        <f t="shared" si="16"/>
        <v>0.98653512864950843</v>
      </c>
      <c r="H31" s="5">
        <f t="shared" si="16"/>
        <v>0.58609999999999995</v>
      </c>
      <c r="I31" s="5">
        <f t="shared" si="16"/>
        <v>0</v>
      </c>
      <c r="J31" s="5" t="e">
        <f t="shared" si="16"/>
        <v>#DIV/0!</v>
      </c>
      <c r="K31" s="5" t="e">
        <f t="shared" si="16"/>
        <v>#DIV/0!</v>
      </c>
      <c r="L31" s="5">
        <f t="shared" si="16"/>
        <v>10.076499999999999</v>
      </c>
      <c r="M31" s="5">
        <f t="shared" si="16"/>
        <v>10.093</v>
      </c>
      <c r="N31" s="5">
        <f t="shared" si="16"/>
        <v>10.36825</v>
      </c>
      <c r="O31" s="5">
        <f t="shared" si="16"/>
        <v>0</v>
      </c>
      <c r="P31" s="5">
        <f t="shared" si="16"/>
        <v>0</v>
      </c>
      <c r="Q31" s="5" t="e">
        <f t="shared" si="16"/>
        <v>#DIV/0!</v>
      </c>
      <c r="R31" s="5" t="e">
        <f t="shared" si="16"/>
        <v>#DIV/0!</v>
      </c>
      <c r="S31" s="5" t="e">
        <f t="shared" si="16"/>
        <v>#DIV/0!</v>
      </c>
      <c r="T31" s="5">
        <f t="shared" si="16"/>
        <v>0.99880000000000002</v>
      </c>
      <c r="U31" s="5">
        <f t="shared" si="16"/>
        <v>40.808</v>
      </c>
      <c r="V31" s="5">
        <f t="shared" si="16"/>
        <v>2.6219999999999999</v>
      </c>
      <c r="W31" s="5">
        <f t="shared" si="16"/>
        <v>0</v>
      </c>
      <c r="X31" s="5">
        <f t="shared" si="16"/>
        <v>0</v>
      </c>
      <c r="Y31" s="5">
        <f t="shared" si="16"/>
        <v>0</v>
      </c>
      <c r="Z31" s="5">
        <f t="shared" si="16"/>
        <v>0</v>
      </c>
      <c r="AA31" s="5">
        <f t="shared" si="16"/>
        <v>0</v>
      </c>
      <c r="AB31" s="5">
        <f t="shared" si="16"/>
        <v>0</v>
      </c>
      <c r="AC31" s="5">
        <f t="shared" si="16"/>
        <v>0</v>
      </c>
      <c r="AD31" s="5" t="e">
        <f t="shared" si="16"/>
        <v>#DIV/0!</v>
      </c>
      <c r="AE31" s="5">
        <f t="shared" si="16"/>
        <v>1.4745999999999999</v>
      </c>
    </row>
    <row r="32" spans="1:31" ht="21" x14ac:dyDescent="0.35">
      <c r="A32" s="80"/>
      <c r="B32" s="5" t="s">
        <v>62</v>
      </c>
      <c r="C32" s="5"/>
      <c r="D32" s="5">
        <f t="shared" ref="D32:AE32" si="17">MAX(D4:D8)</f>
        <v>1.5002</v>
      </c>
      <c r="E32" s="5">
        <f t="shared" si="17"/>
        <v>1.4854000000000001</v>
      </c>
      <c r="F32" s="5">
        <f t="shared" si="17"/>
        <v>1.4745999999999999</v>
      </c>
      <c r="G32" s="5">
        <f t="shared" si="17"/>
        <v>100</v>
      </c>
      <c r="H32" s="5">
        <f t="shared" si="17"/>
        <v>0.6</v>
      </c>
      <c r="I32" s="5">
        <f t="shared" si="17"/>
        <v>0.89500000000000013</v>
      </c>
      <c r="J32" s="5" t="e">
        <f t="shared" si="17"/>
        <v>#DIV/0!</v>
      </c>
      <c r="K32" s="5" t="e">
        <f t="shared" si="17"/>
        <v>#DIV/0!</v>
      </c>
      <c r="L32" s="5">
        <f t="shared" si="17"/>
        <v>10.187749999999999</v>
      </c>
      <c r="M32" s="5">
        <f t="shared" si="17"/>
        <v>10.132</v>
      </c>
      <c r="N32" s="5">
        <f t="shared" si="17"/>
        <v>10.590250000000001</v>
      </c>
      <c r="O32" s="5">
        <f t="shared" si="17"/>
        <v>1087.9457125102501</v>
      </c>
      <c r="P32" s="5">
        <f t="shared" si="17"/>
        <v>102.88608725</v>
      </c>
      <c r="Q32" s="5" t="e">
        <f t="shared" si="17"/>
        <v>#DIV/0!</v>
      </c>
      <c r="R32" s="5" t="e">
        <f t="shared" si="17"/>
        <v>#DIV/0!</v>
      </c>
      <c r="S32" s="5" t="e">
        <f t="shared" si="17"/>
        <v>#DIV/0!</v>
      </c>
      <c r="T32" s="5">
        <f t="shared" si="17"/>
        <v>0.99970000000000003</v>
      </c>
      <c r="U32" s="5">
        <f t="shared" si="17"/>
        <v>70.040099999999995</v>
      </c>
      <c r="V32" s="5">
        <f t="shared" si="17"/>
        <v>2.9674</v>
      </c>
      <c r="W32" s="5">
        <f t="shared" si="17"/>
        <v>0</v>
      </c>
      <c r="X32" s="5">
        <f t="shared" si="17"/>
        <v>0</v>
      </c>
      <c r="Y32" s="5">
        <f t="shared" si="17"/>
        <v>0</v>
      </c>
      <c r="Z32" s="5">
        <f t="shared" si="17"/>
        <v>0</v>
      </c>
      <c r="AA32" s="5">
        <f t="shared" si="17"/>
        <v>0</v>
      </c>
      <c r="AB32" s="5">
        <f t="shared" si="17"/>
        <v>0</v>
      </c>
      <c r="AC32" s="5">
        <f t="shared" si="17"/>
        <v>0</v>
      </c>
      <c r="AD32" s="5" t="e">
        <f t="shared" si="17"/>
        <v>#DIV/0!</v>
      </c>
      <c r="AE32" s="5">
        <f t="shared" si="17"/>
        <v>1.5002</v>
      </c>
    </row>
    <row r="33" spans="1:33" ht="21" x14ac:dyDescent="0.35">
      <c r="A33" s="80" t="s">
        <v>116</v>
      </c>
      <c r="B33" s="7" t="s">
        <v>39</v>
      </c>
      <c r="C33" s="7"/>
      <c r="D33" s="7">
        <f>AVERAGE(D9:D13)</f>
        <v>1.4899399999999998</v>
      </c>
      <c r="E33" s="7">
        <f t="shared" ref="E33:AB33" si="18">AVERAGE(E9:E13)</f>
        <v>1.4741</v>
      </c>
      <c r="F33" s="7">
        <f t="shared" si="18"/>
        <v>0.31065999999999999</v>
      </c>
      <c r="G33" s="7">
        <f t="shared" si="18"/>
        <v>21.385247299755626</v>
      </c>
      <c r="H33" s="7">
        <f t="shared" si="18"/>
        <v>0.57994999999999997</v>
      </c>
      <c r="I33" s="7">
        <f t="shared" si="18"/>
        <v>0.71531999999999996</v>
      </c>
      <c r="J33" s="7" t="e">
        <f t="shared" si="18"/>
        <v>#DIV/0!</v>
      </c>
      <c r="K33" s="7" t="e">
        <f t="shared" si="18"/>
        <v>#DIV/0!</v>
      </c>
      <c r="L33" s="7">
        <f t="shared" si="18"/>
        <v>10.175062499999999</v>
      </c>
      <c r="M33" s="7">
        <f t="shared" si="18"/>
        <v>10.071687499999999</v>
      </c>
      <c r="N33" s="7">
        <f t="shared" si="18"/>
        <v>10.667562499999999</v>
      </c>
      <c r="O33" s="7">
        <f>AVERAGE(O9:O13)</f>
        <v>874.54028276428448</v>
      </c>
      <c r="P33" s="7">
        <f t="shared" si="18"/>
        <v>81.983630537500005</v>
      </c>
      <c r="Q33" s="7" t="e">
        <f t="shared" si="18"/>
        <v>#DIV/0!</v>
      </c>
      <c r="R33" s="7" t="e">
        <f t="shared" si="18"/>
        <v>#DIV/0!</v>
      </c>
      <c r="S33" s="7" t="e">
        <f t="shared" si="18"/>
        <v>#DIV/0!</v>
      </c>
      <c r="T33" s="7">
        <f t="shared" si="18"/>
        <v>0.99962499999999999</v>
      </c>
      <c r="U33" s="7">
        <f t="shared" si="18"/>
        <v>58.718024999999997</v>
      </c>
      <c r="V33" s="7">
        <f t="shared" si="18"/>
        <v>2.5384000000000002</v>
      </c>
      <c r="W33" s="7" t="e">
        <f t="shared" si="18"/>
        <v>#DIV/0!</v>
      </c>
      <c r="X33" s="7" t="e">
        <f t="shared" si="18"/>
        <v>#DIV/0!</v>
      </c>
      <c r="Y33" s="7" t="e">
        <f t="shared" si="18"/>
        <v>#DIV/0!</v>
      </c>
      <c r="Z33" s="7" t="e">
        <f t="shared" si="18"/>
        <v>#DIV/0!</v>
      </c>
      <c r="AA33" s="7" t="e">
        <f t="shared" si="18"/>
        <v>#DIV/0!</v>
      </c>
      <c r="AB33" s="7" t="e">
        <f t="shared" si="18"/>
        <v>#DIV/0!</v>
      </c>
      <c r="AC33" s="7" t="e">
        <f>AA33+AB33</f>
        <v>#DIV/0!</v>
      </c>
      <c r="AD33" s="7" t="e">
        <f>AB33/AC33*100</f>
        <v>#DIV/0!</v>
      </c>
      <c r="AE33" s="7" t="e">
        <f>D33-AC33</f>
        <v>#DIV/0!</v>
      </c>
    </row>
    <row r="34" spans="1:33" ht="42" x14ac:dyDescent="0.35">
      <c r="A34" s="80"/>
      <c r="B34" s="19" t="s">
        <v>60</v>
      </c>
      <c r="C34" s="5"/>
      <c r="D34" s="5">
        <f>_xlfn.STDEV.S(D9:D13)</f>
        <v>2.2662700633419651E-2</v>
      </c>
      <c r="E34" s="5">
        <f t="shared" ref="E34:AB34" si="19">_xlfn.STDEV.S(E9:E13)</f>
        <v>1.3688681455859771E-2</v>
      </c>
      <c r="F34" s="5">
        <f t="shared" si="19"/>
        <v>0.63668612204130859</v>
      </c>
      <c r="G34" s="5">
        <f t="shared" si="19"/>
        <v>43.954133593099428</v>
      </c>
      <c r="H34" s="5">
        <f t="shared" si="19"/>
        <v>1.7687943162881699E-2</v>
      </c>
      <c r="I34" s="5">
        <f t="shared" si="19"/>
        <v>0.39996059430898945</v>
      </c>
      <c r="J34" s="5" t="e">
        <f t="shared" si="19"/>
        <v>#DIV/0!</v>
      </c>
      <c r="K34" s="5" t="e">
        <f t="shared" si="19"/>
        <v>#DIV/0!</v>
      </c>
      <c r="L34" s="5">
        <f t="shared" si="19"/>
        <v>3.1772875617419184E-2</v>
      </c>
      <c r="M34" s="5">
        <f t="shared" si="19"/>
        <v>3.0739073261893068E-2</v>
      </c>
      <c r="N34" s="5">
        <f t="shared" si="19"/>
        <v>0.19945272779533499</v>
      </c>
      <c r="O34" s="5">
        <f t="shared" si="19"/>
        <v>489.13797838103204</v>
      </c>
      <c r="P34" s="5">
        <f t="shared" si="19"/>
        <v>45.830738820619359</v>
      </c>
      <c r="Q34" s="5" t="e">
        <f t="shared" si="19"/>
        <v>#DIV/0!</v>
      </c>
      <c r="R34" s="5" t="e">
        <f t="shared" si="19"/>
        <v>#DIV/0!</v>
      </c>
      <c r="S34" s="5" t="e">
        <f t="shared" si="19"/>
        <v>#DIV/0!</v>
      </c>
      <c r="T34" s="5">
        <f t="shared" si="19"/>
        <v>5.560275772537363E-4</v>
      </c>
      <c r="U34" s="5">
        <f t="shared" si="19"/>
        <v>29.373756888349057</v>
      </c>
      <c r="V34" s="5">
        <f t="shared" si="19"/>
        <v>0.58635150436122019</v>
      </c>
      <c r="W34" s="5" t="e">
        <f t="shared" si="19"/>
        <v>#DIV/0!</v>
      </c>
      <c r="X34" s="5" t="e">
        <f t="shared" si="19"/>
        <v>#DIV/0!</v>
      </c>
      <c r="Y34" s="5" t="e">
        <f t="shared" si="19"/>
        <v>#DIV/0!</v>
      </c>
      <c r="Z34" s="5" t="e">
        <f t="shared" si="19"/>
        <v>#DIV/0!</v>
      </c>
      <c r="AA34" s="5" t="e">
        <f t="shared" si="19"/>
        <v>#DIV/0!</v>
      </c>
      <c r="AB34" s="5" t="e">
        <f t="shared" si="19"/>
        <v>#DIV/0!</v>
      </c>
      <c r="AC34" s="5" t="e">
        <f>AA34+AB34</f>
        <v>#DIV/0!</v>
      </c>
      <c r="AD34" s="5" t="e">
        <f>AB34/AC34*100</f>
        <v>#DIV/0!</v>
      </c>
      <c r="AE34" s="5" t="e">
        <f>D34-AC34</f>
        <v>#DIV/0!</v>
      </c>
    </row>
    <row r="35" spans="1:33" ht="21" x14ac:dyDescent="0.35">
      <c r="A35" s="80"/>
      <c r="B35" s="5" t="s">
        <v>61</v>
      </c>
      <c r="C35" s="5"/>
      <c r="D35" s="5">
        <f t="shared" ref="D35:AB35" si="20">MIN(D9:D13)</f>
        <v>1.4494</v>
      </c>
      <c r="E35" s="5">
        <f t="shared" si="20"/>
        <v>1.4569000000000001</v>
      </c>
      <c r="F35" s="5">
        <f t="shared" si="20"/>
        <v>1.0199999999999987E-2</v>
      </c>
      <c r="G35" s="5">
        <f t="shared" si="20"/>
        <v>0.67995466968868656</v>
      </c>
      <c r="H35" s="5">
        <f t="shared" si="20"/>
        <v>0.55349999999999999</v>
      </c>
      <c r="I35" s="5">
        <f t="shared" si="20"/>
        <v>0</v>
      </c>
      <c r="J35" s="5" t="e">
        <f t="shared" si="20"/>
        <v>#DIV/0!</v>
      </c>
      <c r="K35" s="5" t="e">
        <f t="shared" si="20"/>
        <v>#DIV/0!</v>
      </c>
      <c r="L35" s="5">
        <f t="shared" si="20"/>
        <v>10.14025</v>
      </c>
      <c r="M35" s="5">
        <f t="shared" si="20"/>
        <v>10.0275</v>
      </c>
      <c r="N35" s="5">
        <f t="shared" si="20"/>
        <v>10.4785</v>
      </c>
      <c r="O35" s="5">
        <f t="shared" si="20"/>
        <v>0</v>
      </c>
      <c r="P35" s="5">
        <f t="shared" si="20"/>
        <v>0</v>
      </c>
      <c r="Q35" s="5" t="e">
        <f t="shared" si="20"/>
        <v>#DIV/0!</v>
      </c>
      <c r="R35" s="5" t="e">
        <f t="shared" si="20"/>
        <v>#DIV/0!</v>
      </c>
      <c r="S35" s="5" t="e">
        <f t="shared" si="20"/>
        <v>#DIV/0!</v>
      </c>
      <c r="T35" s="5">
        <f t="shared" si="20"/>
        <v>0.99880000000000002</v>
      </c>
      <c r="U35" s="5">
        <f t="shared" si="20"/>
        <v>23.757400000000001</v>
      </c>
      <c r="V35" s="5">
        <f t="shared" si="20"/>
        <v>1.7082999999999999</v>
      </c>
      <c r="W35" s="5">
        <f t="shared" si="20"/>
        <v>0</v>
      </c>
      <c r="X35" s="5">
        <f t="shared" si="20"/>
        <v>0</v>
      </c>
      <c r="Y35" s="5">
        <f t="shared" si="20"/>
        <v>0</v>
      </c>
      <c r="Z35" s="5">
        <f t="shared" si="20"/>
        <v>0</v>
      </c>
      <c r="AA35" s="5">
        <f t="shared" si="20"/>
        <v>0</v>
      </c>
      <c r="AB35" s="5">
        <f t="shared" si="20"/>
        <v>0</v>
      </c>
      <c r="AC35" s="5">
        <f>AA35+AB35</f>
        <v>0</v>
      </c>
      <c r="AD35" s="5" t="e">
        <f>AB35/AC35*100</f>
        <v>#DIV/0!</v>
      </c>
      <c r="AE35" s="5">
        <f>D35-AC35</f>
        <v>1.4494</v>
      </c>
    </row>
    <row r="36" spans="1:33" ht="21" x14ac:dyDescent="0.35">
      <c r="A36" s="80"/>
      <c r="B36" s="5" t="s">
        <v>62</v>
      </c>
      <c r="C36" s="5"/>
      <c r="D36" s="1">
        <f>MAX(D9:D13)</f>
        <v>1.5002</v>
      </c>
      <c r="E36" s="1">
        <f t="shared" ref="E36:AB36" si="21">MAX(E9:E13)</f>
        <v>1.4899</v>
      </c>
      <c r="F36" s="1">
        <f t="shared" si="21"/>
        <v>1.4494</v>
      </c>
      <c r="G36" s="1">
        <f t="shared" si="21"/>
        <v>100</v>
      </c>
      <c r="H36" s="1">
        <f t="shared" si="21"/>
        <v>0.59050000000000002</v>
      </c>
      <c r="I36" s="1">
        <f t="shared" si="21"/>
        <v>0.90340000000000009</v>
      </c>
      <c r="J36" s="1" t="e">
        <f t="shared" si="21"/>
        <v>#DIV/0!</v>
      </c>
      <c r="K36" s="1" t="e">
        <f t="shared" si="21"/>
        <v>#DIV/0!</v>
      </c>
      <c r="L36" s="1">
        <f t="shared" si="21"/>
        <v>10.202999999999999</v>
      </c>
      <c r="M36" s="1">
        <f t="shared" si="21"/>
        <v>10.097000000000001</v>
      </c>
      <c r="N36" s="1">
        <f t="shared" si="21"/>
        <v>10.92925</v>
      </c>
      <c r="O36" s="1">
        <f t="shared" si="21"/>
        <v>1117.9587476793752</v>
      </c>
      <c r="P36" s="1">
        <f t="shared" si="21"/>
        <v>102.8003265</v>
      </c>
      <c r="Q36" s="1" t="e">
        <f t="shared" si="21"/>
        <v>#DIV/0!</v>
      </c>
      <c r="R36" s="1" t="e">
        <f t="shared" si="21"/>
        <v>#DIV/0!</v>
      </c>
      <c r="S36" s="1" t="e">
        <f t="shared" si="21"/>
        <v>#DIV/0!</v>
      </c>
      <c r="T36" s="1">
        <f t="shared" si="21"/>
        <v>1</v>
      </c>
      <c r="U36" s="1">
        <f t="shared" si="21"/>
        <v>95.593299999999999</v>
      </c>
      <c r="V36" s="1">
        <f t="shared" si="21"/>
        <v>3.0766</v>
      </c>
      <c r="W36" s="1">
        <f t="shared" si="21"/>
        <v>0</v>
      </c>
      <c r="X36" s="1">
        <f t="shared" si="21"/>
        <v>0</v>
      </c>
      <c r="Y36" s="1">
        <f t="shared" si="21"/>
        <v>0</v>
      </c>
      <c r="Z36" s="1">
        <f t="shared" si="21"/>
        <v>0</v>
      </c>
      <c r="AA36" s="1">
        <f t="shared" si="21"/>
        <v>0</v>
      </c>
      <c r="AB36" s="1">
        <f t="shared" si="21"/>
        <v>0</v>
      </c>
      <c r="AC36" s="1">
        <f>AA36+AB36</f>
        <v>0</v>
      </c>
      <c r="AD36" s="1" t="e">
        <f>AB36/AC36*100</f>
        <v>#DIV/0!</v>
      </c>
      <c r="AE36" s="1">
        <f>D36-AC36</f>
        <v>1.5002</v>
      </c>
    </row>
    <row r="37" spans="1:33" ht="21" x14ac:dyDescent="0.35">
      <c r="A37" s="80" t="s">
        <v>117</v>
      </c>
      <c r="B37" s="7" t="s">
        <v>39</v>
      </c>
      <c r="C37" s="7"/>
      <c r="D37" s="5">
        <f>AVERAGE(D14:D18)</f>
        <v>1.4863799999999998</v>
      </c>
      <c r="E37" s="5">
        <f t="shared" ref="E37:AE37" si="22">AVERAGE(E14:E18)</f>
        <v>1.4728999999999999</v>
      </c>
      <c r="F37" s="5">
        <f t="shared" si="22"/>
        <v>0.30806000000000006</v>
      </c>
      <c r="G37" s="5">
        <f t="shared" si="22"/>
        <v>21.438785522092996</v>
      </c>
      <c r="H37" s="5">
        <f t="shared" si="22"/>
        <v>0.57990000000000008</v>
      </c>
      <c r="I37" s="5">
        <f t="shared" si="22"/>
        <v>0.71439999999999992</v>
      </c>
      <c r="J37" s="5" t="e">
        <f t="shared" si="22"/>
        <v>#DIV/0!</v>
      </c>
      <c r="K37" s="5" t="e">
        <f t="shared" si="22"/>
        <v>#DIV/0!</v>
      </c>
      <c r="L37" s="5">
        <f t="shared" si="22"/>
        <v>10.1380625</v>
      </c>
      <c r="M37" s="5">
        <f t="shared" si="22"/>
        <v>10.1313125</v>
      </c>
      <c r="N37" s="5">
        <f t="shared" si="22"/>
        <v>10.6353125</v>
      </c>
      <c r="O37" s="5">
        <f t="shared" si="22"/>
        <v>873.81011525033114</v>
      </c>
      <c r="P37" s="5">
        <f t="shared" si="22"/>
        <v>82.166190424999996</v>
      </c>
      <c r="Q37" s="5" t="e">
        <f t="shared" si="22"/>
        <v>#DIV/0!</v>
      </c>
      <c r="R37" s="5" t="e">
        <f t="shared" si="22"/>
        <v>#DIV/0!</v>
      </c>
      <c r="S37" s="5" t="e">
        <f t="shared" si="22"/>
        <v>#DIV/0!</v>
      </c>
      <c r="T37" s="5">
        <f>AVERAGE(T14:T18)</f>
        <v>0.99872499999999997</v>
      </c>
      <c r="U37" s="5">
        <f t="shared" ref="U37:V37" si="23">AVERAGE(U14:U18)</f>
        <v>38.224424999999997</v>
      </c>
      <c r="V37" s="5">
        <f t="shared" si="23"/>
        <v>2.334225</v>
      </c>
      <c r="W37" s="5" t="e">
        <f t="shared" si="22"/>
        <v>#DIV/0!</v>
      </c>
      <c r="X37" s="5" t="e">
        <f t="shared" si="22"/>
        <v>#DIV/0!</v>
      </c>
      <c r="Y37" s="5" t="e">
        <f t="shared" si="22"/>
        <v>#DIV/0!</v>
      </c>
      <c r="Z37" s="5" t="e">
        <f t="shared" si="22"/>
        <v>#DIV/0!</v>
      </c>
      <c r="AA37" s="5" t="e">
        <f t="shared" si="22"/>
        <v>#DIV/0!</v>
      </c>
      <c r="AB37" s="5" t="e">
        <f t="shared" si="22"/>
        <v>#DIV/0!</v>
      </c>
      <c r="AC37" s="5">
        <f t="shared" si="22"/>
        <v>0</v>
      </c>
      <c r="AD37" s="5" t="e">
        <f t="shared" si="22"/>
        <v>#DIV/0!</v>
      </c>
      <c r="AE37" s="5">
        <f t="shared" si="22"/>
        <v>1.4863799999999998</v>
      </c>
    </row>
    <row r="38" spans="1:33" ht="42" x14ac:dyDescent="0.35">
      <c r="A38" s="80"/>
      <c r="B38" s="19" t="s">
        <v>60</v>
      </c>
      <c r="C38" s="5"/>
      <c r="D38" s="5">
        <f>_xlfn.STDEV.S(D14:D18)</f>
        <v>3.0175768424350078E-2</v>
      </c>
      <c r="E38" s="5">
        <f t="shared" ref="E38:AE38" si="24">_xlfn.STDEV.S(E14:E18)</f>
        <v>1.0907489781491119E-2</v>
      </c>
      <c r="F38" s="5">
        <f t="shared" si="24"/>
        <v>0.62859619232063424</v>
      </c>
      <c r="G38" s="5">
        <f t="shared" si="24"/>
        <v>43.921572265891193</v>
      </c>
      <c r="H38" s="5">
        <f t="shared" si="24"/>
        <v>1.6096997649665403E-2</v>
      </c>
      <c r="I38" s="5">
        <f t="shared" si="24"/>
        <v>0.39944910188908928</v>
      </c>
      <c r="J38" s="5" t="e">
        <f t="shared" si="24"/>
        <v>#DIV/0!</v>
      </c>
      <c r="K38" s="5" t="e">
        <f t="shared" si="24"/>
        <v>#DIV/0!</v>
      </c>
      <c r="L38" s="5">
        <f t="shared" si="24"/>
        <v>9.8659214597521833E-2</v>
      </c>
      <c r="M38" s="5">
        <f t="shared" si="24"/>
        <v>8.1669398338667862E-2</v>
      </c>
      <c r="N38" s="5">
        <f t="shared" si="24"/>
        <v>0.177155460801147</v>
      </c>
      <c r="O38" s="5">
        <f t="shared" si="24"/>
        <v>488.62979204252173</v>
      </c>
      <c r="P38" s="5">
        <f t="shared" si="24"/>
        <v>45.936770785068255</v>
      </c>
      <c r="Q38" s="5" t="e">
        <f t="shared" si="24"/>
        <v>#DIV/0!</v>
      </c>
      <c r="R38" s="5" t="e">
        <f t="shared" si="24"/>
        <v>#DIV/0!</v>
      </c>
      <c r="S38" s="5" t="e">
        <f t="shared" si="24"/>
        <v>#DIV/0!</v>
      </c>
      <c r="T38" s="5">
        <f t="shared" si="24"/>
        <v>1.014478519568896E-3</v>
      </c>
      <c r="U38" s="5">
        <f t="shared" si="24"/>
        <v>18.005879535561899</v>
      </c>
      <c r="V38" s="5">
        <f t="shared" si="24"/>
        <v>0.32009731202661895</v>
      </c>
      <c r="W38" s="5" t="e">
        <f t="shared" si="24"/>
        <v>#DIV/0!</v>
      </c>
      <c r="X38" s="5" t="e">
        <f t="shared" si="24"/>
        <v>#DIV/0!</v>
      </c>
      <c r="Y38" s="5" t="e">
        <f t="shared" si="24"/>
        <v>#DIV/0!</v>
      </c>
      <c r="Z38" s="5" t="e">
        <f t="shared" si="24"/>
        <v>#DIV/0!</v>
      </c>
      <c r="AA38" s="5" t="e">
        <f t="shared" si="24"/>
        <v>#DIV/0!</v>
      </c>
      <c r="AB38" s="5" t="e">
        <f t="shared" si="24"/>
        <v>#DIV/0!</v>
      </c>
      <c r="AC38" s="5">
        <f t="shared" si="24"/>
        <v>0</v>
      </c>
      <c r="AD38" s="5" t="e">
        <f t="shared" si="24"/>
        <v>#DIV/0!</v>
      </c>
      <c r="AE38" s="5">
        <f t="shared" si="24"/>
        <v>3.0175768424350078E-2</v>
      </c>
    </row>
    <row r="39" spans="1:33" ht="21" x14ac:dyDescent="0.35">
      <c r="A39" s="80"/>
      <c r="B39" s="5" t="s">
        <v>61</v>
      </c>
      <c r="C39" s="5"/>
      <c r="D39" s="5">
        <f>MIN(D14:D18)</f>
        <v>1.4323999999999999</v>
      </c>
      <c r="E39" s="5">
        <f t="shared" ref="E39:AE39" si="25">MIN(E14:E18)</f>
        <v>1.4603999999999999</v>
      </c>
      <c r="F39" s="5">
        <f t="shared" si="25"/>
        <v>1.3100000000000112E-2</v>
      </c>
      <c r="G39" s="5">
        <f t="shared" si="25"/>
        <v>0.87339155943730318</v>
      </c>
      <c r="H39" s="5">
        <f t="shared" si="25"/>
        <v>0.56810000000000005</v>
      </c>
      <c r="I39" s="5">
        <f t="shared" si="25"/>
        <v>0</v>
      </c>
      <c r="J39" s="5" t="e">
        <f t="shared" si="25"/>
        <v>#DIV/0!</v>
      </c>
      <c r="K39" s="5" t="e">
        <f t="shared" si="25"/>
        <v>#DIV/0!</v>
      </c>
      <c r="L39" s="5">
        <f t="shared" si="25"/>
        <v>10.030250000000001</v>
      </c>
      <c r="M39" s="5">
        <f t="shared" si="25"/>
        <v>10.0505</v>
      </c>
      <c r="N39" s="5">
        <f t="shared" si="25"/>
        <v>10.382999999999999</v>
      </c>
      <c r="O39" s="5">
        <f t="shared" si="25"/>
        <v>0</v>
      </c>
      <c r="P39" s="5">
        <f t="shared" si="25"/>
        <v>0</v>
      </c>
      <c r="Q39" s="5" t="e">
        <f t="shared" si="25"/>
        <v>#DIV/0!</v>
      </c>
      <c r="R39" s="5" t="e">
        <f t="shared" si="25"/>
        <v>#DIV/0!</v>
      </c>
      <c r="S39" s="5" t="e">
        <f t="shared" si="25"/>
        <v>#DIV/0!</v>
      </c>
      <c r="T39" s="5">
        <f t="shared" si="25"/>
        <v>0.99780000000000002</v>
      </c>
      <c r="U39" s="5">
        <f t="shared" si="25"/>
        <v>27.305599999999998</v>
      </c>
      <c r="V39" s="5">
        <f t="shared" si="25"/>
        <v>2.0933000000000002</v>
      </c>
      <c r="W39" s="5">
        <f t="shared" si="25"/>
        <v>0</v>
      </c>
      <c r="X39" s="5">
        <f t="shared" si="25"/>
        <v>0</v>
      </c>
      <c r="Y39" s="5">
        <f t="shared" si="25"/>
        <v>0</v>
      </c>
      <c r="Z39" s="5">
        <f t="shared" si="25"/>
        <v>0</v>
      </c>
      <c r="AA39" s="5">
        <f t="shared" si="25"/>
        <v>0</v>
      </c>
      <c r="AB39" s="5">
        <f t="shared" si="25"/>
        <v>0</v>
      </c>
      <c r="AC39" s="5">
        <f t="shared" si="25"/>
        <v>0</v>
      </c>
      <c r="AD39" s="5" t="e">
        <f t="shared" si="25"/>
        <v>#DIV/0!</v>
      </c>
      <c r="AE39" s="5">
        <f t="shared" si="25"/>
        <v>1.4323999999999999</v>
      </c>
      <c r="AF39" s="5"/>
      <c r="AG39" s="5"/>
    </row>
    <row r="40" spans="1:33" ht="21" x14ac:dyDescent="0.35">
      <c r="A40" s="80"/>
      <c r="B40" s="1" t="s">
        <v>62</v>
      </c>
      <c r="C40" s="1"/>
      <c r="D40" s="5">
        <f>MAX(D14:D18)</f>
        <v>1.4999</v>
      </c>
      <c r="E40" s="5">
        <f t="shared" ref="E40:AE40" si="26">MAX(E14:E18)</f>
        <v>1.4867999999999999</v>
      </c>
      <c r="F40" s="5">
        <f t="shared" si="26"/>
        <v>1.4323999999999999</v>
      </c>
      <c r="G40" s="5">
        <f t="shared" si="26"/>
        <v>100</v>
      </c>
      <c r="H40" s="5">
        <f t="shared" si="26"/>
        <v>0.60350000000000004</v>
      </c>
      <c r="I40" s="5">
        <f t="shared" si="26"/>
        <v>0.90589999999999993</v>
      </c>
      <c r="J40" s="5" t="e">
        <f t="shared" si="26"/>
        <v>#DIV/0!</v>
      </c>
      <c r="K40" s="5" t="e">
        <f t="shared" si="26"/>
        <v>#DIV/0!</v>
      </c>
      <c r="L40" s="5">
        <f t="shared" si="26"/>
        <v>10.268749999999999</v>
      </c>
      <c r="M40" s="5">
        <f t="shared" si="26"/>
        <v>10.20425</v>
      </c>
      <c r="N40" s="5">
        <f t="shared" si="26"/>
        <v>10.798</v>
      </c>
      <c r="O40" s="5">
        <f t="shared" si="26"/>
        <v>1104.6194162605002</v>
      </c>
      <c r="P40" s="5">
        <f t="shared" si="26"/>
        <v>103.445584375</v>
      </c>
      <c r="Q40" s="5" t="e">
        <f t="shared" si="26"/>
        <v>#DIV/0!</v>
      </c>
      <c r="R40" s="5" t="e">
        <f t="shared" si="26"/>
        <v>#DIV/0!</v>
      </c>
      <c r="S40" s="5" t="e">
        <f t="shared" si="26"/>
        <v>#DIV/0!</v>
      </c>
      <c r="T40" s="5">
        <f t="shared" si="26"/>
        <v>0.99970000000000003</v>
      </c>
      <c r="U40" s="5">
        <f t="shared" si="26"/>
        <v>65.148899999999998</v>
      </c>
      <c r="V40" s="5">
        <f t="shared" si="26"/>
        <v>2.7711000000000001</v>
      </c>
      <c r="W40" s="5">
        <f t="shared" si="26"/>
        <v>0</v>
      </c>
      <c r="X40" s="5">
        <f t="shared" si="26"/>
        <v>0</v>
      </c>
      <c r="Y40" s="5">
        <f t="shared" si="26"/>
        <v>0</v>
      </c>
      <c r="Z40" s="5">
        <f t="shared" si="26"/>
        <v>0</v>
      </c>
      <c r="AA40" s="5">
        <f t="shared" si="26"/>
        <v>0</v>
      </c>
      <c r="AB40" s="5">
        <f t="shared" si="26"/>
        <v>0</v>
      </c>
      <c r="AC40" s="5">
        <f t="shared" si="26"/>
        <v>0</v>
      </c>
      <c r="AD40" s="5" t="e">
        <f t="shared" si="26"/>
        <v>#DIV/0!</v>
      </c>
      <c r="AE40" s="5">
        <f t="shared" si="26"/>
        <v>1.4999</v>
      </c>
    </row>
    <row r="41" spans="1:33" ht="21" x14ac:dyDescent="0.35">
      <c r="A41" s="80" t="s">
        <v>120</v>
      </c>
      <c r="B41" s="7" t="s">
        <v>39</v>
      </c>
      <c r="C41" s="7"/>
      <c r="D41" s="7">
        <f>AVERAGE(D19:D23)</f>
        <v>1.4767399999999999</v>
      </c>
      <c r="E41" s="7">
        <f t="shared" ref="E41:AE41" si="27">AVERAGE(E19:E23)</f>
        <v>1.46515</v>
      </c>
      <c r="F41" s="7">
        <f t="shared" si="27"/>
        <v>0.30462</v>
      </c>
      <c r="G41" s="7">
        <f t="shared" si="27"/>
        <v>21.865190064127031</v>
      </c>
      <c r="H41" s="7">
        <f t="shared" si="27"/>
        <v>0.58019999999999994</v>
      </c>
      <c r="I41" s="7">
        <f t="shared" si="27"/>
        <v>0.70796000000000003</v>
      </c>
      <c r="J41" s="7" t="e">
        <f t="shared" si="27"/>
        <v>#DIV/0!</v>
      </c>
      <c r="K41" s="7" t="e">
        <f t="shared" si="27"/>
        <v>#DIV/0!</v>
      </c>
      <c r="L41" s="7">
        <f t="shared" si="27"/>
        <v>10.134562499999999</v>
      </c>
      <c r="M41" s="7">
        <f t="shared" si="27"/>
        <v>10.174375</v>
      </c>
      <c r="N41" s="7">
        <f t="shared" si="27"/>
        <v>10.459125</v>
      </c>
      <c r="O41" s="7">
        <f t="shared" si="27"/>
        <v>862.82009478488123</v>
      </c>
      <c r="P41" s="7">
        <f t="shared" si="27"/>
        <v>82.490489712499993</v>
      </c>
      <c r="Q41" s="7" t="e">
        <f t="shared" si="27"/>
        <v>#DIV/0!</v>
      </c>
      <c r="R41" s="7" t="e">
        <f t="shared" si="27"/>
        <v>#DIV/0!</v>
      </c>
      <c r="S41" s="7" t="e">
        <f t="shared" si="27"/>
        <v>#DIV/0!</v>
      </c>
      <c r="T41" s="7">
        <f t="shared" si="27"/>
        <v>0.99817500000000003</v>
      </c>
      <c r="U41" s="7">
        <f t="shared" si="27"/>
        <v>41.745774999999995</v>
      </c>
      <c r="V41" s="7">
        <f t="shared" si="27"/>
        <v>2.0101249999999999</v>
      </c>
      <c r="W41" s="7" t="e">
        <f t="shared" si="27"/>
        <v>#DIV/0!</v>
      </c>
      <c r="X41" s="7" t="e">
        <f t="shared" si="27"/>
        <v>#DIV/0!</v>
      </c>
      <c r="Y41" s="7" t="e">
        <f t="shared" si="27"/>
        <v>#DIV/0!</v>
      </c>
      <c r="Z41" s="7" t="e">
        <f t="shared" si="27"/>
        <v>#DIV/0!</v>
      </c>
      <c r="AA41" s="7" t="e">
        <f t="shared" si="27"/>
        <v>#DIV/0!</v>
      </c>
      <c r="AB41" s="7" t="e">
        <f t="shared" si="27"/>
        <v>#DIV/0!</v>
      </c>
      <c r="AC41" s="7">
        <f t="shared" si="27"/>
        <v>0</v>
      </c>
      <c r="AD41" s="7" t="e">
        <f t="shared" si="27"/>
        <v>#DIV/0!</v>
      </c>
      <c r="AE41" s="7">
        <f t="shared" si="27"/>
        <v>1.4767399999999999</v>
      </c>
    </row>
    <row r="42" spans="1:33" ht="42" x14ac:dyDescent="0.35">
      <c r="A42" s="80"/>
      <c r="B42" s="19" t="s">
        <v>60</v>
      </c>
      <c r="C42" s="5"/>
      <c r="D42" s="5">
        <f>_xlfn.STDEV.S(D19:D23)</f>
        <v>5.2290563202168711E-2</v>
      </c>
      <c r="E42" s="5">
        <f t="shared" ref="E42:AE42" si="28">_xlfn.STDEV.S(E19:E23)</f>
        <v>4.6508063816933709E-3</v>
      </c>
      <c r="F42" s="5">
        <f t="shared" si="28"/>
        <v>0.60295742552853593</v>
      </c>
      <c r="G42" s="5">
        <f t="shared" si="28"/>
        <v>43.679477118085288</v>
      </c>
      <c r="H42" s="5">
        <f t="shared" si="28"/>
        <v>1.2486526071463314E-2</v>
      </c>
      <c r="I42" s="5">
        <f t="shared" si="28"/>
        <v>0.39585943591128403</v>
      </c>
      <c r="J42" s="5" t="e">
        <f t="shared" si="28"/>
        <v>#DIV/0!</v>
      </c>
      <c r="K42" s="5" t="e">
        <f t="shared" si="28"/>
        <v>#DIV/0!</v>
      </c>
      <c r="L42" s="5">
        <f t="shared" si="28"/>
        <v>2.8170888490307473E-2</v>
      </c>
      <c r="M42" s="5">
        <f t="shared" si="28"/>
        <v>3.5809973005668218E-2</v>
      </c>
      <c r="N42" s="5">
        <f t="shared" si="28"/>
        <v>0.19618449012770237</v>
      </c>
      <c r="O42" s="5">
        <f t="shared" si="28"/>
        <v>482.79203395877045</v>
      </c>
      <c r="P42" s="5">
        <f t="shared" si="28"/>
        <v>46.115935495602272</v>
      </c>
      <c r="Q42" s="5" t="e">
        <f t="shared" si="28"/>
        <v>#DIV/0!</v>
      </c>
      <c r="R42" s="5" t="e">
        <f t="shared" si="28"/>
        <v>#DIV/0!</v>
      </c>
      <c r="S42" s="5" t="e">
        <f t="shared" si="28"/>
        <v>#DIV/0!</v>
      </c>
      <c r="T42" s="5">
        <f t="shared" si="28"/>
        <v>2.340049857018708E-3</v>
      </c>
      <c r="U42" s="5">
        <f t="shared" si="28"/>
        <v>6.3612108225688448</v>
      </c>
      <c r="V42" s="5">
        <f t="shared" si="28"/>
        <v>0.13024457442314713</v>
      </c>
      <c r="W42" s="5" t="e">
        <f t="shared" si="28"/>
        <v>#DIV/0!</v>
      </c>
      <c r="X42" s="5" t="e">
        <f t="shared" si="28"/>
        <v>#DIV/0!</v>
      </c>
      <c r="Y42" s="5" t="e">
        <f t="shared" si="28"/>
        <v>#DIV/0!</v>
      </c>
      <c r="Z42" s="5" t="e">
        <f t="shared" si="28"/>
        <v>#DIV/0!</v>
      </c>
      <c r="AA42" s="5" t="e">
        <f t="shared" si="28"/>
        <v>#DIV/0!</v>
      </c>
      <c r="AB42" s="5" t="e">
        <f t="shared" si="28"/>
        <v>#DIV/0!</v>
      </c>
      <c r="AC42" s="5">
        <f t="shared" si="28"/>
        <v>0</v>
      </c>
      <c r="AD42" s="5" t="e">
        <f t="shared" si="28"/>
        <v>#DIV/0!</v>
      </c>
      <c r="AE42" s="5">
        <f t="shared" si="28"/>
        <v>5.2290563202168711E-2</v>
      </c>
    </row>
    <row r="43" spans="1:33" ht="21" x14ac:dyDescent="0.35">
      <c r="A43" s="80"/>
      <c r="B43" s="5" t="s">
        <v>61</v>
      </c>
      <c r="C43" s="5"/>
      <c r="D43" s="5">
        <f>MIN(D19:D23)</f>
        <v>1.3832</v>
      </c>
      <c r="E43" s="5">
        <f t="shared" ref="E43:AE43" si="29">MIN(E19:E23)</f>
        <v>1.4610000000000001</v>
      </c>
      <c r="F43" s="5">
        <f t="shared" si="29"/>
        <v>2.849999999999997E-2</v>
      </c>
      <c r="G43" s="5">
        <f t="shared" si="29"/>
        <v>1.8996200759848012</v>
      </c>
      <c r="H43" s="5">
        <f t="shared" si="29"/>
        <v>0.5645</v>
      </c>
      <c r="I43" s="5">
        <f t="shared" si="29"/>
        <v>0</v>
      </c>
      <c r="J43" s="5" t="e">
        <f t="shared" si="29"/>
        <v>#DIV/0!</v>
      </c>
      <c r="K43" s="5" t="e">
        <f t="shared" si="29"/>
        <v>#DIV/0!</v>
      </c>
      <c r="L43" s="5">
        <f t="shared" si="29"/>
        <v>10.0975</v>
      </c>
      <c r="M43" s="5">
        <f t="shared" si="29"/>
        <v>10.129999999999999</v>
      </c>
      <c r="N43" s="5">
        <f t="shared" si="29"/>
        <v>10.31025</v>
      </c>
      <c r="O43" s="5">
        <f t="shared" si="29"/>
        <v>0</v>
      </c>
      <c r="P43" s="5">
        <f t="shared" si="29"/>
        <v>0</v>
      </c>
      <c r="Q43" s="5" t="e">
        <f t="shared" si="29"/>
        <v>#DIV/0!</v>
      </c>
      <c r="R43" s="5" t="e">
        <f t="shared" si="29"/>
        <v>#DIV/0!</v>
      </c>
      <c r="S43" s="5" t="e">
        <f t="shared" si="29"/>
        <v>#DIV/0!</v>
      </c>
      <c r="T43" s="5">
        <f t="shared" si="29"/>
        <v>0.99470000000000003</v>
      </c>
      <c r="U43" s="5">
        <f t="shared" si="29"/>
        <v>32.265099999999997</v>
      </c>
      <c r="V43" s="5">
        <f t="shared" si="29"/>
        <v>1.8898999999999999</v>
      </c>
      <c r="W43" s="5">
        <f t="shared" si="29"/>
        <v>0</v>
      </c>
      <c r="X43" s="5">
        <f t="shared" si="29"/>
        <v>0</v>
      </c>
      <c r="Y43" s="5">
        <f t="shared" si="29"/>
        <v>0</v>
      </c>
      <c r="Z43" s="5">
        <f t="shared" si="29"/>
        <v>0</v>
      </c>
      <c r="AA43" s="5">
        <f t="shared" si="29"/>
        <v>0</v>
      </c>
      <c r="AB43" s="5">
        <f t="shared" si="29"/>
        <v>0</v>
      </c>
      <c r="AC43" s="5">
        <f t="shared" si="29"/>
        <v>0</v>
      </c>
      <c r="AD43" s="5" t="e">
        <f t="shared" si="29"/>
        <v>#DIV/0!</v>
      </c>
      <c r="AE43" s="5">
        <f t="shared" si="29"/>
        <v>1.3832</v>
      </c>
    </row>
    <row r="44" spans="1:33" ht="21" x14ac:dyDescent="0.35">
      <c r="A44" s="80"/>
      <c r="B44" s="1" t="s">
        <v>62</v>
      </c>
      <c r="C44" s="1"/>
      <c r="D44" s="1">
        <f>MAX(D19:D23)</f>
        <v>1.5003</v>
      </c>
      <c r="E44" s="1">
        <f t="shared" ref="E44:AE44" si="30">MAX(E19:E23)</f>
        <v>1.4718</v>
      </c>
      <c r="F44" s="1">
        <f t="shared" si="30"/>
        <v>1.3832</v>
      </c>
      <c r="G44" s="1">
        <f t="shared" si="30"/>
        <v>100</v>
      </c>
      <c r="H44" s="1">
        <f t="shared" si="30"/>
        <v>0.59499999999999997</v>
      </c>
      <c r="I44" s="1">
        <f t="shared" si="30"/>
        <v>0.89979999999999993</v>
      </c>
      <c r="J44" s="1" t="e">
        <f t="shared" si="30"/>
        <v>#DIV/0!</v>
      </c>
      <c r="K44" s="1" t="e">
        <f t="shared" si="30"/>
        <v>#DIV/0!</v>
      </c>
      <c r="L44" s="1">
        <f t="shared" si="30"/>
        <v>10.16525</v>
      </c>
      <c r="M44" s="1">
        <f t="shared" si="30"/>
        <v>10.215</v>
      </c>
      <c r="N44" s="1">
        <f t="shared" si="30"/>
        <v>10.747999999999999</v>
      </c>
      <c r="O44" s="1">
        <f t="shared" si="30"/>
        <v>1113.55339185</v>
      </c>
      <c r="P44" s="1">
        <f t="shared" si="30"/>
        <v>103.6056375</v>
      </c>
      <c r="Q44" s="1" t="e">
        <f t="shared" si="30"/>
        <v>#DIV/0!</v>
      </c>
      <c r="R44" s="1" t="e">
        <f t="shared" si="30"/>
        <v>#DIV/0!</v>
      </c>
      <c r="S44" s="1" t="e">
        <f t="shared" si="30"/>
        <v>#DIV/0!</v>
      </c>
      <c r="T44" s="1">
        <f t="shared" si="30"/>
        <v>0.99980000000000002</v>
      </c>
      <c r="U44" s="1">
        <f t="shared" si="30"/>
        <v>45.922499999999999</v>
      </c>
      <c r="V44" s="1">
        <f t="shared" si="30"/>
        <v>2.1474000000000002</v>
      </c>
      <c r="W44" s="1">
        <f t="shared" si="30"/>
        <v>0</v>
      </c>
      <c r="X44" s="1">
        <f t="shared" si="30"/>
        <v>0</v>
      </c>
      <c r="Y44" s="1">
        <f t="shared" si="30"/>
        <v>0</v>
      </c>
      <c r="Z44" s="1">
        <f t="shared" si="30"/>
        <v>0</v>
      </c>
      <c r="AA44" s="1">
        <f t="shared" si="30"/>
        <v>0</v>
      </c>
      <c r="AB44" s="1">
        <f t="shared" si="30"/>
        <v>0</v>
      </c>
      <c r="AC44" s="1">
        <f t="shared" si="30"/>
        <v>0</v>
      </c>
      <c r="AD44" s="1" t="e">
        <f t="shared" si="30"/>
        <v>#DIV/0!</v>
      </c>
      <c r="AE44" s="1">
        <f t="shared" si="30"/>
        <v>1.5003</v>
      </c>
    </row>
    <row r="45" spans="1:33" ht="21" x14ac:dyDescent="0.35">
      <c r="A45" s="80" t="s">
        <v>121</v>
      </c>
      <c r="B45" s="7" t="s">
        <v>39</v>
      </c>
      <c r="C45" s="7"/>
      <c r="D45" s="5">
        <f>AVERAGE(D24:D28)</f>
        <v>1.4906600000000001</v>
      </c>
      <c r="E45" s="5">
        <f t="shared" ref="E45:H45" si="31">AVERAGE(E24:E28)</f>
        <v>1.4952749999999999</v>
      </c>
      <c r="F45" s="5">
        <f t="shared" si="31"/>
        <v>0.29484000000000005</v>
      </c>
      <c r="G45" s="5">
        <f t="shared" si="31"/>
        <v>20.278674402767599</v>
      </c>
      <c r="H45" s="5">
        <f t="shared" si="31"/>
        <v>0.58542500000000008</v>
      </c>
      <c r="I45" s="5">
        <f t="shared" ref="I45:AE45" si="32">AVERAGE(I22:I26)</f>
        <v>0.72409999999999997</v>
      </c>
      <c r="J45" s="5" t="e">
        <f t="shared" si="32"/>
        <v>#DIV/0!</v>
      </c>
      <c r="K45" s="5" t="e">
        <f t="shared" si="32"/>
        <v>#DIV/0!</v>
      </c>
      <c r="L45" s="5">
        <f t="shared" si="32"/>
        <v>10.133312500000001</v>
      </c>
      <c r="M45" s="5">
        <f t="shared" si="32"/>
        <v>10.140062500000001</v>
      </c>
      <c r="N45" s="5">
        <f t="shared" si="32"/>
        <v>10.619062500000002</v>
      </c>
      <c r="O45" s="5">
        <f t="shared" si="32"/>
        <v>872.92992463161886</v>
      </c>
      <c r="P45" s="5">
        <f t="shared" si="32"/>
        <v>82.201637675000001</v>
      </c>
      <c r="Q45" s="5" t="e">
        <f t="shared" si="32"/>
        <v>#DIV/0!</v>
      </c>
      <c r="R45" s="5" t="e">
        <f t="shared" si="32"/>
        <v>#DIV/0!</v>
      </c>
      <c r="S45" s="5" t="e">
        <f t="shared" si="32"/>
        <v>#DIV/0!</v>
      </c>
      <c r="T45" s="5">
        <f t="shared" si="32"/>
        <v>0.99777500000000008</v>
      </c>
      <c r="U45" s="5">
        <f t="shared" si="32"/>
        <v>46.978650000000002</v>
      </c>
      <c r="V45" s="5">
        <f t="shared" si="32"/>
        <v>2.2050000000000001</v>
      </c>
      <c r="W45" s="5" t="e">
        <f t="shared" si="32"/>
        <v>#DIV/0!</v>
      </c>
      <c r="X45" s="5" t="e">
        <f t="shared" si="32"/>
        <v>#DIV/0!</v>
      </c>
      <c r="Y45" s="5" t="e">
        <f t="shared" si="32"/>
        <v>#DIV/0!</v>
      </c>
      <c r="Z45" s="5" t="e">
        <f t="shared" si="32"/>
        <v>#DIV/0!</v>
      </c>
      <c r="AA45" s="5" t="e">
        <f t="shared" si="32"/>
        <v>#DIV/0!</v>
      </c>
      <c r="AB45" s="5" t="e">
        <f t="shared" si="32"/>
        <v>#DIV/0!</v>
      </c>
      <c r="AC45" s="5">
        <f t="shared" si="32"/>
        <v>0</v>
      </c>
      <c r="AD45" s="5" t="e">
        <f t="shared" si="32"/>
        <v>#DIV/0!</v>
      </c>
      <c r="AE45" s="5">
        <f t="shared" si="32"/>
        <v>1.4766400000000002</v>
      </c>
    </row>
    <row r="46" spans="1:33" ht="42" x14ac:dyDescent="0.35">
      <c r="A46" s="80"/>
      <c r="B46" s="19" t="s">
        <v>60</v>
      </c>
      <c r="C46" s="5"/>
      <c r="D46" s="5">
        <f>_xlfn.STDEV.S(D24:D28)</f>
        <v>2.0885473420537998E-2</v>
      </c>
      <c r="E46" s="5">
        <f t="shared" ref="E46:H46" si="33">_xlfn.STDEV.S(E24:E28)</f>
        <v>4.3919433815415949E-3</v>
      </c>
      <c r="F46" s="5">
        <f t="shared" si="33"/>
        <v>0.64760564620762839</v>
      </c>
      <c r="G46" s="5">
        <f t="shared" si="33"/>
        <v>44.566016235407361</v>
      </c>
      <c r="H46" s="5">
        <f t="shared" si="33"/>
        <v>1.6225571381824008E-2</v>
      </c>
      <c r="I46" s="5">
        <f t="shared" ref="I46:AE46" si="34">_xlfn.STDEV.S(I22:I26)</f>
        <v>0.40535650975406839</v>
      </c>
      <c r="J46" s="5" t="e">
        <f t="shared" si="34"/>
        <v>#DIV/0!</v>
      </c>
      <c r="K46" s="5" t="e">
        <f t="shared" si="34"/>
        <v>#DIV/0!</v>
      </c>
      <c r="L46" s="5">
        <f t="shared" si="34"/>
        <v>2.6737438639481005E-2</v>
      </c>
      <c r="M46" s="5">
        <f t="shared" si="34"/>
        <v>2.1054863848210436E-2</v>
      </c>
      <c r="N46" s="5">
        <f t="shared" si="34"/>
        <v>0.33606778675092774</v>
      </c>
      <c r="O46" s="5">
        <f t="shared" si="34"/>
        <v>488.97269439396206</v>
      </c>
      <c r="P46" s="5">
        <f t="shared" si="34"/>
        <v>45.952245887693536</v>
      </c>
      <c r="Q46" s="5" t="e">
        <f t="shared" si="34"/>
        <v>#DIV/0!</v>
      </c>
      <c r="R46" s="5" t="e">
        <f t="shared" si="34"/>
        <v>#DIV/0!</v>
      </c>
      <c r="S46" s="5" t="e">
        <f t="shared" si="34"/>
        <v>#DIV/0!</v>
      </c>
      <c r="T46" s="5">
        <f t="shared" si="34"/>
        <v>2.573421846491542E-3</v>
      </c>
      <c r="U46" s="5">
        <f t="shared" si="34"/>
        <v>17.946501444106946</v>
      </c>
      <c r="V46" s="5">
        <f t="shared" si="34"/>
        <v>0.44329164966945528</v>
      </c>
      <c r="W46" s="5" t="e">
        <f t="shared" si="34"/>
        <v>#DIV/0!</v>
      </c>
      <c r="X46" s="5" t="e">
        <f t="shared" si="34"/>
        <v>#DIV/0!</v>
      </c>
      <c r="Y46" s="5" t="e">
        <f t="shared" si="34"/>
        <v>#DIV/0!</v>
      </c>
      <c r="Z46" s="5" t="e">
        <f t="shared" si="34"/>
        <v>#DIV/0!</v>
      </c>
      <c r="AA46" s="5" t="e">
        <f t="shared" si="34"/>
        <v>#DIV/0!</v>
      </c>
      <c r="AB46" s="5" t="e">
        <f t="shared" si="34"/>
        <v>#DIV/0!</v>
      </c>
      <c r="AC46" s="5">
        <f t="shared" si="34"/>
        <v>0</v>
      </c>
      <c r="AD46" s="5" t="e">
        <f t="shared" si="34"/>
        <v>#DIV/0!</v>
      </c>
      <c r="AE46" s="5">
        <f t="shared" si="34"/>
        <v>5.223478725906712E-2</v>
      </c>
    </row>
    <row r="47" spans="1:33" ht="21" x14ac:dyDescent="0.35">
      <c r="A47" s="80"/>
      <c r="B47" s="5" t="s">
        <v>61</v>
      </c>
      <c r="C47" s="5"/>
      <c r="D47" s="5">
        <f>MIN(D24:D28)</f>
        <v>1.4533</v>
      </c>
      <c r="E47" s="5">
        <f t="shared" ref="E47:H47" si="35">MIN(E24:E28)</f>
        <v>1.4917</v>
      </c>
      <c r="F47" s="5">
        <f t="shared" si="35"/>
        <v>1.0000000000001119E-3</v>
      </c>
      <c r="G47" s="5">
        <f t="shared" si="35"/>
        <v>6.6657778962812414E-2</v>
      </c>
      <c r="H47" s="5">
        <f t="shared" si="35"/>
        <v>0.56200000000000006</v>
      </c>
      <c r="I47" s="5">
        <f t="shared" ref="I47:AE47" si="36">MIN(I22:I26)</f>
        <v>0</v>
      </c>
      <c r="J47" s="5" t="e">
        <f t="shared" si="36"/>
        <v>#DIV/0!</v>
      </c>
      <c r="K47" s="5" t="e">
        <f t="shared" si="36"/>
        <v>#DIV/0!</v>
      </c>
      <c r="L47" s="5">
        <f t="shared" si="36"/>
        <v>10.0975</v>
      </c>
      <c r="M47" s="5">
        <f t="shared" si="36"/>
        <v>10.11425</v>
      </c>
      <c r="N47" s="5">
        <f t="shared" si="36"/>
        <v>10.31025</v>
      </c>
      <c r="O47" s="5">
        <f t="shared" si="36"/>
        <v>0</v>
      </c>
      <c r="P47" s="5">
        <f t="shared" si="36"/>
        <v>0</v>
      </c>
      <c r="Q47" s="5" t="e">
        <f t="shared" si="36"/>
        <v>#DIV/0!</v>
      </c>
      <c r="R47" s="5" t="e">
        <f t="shared" si="36"/>
        <v>#DIV/0!</v>
      </c>
      <c r="S47" s="5" t="e">
        <f t="shared" si="36"/>
        <v>#DIV/0!</v>
      </c>
      <c r="T47" s="5">
        <f t="shared" si="36"/>
        <v>0.99470000000000003</v>
      </c>
      <c r="U47" s="5">
        <f t="shared" si="36"/>
        <v>22.736499999999999</v>
      </c>
      <c r="V47" s="5">
        <f t="shared" si="36"/>
        <v>1.7652000000000001</v>
      </c>
      <c r="W47" s="5">
        <f t="shared" si="36"/>
        <v>0</v>
      </c>
      <c r="X47" s="5">
        <f t="shared" si="36"/>
        <v>0</v>
      </c>
      <c r="Y47" s="5">
        <f t="shared" si="36"/>
        <v>0</v>
      </c>
      <c r="Z47" s="5">
        <f t="shared" si="36"/>
        <v>0</v>
      </c>
      <c r="AA47" s="5">
        <f t="shared" si="36"/>
        <v>0</v>
      </c>
      <c r="AB47" s="5">
        <f t="shared" si="36"/>
        <v>0</v>
      </c>
      <c r="AC47" s="5">
        <f t="shared" si="36"/>
        <v>0</v>
      </c>
      <c r="AD47" s="5" t="e">
        <f t="shared" si="36"/>
        <v>#DIV/0!</v>
      </c>
      <c r="AE47" s="5">
        <f t="shared" si="36"/>
        <v>1.3832</v>
      </c>
      <c r="AF47" s="5"/>
      <c r="AG47" s="5"/>
    </row>
    <row r="48" spans="1:33" ht="21" x14ac:dyDescent="0.35">
      <c r="A48" s="80"/>
      <c r="B48" s="1" t="s">
        <v>62</v>
      </c>
      <c r="C48" s="1"/>
      <c r="D48" s="1">
        <f>MAX(D24:D28)</f>
        <v>1.5002</v>
      </c>
      <c r="E48" s="1">
        <f t="shared" ref="E48:H48" si="37">MAX(E24:E28)</f>
        <v>1.5012000000000001</v>
      </c>
      <c r="F48" s="1">
        <f t="shared" si="37"/>
        <v>1.4533</v>
      </c>
      <c r="G48" s="1">
        <f t="shared" si="37"/>
        <v>100</v>
      </c>
      <c r="H48" s="1">
        <f t="shared" si="37"/>
        <v>0.59940000000000004</v>
      </c>
      <c r="I48" s="1">
        <f t="shared" ref="I48:AE48" si="38">MAX(I22:I26)</f>
        <v>0.93920000000000003</v>
      </c>
      <c r="J48" s="1" t="e">
        <f t="shared" si="38"/>
        <v>#DIV/0!</v>
      </c>
      <c r="K48" s="1" t="e">
        <f t="shared" si="38"/>
        <v>#DIV/0!</v>
      </c>
      <c r="L48" s="1">
        <f t="shared" si="38"/>
        <v>10.154500000000001</v>
      </c>
      <c r="M48" s="1">
        <f t="shared" si="38"/>
        <v>10.165750000000001</v>
      </c>
      <c r="N48" s="1">
        <f t="shared" si="38"/>
        <v>11.094000000000001</v>
      </c>
      <c r="O48" s="1">
        <f t="shared" si="38"/>
        <v>1142.0022567525002</v>
      </c>
      <c r="P48" s="1">
        <f t="shared" si="38"/>
        <v>102.93872875000001</v>
      </c>
      <c r="Q48" s="1" t="e">
        <f t="shared" si="38"/>
        <v>#DIV/0!</v>
      </c>
      <c r="R48" s="1" t="e">
        <f t="shared" si="38"/>
        <v>#DIV/0!</v>
      </c>
      <c r="S48" s="1" t="e">
        <f t="shared" si="38"/>
        <v>#DIV/0!</v>
      </c>
      <c r="T48" s="1">
        <f t="shared" si="38"/>
        <v>0.99990000000000001</v>
      </c>
      <c r="U48" s="1">
        <f t="shared" si="38"/>
        <v>62.9101</v>
      </c>
      <c r="V48" s="1">
        <f t="shared" si="38"/>
        <v>2.6595</v>
      </c>
      <c r="W48" s="1">
        <f t="shared" si="38"/>
        <v>0</v>
      </c>
      <c r="X48" s="1">
        <f t="shared" si="38"/>
        <v>0</v>
      </c>
      <c r="Y48" s="1">
        <f t="shared" si="38"/>
        <v>0</v>
      </c>
      <c r="Z48" s="1">
        <f t="shared" si="38"/>
        <v>0</v>
      </c>
      <c r="AA48" s="1">
        <f t="shared" si="38"/>
        <v>0</v>
      </c>
      <c r="AB48" s="1">
        <f t="shared" si="38"/>
        <v>0</v>
      </c>
      <c r="AC48" s="1">
        <f t="shared" si="38"/>
        <v>0</v>
      </c>
      <c r="AD48" s="1" t="e">
        <f t="shared" si="38"/>
        <v>#DIV/0!</v>
      </c>
      <c r="AE48" s="1">
        <f t="shared" si="38"/>
        <v>1.5002</v>
      </c>
    </row>
    <row r="50" spans="1:4" ht="21" x14ac:dyDescent="0.35">
      <c r="A50" s="78" t="s">
        <v>122</v>
      </c>
      <c r="B50" s="78"/>
      <c r="D50" s="5"/>
    </row>
    <row r="51" spans="1:4" ht="21" x14ac:dyDescent="0.35">
      <c r="A51" t="s">
        <v>123</v>
      </c>
      <c r="D51" s="5"/>
    </row>
    <row r="52" spans="1:4" ht="21" x14ac:dyDescent="0.35">
      <c r="A52" t="s">
        <v>124</v>
      </c>
      <c r="D52" s="5"/>
    </row>
    <row r="53" spans="1:4" ht="21" x14ac:dyDescent="0.35">
      <c r="A53" t="s">
        <v>125</v>
      </c>
      <c r="D53" s="5"/>
    </row>
    <row r="54" spans="1:4" ht="21" x14ac:dyDescent="0.35">
      <c r="A54" t="s">
        <v>125</v>
      </c>
      <c r="D54" s="5"/>
    </row>
    <row r="55" spans="1:4" ht="21" x14ac:dyDescent="0.35">
      <c r="D55" s="7"/>
    </row>
    <row r="56" spans="1:4" ht="21" x14ac:dyDescent="0.35">
      <c r="D56" s="5"/>
    </row>
    <row r="57" spans="1:4" ht="21" x14ac:dyDescent="0.35">
      <c r="D57" s="5"/>
    </row>
    <row r="58" spans="1:4" ht="21" x14ac:dyDescent="0.35">
      <c r="D58" s="5"/>
    </row>
    <row r="59" spans="1:4" ht="21" x14ac:dyDescent="0.35">
      <c r="D59" s="5"/>
    </row>
  </sheetData>
  <mergeCells count="11">
    <mergeCell ref="A29:A32"/>
    <mergeCell ref="A4:A8"/>
    <mergeCell ref="A9:A13"/>
    <mergeCell ref="A14:A18"/>
    <mergeCell ref="A19:A23"/>
    <mergeCell ref="A24:A28"/>
    <mergeCell ref="A33:A36"/>
    <mergeCell ref="A37:A40"/>
    <mergeCell ref="A41:A44"/>
    <mergeCell ref="A45:A48"/>
    <mergeCell ref="A50:B5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677B-F8B5-4252-BC42-1977BBA5325E}">
  <dimension ref="A1:DA115"/>
  <sheetViews>
    <sheetView topLeftCell="A3" zoomScaleNormal="100" workbookViewId="0">
      <pane xSplit="1" topLeftCell="AB1" activePane="topRight" state="frozen"/>
      <selection activeCell="A3" sqref="A3"/>
      <selection pane="topRight" activeCell="AU5" sqref="AU5"/>
    </sheetView>
  </sheetViews>
  <sheetFormatPr defaultRowHeight="15" x14ac:dyDescent="0.25"/>
  <cols>
    <col min="4" max="4" width="9.85546875" bestFit="1" customWidth="1"/>
    <col min="6" max="6" width="9.85546875" bestFit="1" customWidth="1"/>
    <col min="10" max="10" width="10.42578125" bestFit="1" customWidth="1"/>
    <col min="11" max="11" width="10.42578125" style="27" bestFit="1" customWidth="1"/>
    <col min="24" max="24" width="18.85546875" bestFit="1" customWidth="1"/>
    <col min="25" max="30" width="9.85546875" bestFit="1" customWidth="1"/>
    <col min="31" max="31" width="11.42578125" style="27" bestFit="1" customWidth="1"/>
    <col min="32" max="34" width="11.42578125" hidden="1" customWidth="1"/>
    <col min="35" max="35" width="14.7109375" hidden="1" customWidth="1"/>
    <col min="36" max="36" width="13" hidden="1" customWidth="1"/>
    <col min="37" max="38" width="9.85546875" hidden="1" customWidth="1"/>
    <col min="39" max="39" width="11.42578125" hidden="1" customWidth="1"/>
    <col min="40" max="40" width="10.42578125" style="27" bestFit="1" customWidth="1"/>
    <col min="41" max="41" width="11.42578125" style="27" bestFit="1" customWidth="1"/>
  </cols>
  <sheetData>
    <row r="1" spans="1:105" x14ac:dyDescent="0.25">
      <c r="A1" t="s">
        <v>0</v>
      </c>
      <c r="J1" t="s">
        <v>1</v>
      </c>
      <c r="M1" t="s">
        <v>2</v>
      </c>
      <c r="W1" t="s">
        <v>3</v>
      </c>
      <c r="X1" t="s">
        <v>4</v>
      </c>
    </row>
    <row r="2" spans="1:105" x14ac:dyDescent="0.25">
      <c r="J2">
        <v>0.83</v>
      </c>
      <c r="L2" t="s">
        <v>5</v>
      </c>
      <c r="M2">
        <v>1.52</v>
      </c>
      <c r="N2" t="s">
        <v>5</v>
      </c>
      <c r="W2">
        <f>(PI()/4 )*80^2</f>
        <v>5026.5482457436692</v>
      </c>
      <c r="X2">
        <f>10^2</f>
        <v>100</v>
      </c>
    </row>
    <row r="3" spans="1:105" ht="294" x14ac:dyDescent="0.35">
      <c r="A3" s="1"/>
      <c r="B3" s="1" t="s">
        <v>6</v>
      </c>
      <c r="C3" s="2" t="s">
        <v>7</v>
      </c>
      <c r="D3" s="1" t="s">
        <v>8</v>
      </c>
      <c r="E3" s="2" t="s">
        <v>9</v>
      </c>
      <c r="F3" s="2" t="s">
        <v>10</v>
      </c>
      <c r="G3" s="1" t="s">
        <v>11</v>
      </c>
      <c r="H3" s="3" t="s">
        <v>12</v>
      </c>
      <c r="I3" s="2" t="s">
        <v>13</v>
      </c>
      <c r="J3" s="2" t="s">
        <v>14</v>
      </c>
      <c r="K3" s="24" t="s">
        <v>15</v>
      </c>
      <c r="L3" s="2" t="s">
        <v>16</v>
      </c>
      <c r="M3" s="2" t="s">
        <v>17</v>
      </c>
      <c r="N3" s="2" t="s">
        <v>18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23</v>
      </c>
      <c r="T3" s="2" t="s">
        <v>69</v>
      </c>
      <c r="U3" s="2" t="s">
        <v>70</v>
      </c>
      <c r="V3" s="2"/>
      <c r="W3" s="2"/>
      <c r="X3" s="1" t="s">
        <v>8</v>
      </c>
      <c r="Y3" s="2" t="s">
        <v>9</v>
      </c>
      <c r="Z3" s="2" t="s">
        <v>10</v>
      </c>
      <c r="AA3" s="1" t="s">
        <v>11</v>
      </c>
      <c r="AB3" s="3" t="s">
        <v>12</v>
      </c>
      <c r="AC3" s="2" t="s">
        <v>13</v>
      </c>
      <c r="AD3" s="2" t="s">
        <v>14</v>
      </c>
      <c r="AE3" s="34" t="s">
        <v>15</v>
      </c>
      <c r="AF3" s="2" t="s">
        <v>16</v>
      </c>
      <c r="AG3" s="2" t="s">
        <v>17</v>
      </c>
      <c r="AH3" s="2" t="s">
        <v>18</v>
      </c>
      <c r="AI3" s="2" t="s">
        <v>19</v>
      </c>
      <c r="AJ3" s="2" t="s">
        <v>20</v>
      </c>
      <c r="AK3" s="2" t="s">
        <v>21</v>
      </c>
      <c r="AL3" s="2" t="s">
        <v>22</v>
      </c>
      <c r="AM3" s="2" t="s">
        <v>23</v>
      </c>
      <c r="AN3" s="41" t="s">
        <v>69</v>
      </c>
      <c r="AO3" s="41" t="s">
        <v>70</v>
      </c>
    </row>
    <row r="4" spans="1:105" ht="32.25" thickBot="1" x14ac:dyDescent="0.4">
      <c r="A4" s="80" t="s">
        <v>29</v>
      </c>
      <c r="B4" s="5">
        <v>1</v>
      </c>
      <c r="C4" s="5" t="s">
        <v>30</v>
      </c>
      <c r="D4" s="6">
        <v>1.504</v>
      </c>
      <c r="E4" s="5">
        <v>1.4118999999999999</v>
      </c>
      <c r="F4" s="6">
        <f>ABS(D4-E4)</f>
        <v>9.2100000000000071E-2</v>
      </c>
      <c r="G4" s="5">
        <f>F4/D4*100</f>
        <v>6.1236702127659619</v>
      </c>
      <c r="H4" s="5">
        <v>0.54969999999999997</v>
      </c>
      <c r="I4" s="5">
        <f>ABS(E4-H4)</f>
        <v>0.86219999999999997</v>
      </c>
      <c r="J4" s="5">
        <f>E4*$J$2/I4</f>
        <v>1.3591707260496404</v>
      </c>
      <c r="K4" s="25">
        <f>J4/$M$2*100</f>
        <v>89.419126713792124</v>
      </c>
      <c r="L4">
        <v>10.118</v>
      </c>
      <c r="M4">
        <v>10.151999999999999</v>
      </c>
      <c r="N4">
        <v>11.462</v>
      </c>
      <c r="O4" s="5">
        <f>L4*M4*N4</f>
        <v>1177.3529824319999</v>
      </c>
      <c r="P4" s="5">
        <f>L4*M4</f>
        <v>102.71793599999999</v>
      </c>
      <c r="Q4" s="5">
        <f>E4/(O4*0.001)</f>
        <v>1.1992155462871532</v>
      </c>
      <c r="R4" s="5">
        <f>Q4/$M$2</f>
        <v>0.78895759624154815</v>
      </c>
      <c r="S4" s="5">
        <f>ABS(J4-Q4)/((J4+Q4)/2)*100</f>
        <v>12.504380709984533</v>
      </c>
      <c r="T4" s="5"/>
      <c r="U4" s="5"/>
      <c r="V4" s="5"/>
      <c r="W4" s="5" t="s">
        <v>66</v>
      </c>
      <c r="X4" s="6">
        <f t="shared" ref="X4:AO4" si="0">AVERAGE(D4:D8)</f>
        <v>1.4987000000000001</v>
      </c>
      <c r="Y4" s="6">
        <f t="shared" si="0"/>
        <v>1.4238199999999999</v>
      </c>
      <c r="Z4" s="6">
        <f t="shared" si="0"/>
        <v>7.4880000000000058E-2</v>
      </c>
      <c r="AA4" s="6">
        <f t="shared" si="0"/>
        <v>4.9995289629123745</v>
      </c>
      <c r="AB4" s="6">
        <f t="shared" si="0"/>
        <v>0.56640000000000001</v>
      </c>
      <c r="AC4" s="6">
        <f t="shared" si="0"/>
        <v>0.85741999999999996</v>
      </c>
      <c r="AD4" s="6">
        <f t="shared" si="0"/>
        <v>1.3785668833196396</v>
      </c>
      <c r="AE4" s="28">
        <f t="shared" si="0"/>
        <v>90.69518969208157</v>
      </c>
      <c r="AF4" s="6">
        <f t="shared" si="0"/>
        <v>10.1912</v>
      </c>
      <c r="AG4" s="6">
        <f t="shared" si="0"/>
        <v>10.1584</v>
      </c>
      <c r="AH4" s="6">
        <f t="shared" si="0"/>
        <v>10.663399999999999</v>
      </c>
      <c r="AI4" s="6">
        <f t="shared" si="0"/>
        <v>1103.67969419</v>
      </c>
      <c r="AJ4" s="6">
        <f t="shared" si="0"/>
        <v>103.5181352</v>
      </c>
      <c r="AK4" s="6">
        <f t="shared" si="0"/>
        <v>1.291936369128869</v>
      </c>
      <c r="AL4" s="6">
        <f t="shared" si="0"/>
        <v>0.84995813758478211</v>
      </c>
      <c r="AM4" s="6">
        <f t="shared" si="0"/>
        <v>6.5613206688083867</v>
      </c>
      <c r="AN4" s="28">
        <f t="shared" si="0"/>
        <v>1.74</v>
      </c>
      <c r="AO4" s="28">
        <f t="shared" si="0"/>
        <v>27.47666666666667</v>
      </c>
      <c r="AS4" s="59" t="s">
        <v>66</v>
      </c>
      <c r="AT4" s="59"/>
      <c r="AU4" s="59"/>
      <c r="AV4" t="s">
        <v>72</v>
      </c>
      <c r="AW4" s="42" t="s">
        <v>74</v>
      </c>
      <c r="AX4" s="42" t="s">
        <v>87</v>
      </c>
    </row>
    <row r="5" spans="1:105" s="38" customFormat="1" ht="21" customHeight="1" x14ac:dyDescent="0.35">
      <c r="A5" s="80"/>
      <c r="B5" s="20">
        <v>2</v>
      </c>
      <c r="C5" s="20"/>
      <c r="D5" s="20">
        <v>1.4992000000000001</v>
      </c>
      <c r="E5" s="20">
        <v>1.4542999999999999</v>
      </c>
      <c r="F5" s="21">
        <f t="shared" ref="F5:F66" si="1">ABS(D5-E5)</f>
        <v>4.4900000000000162E-2</v>
      </c>
      <c r="G5" s="20">
        <f t="shared" ref="G5:G66" si="2">F5/D5*100</f>
        <v>2.9949306296691676</v>
      </c>
      <c r="H5" s="20">
        <v>0.58560000000000001</v>
      </c>
      <c r="I5" s="20">
        <f t="shared" ref="I5:I66" si="3">ABS(E5-H5)</f>
        <v>0.86869999999999992</v>
      </c>
      <c r="J5" s="20">
        <f t="shared" ref="J5:J66" si="4">E5*$J$2/I5</f>
        <v>1.3895119143547832</v>
      </c>
      <c r="K5" s="25">
        <f t="shared" ref="K5:K48" si="5">J5/$M$2*100</f>
        <v>91.415257523340998</v>
      </c>
      <c r="L5" s="38">
        <v>10.141</v>
      </c>
      <c r="M5" s="38">
        <v>10.122</v>
      </c>
      <c r="N5" s="38">
        <v>10.448</v>
      </c>
      <c r="O5" s="20">
        <f t="shared" ref="O5:O66" si="6">L5*M5*N5</f>
        <v>1072.4579664959999</v>
      </c>
      <c r="P5" s="20">
        <f t="shared" ref="P5:P66" si="7">L5*M5</f>
        <v>102.64720199999999</v>
      </c>
      <c r="Q5" s="20">
        <f>E5/(O5*0.001)</f>
        <v>1.356043822166362</v>
      </c>
      <c r="R5" s="20">
        <f t="shared" ref="R5:R66" si="8">Q5/$M$2</f>
        <v>0.89213409353050133</v>
      </c>
      <c r="S5" s="20">
        <f t="shared" ref="S5:S66" si="9">ABS(J5-Q5)/((J5+Q5)/2)*100</f>
        <v>2.4379830824944841</v>
      </c>
      <c r="T5" s="20">
        <v>1.79</v>
      </c>
      <c r="U5" s="20">
        <v>30.04</v>
      </c>
      <c r="V5" s="20"/>
      <c r="W5" s="5" t="s">
        <v>67</v>
      </c>
      <c r="X5" s="5">
        <f>_xlfn.STDEV.S(D4:D8)</f>
        <v>7.2580989246496305E-3</v>
      </c>
      <c r="Y5" s="5">
        <f t="shared" ref="Y5:AO5" si="10">_xlfn.STDEV.S(E4:E8)</f>
        <v>3.1862940856110543E-2</v>
      </c>
      <c r="Z5" s="5">
        <f t="shared" si="10"/>
        <v>2.8102704496186799E-2</v>
      </c>
      <c r="AA5" s="5">
        <f t="shared" si="10"/>
        <v>1.8869973443753789</v>
      </c>
      <c r="AB5" s="5">
        <f t="shared" si="10"/>
        <v>1.5052408445162547E-2</v>
      </c>
      <c r="AC5" s="5">
        <f t="shared" si="10"/>
        <v>2.4418578992234565E-2</v>
      </c>
      <c r="AD5" s="5">
        <f t="shared" si="10"/>
        <v>1.8749245716347753E-2</v>
      </c>
      <c r="AE5" s="25">
        <f t="shared" si="10"/>
        <v>1.23350300765446</v>
      </c>
      <c r="AF5" s="5">
        <f t="shared" si="10"/>
        <v>0.11113595277856801</v>
      </c>
      <c r="AG5" s="5">
        <f t="shared" si="10"/>
        <v>0.14181431521535454</v>
      </c>
      <c r="AH5" s="5">
        <f t="shared" si="10"/>
        <v>0.519198709551555</v>
      </c>
      <c r="AI5" s="5">
        <f t="shared" si="10"/>
        <v>50.3263222449987</v>
      </c>
      <c r="AJ5" s="5">
        <f t="shared" si="10"/>
        <v>1.1092048163678803</v>
      </c>
      <c r="AK5" s="5">
        <f t="shared" si="10"/>
        <v>5.8254291543491633E-2</v>
      </c>
      <c r="AL5" s="5">
        <f t="shared" si="10"/>
        <v>3.8325191804928709E-2</v>
      </c>
      <c r="AM5" s="5">
        <f t="shared" si="10"/>
        <v>3.9738837480321005</v>
      </c>
      <c r="AN5" s="25">
        <f t="shared" si="10"/>
        <v>4.5825756949558441E-2</v>
      </c>
      <c r="AO5" s="25">
        <f t="shared" si="10"/>
        <v>2.2602286020076225</v>
      </c>
      <c r="AP5"/>
      <c r="AQ5"/>
      <c r="AR5"/>
      <c r="AS5" s="60" t="s">
        <v>82</v>
      </c>
      <c r="AT5" s="63" t="s">
        <v>84</v>
      </c>
      <c r="AU5" s="43">
        <v>0</v>
      </c>
      <c r="AV5" s="43">
        <f>AE9</f>
        <v>91.078605244596801</v>
      </c>
      <c r="AW5" s="43">
        <f>AN9</f>
        <v>1.736</v>
      </c>
      <c r="AX5" s="44">
        <f>AO9</f>
        <v>27.248000000000001</v>
      </c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</row>
    <row r="6" spans="1:105" ht="21" x14ac:dyDescent="0.35">
      <c r="A6" s="80"/>
      <c r="B6" s="5">
        <v>3</v>
      </c>
      <c r="C6" s="5"/>
      <c r="D6" s="5">
        <v>1.5016</v>
      </c>
      <c r="E6" s="5">
        <v>1.4108000000000001</v>
      </c>
      <c r="F6" s="6">
        <f t="shared" si="1"/>
        <v>9.0799999999999992E-2</v>
      </c>
      <c r="G6" s="5">
        <f t="shared" si="2"/>
        <v>6.0468833244539155</v>
      </c>
      <c r="H6" s="5">
        <v>0.55379999999999996</v>
      </c>
      <c r="I6" s="5">
        <f t="shared" si="3"/>
        <v>0.8570000000000001</v>
      </c>
      <c r="J6" s="5">
        <f t="shared" si="4"/>
        <v>1.366352392065344</v>
      </c>
      <c r="K6" s="25">
        <f t="shared" si="5"/>
        <v>89.891604741141052</v>
      </c>
      <c r="L6">
        <v>10.233000000000001</v>
      </c>
      <c r="M6">
        <v>10.047000000000001</v>
      </c>
      <c r="N6">
        <v>10.401</v>
      </c>
      <c r="O6" s="5">
        <f t="shared" si="6"/>
        <v>1069.3367013510001</v>
      </c>
      <c r="P6" s="5">
        <f t="shared" si="7"/>
        <v>102.81095100000002</v>
      </c>
      <c r="Q6" s="5">
        <f t="shared" ref="Q6:Q67" si="11">E6/(O6*0.001)</f>
        <v>1.3193225278975229</v>
      </c>
      <c r="R6" s="5">
        <f t="shared" si="8"/>
        <v>0.8679753473010019</v>
      </c>
      <c r="S6" s="5">
        <f t="shared" si="9"/>
        <v>3.5022752618527129</v>
      </c>
      <c r="T6" s="5"/>
      <c r="U6" s="5"/>
      <c r="V6" s="5"/>
      <c r="W6" s="5" t="s">
        <v>61</v>
      </c>
      <c r="X6" s="6">
        <f>MIN(D4:D8)</f>
        <v>1.4861</v>
      </c>
      <c r="Y6" s="6">
        <f t="shared" ref="Y6:AO6" si="12">MIN(E4:E8)</f>
        <v>1.3835999999999999</v>
      </c>
      <c r="Z6" s="6">
        <f t="shared" si="12"/>
        <v>4.4100000000000028E-2</v>
      </c>
      <c r="AA6" s="6">
        <f t="shared" si="12"/>
        <v>2.9349128177825126</v>
      </c>
      <c r="AB6" s="6">
        <f t="shared" si="12"/>
        <v>0.54969999999999997</v>
      </c>
      <c r="AC6" s="6">
        <f t="shared" si="12"/>
        <v>0.81709999999999994</v>
      </c>
      <c r="AD6" s="6">
        <f t="shared" si="12"/>
        <v>1.3591707260496404</v>
      </c>
      <c r="AE6" s="28">
        <f t="shared" si="12"/>
        <v>89.419126713792124</v>
      </c>
      <c r="AF6" s="6">
        <f t="shared" si="12"/>
        <v>10.097</v>
      </c>
      <c r="AG6" s="6">
        <f t="shared" si="12"/>
        <v>10.047000000000001</v>
      </c>
      <c r="AH6" s="6">
        <f t="shared" si="12"/>
        <v>10.132999999999999</v>
      </c>
      <c r="AI6" s="6">
        <f t="shared" si="12"/>
        <v>1064.1564833009998</v>
      </c>
      <c r="AJ6" s="6">
        <f t="shared" si="12"/>
        <v>102.64720199999999</v>
      </c>
      <c r="AK6" s="6">
        <f t="shared" si="12"/>
        <v>1.1992155462871532</v>
      </c>
      <c r="AL6" s="6">
        <f t="shared" si="12"/>
        <v>0.78895759624154815</v>
      </c>
      <c r="AM6" s="6">
        <f t="shared" si="12"/>
        <v>2.4379830824944841</v>
      </c>
      <c r="AN6" s="28">
        <f t="shared" si="12"/>
        <v>1.7</v>
      </c>
      <c r="AO6" s="28">
        <f t="shared" si="12"/>
        <v>25.77</v>
      </c>
      <c r="AS6" s="61"/>
      <c r="AT6" s="64"/>
      <c r="AU6">
        <v>24</v>
      </c>
      <c r="AV6">
        <f>AE15</f>
        <v>91.611968011715078</v>
      </c>
      <c r="AW6">
        <f>AN15</f>
        <v>2.0175000000000001</v>
      </c>
      <c r="AX6" s="45">
        <f>AO15</f>
        <v>27.112500000000001</v>
      </c>
    </row>
    <row r="7" spans="1:105" s="38" customFormat="1" ht="21" x14ac:dyDescent="0.35">
      <c r="A7" s="80"/>
      <c r="B7" s="20">
        <v>4</v>
      </c>
      <c r="C7" s="20"/>
      <c r="D7" s="20">
        <v>1.5025999999999999</v>
      </c>
      <c r="E7" s="20">
        <v>1.4584999999999999</v>
      </c>
      <c r="F7" s="21">
        <f t="shared" si="1"/>
        <v>4.4100000000000028E-2</v>
      </c>
      <c r="G7" s="20">
        <f t="shared" si="2"/>
        <v>2.9349128177825126</v>
      </c>
      <c r="H7" s="20">
        <v>0.57640000000000002</v>
      </c>
      <c r="I7" s="20">
        <f t="shared" si="3"/>
        <v>0.88209999999999988</v>
      </c>
      <c r="J7" s="20">
        <f t="shared" si="4"/>
        <v>1.3723557419793675</v>
      </c>
      <c r="K7" s="25">
        <f t="shared" si="5"/>
        <v>90.286561972326808</v>
      </c>
      <c r="L7" s="38">
        <v>10.367000000000001</v>
      </c>
      <c r="M7" s="38">
        <v>10.07</v>
      </c>
      <c r="N7" s="38">
        <v>10.872999999999999</v>
      </c>
      <c r="O7" s="20">
        <f t="shared" si="6"/>
        <v>1135.0943373700002</v>
      </c>
      <c r="P7" s="20">
        <f t="shared" si="7"/>
        <v>104.39569000000002</v>
      </c>
      <c r="Q7" s="20">
        <f t="shared" si="11"/>
        <v>1.2849152286137968</v>
      </c>
      <c r="R7" s="20">
        <f t="shared" si="8"/>
        <v>0.84533896619328741</v>
      </c>
      <c r="S7" s="20">
        <f t="shared" si="9"/>
        <v>6.5812267046331323</v>
      </c>
      <c r="T7" s="20">
        <v>1.73</v>
      </c>
      <c r="U7" s="20">
        <v>25.77</v>
      </c>
      <c r="V7" s="20"/>
      <c r="W7" s="5" t="s">
        <v>62</v>
      </c>
      <c r="X7" s="6">
        <f>MAX(D4:D8)</f>
        <v>1.504</v>
      </c>
      <c r="Y7" s="6">
        <f t="shared" ref="Y7:AO7" si="13">MAX(E4:E8)</f>
        <v>1.4584999999999999</v>
      </c>
      <c r="Z7" s="6">
        <f t="shared" si="13"/>
        <v>0.10250000000000004</v>
      </c>
      <c r="AA7" s="6">
        <f t="shared" si="13"/>
        <v>6.8972478298903201</v>
      </c>
      <c r="AB7" s="6">
        <f t="shared" si="13"/>
        <v>0.58560000000000001</v>
      </c>
      <c r="AC7" s="6">
        <f t="shared" si="13"/>
        <v>0.88209999999999988</v>
      </c>
      <c r="AD7" s="6">
        <f t="shared" si="13"/>
        <v>1.4054436421490639</v>
      </c>
      <c r="AE7" s="28">
        <f t="shared" si="13"/>
        <v>92.463397509806839</v>
      </c>
      <c r="AF7" s="6">
        <f t="shared" si="13"/>
        <v>10.367000000000001</v>
      </c>
      <c r="AG7" s="6">
        <f t="shared" si="13"/>
        <v>10.401</v>
      </c>
      <c r="AH7" s="6">
        <f t="shared" si="13"/>
        <v>11.462</v>
      </c>
      <c r="AI7" s="6">
        <f t="shared" si="13"/>
        <v>1177.3529824319999</v>
      </c>
      <c r="AJ7" s="6">
        <f t="shared" si="13"/>
        <v>105.018897</v>
      </c>
      <c r="AK7" s="6">
        <f t="shared" si="13"/>
        <v>1.356043822166362</v>
      </c>
      <c r="AL7" s="6">
        <f t="shared" si="13"/>
        <v>0.89213409353050133</v>
      </c>
      <c r="AM7" s="6">
        <f>MAX(S4:S8)</f>
        <v>12.504380709984533</v>
      </c>
      <c r="AN7" s="28">
        <f t="shared" si="13"/>
        <v>1.79</v>
      </c>
      <c r="AO7" s="28">
        <f t="shared" si="13"/>
        <v>30.04</v>
      </c>
      <c r="AP7"/>
      <c r="AQ7"/>
      <c r="AR7"/>
      <c r="AS7" s="61"/>
      <c r="AT7" s="64"/>
      <c r="AU7">
        <v>48</v>
      </c>
      <c r="AV7">
        <f>AE27</f>
        <v>91.235538281502102</v>
      </c>
      <c r="AW7">
        <f>AN27</f>
        <v>1.5719999999999998</v>
      </c>
      <c r="AX7" s="45">
        <f>AO27</f>
        <v>64.244</v>
      </c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</row>
    <row r="8" spans="1:105" s="38" customFormat="1" ht="21.75" thickBot="1" x14ac:dyDescent="0.4">
      <c r="A8" s="80"/>
      <c r="B8" s="20">
        <v>5</v>
      </c>
      <c r="C8" s="20"/>
      <c r="D8" s="20">
        <v>1.4861</v>
      </c>
      <c r="E8" s="20">
        <v>1.3835999999999999</v>
      </c>
      <c r="F8" s="21">
        <f t="shared" si="1"/>
        <v>0.10250000000000004</v>
      </c>
      <c r="G8" s="20">
        <f t="shared" si="2"/>
        <v>6.8972478298903201</v>
      </c>
      <c r="H8" s="20">
        <v>0.5665</v>
      </c>
      <c r="I8" s="20">
        <f t="shared" si="3"/>
        <v>0.81709999999999994</v>
      </c>
      <c r="J8" s="20">
        <f t="shared" si="4"/>
        <v>1.4054436421490639</v>
      </c>
      <c r="K8" s="25">
        <f t="shared" si="5"/>
        <v>92.463397509806839</v>
      </c>
      <c r="L8" s="38">
        <v>10.097</v>
      </c>
      <c r="M8" s="38">
        <v>10.401</v>
      </c>
      <c r="N8" s="38">
        <v>10.132999999999999</v>
      </c>
      <c r="O8" s="20">
        <f t="shared" si="6"/>
        <v>1064.1564833009998</v>
      </c>
      <c r="P8" s="20">
        <f t="shared" si="7"/>
        <v>105.018897</v>
      </c>
      <c r="Q8" s="20">
        <f t="shared" si="11"/>
        <v>1.3001847206795099</v>
      </c>
      <c r="R8" s="20">
        <f t="shared" si="8"/>
        <v>0.85538468465757223</v>
      </c>
      <c r="S8" s="20">
        <f t="shared" si="9"/>
        <v>7.7807375850770661</v>
      </c>
      <c r="T8" s="20">
        <v>1.7</v>
      </c>
      <c r="U8" s="20">
        <v>26.62</v>
      </c>
      <c r="V8" s="20"/>
      <c r="W8" s="5" t="s">
        <v>68</v>
      </c>
      <c r="X8" s="5">
        <f>COUNT(D4:D8)</f>
        <v>5</v>
      </c>
      <c r="Y8" s="5">
        <f t="shared" ref="Y8:AO8" si="14">COUNT(E4:E8)</f>
        <v>5</v>
      </c>
      <c r="Z8" s="5">
        <f t="shared" si="14"/>
        <v>5</v>
      </c>
      <c r="AA8" s="5">
        <f t="shared" si="14"/>
        <v>5</v>
      </c>
      <c r="AB8" s="5">
        <f t="shared" si="14"/>
        <v>5</v>
      </c>
      <c r="AC8" s="5">
        <f t="shared" si="14"/>
        <v>5</v>
      </c>
      <c r="AD8" s="5">
        <f t="shared" si="14"/>
        <v>5</v>
      </c>
      <c r="AE8" s="25">
        <f t="shared" si="14"/>
        <v>5</v>
      </c>
      <c r="AF8" s="5">
        <f t="shared" si="14"/>
        <v>5</v>
      </c>
      <c r="AG8" s="5">
        <f t="shared" si="14"/>
        <v>5</v>
      </c>
      <c r="AH8" s="5">
        <f t="shared" si="14"/>
        <v>5</v>
      </c>
      <c r="AI8" s="5">
        <f t="shared" si="14"/>
        <v>5</v>
      </c>
      <c r="AJ8" s="5">
        <f t="shared" si="14"/>
        <v>5</v>
      </c>
      <c r="AK8" s="5">
        <f t="shared" si="14"/>
        <v>5</v>
      </c>
      <c r="AL8" s="5">
        <f t="shared" si="14"/>
        <v>5</v>
      </c>
      <c r="AM8" s="5">
        <f t="shared" si="14"/>
        <v>5</v>
      </c>
      <c r="AN8" s="25">
        <f t="shared" si="14"/>
        <v>3</v>
      </c>
      <c r="AO8" s="25">
        <f t="shared" si="14"/>
        <v>3</v>
      </c>
      <c r="AP8"/>
      <c r="AQ8"/>
      <c r="AR8"/>
      <c r="AS8" s="61"/>
      <c r="AT8" s="65"/>
      <c r="AU8" s="46">
        <v>168</v>
      </c>
      <c r="AV8" s="46">
        <f>AE39</f>
        <v>91.270926716730898</v>
      </c>
      <c r="AW8" s="46">
        <f>AN39</f>
        <v>1.22</v>
      </c>
      <c r="AX8" s="47">
        <f>AO39</f>
        <v>20.350000000000001</v>
      </c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</row>
    <row r="9" spans="1:105" s="38" customFormat="1" ht="21" x14ac:dyDescent="0.35">
      <c r="A9" s="80" t="s">
        <v>31</v>
      </c>
      <c r="B9" s="22">
        <v>6</v>
      </c>
      <c r="C9" s="22"/>
      <c r="D9" s="22">
        <v>1.5017</v>
      </c>
      <c r="E9" s="22">
        <v>1.4841</v>
      </c>
      <c r="F9" s="23">
        <f t="shared" si="1"/>
        <v>1.760000000000006E-2</v>
      </c>
      <c r="G9" s="22">
        <f t="shared" si="2"/>
        <v>1.1720050609309489</v>
      </c>
      <c r="H9" s="22">
        <v>0.59370000000000001</v>
      </c>
      <c r="I9" s="22">
        <f t="shared" si="3"/>
        <v>0.89039999999999997</v>
      </c>
      <c r="J9" s="22">
        <f t="shared" si="4"/>
        <v>1.3834265498652292</v>
      </c>
      <c r="K9" s="25">
        <f t="shared" si="5"/>
        <v>91.014904596396647</v>
      </c>
      <c r="L9" s="38">
        <v>10.067</v>
      </c>
      <c r="M9" s="38">
        <v>10.231999999999999</v>
      </c>
      <c r="N9" s="38">
        <v>10.672000000000001</v>
      </c>
      <c r="O9" s="22">
        <f t="shared" si="6"/>
        <v>1099.2751655680001</v>
      </c>
      <c r="P9" s="22">
        <f t="shared" si="7"/>
        <v>103.005544</v>
      </c>
      <c r="Q9" s="20">
        <f t="shared" si="11"/>
        <v>1.3500714347832639</v>
      </c>
      <c r="R9" s="20">
        <f t="shared" si="8"/>
        <v>0.88820489130477887</v>
      </c>
      <c r="S9" s="20">
        <f t="shared" si="9"/>
        <v>2.4404711669289578</v>
      </c>
      <c r="T9" s="22">
        <v>1.52</v>
      </c>
      <c r="U9" s="22">
        <v>21.8</v>
      </c>
      <c r="V9" s="20"/>
      <c r="W9" s="5" t="s">
        <v>66</v>
      </c>
      <c r="X9" s="7">
        <f>AVERAGE(D9:D14)</f>
        <v>1.5016766666666668</v>
      </c>
      <c r="Y9" s="7">
        <f t="shared" ref="Y9:AO9" si="15">AVERAGE(E9:E14)</f>
        <v>1.4749999999999999</v>
      </c>
      <c r="Z9" s="7">
        <f t="shared" si="15"/>
        <v>2.6676666666666609E-2</v>
      </c>
      <c r="AA9" s="7">
        <f t="shared" si="15"/>
        <v>1.776374716677048</v>
      </c>
      <c r="AB9" s="7">
        <f t="shared" si="15"/>
        <v>0.59066666666666656</v>
      </c>
      <c r="AC9" s="7">
        <f t="shared" si="15"/>
        <v>0.8843333333333333</v>
      </c>
      <c r="AD9" s="7">
        <f t="shared" si="15"/>
        <v>1.3843947997178712</v>
      </c>
      <c r="AE9" s="26">
        <f t="shared" si="15"/>
        <v>91.078605244596801</v>
      </c>
      <c r="AF9" s="7">
        <f t="shared" si="15"/>
        <v>10.126833333333332</v>
      </c>
      <c r="AG9" s="7">
        <f t="shared" si="15"/>
        <v>10.271500000000001</v>
      </c>
      <c r="AH9" s="7">
        <f t="shared" si="15"/>
        <v>10.631500000000001</v>
      </c>
      <c r="AI9" s="7">
        <f t="shared" si="15"/>
        <v>1105.8049537155</v>
      </c>
      <c r="AJ9" s="7">
        <f t="shared" si="15"/>
        <v>104.0175845</v>
      </c>
      <c r="AK9" s="7">
        <f t="shared" si="15"/>
        <v>1.3343261596583791</v>
      </c>
      <c r="AL9" s="7">
        <f t="shared" si="15"/>
        <v>0.8778461576699863</v>
      </c>
      <c r="AM9" s="7">
        <f t="shared" si="15"/>
        <v>3.7022964408793708</v>
      </c>
      <c r="AN9" s="26">
        <f t="shared" si="15"/>
        <v>1.736</v>
      </c>
      <c r="AO9" s="26">
        <f t="shared" si="15"/>
        <v>27.248000000000001</v>
      </c>
      <c r="AP9"/>
      <c r="AQ9"/>
      <c r="AR9"/>
      <c r="AS9" s="61"/>
      <c r="AT9" s="64" t="s">
        <v>83</v>
      </c>
      <c r="AU9">
        <v>0</v>
      </c>
      <c r="AV9">
        <f>AV5</f>
        <v>91.078605244596801</v>
      </c>
      <c r="AW9">
        <f>AW5</f>
        <v>1.736</v>
      </c>
      <c r="AX9" s="45">
        <f>AX5</f>
        <v>27.248000000000001</v>
      </c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</row>
    <row r="10" spans="1:105" s="38" customFormat="1" ht="32.25" thickBot="1" x14ac:dyDescent="0.4">
      <c r="A10" s="80"/>
      <c r="B10" s="20">
        <v>7</v>
      </c>
      <c r="C10" s="20"/>
      <c r="D10" s="20">
        <v>1.5027999999999999</v>
      </c>
      <c r="E10" s="20">
        <v>1.4778</v>
      </c>
      <c r="F10" s="21">
        <f t="shared" si="1"/>
        <v>2.4999999999999911E-2</v>
      </c>
      <c r="G10" s="20">
        <f t="shared" si="2"/>
        <v>1.6635613521426611</v>
      </c>
      <c r="H10" s="20">
        <v>0.5948</v>
      </c>
      <c r="I10" s="20">
        <f t="shared" si="3"/>
        <v>0.88300000000000001</v>
      </c>
      <c r="J10" s="20">
        <f t="shared" si="4"/>
        <v>1.3890985277463195</v>
      </c>
      <c r="K10" s="25">
        <f t="shared" si="5"/>
        <v>91.388061035942073</v>
      </c>
      <c r="L10" s="38">
        <v>10.164999999999999</v>
      </c>
      <c r="M10" s="38">
        <v>10.425000000000001</v>
      </c>
      <c r="N10" s="38">
        <v>10.401</v>
      </c>
      <c r="O10" s="20">
        <f t="shared" si="6"/>
        <v>1102.195270125</v>
      </c>
      <c r="P10" s="20">
        <f t="shared" si="7"/>
        <v>105.970125</v>
      </c>
      <c r="Q10" s="20">
        <f t="shared" si="11"/>
        <v>1.3407787531445337</v>
      </c>
      <c r="R10" s="20">
        <f t="shared" si="8"/>
        <v>0.88209128496350897</v>
      </c>
      <c r="S10" s="20">
        <f t="shared" si="9"/>
        <v>3.5400693606283591</v>
      </c>
      <c r="T10" s="20">
        <v>1.76</v>
      </c>
      <c r="U10" s="20">
        <v>30.55</v>
      </c>
      <c r="V10" s="20"/>
      <c r="W10" s="5" t="s">
        <v>67</v>
      </c>
      <c r="X10" s="5">
        <f>_xlfn.STDEV.S(D9:D14)</f>
        <v>9.2739779311073317E-4</v>
      </c>
      <c r="Y10" s="5">
        <f t="shared" ref="Y10:AO10" si="16">_xlfn.STDEV.S(E9:E14)</f>
        <v>6.5059972333224789E-3</v>
      </c>
      <c r="Z10" s="5">
        <f t="shared" si="16"/>
        <v>6.7856957393229956E-3</v>
      </c>
      <c r="AA10" s="5">
        <f t="shared" si="16"/>
        <v>0.45142243605327398</v>
      </c>
      <c r="AB10" s="5">
        <f t="shared" si="16"/>
        <v>4.9479962274305046E-3</v>
      </c>
      <c r="AC10" s="5">
        <f t="shared" si="16"/>
        <v>5.0606982390443049E-3</v>
      </c>
      <c r="AD10" s="5">
        <f t="shared" si="16"/>
        <v>6.0211181987358392E-3</v>
      </c>
      <c r="AE10" s="25">
        <f t="shared" si="16"/>
        <v>0.39612619728525311</v>
      </c>
      <c r="AF10" s="5">
        <f t="shared" si="16"/>
        <v>7.7049118532704283E-2</v>
      </c>
      <c r="AG10" s="5">
        <f t="shared" si="16"/>
        <v>0.17605879699691215</v>
      </c>
      <c r="AH10" s="5">
        <f t="shared" si="16"/>
        <v>0.12190939258318056</v>
      </c>
      <c r="AI10" s="5">
        <f t="shared" si="16"/>
        <v>20.89888510304262</v>
      </c>
      <c r="AJ10" s="5">
        <f t="shared" si="16"/>
        <v>1.944532739893442</v>
      </c>
      <c r="AK10" s="5">
        <f t="shared" si="16"/>
        <v>2.9258034154784375E-2</v>
      </c>
      <c r="AL10" s="5">
        <f t="shared" si="16"/>
        <v>1.9248706680779191E-2</v>
      </c>
      <c r="AM10" s="5">
        <f t="shared" si="16"/>
        <v>2.1583538596718168</v>
      </c>
      <c r="AN10" s="25">
        <f t="shared" si="16"/>
        <v>0.22634045153264118</v>
      </c>
      <c r="AO10" s="25">
        <f t="shared" si="16"/>
        <v>5.5405974407098002</v>
      </c>
      <c r="AP10"/>
      <c r="AQ10"/>
      <c r="AR10"/>
      <c r="AS10" s="61"/>
      <c r="AT10" s="64"/>
      <c r="AU10">
        <v>24</v>
      </c>
      <c r="AV10">
        <f>AE49</f>
        <v>87.654244617102975</v>
      </c>
      <c r="AW10">
        <f>AN49</f>
        <v>1.84</v>
      </c>
      <c r="AX10" s="45">
        <f>AO49</f>
        <v>31.21</v>
      </c>
      <c r="AZ10"/>
      <c r="BA10"/>
      <c r="BB10"/>
      <c r="BC10"/>
      <c r="BD10"/>
      <c r="BE10"/>
      <c r="BF10" s="86" t="s">
        <v>66</v>
      </c>
      <c r="BG10" s="86"/>
      <c r="BH10" s="86"/>
      <c r="BI10" t="s">
        <v>72</v>
      </c>
      <c r="BJ10" s="42" t="s">
        <v>74</v>
      </c>
      <c r="BK10" s="42" t="s">
        <v>87</v>
      </c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</row>
    <row r="11" spans="1:105" s="38" customFormat="1" ht="21" x14ac:dyDescent="0.35">
      <c r="A11" s="80"/>
      <c r="B11" s="20">
        <v>8</v>
      </c>
      <c r="C11" s="20"/>
      <c r="D11" s="20">
        <v>1.5003</v>
      </c>
      <c r="E11" s="20">
        <v>1.4775</v>
      </c>
      <c r="F11" s="21">
        <f t="shared" si="1"/>
        <v>2.2799999999999931E-2</v>
      </c>
      <c r="G11" s="20">
        <f t="shared" si="2"/>
        <v>1.5196960607878378</v>
      </c>
      <c r="H11" s="20">
        <v>0.59470000000000001</v>
      </c>
      <c r="I11" s="20">
        <f t="shared" si="3"/>
        <v>0.88280000000000003</v>
      </c>
      <c r="J11" s="20">
        <f t="shared" si="4"/>
        <v>1.3891311735387402</v>
      </c>
      <c r="K11" s="25">
        <f t="shared" si="5"/>
        <v>91.390208785443434</v>
      </c>
      <c r="L11" s="38">
        <v>10.23</v>
      </c>
      <c r="M11" s="38">
        <v>10.028</v>
      </c>
      <c r="N11" s="38">
        <v>10.661</v>
      </c>
      <c r="O11" s="20">
        <f t="shared" si="6"/>
        <v>1093.6740368400001</v>
      </c>
      <c r="P11" s="20">
        <f t="shared" si="7"/>
        <v>102.58644000000001</v>
      </c>
      <c r="Q11" s="20">
        <f t="shared" si="11"/>
        <v>1.3509509691470822</v>
      </c>
      <c r="R11" s="20">
        <f t="shared" si="8"/>
        <v>0.88878353233360674</v>
      </c>
      <c r="S11" s="20">
        <f t="shared" si="9"/>
        <v>2.7867926874800748</v>
      </c>
      <c r="T11" s="20">
        <v>1.98</v>
      </c>
      <c r="U11" s="20">
        <v>31.57</v>
      </c>
      <c r="V11" s="20"/>
      <c r="W11" s="5" t="s">
        <v>61</v>
      </c>
      <c r="X11" s="5">
        <f>MIN(D9:D14)</f>
        <v>1.5003</v>
      </c>
      <c r="Y11" s="5">
        <f t="shared" ref="Y11:AO11" si="17">MIN(E9:E14)</f>
        <v>1.4671000000000001</v>
      </c>
      <c r="Z11" s="5">
        <f t="shared" si="17"/>
        <v>1.760000000000006E-2</v>
      </c>
      <c r="AA11" s="5">
        <f t="shared" si="17"/>
        <v>1.1720050609309489</v>
      </c>
      <c r="AB11" s="5">
        <f t="shared" si="17"/>
        <v>0.58240000000000003</v>
      </c>
      <c r="AC11" s="5">
        <f t="shared" si="17"/>
        <v>0.87600000000000011</v>
      </c>
      <c r="AD11" s="5">
        <f t="shared" si="17"/>
        <v>1.3759588886379037</v>
      </c>
      <c r="AE11" s="25">
        <f t="shared" si="17"/>
        <v>90.523611094598934</v>
      </c>
      <c r="AF11" s="5">
        <f t="shared" si="17"/>
        <v>10.048999999999999</v>
      </c>
      <c r="AG11" s="5">
        <f t="shared" si="17"/>
        <v>10.028</v>
      </c>
      <c r="AH11" s="5">
        <f t="shared" si="17"/>
        <v>10.401</v>
      </c>
      <c r="AI11" s="5">
        <f t="shared" si="17"/>
        <v>1080.582852024</v>
      </c>
      <c r="AJ11" s="5">
        <f t="shared" si="17"/>
        <v>101.807316</v>
      </c>
      <c r="AK11" s="5">
        <f t="shared" si="17"/>
        <v>1.2875787099321587</v>
      </c>
      <c r="AL11" s="5">
        <f t="shared" si="17"/>
        <v>0.84709125653431494</v>
      </c>
      <c r="AM11" s="5">
        <f t="shared" si="17"/>
        <v>0.9504110591137187</v>
      </c>
      <c r="AN11" s="25">
        <f t="shared" si="17"/>
        <v>1.49</v>
      </c>
      <c r="AO11" s="25">
        <f t="shared" si="17"/>
        <v>20.63</v>
      </c>
      <c r="AP11"/>
      <c r="AQ11"/>
      <c r="AR11"/>
      <c r="AS11" s="61"/>
      <c r="AT11" s="64"/>
      <c r="AU11">
        <v>48</v>
      </c>
      <c r="AV11">
        <f>AE63</f>
        <v>88.892245208269202</v>
      </c>
      <c r="AW11">
        <f>AN63</f>
        <v>1.7033333333333331</v>
      </c>
      <c r="AX11" s="45">
        <f>AO63</f>
        <v>24.773333333333337</v>
      </c>
      <c r="AZ11"/>
      <c r="BA11"/>
      <c r="BB11"/>
      <c r="BC11"/>
      <c r="BD11"/>
      <c r="BE11"/>
      <c r="BF11" s="87" t="s">
        <v>132</v>
      </c>
      <c r="BG11" s="75" t="s">
        <v>133</v>
      </c>
      <c r="BH11" s="48">
        <v>24</v>
      </c>
      <c r="BI11" s="43">
        <f>AE95</f>
        <v>90.031007240963007</v>
      </c>
      <c r="BJ11" s="45">
        <f>AO91</f>
        <v>2.7729499999999998</v>
      </c>
      <c r="BK11" s="43">
        <f>AN91</f>
        <v>53.869774999999997</v>
      </c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</row>
    <row r="12" spans="1:105" s="38" customFormat="1" ht="21.75" thickBot="1" x14ac:dyDescent="0.4">
      <c r="A12" s="80"/>
      <c r="B12" s="20">
        <v>9</v>
      </c>
      <c r="C12" s="20"/>
      <c r="D12" s="20">
        <v>1.5024999999999999</v>
      </c>
      <c r="E12" s="20">
        <v>1.4678</v>
      </c>
      <c r="F12" s="21">
        <f t="shared" si="1"/>
        <v>3.4699999999999953E-2</v>
      </c>
      <c r="G12" s="20">
        <f t="shared" si="2"/>
        <v>2.3094841930116443</v>
      </c>
      <c r="H12" s="20">
        <v>0.58240000000000003</v>
      </c>
      <c r="I12" s="20">
        <f t="shared" si="3"/>
        <v>0.88539999999999996</v>
      </c>
      <c r="J12" s="20">
        <f t="shared" si="4"/>
        <v>1.3759588886379037</v>
      </c>
      <c r="K12" s="25">
        <f t="shared" si="5"/>
        <v>90.523611094598934</v>
      </c>
      <c r="L12" s="38">
        <v>10.188000000000001</v>
      </c>
      <c r="M12" s="38">
        <v>10.472</v>
      </c>
      <c r="N12" s="38">
        <v>10.685</v>
      </c>
      <c r="O12" s="20">
        <f t="shared" si="6"/>
        <v>1139.96914416</v>
      </c>
      <c r="P12" s="20">
        <f t="shared" si="7"/>
        <v>106.68873600000001</v>
      </c>
      <c r="Q12" s="20">
        <f t="shared" si="11"/>
        <v>1.2875787099321587</v>
      </c>
      <c r="R12" s="20">
        <f t="shared" si="8"/>
        <v>0.84709125653431494</v>
      </c>
      <c r="S12" s="20">
        <f t="shared" si="9"/>
        <v>6.636300441427406</v>
      </c>
      <c r="T12" s="20">
        <v>1.93</v>
      </c>
      <c r="U12" s="20">
        <v>31.69</v>
      </c>
      <c r="V12" s="20"/>
      <c r="W12" s="5" t="s">
        <v>62</v>
      </c>
      <c r="X12" s="5">
        <f>MAX(D9:D14)</f>
        <v>1.5027999999999999</v>
      </c>
      <c r="Y12" s="5">
        <f t="shared" ref="Y12:AO12" si="18">MAX(E9:E14)</f>
        <v>1.4841</v>
      </c>
      <c r="Z12" s="5">
        <f t="shared" si="18"/>
        <v>3.4699999999999953E-2</v>
      </c>
      <c r="AA12" s="5">
        <f t="shared" si="18"/>
        <v>2.3094841930116443</v>
      </c>
      <c r="AB12" s="5">
        <f t="shared" si="18"/>
        <v>0.5948</v>
      </c>
      <c r="AC12" s="5">
        <f t="shared" si="18"/>
        <v>0.89039999999999997</v>
      </c>
      <c r="AD12" s="5">
        <f t="shared" si="18"/>
        <v>1.3900605022831047</v>
      </c>
      <c r="AE12" s="25">
        <f t="shared" si="18"/>
        <v>91.451348834414787</v>
      </c>
      <c r="AF12" s="5">
        <f t="shared" si="18"/>
        <v>10.23</v>
      </c>
      <c r="AG12" s="5">
        <f t="shared" si="18"/>
        <v>10.472</v>
      </c>
      <c r="AH12" s="5">
        <f t="shared" si="18"/>
        <v>10.756</v>
      </c>
      <c r="AI12" s="5">
        <f t="shared" si="18"/>
        <v>1139.96914416</v>
      </c>
      <c r="AJ12" s="5">
        <f t="shared" si="18"/>
        <v>106.68873600000001</v>
      </c>
      <c r="AK12" s="5">
        <f t="shared" si="18"/>
        <v>1.3656518768884041</v>
      </c>
      <c r="AL12" s="5">
        <f t="shared" si="18"/>
        <v>0.89845518216342368</v>
      </c>
      <c r="AM12" s="5">
        <f t="shared" si="18"/>
        <v>6.636300441427406</v>
      </c>
      <c r="AN12" s="25">
        <f t="shared" si="18"/>
        <v>1.98</v>
      </c>
      <c r="AO12" s="25">
        <f t="shared" si="18"/>
        <v>31.69</v>
      </c>
      <c r="AP12"/>
      <c r="AQ12"/>
      <c r="AR12"/>
      <c r="AS12" s="62"/>
      <c r="AT12" s="65"/>
      <c r="AU12" s="46">
        <v>168</v>
      </c>
      <c r="AV12" s="46">
        <f>AE77</f>
        <v>89.139521320970417</v>
      </c>
      <c r="AW12" s="46">
        <f>AN77</f>
        <v>1.4350000000000001</v>
      </c>
      <c r="AX12" s="47">
        <f>AO77</f>
        <v>8.7624999999999993</v>
      </c>
      <c r="AZ12"/>
      <c r="BA12"/>
      <c r="BB12"/>
      <c r="BC12"/>
      <c r="BD12"/>
      <c r="BE12"/>
      <c r="BF12" s="88"/>
      <c r="BG12" s="76" t="s">
        <v>84</v>
      </c>
      <c r="BH12" s="49">
        <v>48</v>
      </c>
      <c r="BI12">
        <f>AE103</f>
        <v>90.415792467993427</v>
      </c>
      <c r="BJ12" s="45">
        <f>AO103</f>
        <v>2.0101249999999999</v>
      </c>
      <c r="BK12">
        <f>AN103</f>
        <v>41.745774999999995</v>
      </c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</row>
    <row r="13" spans="1:105" s="38" customFormat="1" ht="21" customHeight="1" thickBot="1" x14ac:dyDescent="0.4">
      <c r="A13" s="80"/>
      <c r="B13" s="20">
        <v>10</v>
      </c>
      <c r="C13" s="20"/>
      <c r="D13" s="21">
        <v>1.50176</v>
      </c>
      <c r="E13" s="20">
        <v>1.4671000000000001</v>
      </c>
      <c r="F13" s="21">
        <f t="shared" si="1"/>
        <v>3.4659999999999913E-2</v>
      </c>
      <c r="G13" s="20">
        <f t="shared" si="2"/>
        <v>2.3079586618367722</v>
      </c>
      <c r="H13" s="20">
        <v>0.59109999999999996</v>
      </c>
      <c r="I13" s="20">
        <f t="shared" si="3"/>
        <v>0.87600000000000011</v>
      </c>
      <c r="J13" s="20">
        <f t="shared" si="4"/>
        <v>1.3900605022831047</v>
      </c>
      <c r="K13" s="25">
        <f t="shared" si="5"/>
        <v>91.451348834414787</v>
      </c>
      <c r="L13" s="38">
        <v>10.048999999999999</v>
      </c>
      <c r="M13" s="38">
        <v>10.353999999999999</v>
      </c>
      <c r="N13" s="38">
        <v>10.756</v>
      </c>
      <c r="O13" s="20">
        <f t="shared" si="6"/>
        <v>1119.133253576</v>
      </c>
      <c r="P13" s="20">
        <f t="shared" si="7"/>
        <v>104.04734599999999</v>
      </c>
      <c r="Q13" s="20">
        <f t="shared" si="11"/>
        <v>1.3109252140548333</v>
      </c>
      <c r="R13" s="20">
        <f t="shared" si="8"/>
        <v>0.86245079872028507</v>
      </c>
      <c r="S13" s="20">
        <f t="shared" si="9"/>
        <v>5.8597339296977085</v>
      </c>
      <c r="T13" s="20">
        <v>1.49</v>
      </c>
      <c r="U13" s="20">
        <v>20.63</v>
      </c>
      <c r="V13" s="20"/>
      <c r="W13" s="5" t="s">
        <v>68</v>
      </c>
      <c r="X13" s="5">
        <f>COUNT(D9:D14)</f>
        <v>6</v>
      </c>
      <c r="Y13" s="5">
        <f t="shared" ref="Y13:AO13" si="19">COUNT(E9:E14)</f>
        <v>6</v>
      </c>
      <c r="Z13" s="5">
        <f t="shared" si="19"/>
        <v>6</v>
      </c>
      <c r="AA13" s="5">
        <f t="shared" si="19"/>
        <v>6</v>
      </c>
      <c r="AB13" s="5">
        <f t="shared" si="19"/>
        <v>6</v>
      </c>
      <c r="AC13" s="5">
        <f t="shared" si="19"/>
        <v>6</v>
      </c>
      <c r="AD13" s="5">
        <f t="shared" si="19"/>
        <v>6</v>
      </c>
      <c r="AE13" s="25">
        <f t="shared" si="19"/>
        <v>6</v>
      </c>
      <c r="AF13" s="5">
        <f t="shared" si="19"/>
        <v>6</v>
      </c>
      <c r="AG13" s="5">
        <f t="shared" si="19"/>
        <v>6</v>
      </c>
      <c r="AH13" s="5">
        <f t="shared" si="19"/>
        <v>6</v>
      </c>
      <c r="AI13" s="5">
        <f t="shared" si="19"/>
        <v>6</v>
      </c>
      <c r="AJ13" s="5">
        <f t="shared" si="19"/>
        <v>6</v>
      </c>
      <c r="AK13" s="5">
        <f t="shared" si="19"/>
        <v>6</v>
      </c>
      <c r="AL13" s="5">
        <f t="shared" si="19"/>
        <v>6</v>
      </c>
      <c r="AM13" s="5">
        <f t="shared" si="19"/>
        <v>6</v>
      </c>
      <c r="AN13" s="25">
        <f t="shared" si="19"/>
        <v>5</v>
      </c>
      <c r="AO13" s="25">
        <f t="shared" si="19"/>
        <v>5</v>
      </c>
      <c r="AP13"/>
      <c r="AQ13"/>
      <c r="AR13"/>
      <c r="AS13" s="60" t="s">
        <v>85</v>
      </c>
      <c r="AT13" s="63" t="s">
        <v>84</v>
      </c>
      <c r="AU13" s="43">
        <v>24</v>
      </c>
      <c r="AV13" s="43">
        <f>AE21</f>
        <v>86.463765740290924</v>
      </c>
      <c r="AW13" s="43">
        <f>AN21</f>
        <v>1.5</v>
      </c>
      <c r="AX13" s="44">
        <f>AO21</f>
        <v>9.9499999999999993</v>
      </c>
      <c r="AZ13"/>
      <c r="BA13"/>
      <c r="BB13"/>
      <c r="BC13"/>
      <c r="BD13"/>
      <c r="BE13"/>
      <c r="BF13" s="89"/>
      <c r="BG13" s="77"/>
      <c r="BH13" s="50"/>
      <c r="BI13" s="46"/>
      <c r="BJ13" s="46"/>
      <c r="BK13" s="47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</row>
    <row r="14" spans="1:105" ht="21" x14ac:dyDescent="0.35">
      <c r="A14" s="80"/>
      <c r="B14" s="5">
        <v>11</v>
      </c>
      <c r="C14" s="5"/>
      <c r="D14" s="6">
        <v>1.5009999999999999</v>
      </c>
      <c r="E14" s="5">
        <v>1.4757</v>
      </c>
      <c r="F14" s="6">
        <f t="shared" si="1"/>
        <v>2.5299999999999878E-2</v>
      </c>
      <c r="G14" s="5">
        <f t="shared" si="2"/>
        <v>1.6855429713524237</v>
      </c>
      <c r="H14" s="5">
        <v>0.58730000000000004</v>
      </c>
      <c r="I14" s="5">
        <f t="shared" si="3"/>
        <v>0.88839999999999997</v>
      </c>
      <c r="J14" s="5">
        <f t="shared" si="4"/>
        <v>1.3786931562359299</v>
      </c>
      <c r="K14" s="25">
        <f t="shared" si="5"/>
        <v>90.70349712078486</v>
      </c>
      <c r="L14">
        <v>10.061999999999999</v>
      </c>
      <c r="M14">
        <v>10.118</v>
      </c>
      <c r="N14">
        <v>10.614000000000001</v>
      </c>
      <c r="O14" s="5">
        <f t="shared" si="6"/>
        <v>1080.582852024</v>
      </c>
      <c r="P14" s="5">
        <f t="shared" si="7"/>
        <v>101.807316</v>
      </c>
      <c r="Q14" s="5">
        <f t="shared" si="11"/>
        <v>1.3656518768884041</v>
      </c>
      <c r="R14" s="5">
        <f t="shared" si="8"/>
        <v>0.89845518216342368</v>
      </c>
      <c r="S14" s="5">
        <f t="shared" si="9"/>
        <v>0.9504110591137187</v>
      </c>
      <c r="T14" s="5"/>
      <c r="U14" s="5"/>
      <c r="V14" s="5"/>
      <c r="W14" s="5"/>
      <c r="X14" s="5"/>
      <c r="Y14" s="5"/>
      <c r="AS14" s="61"/>
      <c r="AT14" s="64"/>
      <c r="AU14">
        <v>48</v>
      </c>
      <c r="AV14">
        <f>AE33</f>
        <v>88.814559267138293</v>
      </c>
      <c r="AW14">
        <f>AN33</f>
        <v>1.6825000000000001</v>
      </c>
      <c r="AX14" s="45">
        <f>AO33</f>
        <v>23.427500000000002</v>
      </c>
      <c r="BF14" s="87" t="s">
        <v>131</v>
      </c>
      <c r="BG14" s="84" t="s">
        <v>83</v>
      </c>
      <c r="BH14" s="49">
        <v>24</v>
      </c>
      <c r="BI14">
        <f>AE91</f>
        <v>91.147878824231967</v>
      </c>
      <c r="BJ14">
        <f>AG91</f>
        <v>10.1085625</v>
      </c>
      <c r="BK14">
        <f>AF91</f>
        <v>10.145187499999999</v>
      </c>
    </row>
    <row r="15" spans="1:105" s="38" customFormat="1" ht="21.75" thickBot="1" x14ac:dyDescent="0.4">
      <c r="A15" s="80" t="s">
        <v>32</v>
      </c>
      <c r="B15" s="22">
        <v>12</v>
      </c>
      <c r="C15" s="22"/>
      <c r="D15" s="22">
        <v>1.4992000000000001</v>
      </c>
      <c r="E15" s="22">
        <v>1.5003</v>
      </c>
      <c r="F15" s="23">
        <f t="shared" si="1"/>
        <v>1.0999999999998789E-3</v>
      </c>
      <c r="G15" s="22">
        <f t="shared" si="2"/>
        <v>7.3372465314826496E-2</v>
      </c>
      <c r="H15" s="22">
        <v>0.6139</v>
      </c>
      <c r="I15" s="22">
        <f t="shared" si="3"/>
        <v>0.88639999999999997</v>
      </c>
      <c r="J15" s="22">
        <f t="shared" si="4"/>
        <v>1.4048386732851985</v>
      </c>
      <c r="K15" s="25">
        <f t="shared" si="5"/>
        <v>92.423596926657794</v>
      </c>
      <c r="L15" s="38">
        <v>10.180999999999999</v>
      </c>
      <c r="M15" s="38">
        <v>10.222</v>
      </c>
      <c r="N15" s="38">
        <v>10.731999999999999</v>
      </c>
      <c r="O15" s="22">
        <f t="shared" si="6"/>
        <v>1116.8811932239998</v>
      </c>
      <c r="P15" s="22">
        <f t="shared" si="7"/>
        <v>104.07018199999999</v>
      </c>
      <c r="Q15" s="20">
        <f t="shared" si="11"/>
        <v>1.3432941740824014</v>
      </c>
      <c r="R15" s="20">
        <f t="shared" si="8"/>
        <v>0.88374616715947463</v>
      </c>
      <c r="S15" s="20">
        <f t="shared" si="9"/>
        <v>4.4790046639666494</v>
      </c>
      <c r="T15" s="22">
        <v>1.83</v>
      </c>
      <c r="U15" s="22">
        <v>43.88</v>
      </c>
      <c r="V15" s="20"/>
      <c r="W15" s="5" t="s">
        <v>66</v>
      </c>
      <c r="X15" s="7">
        <f>AVERAGE(D15:D20)</f>
        <v>1.5021166666666668</v>
      </c>
      <c r="Y15" s="7">
        <f t="shared" ref="Y15:AO15" si="20">AVERAGE(E15:E20)</f>
        <v>1.4777233333333335</v>
      </c>
      <c r="Z15" s="7">
        <f t="shared" si="20"/>
        <v>2.4759999999999966E-2</v>
      </c>
      <c r="AA15" s="7">
        <f t="shared" si="20"/>
        <v>1.6472971629126982</v>
      </c>
      <c r="AB15" s="7">
        <f t="shared" si="20"/>
        <v>0.59683333333333344</v>
      </c>
      <c r="AC15" s="7">
        <f t="shared" si="20"/>
        <v>0.88088999999999995</v>
      </c>
      <c r="AD15" s="7">
        <f t="shared" si="20"/>
        <v>1.3925019137780692</v>
      </c>
      <c r="AE15" s="26">
        <f t="shared" si="20"/>
        <v>91.611968011715078</v>
      </c>
      <c r="AF15" s="7">
        <f t="shared" si="20"/>
        <v>10.282833333333334</v>
      </c>
      <c r="AG15" s="7">
        <f t="shared" si="20"/>
        <v>10.406666666666665</v>
      </c>
      <c r="AH15" s="7">
        <f t="shared" si="20"/>
        <v>10.783833333333334</v>
      </c>
      <c r="AI15" s="7">
        <f t="shared" si="20"/>
        <v>1154.0852126573332</v>
      </c>
      <c r="AJ15" s="7">
        <f t="shared" si="20"/>
        <v>107.03260166666666</v>
      </c>
      <c r="AK15" s="7">
        <f t="shared" si="20"/>
        <v>1.2822490442872037</v>
      </c>
      <c r="AL15" s="7">
        <f t="shared" si="20"/>
        <v>0.84358489755737087</v>
      </c>
      <c r="AM15" s="7">
        <f t="shared" si="20"/>
        <v>8.3125758939333654</v>
      </c>
      <c r="AN15" s="26">
        <f t="shared" si="20"/>
        <v>2.0175000000000001</v>
      </c>
      <c r="AO15" s="26">
        <f t="shared" si="20"/>
        <v>27.112500000000001</v>
      </c>
      <c r="AP15"/>
      <c r="AQ15"/>
      <c r="AR15"/>
      <c r="AS15" s="61"/>
      <c r="AT15" s="65"/>
      <c r="AU15" s="46">
        <v>168</v>
      </c>
      <c r="AV15" s="46">
        <f>AE45</f>
        <v>86.953940443299857</v>
      </c>
      <c r="AW15" s="46">
        <f>AN45</f>
        <v>0.84</v>
      </c>
      <c r="AX15" s="47">
        <f>AO45</f>
        <v>3.0233333333333334</v>
      </c>
      <c r="AZ15"/>
      <c r="BA15"/>
      <c r="BB15"/>
      <c r="BC15"/>
      <c r="BD15"/>
      <c r="BE15"/>
      <c r="BF15" s="88"/>
      <c r="BG15" s="84"/>
      <c r="BH15" s="49">
        <v>48</v>
      </c>
      <c r="BI15">
        <f>AE99</f>
        <v>90.074132735026922</v>
      </c>
      <c r="BJ15" s="45">
        <f>AO99</f>
        <v>2.334225</v>
      </c>
      <c r="BK15">
        <f>AN99</f>
        <v>38.224424999999997</v>
      </c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</row>
    <row r="16" spans="1:105" ht="21.75" thickBot="1" x14ac:dyDescent="0.4">
      <c r="A16" s="80"/>
      <c r="B16" s="5">
        <v>13</v>
      </c>
      <c r="C16" s="5"/>
      <c r="D16" s="5">
        <v>1.5002</v>
      </c>
      <c r="E16" s="5">
        <v>1.4953000000000001</v>
      </c>
      <c r="F16" s="6">
        <f t="shared" si="1"/>
        <v>4.8999999999999044E-3</v>
      </c>
      <c r="G16" s="5">
        <f t="shared" si="2"/>
        <v>0.32662311691773793</v>
      </c>
      <c r="H16" s="5">
        <v>0.5867</v>
      </c>
      <c r="I16" s="5">
        <f t="shared" si="3"/>
        <v>0.90860000000000007</v>
      </c>
      <c r="J16" s="5">
        <f t="shared" si="4"/>
        <v>1.3659465111160025</v>
      </c>
      <c r="K16" s="25">
        <f t="shared" si="5"/>
        <v>89.864902047105431</v>
      </c>
      <c r="L16">
        <v>10.236000000000001</v>
      </c>
      <c r="M16">
        <v>10.263999999999999</v>
      </c>
      <c r="N16">
        <v>11.37</v>
      </c>
      <c r="O16" s="5">
        <f t="shared" si="6"/>
        <v>1194.5583964799998</v>
      </c>
      <c r="P16" s="5">
        <f t="shared" si="7"/>
        <v>105.062304</v>
      </c>
      <c r="Q16" s="5">
        <f t="shared" si="11"/>
        <v>1.2517596497636232</v>
      </c>
      <c r="R16" s="5">
        <f t="shared" si="8"/>
        <v>0.82352608537080474</v>
      </c>
      <c r="S16" s="5">
        <f t="shared" si="9"/>
        <v>8.7241924291463793</v>
      </c>
      <c r="T16" s="5"/>
      <c r="U16" s="5"/>
      <c r="V16" s="5"/>
      <c r="W16" s="5" t="s">
        <v>67</v>
      </c>
      <c r="X16" s="5">
        <f>_xlfn.STDEV.S(D15:D20)</f>
        <v>2.3353086876613479E-3</v>
      </c>
      <c r="Y16" s="5">
        <f t="shared" ref="Y16:AO16" si="21">_xlfn.STDEV.S(E15:E20)</f>
        <v>1.9463423816653284E-2</v>
      </c>
      <c r="Z16" s="5">
        <f t="shared" si="21"/>
        <v>2.0271793211257872E-2</v>
      </c>
      <c r="AA16" s="5">
        <f t="shared" si="21"/>
        <v>1.3488393556796514</v>
      </c>
      <c r="AB16" s="5">
        <f t="shared" si="21"/>
        <v>1.0355996652503648E-2</v>
      </c>
      <c r="AC16" s="5">
        <f t="shared" si="21"/>
        <v>1.6134676941296354E-2</v>
      </c>
      <c r="AD16" s="5">
        <f t="shared" si="21"/>
        <v>1.3617778873678908E-2</v>
      </c>
      <c r="AE16" s="25">
        <f t="shared" si="21"/>
        <v>0.89590650484729495</v>
      </c>
      <c r="AF16" s="5">
        <f t="shared" si="21"/>
        <v>0.11048876262619051</v>
      </c>
      <c r="AG16" s="5">
        <f t="shared" si="21"/>
        <v>0.27237890275619125</v>
      </c>
      <c r="AH16" s="5">
        <f t="shared" si="21"/>
        <v>0.29917982329473125</v>
      </c>
      <c r="AI16" s="5">
        <f t="shared" si="21"/>
        <v>48.90751335830042</v>
      </c>
      <c r="AJ16" s="5">
        <f t="shared" si="21"/>
        <v>3.9042100995759794</v>
      </c>
      <c r="AK16" s="5">
        <f t="shared" si="21"/>
        <v>5.4393114478596932E-2</v>
      </c>
      <c r="AL16" s="5">
        <f t="shared" si="21"/>
        <v>3.5784943735919054E-2</v>
      </c>
      <c r="AM16" s="5">
        <f t="shared" si="21"/>
        <v>4.026092974868317</v>
      </c>
      <c r="AN16" s="25">
        <f t="shared" si="21"/>
        <v>0.19720970226301407</v>
      </c>
      <c r="AO16" s="25">
        <f t="shared" si="21"/>
        <v>11.688339987640109</v>
      </c>
      <c r="AS16" s="61"/>
      <c r="AT16" s="64" t="s">
        <v>83</v>
      </c>
      <c r="AU16">
        <v>24</v>
      </c>
      <c r="AV16">
        <f>AE56</f>
        <v>87.801319517004117</v>
      </c>
      <c r="AW16">
        <f>AN56</f>
        <v>1.7999999999999998</v>
      </c>
      <c r="AX16" s="45">
        <f>AO56</f>
        <v>21.575000000000003</v>
      </c>
      <c r="BF16" s="89"/>
      <c r="BG16" s="85"/>
      <c r="BH16" s="50">
        <v>168</v>
      </c>
      <c r="BI16" s="46">
        <f>AE107</f>
        <v>89.768955386380796</v>
      </c>
      <c r="BJ16" s="47">
        <f>AO107</f>
        <v>2.304325</v>
      </c>
      <c r="BK16" s="46">
        <f>AN107</f>
        <v>45.246949999999998</v>
      </c>
    </row>
    <row r="17" spans="1:105" ht="21" x14ac:dyDescent="0.35">
      <c r="A17" s="80"/>
      <c r="B17" s="5">
        <v>14</v>
      </c>
      <c r="C17" s="5"/>
      <c r="D17" s="5">
        <v>1.5024999999999999</v>
      </c>
      <c r="E17" s="5">
        <v>1.4454400000000001</v>
      </c>
      <c r="F17" s="6">
        <f t="shared" si="1"/>
        <v>5.7059999999999889E-2</v>
      </c>
      <c r="G17" s="5">
        <f t="shared" si="2"/>
        <v>3.7976705490848515</v>
      </c>
      <c r="H17" s="5">
        <v>0.58589999999999998</v>
      </c>
      <c r="I17" s="5">
        <f t="shared" si="3"/>
        <v>0.85954000000000008</v>
      </c>
      <c r="J17" s="5">
        <f t="shared" si="4"/>
        <v>1.3957642459920421</v>
      </c>
      <c r="K17" s="25">
        <f t="shared" si="5"/>
        <v>91.826595131055399</v>
      </c>
      <c r="L17">
        <v>10.276</v>
      </c>
      <c r="M17">
        <v>10.542999999999999</v>
      </c>
      <c r="N17">
        <v>10.542999999999999</v>
      </c>
      <c r="O17" s="5">
        <f t="shared" si="6"/>
        <v>1142.227228324</v>
      </c>
      <c r="P17" s="5">
        <f t="shared" si="7"/>
        <v>108.339868</v>
      </c>
      <c r="Q17" s="5">
        <f t="shared" si="11"/>
        <v>1.2654574888053638</v>
      </c>
      <c r="R17" s="5">
        <f t="shared" si="8"/>
        <v>0.83253782158247613</v>
      </c>
      <c r="S17" s="5">
        <f t="shared" si="9"/>
        <v>9.793002626036218</v>
      </c>
      <c r="T17" s="5"/>
      <c r="U17" s="5"/>
      <c r="V17" s="5"/>
      <c r="W17" s="5" t="s">
        <v>61</v>
      </c>
      <c r="X17" s="5">
        <f>MIN(D15:D20)</f>
        <v>1.4992000000000001</v>
      </c>
      <c r="Y17" s="5">
        <f t="shared" ref="Y17:AO17" si="22">MIN(E15:E20)</f>
        <v>1.4454400000000001</v>
      </c>
      <c r="Z17" s="5">
        <f t="shared" si="22"/>
        <v>1.0999999999998789E-3</v>
      </c>
      <c r="AA17" s="5">
        <f t="shared" si="22"/>
        <v>7.3372465314826496E-2</v>
      </c>
      <c r="AB17" s="5">
        <f t="shared" si="22"/>
        <v>0.58589999999999998</v>
      </c>
      <c r="AC17" s="5">
        <f t="shared" si="22"/>
        <v>0.85954000000000008</v>
      </c>
      <c r="AD17" s="5">
        <f t="shared" si="22"/>
        <v>1.3659465111160025</v>
      </c>
      <c r="AE17" s="25">
        <f t="shared" si="22"/>
        <v>89.864902047105431</v>
      </c>
      <c r="AF17" s="5">
        <f t="shared" si="22"/>
        <v>10.180999999999999</v>
      </c>
      <c r="AG17" s="5">
        <f t="shared" si="22"/>
        <v>10.180999999999999</v>
      </c>
      <c r="AH17" s="5">
        <f t="shared" si="22"/>
        <v>10.542999999999999</v>
      </c>
      <c r="AI17" s="5">
        <f t="shared" si="22"/>
        <v>1115.1362716339997</v>
      </c>
      <c r="AJ17" s="5">
        <f t="shared" si="22"/>
        <v>104.07018199999999</v>
      </c>
      <c r="AK17" s="5">
        <f t="shared" si="22"/>
        <v>1.1971881363048442</v>
      </c>
      <c r="AL17" s="5">
        <f t="shared" si="22"/>
        <v>0.7876237738847659</v>
      </c>
      <c r="AM17" s="5">
        <f t="shared" si="22"/>
        <v>4.4790046639666494</v>
      </c>
      <c r="AN17" s="25">
        <f t="shared" si="22"/>
        <v>1.83</v>
      </c>
      <c r="AO17" s="25">
        <f t="shared" si="22"/>
        <v>17.260000000000002</v>
      </c>
      <c r="AS17" s="61"/>
      <c r="AT17" s="64"/>
      <c r="AU17">
        <v>48</v>
      </c>
      <c r="AV17">
        <f>AE70</f>
        <v>89.811894429974316</v>
      </c>
      <c r="AW17">
        <f>AN70</f>
        <v>1.67</v>
      </c>
      <c r="AX17" s="45">
        <f>AO70</f>
        <v>16.454999999999998</v>
      </c>
    </row>
    <row r="18" spans="1:105" s="38" customFormat="1" ht="21.75" thickBot="1" x14ac:dyDescent="0.4">
      <c r="A18" s="80"/>
      <c r="B18" s="20">
        <v>15</v>
      </c>
      <c r="C18" s="20"/>
      <c r="D18" s="21">
        <v>1.502</v>
      </c>
      <c r="E18" s="20">
        <v>1.4765999999999999</v>
      </c>
      <c r="F18" s="21">
        <f t="shared" si="1"/>
        <v>2.5400000000000089E-2</v>
      </c>
      <c r="G18" s="20">
        <f t="shared" si="2"/>
        <v>1.6910785619174493</v>
      </c>
      <c r="H18" s="20">
        <v>0.60029999999999994</v>
      </c>
      <c r="I18" s="20">
        <f t="shared" si="3"/>
        <v>0.87629999999999997</v>
      </c>
      <c r="J18" s="20">
        <f t="shared" si="4"/>
        <v>1.3985826771653542</v>
      </c>
      <c r="K18" s="25">
        <f t="shared" si="5"/>
        <v>92.012018234562774</v>
      </c>
      <c r="L18" s="38">
        <v>10.273999999999999</v>
      </c>
      <c r="M18" s="38">
        <v>10.180999999999999</v>
      </c>
      <c r="N18" s="38">
        <v>10.661</v>
      </c>
      <c r="O18" s="20">
        <f t="shared" si="6"/>
        <v>1115.1362716339997</v>
      </c>
      <c r="P18" s="20">
        <f t="shared" si="7"/>
        <v>104.59959399999998</v>
      </c>
      <c r="Q18" s="20">
        <f t="shared" si="11"/>
        <v>1.3241431003193451</v>
      </c>
      <c r="R18" s="20">
        <f t="shared" si="8"/>
        <v>0.8711467765258849</v>
      </c>
      <c r="S18" s="20">
        <f t="shared" si="9"/>
        <v>5.4680186643531661</v>
      </c>
      <c r="T18" s="20">
        <v>1.88</v>
      </c>
      <c r="U18" s="20">
        <v>17.260000000000002</v>
      </c>
      <c r="V18" s="20"/>
      <c r="W18" s="5" t="s">
        <v>62</v>
      </c>
      <c r="X18" s="5">
        <f>MAX(D15:D20)</f>
        <v>1.5059</v>
      </c>
      <c r="Y18" s="5">
        <f t="shared" ref="Y18:AO18" si="23">MAX(E15:E20)</f>
        <v>1.5003</v>
      </c>
      <c r="Z18" s="5">
        <f t="shared" si="23"/>
        <v>5.7059999999999889E-2</v>
      </c>
      <c r="AA18" s="5">
        <f t="shared" si="23"/>
        <v>3.7976705490848515</v>
      </c>
      <c r="AB18" s="5">
        <f t="shared" si="23"/>
        <v>0.6139</v>
      </c>
      <c r="AC18" s="5">
        <f t="shared" si="23"/>
        <v>0.90860000000000007</v>
      </c>
      <c r="AD18" s="5">
        <f t="shared" si="23"/>
        <v>1.4048386732851985</v>
      </c>
      <c r="AE18" s="25">
        <f t="shared" si="23"/>
        <v>92.423596926657794</v>
      </c>
      <c r="AF18" s="5">
        <f t="shared" si="23"/>
        <v>10.497</v>
      </c>
      <c r="AG18" s="5">
        <f t="shared" si="23"/>
        <v>10.898</v>
      </c>
      <c r="AH18" s="5">
        <f t="shared" si="23"/>
        <v>11.37</v>
      </c>
      <c r="AI18" s="5">
        <f t="shared" si="23"/>
        <v>1233.306574986</v>
      </c>
      <c r="AJ18" s="5">
        <f t="shared" si="23"/>
        <v>114.396306</v>
      </c>
      <c r="AK18" s="5">
        <f t="shared" si="23"/>
        <v>1.3432941740824014</v>
      </c>
      <c r="AL18" s="5">
        <f t="shared" si="23"/>
        <v>0.88374616715947463</v>
      </c>
      <c r="AM18" s="5">
        <f t="shared" si="23"/>
        <v>15.419690603890718</v>
      </c>
      <c r="AN18" s="25">
        <f t="shared" si="23"/>
        <v>2.25</v>
      </c>
      <c r="AO18" s="25">
        <f t="shared" si="23"/>
        <v>43.88</v>
      </c>
      <c r="AP18"/>
      <c r="AQ18"/>
      <c r="AR18"/>
      <c r="AS18" s="62"/>
      <c r="AT18" s="65"/>
      <c r="AU18" s="46">
        <v>168</v>
      </c>
      <c r="AV18" s="46">
        <f>AE84</f>
        <v>84.616339615362492</v>
      </c>
      <c r="AW18" s="46">
        <f>AN84</f>
        <v>47.494999999999997</v>
      </c>
      <c r="AX18" s="47">
        <f>AO84</f>
        <v>5.7850000000000001</v>
      </c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38" customFormat="1" ht="32.25" thickBot="1" x14ac:dyDescent="0.4">
      <c r="A19" s="80"/>
      <c r="B19" s="20">
        <v>16</v>
      </c>
      <c r="C19" s="20"/>
      <c r="D19" s="20">
        <v>1.5059</v>
      </c>
      <c r="E19" s="20">
        <v>1.4764999999999999</v>
      </c>
      <c r="F19" s="21">
        <f t="shared" si="1"/>
        <v>2.9400000000000093E-2</v>
      </c>
      <c r="G19" s="20">
        <f t="shared" si="2"/>
        <v>1.9523208712397964</v>
      </c>
      <c r="H19" s="20">
        <v>0.59940000000000004</v>
      </c>
      <c r="I19" s="20">
        <f t="shared" si="3"/>
        <v>0.87709999999999988</v>
      </c>
      <c r="J19" s="20">
        <f t="shared" si="4"/>
        <v>1.3972124045148786</v>
      </c>
      <c r="K19" s="25">
        <f t="shared" si="5"/>
        <v>91.921868718084127</v>
      </c>
      <c r="L19" s="38">
        <v>10.497</v>
      </c>
      <c r="M19" s="38">
        <v>10.898</v>
      </c>
      <c r="N19" s="38">
        <v>10.781000000000001</v>
      </c>
      <c r="O19" s="20">
        <f t="shared" si="6"/>
        <v>1233.306574986</v>
      </c>
      <c r="P19" s="20">
        <f t="shared" si="7"/>
        <v>114.396306</v>
      </c>
      <c r="Q19" s="20">
        <f t="shared" si="11"/>
        <v>1.1971881363048442</v>
      </c>
      <c r="R19" s="20">
        <f t="shared" si="8"/>
        <v>0.7876237738847659</v>
      </c>
      <c r="S19" s="20">
        <f t="shared" si="9"/>
        <v>15.419690603890718</v>
      </c>
      <c r="T19" s="20">
        <v>2.25</v>
      </c>
      <c r="U19" s="20">
        <v>21.69</v>
      </c>
      <c r="V19" s="20"/>
      <c r="W19" s="5" t="s">
        <v>68</v>
      </c>
      <c r="X19" s="5">
        <f>COUNT(D15:D20)</f>
        <v>6</v>
      </c>
      <c r="Y19" s="5">
        <f t="shared" ref="Y19:AO19" si="24">COUNT(E15:E20)</f>
        <v>6</v>
      </c>
      <c r="Z19" s="5">
        <f t="shared" si="24"/>
        <v>6</v>
      </c>
      <c r="AA19" s="5">
        <f t="shared" si="24"/>
        <v>6</v>
      </c>
      <c r="AB19" s="5">
        <f t="shared" si="24"/>
        <v>6</v>
      </c>
      <c r="AC19" s="5">
        <f t="shared" si="24"/>
        <v>6</v>
      </c>
      <c r="AD19" s="5">
        <f t="shared" si="24"/>
        <v>6</v>
      </c>
      <c r="AE19" s="25">
        <f t="shared" si="24"/>
        <v>6</v>
      </c>
      <c r="AF19" s="5">
        <f t="shared" si="24"/>
        <v>6</v>
      </c>
      <c r="AG19" s="5">
        <f t="shared" si="24"/>
        <v>6</v>
      </c>
      <c r="AH19" s="5">
        <f t="shared" si="24"/>
        <v>6</v>
      </c>
      <c r="AI19" s="5">
        <f t="shared" si="24"/>
        <v>6</v>
      </c>
      <c r="AJ19" s="5">
        <f t="shared" si="24"/>
        <v>6</v>
      </c>
      <c r="AK19" s="5">
        <f t="shared" si="24"/>
        <v>6</v>
      </c>
      <c r="AL19" s="5">
        <f t="shared" si="24"/>
        <v>6</v>
      </c>
      <c r="AM19" s="5">
        <f t="shared" si="24"/>
        <v>6</v>
      </c>
      <c r="AN19" s="25">
        <f t="shared" si="24"/>
        <v>4</v>
      </c>
      <c r="AO19" s="25">
        <f t="shared" si="24"/>
        <v>4</v>
      </c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 s="86" t="s">
        <v>88</v>
      </c>
      <c r="BG19" s="86"/>
      <c r="BH19" s="86"/>
      <c r="BI19" t="s">
        <v>72</v>
      </c>
      <c r="BJ19" s="42" t="s">
        <v>74</v>
      </c>
      <c r="BK19" s="42" t="s">
        <v>87</v>
      </c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38" customFormat="1" ht="32.25" thickBot="1" x14ac:dyDescent="0.4">
      <c r="A20" s="80"/>
      <c r="B20" s="20">
        <v>17</v>
      </c>
      <c r="C20" s="20"/>
      <c r="D20" s="20">
        <v>1.5028999999999999</v>
      </c>
      <c r="E20" s="20">
        <v>1.4722</v>
      </c>
      <c r="F20" s="21">
        <f t="shared" si="1"/>
        <v>3.069999999999995E-2</v>
      </c>
      <c r="G20" s="20">
        <f t="shared" si="2"/>
        <v>2.0427174130015273</v>
      </c>
      <c r="H20" s="20">
        <v>0.5948</v>
      </c>
      <c r="I20" s="20">
        <f t="shared" si="3"/>
        <v>0.87739999999999996</v>
      </c>
      <c r="J20" s="20">
        <f t="shared" si="4"/>
        <v>1.3926669705949395</v>
      </c>
      <c r="K20" s="25">
        <f t="shared" si="5"/>
        <v>91.62282701282497</v>
      </c>
      <c r="L20" s="38">
        <v>10.233000000000001</v>
      </c>
      <c r="M20" s="38">
        <v>10.332000000000001</v>
      </c>
      <c r="N20" s="38">
        <v>10.616</v>
      </c>
      <c r="O20" s="20">
        <f t="shared" si="6"/>
        <v>1122.4016112960001</v>
      </c>
      <c r="P20" s="20">
        <f t="shared" si="7"/>
        <v>105.72735600000001</v>
      </c>
      <c r="Q20" s="20">
        <f t="shared" si="11"/>
        <v>1.3116517164476442</v>
      </c>
      <c r="R20" s="20">
        <f t="shared" si="8"/>
        <v>0.8629287608208186</v>
      </c>
      <c r="S20" s="20">
        <f t="shared" si="9"/>
        <v>5.9915463762070704</v>
      </c>
      <c r="T20" s="20">
        <v>2.11</v>
      </c>
      <c r="U20" s="20">
        <v>25.62</v>
      </c>
      <c r="V20" s="20"/>
      <c r="W20" s="5"/>
      <c r="X20" s="5"/>
      <c r="Y20" s="5"/>
      <c r="Z20"/>
      <c r="AA20"/>
      <c r="AB20"/>
      <c r="AC20"/>
      <c r="AD20"/>
      <c r="AE20" s="27"/>
      <c r="AF20"/>
      <c r="AG20"/>
      <c r="AH20"/>
      <c r="AI20"/>
      <c r="AJ20"/>
      <c r="AK20"/>
      <c r="AL20"/>
      <c r="AM20"/>
      <c r="AN20" s="27"/>
      <c r="AO20" s="27"/>
      <c r="AP20"/>
      <c r="AQ20"/>
      <c r="AR20"/>
      <c r="AS20" s="59" t="s">
        <v>88</v>
      </c>
      <c r="AT20" s="59"/>
      <c r="AU20" s="59"/>
      <c r="AV20" t="s">
        <v>72</v>
      </c>
      <c r="AW20" s="42" t="s">
        <v>74</v>
      </c>
      <c r="AX20" s="42" t="s">
        <v>87</v>
      </c>
      <c r="AZ20"/>
      <c r="BA20"/>
      <c r="BB20"/>
      <c r="BC20"/>
      <c r="BD20"/>
      <c r="BE20"/>
      <c r="BF20" s="87" t="s">
        <v>132</v>
      </c>
      <c r="BG20" s="75" t="s">
        <v>133</v>
      </c>
      <c r="BH20" s="48">
        <v>24</v>
      </c>
      <c r="BI20" s="43">
        <f>AE96</f>
        <v>1.3460769561522186</v>
      </c>
      <c r="BJ20" s="45">
        <f>AO96</f>
        <v>0.58635150436122019</v>
      </c>
      <c r="BK20" s="43">
        <f>AN96</f>
        <v>29.373756888349057</v>
      </c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38" customFormat="1" ht="21" customHeight="1" x14ac:dyDescent="0.35">
      <c r="A21" s="80" t="s">
        <v>33</v>
      </c>
      <c r="B21" s="22">
        <v>18</v>
      </c>
      <c r="C21" s="22"/>
      <c r="D21" s="22">
        <v>1.5026999999999999</v>
      </c>
      <c r="E21" s="22">
        <v>1.4916</v>
      </c>
      <c r="F21" s="23">
        <f t="shared" si="1"/>
        <v>1.1099999999999888E-2</v>
      </c>
      <c r="G21" s="22">
        <f t="shared" si="2"/>
        <v>0.73867039329206685</v>
      </c>
      <c r="H21" s="22">
        <v>0.59319999999999995</v>
      </c>
      <c r="I21" s="22">
        <f t="shared" si="3"/>
        <v>0.89840000000000009</v>
      </c>
      <c r="J21" s="22">
        <f t="shared" si="4"/>
        <v>1.3780365093499551</v>
      </c>
      <c r="K21" s="25">
        <f t="shared" si="5"/>
        <v>90.660296667760207</v>
      </c>
      <c r="L21" s="38">
        <v>10.259</v>
      </c>
      <c r="M21" s="38">
        <v>10.378</v>
      </c>
      <c r="N21" s="38">
        <v>10.898</v>
      </c>
      <c r="O21" s="22">
        <f t="shared" si="6"/>
        <v>1160.287195996</v>
      </c>
      <c r="P21" s="22">
        <f t="shared" si="7"/>
        <v>106.46790200000001</v>
      </c>
      <c r="Q21" s="20">
        <f t="shared" si="11"/>
        <v>1.2855437904919722</v>
      </c>
      <c r="R21" s="20">
        <f t="shared" si="8"/>
        <v>0.8457524937447185</v>
      </c>
      <c r="S21" s="20">
        <f t="shared" si="9"/>
        <v>6.9449919616444076</v>
      </c>
      <c r="T21" s="22">
        <v>1.62</v>
      </c>
      <c r="U21" s="22">
        <v>13.58</v>
      </c>
      <c r="V21" s="20"/>
      <c r="W21" s="5" t="s">
        <v>66</v>
      </c>
      <c r="X21" s="7">
        <f>AVERAGE(D21:D26)</f>
        <v>1.5014666666666667</v>
      </c>
      <c r="Y21" s="7">
        <f t="shared" ref="Y21:AO21" si="25">AVERAGE(E21:E26)</f>
        <v>1.4644666666666668</v>
      </c>
      <c r="Z21" s="7">
        <f t="shared" si="25"/>
        <v>3.6999999999999998E-2</v>
      </c>
      <c r="AA21" s="7">
        <f t="shared" si="25"/>
        <v>2.4645742709611151</v>
      </c>
      <c r="AB21" s="7">
        <f t="shared" si="25"/>
        <v>0.53925000000000001</v>
      </c>
      <c r="AC21" s="7">
        <f t="shared" si="25"/>
        <v>0.92521666666666669</v>
      </c>
      <c r="AD21" s="7">
        <f t="shared" si="25"/>
        <v>1.3142492392524219</v>
      </c>
      <c r="AE21" s="26">
        <f t="shared" si="25"/>
        <v>86.463765740290924</v>
      </c>
      <c r="AF21" s="7">
        <f t="shared" si="25"/>
        <v>10.154166666666667</v>
      </c>
      <c r="AG21" s="7">
        <f t="shared" si="25"/>
        <v>10.263666666666667</v>
      </c>
      <c r="AH21" s="7">
        <f t="shared" si="25"/>
        <v>11.1995</v>
      </c>
      <c r="AI21" s="7">
        <f t="shared" si="25"/>
        <v>1167.4006413343334</v>
      </c>
      <c r="AJ21" s="7">
        <f t="shared" si="25"/>
        <v>104.22038166666668</v>
      </c>
      <c r="AK21" s="7">
        <f t="shared" si="25"/>
        <v>1.2563918749111131</v>
      </c>
      <c r="AL21" s="7">
        <f t="shared" si="25"/>
        <v>0.82657360191520601</v>
      </c>
      <c r="AM21" s="7">
        <f t="shared" si="25"/>
        <v>5.6468883986294669</v>
      </c>
      <c r="AN21" s="26">
        <f t="shared" si="25"/>
        <v>1.5</v>
      </c>
      <c r="AO21" s="26">
        <f t="shared" si="25"/>
        <v>9.9499999999999993</v>
      </c>
      <c r="AP21"/>
      <c r="AQ21"/>
      <c r="AR21"/>
      <c r="AS21" s="60" t="s">
        <v>82</v>
      </c>
      <c r="AT21" s="63" t="s">
        <v>84</v>
      </c>
      <c r="AU21" s="48">
        <v>0</v>
      </c>
      <c r="AV21" s="43">
        <f>AE10</f>
        <v>0.39612619728525311</v>
      </c>
      <c r="AW21" s="43">
        <f>AN10</f>
        <v>0.22634045153264118</v>
      </c>
      <c r="AX21" s="44">
        <f>AO10</f>
        <v>5.5405974407098002</v>
      </c>
      <c r="AZ21"/>
      <c r="BA21"/>
      <c r="BB21"/>
      <c r="BC21"/>
      <c r="BD21"/>
      <c r="BE21"/>
      <c r="BF21" s="88"/>
      <c r="BG21" s="76" t="s">
        <v>84</v>
      </c>
      <c r="BH21" s="49">
        <v>48</v>
      </c>
      <c r="BI21">
        <f>AE104</f>
        <v>1.1567459385846386</v>
      </c>
      <c r="BJ21">
        <f>AO104</f>
        <v>0.13024457442314713</v>
      </c>
      <c r="BK21">
        <f>AN104</f>
        <v>6.3612108225688448</v>
      </c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ht="21.75" thickBot="1" x14ac:dyDescent="0.4">
      <c r="A22" s="80"/>
      <c r="B22" s="5">
        <v>19</v>
      </c>
      <c r="C22" s="5"/>
      <c r="D22" s="5">
        <v>1.5013000000000001</v>
      </c>
      <c r="E22" s="5">
        <v>1.4581999999999999</v>
      </c>
      <c r="F22" s="6">
        <f t="shared" si="1"/>
        <v>4.3100000000000138E-2</v>
      </c>
      <c r="G22" s="5">
        <f t="shared" si="2"/>
        <v>2.8708452674348988</v>
      </c>
      <c r="H22" s="5">
        <v>0.52059999999999995</v>
      </c>
      <c r="I22" s="5">
        <f t="shared" si="3"/>
        <v>0.93759999999999999</v>
      </c>
      <c r="J22" s="5">
        <f t="shared" si="4"/>
        <v>1.290855375426621</v>
      </c>
      <c r="K22" s="25">
        <f t="shared" si="5"/>
        <v>84.924695751751372</v>
      </c>
      <c r="L22">
        <v>10.186999999999999</v>
      </c>
      <c r="M22">
        <v>10.153</v>
      </c>
      <c r="N22">
        <v>10.968999999999999</v>
      </c>
      <c r="O22" s="5">
        <f t="shared" si="6"/>
        <v>1134.5084340589999</v>
      </c>
      <c r="P22" s="5">
        <f t="shared" si="7"/>
        <v>103.428611</v>
      </c>
      <c r="Q22" s="5">
        <f t="shared" si="11"/>
        <v>1.2853143760094483</v>
      </c>
      <c r="R22" s="5">
        <f t="shared" si="8"/>
        <v>0.84560156316411073</v>
      </c>
      <c r="S22" s="5">
        <f t="shared" si="9"/>
        <v>0.430173470834667</v>
      </c>
      <c r="T22" s="5"/>
      <c r="U22" s="5"/>
      <c r="V22" s="5"/>
      <c r="W22" s="5" t="s">
        <v>67</v>
      </c>
      <c r="X22" s="5">
        <f>_xlfn.STDEV.S(D21:D26)</f>
        <v>9.5638207148952988E-4</v>
      </c>
      <c r="Y22" s="5">
        <f t="shared" ref="Y22:AO22" si="26">_xlfn.STDEV.S(E21:E26)</f>
        <v>2.2730654778661031E-2</v>
      </c>
      <c r="Z22" s="5">
        <f t="shared" si="26"/>
        <v>2.2330785924369052E-2</v>
      </c>
      <c r="AA22" s="5">
        <f t="shared" si="26"/>
        <v>1.4876445411184855</v>
      </c>
      <c r="AB22" s="5">
        <f t="shared" si="26"/>
        <v>3.2117269497888484E-2</v>
      </c>
      <c r="AC22" s="5">
        <f t="shared" si="26"/>
        <v>1.7902783768639574E-2</v>
      </c>
      <c r="AD22" s="5">
        <f t="shared" si="26"/>
        <v>3.6777065433268682E-2</v>
      </c>
      <c r="AE22" s="25">
        <f t="shared" si="26"/>
        <v>2.4195437785045213</v>
      </c>
      <c r="AF22" s="5">
        <f t="shared" si="26"/>
        <v>7.087853459734253E-2</v>
      </c>
      <c r="AG22" s="5">
        <f t="shared" si="26"/>
        <v>0.11041497482980565</v>
      </c>
      <c r="AH22" s="5">
        <f t="shared" si="26"/>
        <v>0.44647989876365091</v>
      </c>
      <c r="AI22" s="5">
        <f t="shared" si="26"/>
        <v>53.97907734216647</v>
      </c>
      <c r="AJ22" s="5">
        <f t="shared" si="26"/>
        <v>1.4637970495730208</v>
      </c>
      <c r="AK22" s="5">
        <f t="shared" si="26"/>
        <v>5.2498906561420582E-2</v>
      </c>
      <c r="AL22" s="5">
        <f t="shared" si="26"/>
        <v>3.4538754316724068E-2</v>
      </c>
      <c r="AM22" s="5">
        <f t="shared" si="26"/>
        <v>3.636175959750839</v>
      </c>
      <c r="AN22" s="25">
        <f t="shared" si="26"/>
        <v>0.16970562748477155</v>
      </c>
      <c r="AO22" s="25">
        <f t="shared" si="26"/>
        <v>5.1335952314143416</v>
      </c>
      <c r="AS22" s="61"/>
      <c r="AT22" s="64"/>
      <c r="AU22" s="49">
        <v>24</v>
      </c>
      <c r="AV22">
        <f>AE16</f>
        <v>0.89590650484729495</v>
      </c>
      <c r="AW22">
        <f>AN16</f>
        <v>0.19720970226301407</v>
      </c>
      <c r="AX22" s="45">
        <f>AO16</f>
        <v>11.688339987640109</v>
      </c>
      <c r="BF22" s="89"/>
      <c r="BG22" s="77"/>
      <c r="BH22" s="50"/>
      <c r="BI22" s="46"/>
      <c r="BJ22" s="46"/>
      <c r="BK22" s="47"/>
    </row>
    <row r="23" spans="1:105" s="38" customFormat="1" ht="21" x14ac:dyDescent="0.35">
      <c r="A23" s="80"/>
      <c r="B23" s="20">
        <v>20</v>
      </c>
      <c r="C23" s="20"/>
      <c r="D23" s="20">
        <v>1.5013000000000001</v>
      </c>
      <c r="E23" s="20">
        <v>1.4769000000000001</v>
      </c>
      <c r="F23" s="21">
        <f t="shared" si="1"/>
        <v>2.4399999999999977E-2</v>
      </c>
      <c r="G23" s="20">
        <f t="shared" si="2"/>
        <v>1.6252581096383119</v>
      </c>
      <c r="H23" s="20">
        <v>0.56189999999999996</v>
      </c>
      <c r="I23" s="20">
        <f t="shared" si="3"/>
        <v>0.91500000000000015</v>
      </c>
      <c r="J23" s="20">
        <f t="shared" si="4"/>
        <v>1.339701639344262</v>
      </c>
      <c r="K23" s="25">
        <f t="shared" si="5"/>
        <v>88.138265746333019</v>
      </c>
      <c r="L23" s="38">
        <v>10.146000000000001</v>
      </c>
      <c r="M23" s="38">
        <v>10.353999999999999</v>
      </c>
      <c r="N23" s="38">
        <v>11.678000000000001</v>
      </c>
      <c r="O23" s="20">
        <f t="shared" si="6"/>
        <v>1226.7935657519999</v>
      </c>
      <c r="P23" s="20">
        <f t="shared" si="7"/>
        <v>105.05168399999999</v>
      </c>
      <c r="Q23" s="20">
        <f t="shared" si="11"/>
        <v>1.2038700244524758</v>
      </c>
      <c r="R23" s="20">
        <f t="shared" si="8"/>
        <v>0.79201975292926041</v>
      </c>
      <c r="S23" s="20">
        <f t="shared" si="9"/>
        <v>10.680384344983079</v>
      </c>
      <c r="T23" s="20">
        <v>1.38</v>
      </c>
      <c r="U23" s="20">
        <v>6.32</v>
      </c>
      <c r="V23" s="20"/>
      <c r="W23" s="5" t="s">
        <v>61</v>
      </c>
      <c r="X23" s="5">
        <f>MIN(D21:D26)</f>
        <v>1.4999</v>
      </c>
      <c r="Y23" s="5">
        <f t="shared" ref="Y23:AO23" si="27">MIN(E21:E26)</f>
        <v>1.4365000000000001</v>
      </c>
      <c r="Z23" s="5">
        <f t="shared" si="27"/>
        <v>1.1099999999999888E-2</v>
      </c>
      <c r="AA23" s="5">
        <f t="shared" si="27"/>
        <v>0.73867039329206685</v>
      </c>
      <c r="AB23" s="5">
        <f t="shared" si="27"/>
        <v>0.50960000000000005</v>
      </c>
      <c r="AC23" s="5">
        <f t="shared" si="27"/>
        <v>0.89840000000000009</v>
      </c>
      <c r="AD23" s="5">
        <f t="shared" si="27"/>
        <v>1.2863253856942496</v>
      </c>
      <c r="AE23" s="25">
        <f t="shared" si="27"/>
        <v>84.626670111463781</v>
      </c>
      <c r="AF23" s="5">
        <f t="shared" si="27"/>
        <v>10.054</v>
      </c>
      <c r="AG23" s="5">
        <f t="shared" si="27"/>
        <v>10.112</v>
      </c>
      <c r="AH23" s="5">
        <f t="shared" si="27"/>
        <v>10.573</v>
      </c>
      <c r="AI23" s="5">
        <f t="shared" si="27"/>
        <v>1080.2608343039999</v>
      </c>
      <c r="AJ23" s="5">
        <f t="shared" si="27"/>
        <v>102.17164799999999</v>
      </c>
      <c r="AK23" s="5">
        <f t="shared" si="27"/>
        <v>1.1964797147016828</v>
      </c>
      <c r="AL23" s="5">
        <f t="shared" si="27"/>
        <v>0.78715770704058075</v>
      </c>
      <c r="AM23" s="5">
        <f t="shared" si="27"/>
        <v>0.430173470834667</v>
      </c>
      <c r="AN23" s="25">
        <f t="shared" si="27"/>
        <v>1.38</v>
      </c>
      <c r="AO23" s="25">
        <f t="shared" si="27"/>
        <v>6.32</v>
      </c>
      <c r="AP23"/>
      <c r="AQ23"/>
      <c r="AR23"/>
      <c r="AS23" s="61"/>
      <c r="AT23" s="64"/>
      <c r="AU23" s="49">
        <v>48</v>
      </c>
      <c r="AV23">
        <f>AE28</f>
        <v>1.342787371937894</v>
      </c>
      <c r="AW23">
        <f>AN28</f>
        <v>0.42990696668000233</v>
      </c>
      <c r="AX23" s="45">
        <f>AO28</f>
        <v>7.6706147080920886</v>
      </c>
      <c r="AZ23"/>
      <c r="BA23"/>
      <c r="BB23"/>
      <c r="BC23"/>
      <c r="BD23"/>
      <c r="BE23"/>
      <c r="BF23" s="87" t="s">
        <v>131</v>
      </c>
      <c r="BG23" s="84" t="s">
        <v>83</v>
      </c>
      <c r="BH23" s="49">
        <v>24</v>
      </c>
      <c r="BI23">
        <f>AE92</f>
        <v>1.2114642537126843</v>
      </c>
      <c r="BJ23" s="45">
        <f>AO92</f>
        <v>0.41347572221007428</v>
      </c>
      <c r="BK23">
        <f>AN92</f>
        <v>14.761587450203303</v>
      </c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ht="21.75" thickBot="1" x14ac:dyDescent="0.4">
      <c r="A24" s="80"/>
      <c r="B24" s="5">
        <v>21</v>
      </c>
      <c r="C24" s="5"/>
      <c r="D24" s="5">
        <v>1.4999</v>
      </c>
      <c r="E24" s="5">
        <v>1.4411</v>
      </c>
      <c r="F24" s="6">
        <f t="shared" si="1"/>
        <v>5.8799999999999963E-2</v>
      </c>
      <c r="G24" s="5">
        <f t="shared" si="2"/>
        <v>3.9202613507567143</v>
      </c>
      <c r="H24" s="5">
        <v>0.51780000000000004</v>
      </c>
      <c r="I24" s="5">
        <f t="shared" si="3"/>
        <v>0.92330000000000001</v>
      </c>
      <c r="J24" s="5">
        <f t="shared" si="4"/>
        <v>1.2954760099642586</v>
      </c>
      <c r="K24" s="25">
        <f t="shared" si="5"/>
        <v>85.228684866069642</v>
      </c>
      <c r="L24">
        <v>10.175000000000001</v>
      </c>
      <c r="M24">
        <v>10.255000000000001</v>
      </c>
      <c r="N24">
        <v>11.542999999999999</v>
      </c>
      <c r="O24" s="5">
        <f t="shared" si="6"/>
        <v>1204.4500063750002</v>
      </c>
      <c r="P24" s="5">
        <f t="shared" si="7"/>
        <v>104.34462500000002</v>
      </c>
      <c r="Q24" s="5">
        <f t="shared" si="11"/>
        <v>1.1964797147016828</v>
      </c>
      <c r="R24" s="5">
        <f t="shared" si="8"/>
        <v>0.78715770704058075</v>
      </c>
      <c r="S24" s="5">
        <f t="shared" si="9"/>
        <v>7.9452691942066291</v>
      </c>
      <c r="T24" s="5"/>
      <c r="U24" s="5"/>
      <c r="V24" s="5"/>
      <c r="W24" s="5" t="s">
        <v>62</v>
      </c>
      <c r="X24" s="5">
        <f>MAX(D21:D26)</f>
        <v>1.5026999999999999</v>
      </c>
      <c r="Y24" s="5">
        <f t="shared" ref="Y24:AO24" si="28">MAX(E21:E26)</f>
        <v>1.4916</v>
      </c>
      <c r="Z24" s="5">
        <f t="shared" si="28"/>
        <v>6.569999999999987E-2</v>
      </c>
      <c r="AA24" s="5">
        <f t="shared" si="28"/>
        <v>4.3735854080681582</v>
      </c>
      <c r="AB24" s="5">
        <f t="shared" si="28"/>
        <v>0.59319999999999995</v>
      </c>
      <c r="AC24" s="5">
        <f t="shared" si="28"/>
        <v>0.95009999999999994</v>
      </c>
      <c r="AD24" s="5">
        <f t="shared" si="28"/>
        <v>1.3780365093499551</v>
      </c>
      <c r="AE24" s="25">
        <f t="shared" si="28"/>
        <v>90.660296667760207</v>
      </c>
      <c r="AF24" s="5">
        <f t="shared" si="28"/>
        <v>10.259</v>
      </c>
      <c r="AG24" s="5">
        <f t="shared" si="28"/>
        <v>10.378</v>
      </c>
      <c r="AH24" s="5">
        <f t="shared" si="28"/>
        <v>11.678000000000001</v>
      </c>
      <c r="AI24" s="5">
        <f t="shared" si="28"/>
        <v>1226.7935657519999</v>
      </c>
      <c r="AJ24" s="5">
        <f t="shared" si="28"/>
        <v>106.46790200000001</v>
      </c>
      <c r="AK24" s="5">
        <f t="shared" si="28"/>
        <v>1.3297714351789132</v>
      </c>
      <c r="AL24" s="5">
        <f t="shared" si="28"/>
        <v>0.87484962840717972</v>
      </c>
      <c r="AM24" s="5">
        <f t="shared" si="28"/>
        <v>10.680384344983079</v>
      </c>
      <c r="AN24" s="25">
        <f t="shared" si="28"/>
        <v>1.62</v>
      </c>
      <c r="AO24" s="25">
        <f t="shared" si="28"/>
        <v>13.58</v>
      </c>
      <c r="AS24" s="61"/>
      <c r="AT24" s="65"/>
      <c r="AU24" s="50">
        <v>168</v>
      </c>
      <c r="AV24" s="46">
        <f>AE40</f>
        <v>0.84721107992260714</v>
      </c>
      <c r="AW24" s="46">
        <f>AN40</f>
        <v>9.8994949366116733E-2</v>
      </c>
      <c r="AX24" s="47">
        <f>AO40</f>
        <v>16.857425663487295</v>
      </c>
      <c r="BF24" s="88"/>
      <c r="BG24" s="84"/>
      <c r="BH24" s="49">
        <v>48</v>
      </c>
      <c r="BI24">
        <f>AE100</f>
        <v>1.3008574305961746</v>
      </c>
      <c r="BJ24" s="45">
        <f>AO100</f>
        <v>0.32009731202661895</v>
      </c>
      <c r="BK24">
        <f>AN100</f>
        <v>18.005879535561899</v>
      </c>
    </row>
    <row r="25" spans="1:105" ht="21.75" thickBot="1" x14ac:dyDescent="0.4">
      <c r="A25" s="80"/>
      <c r="B25" s="5">
        <v>22</v>
      </c>
      <c r="C25" s="5"/>
      <c r="D25" s="5">
        <v>1.5014000000000001</v>
      </c>
      <c r="E25" s="5">
        <v>1.4824999999999999</v>
      </c>
      <c r="F25" s="6">
        <f t="shared" si="1"/>
        <v>1.8900000000000139E-2</v>
      </c>
      <c r="G25" s="5">
        <f t="shared" si="2"/>
        <v>1.2588250965765377</v>
      </c>
      <c r="H25" s="5">
        <v>0.53239999999999998</v>
      </c>
      <c r="I25" s="5">
        <f t="shared" si="3"/>
        <v>0.95009999999999994</v>
      </c>
      <c r="J25" s="5">
        <f t="shared" si="4"/>
        <v>1.2951005157351858</v>
      </c>
      <c r="K25" s="25">
        <f t="shared" si="5"/>
        <v>85.203981298367481</v>
      </c>
      <c r="L25">
        <v>10.054</v>
      </c>
      <c r="M25">
        <v>10.33</v>
      </c>
      <c r="N25">
        <v>11.536</v>
      </c>
      <c r="O25" s="5">
        <f t="shared" si="6"/>
        <v>1198.1038115199999</v>
      </c>
      <c r="P25" s="5">
        <f t="shared" si="7"/>
        <v>103.85782</v>
      </c>
      <c r="Q25" s="5">
        <f t="shared" si="11"/>
        <v>1.2373719086321866</v>
      </c>
      <c r="R25" s="5">
        <f t="shared" si="8"/>
        <v>0.81406046620538586</v>
      </c>
      <c r="S25" s="5">
        <f t="shared" si="9"/>
        <v>4.5590709338065292</v>
      </c>
      <c r="T25" s="5"/>
      <c r="U25" s="5"/>
      <c r="V25" s="5"/>
      <c r="W25" s="5" t="s">
        <v>68</v>
      </c>
      <c r="X25" s="5">
        <f>COUNT(D21:D26)</f>
        <v>6</v>
      </c>
      <c r="Y25" s="5">
        <f t="shared" ref="Y25:AO25" si="29">COUNT(E21:E26)</f>
        <v>6</v>
      </c>
      <c r="Z25" s="5">
        <f t="shared" si="29"/>
        <v>6</v>
      </c>
      <c r="AA25" s="5">
        <f t="shared" si="29"/>
        <v>6</v>
      </c>
      <c r="AB25" s="5">
        <f t="shared" si="29"/>
        <v>6</v>
      </c>
      <c r="AC25" s="5">
        <f t="shared" si="29"/>
        <v>6</v>
      </c>
      <c r="AD25" s="5">
        <f t="shared" si="29"/>
        <v>6</v>
      </c>
      <c r="AE25" s="25">
        <f t="shared" si="29"/>
        <v>6</v>
      </c>
      <c r="AF25" s="5">
        <f t="shared" si="29"/>
        <v>6</v>
      </c>
      <c r="AG25" s="5">
        <f t="shared" si="29"/>
        <v>6</v>
      </c>
      <c r="AH25" s="5">
        <f t="shared" si="29"/>
        <v>6</v>
      </c>
      <c r="AI25" s="5">
        <f t="shared" si="29"/>
        <v>6</v>
      </c>
      <c r="AJ25" s="5">
        <f t="shared" si="29"/>
        <v>6</v>
      </c>
      <c r="AK25" s="5">
        <f t="shared" si="29"/>
        <v>6</v>
      </c>
      <c r="AL25" s="5">
        <f t="shared" si="29"/>
        <v>6</v>
      </c>
      <c r="AM25" s="5">
        <f t="shared" si="29"/>
        <v>6</v>
      </c>
      <c r="AN25" s="25">
        <f t="shared" si="29"/>
        <v>2</v>
      </c>
      <c r="AO25" s="25">
        <f t="shared" si="29"/>
        <v>2</v>
      </c>
      <c r="AS25" s="61"/>
      <c r="AT25" s="64" t="s">
        <v>83</v>
      </c>
      <c r="AU25" s="49">
        <v>0</v>
      </c>
      <c r="AV25">
        <f>AV21</f>
        <v>0.39612619728525311</v>
      </c>
      <c r="AW25">
        <f>AW21</f>
        <v>0.22634045153264118</v>
      </c>
      <c r="AX25" s="45">
        <f>AX21</f>
        <v>5.5405974407098002</v>
      </c>
      <c r="BF25" s="89"/>
      <c r="BG25" s="85"/>
      <c r="BH25" s="50">
        <v>168</v>
      </c>
      <c r="BI25" s="46">
        <f>AE108</f>
        <v>1.7299366186899054</v>
      </c>
      <c r="BJ25" s="47">
        <f>AO108</f>
        <v>0.3905250600153588</v>
      </c>
      <c r="BK25" s="46">
        <f>AN108</f>
        <v>18.598276004780679</v>
      </c>
    </row>
    <row r="26" spans="1:105" ht="21" x14ac:dyDescent="0.35">
      <c r="A26" s="80"/>
      <c r="B26" s="5">
        <v>23</v>
      </c>
      <c r="C26" s="5"/>
      <c r="D26" s="5">
        <v>1.5022</v>
      </c>
      <c r="E26" s="5">
        <v>1.4365000000000001</v>
      </c>
      <c r="F26" s="6">
        <f t="shared" si="1"/>
        <v>6.569999999999987E-2</v>
      </c>
      <c r="G26" s="5">
        <f t="shared" si="2"/>
        <v>4.3735854080681582</v>
      </c>
      <c r="H26" s="5">
        <v>0.50960000000000005</v>
      </c>
      <c r="I26" s="5">
        <f t="shared" si="3"/>
        <v>0.92690000000000006</v>
      </c>
      <c r="J26" s="5">
        <f t="shared" si="4"/>
        <v>1.2863253856942496</v>
      </c>
      <c r="K26" s="25">
        <f t="shared" si="5"/>
        <v>84.626670111463781</v>
      </c>
      <c r="L26">
        <v>10.103999999999999</v>
      </c>
      <c r="M26">
        <v>10.112</v>
      </c>
      <c r="N26">
        <v>10.573</v>
      </c>
      <c r="O26" s="5">
        <f t="shared" si="6"/>
        <v>1080.2608343039999</v>
      </c>
      <c r="P26" s="5">
        <f t="shared" si="7"/>
        <v>102.17164799999999</v>
      </c>
      <c r="Q26" s="5">
        <f t="shared" si="11"/>
        <v>1.3297714351789132</v>
      </c>
      <c r="R26" s="5">
        <f t="shared" si="8"/>
        <v>0.87484962840717972</v>
      </c>
      <c r="S26" s="5">
        <f t="shared" si="9"/>
        <v>3.3214404863014799</v>
      </c>
      <c r="T26" s="5"/>
      <c r="U26" s="5"/>
      <c r="V26" s="5"/>
      <c r="W26" s="5"/>
      <c r="X26" s="5"/>
      <c r="Y26" s="5"/>
      <c r="AS26" s="61"/>
      <c r="AT26" s="64"/>
      <c r="AU26" s="49">
        <v>24</v>
      </c>
      <c r="AV26">
        <f>AE50</f>
        <v>1.9186085302432807</v>
      </c>
      <c r="AW26" t="e">
        <f>AN50</f>
        <v>#DIV/0!</v>
      </c>
      <c r="AX26" s="45" t="e">
        <f>AO50</f>
        <v>#DIV/0!</v>
      </c>
    </row>
    <row r="27" spans="1:105" s="38" customFormat="1" ht="21" x14ac:dyDescent="0.35">
      <c r="A27" s="80" t="s">
        <v>34</v>
      </c>
      <c r="B27" s="22">
        <v>24</v>
      </c>
      <c r="C27" s="22"/>
      <c r="D27" s="22">
        <v>1.5005999999999999</v>
      </c>
      <c r="E27" s="22">
        <v>1.5119</v>
      </c>
      <c r="F27" s="23">
        <f t="shared" si="1"/>
        <v>1.1300000000000088E-2</v>
      </c>
      <c r="G27" s="22">
        <f t="shared" si="2"/>
        <v>0.75303212048514512</v>
      </c>
      <c r="H27" s="22">
        <v>0.61380000000000001</v>
      </c>
      <c r="I27" s="22">
        <f t="shared" si="3"/>
        <v>0.89810000000000001</v>
      </c>
      <c r="J27" s="22">
        <f t="shared" si="4"/>
        <v>1.3972575437033738</v>
      </c>
      <c r="K27" s="25">
        <f t="shared" si="5"/>
        <v>91.924838401537755</v>
      </c>
      <c r="L27" s="38">
        <v>10.519</v>
      </c>
      <c r="M27" s="38">
        <v>10.298999999999999</v>
      </c>
      <c r="N27" s="38">
        <v>10.731999999999999</v>
      </c>
      <c r="O27" s="22">
        <f t="shared" si="6"/>
        <v>1162.6531624919999</v>
      </c>
      <c r="P27" s="22">
        <f t="shared" si="7"/>
        <v>108.33518099999999</v>
      </c>
      <c r="Q27" s="20">
        <f t="shared" si="11"/>
        <v>1.3003878102042348</v>
      </c>
      <c r="R27" s="20">
        <f t="shared" si="8"/>
        <v>0.8555182961869966</v>
      </c>
      <c r="S27" s="20">
        <f t="shared" si="9"/>
        <v>7.1817989980647967</v>
      </c>
      <c r="T27" s="22">
        <v>2.34</v>
      </c>
      <c r="U27" s="22">
        <v>52.73</v>
      </c>
      <c r="V27" s="20"/>
      <c r="W27" s="5" t="s">
        <v>66</v>
      </c>
      <c r="X27" s="7">
        <f>AVERAGE(D27:D32)</f>
        <v>1.45225</v>
      </c>
      <c r="Y27" s="7">
        <f t="shared" ref="Y27:AO27" si="30">AVERAGE(E27:E32)</f>
        <v>1.4716000000000002</v>
      </c>
      <c r="Z27" s="7">
        <f t="shared" si="30"/>
        <v>2.9549999999999965E-2</v>
      </c>
      <c r="AA27" s="7">
        <f t="shared" si="30"/>
        <v>2.0877733610145515</v>
      </c>
      <c r="AB27" s="7">
        <f t="shared" si="30"/>
        <v>0.59058333333333335</v>
      </c>
      <c r="AC27" s="7">
        <f t="shared" si="30"/>
        <v>0.88101666666666667</v>
      </c>
      <c r="AD27" s="7">
        <f t="shared" si="30"/>
        <v>1.3867801818788319</v>
      </c>
      <c r="AE27" s="26">
        <f t="shared" si="30"/>
        <v>91.235538281502102</v>
      </c>
      <c r="AF27" s="7">
        <f t="shared" si="30"/>
        <v>10.289666666666667</v>
      </c>
      <c r="AG27" s="7">
        <f t="shared" si="30"/>
        <v>10.183000000000002</v>
      </c>
      <c r="AH27" s="7">
        <f t="shared" si="30"/>
        <v>10.643500000000001</v>
      </c>
      <c r="AI27" s="7">
        <f t="shared" si="30"/>
        <v>1114.0142105683333</v>
      </c>
      <c r="AJ27" s="7">
        <f t="shared" si="30"/>
        <v>104.78202833333334</v>
      </c>
      <c r="AK27" s="7">
        <f t="shared" si="30"/>
        <v>1.3276317496283738</v>
      </c>
      <c r="AL27" s="7">
        <f t="shared" si="30"/>
        <v>0.87344194054498281</v>
      </c>
      <c r="AM27" s="7">
        <f t="shared" si="30"/>
        <v>8.8961361277345592</v>
      </c>
      <c r="AN27" s="26">
        <f t="shared" si="30"/>
        <v>1.5719999999999998</v>
      </c>
      <c r="AO27" s="26">
        <f t="shared" si="30"/>
        <v>64.244</v>
      </c>
      <c r="AP27"/>
      <c r="AQ27"/>
      <c r="AR27"/>
      <c r="AS27" s="61"/>
      <c r="AT27" s="64"/>
      <c r="AU27" s="49">
        <v>48</v>
      </c>
      <c r="AV27">
        <f>AE64</f>
        <v>1.6916071230031278</v>
      </c>
      <c r="AW27">
        <f>AN64</f>
        <v>0.17616280348965074</v>
      </c>
      <c r="AX27" s="45">
        <f>AO64</f>
        <v>12.438578428957754</v>
      </c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ht="21.75" thickBot="1" x14ac:dyDescent="0.4">
      <c r="A28" s="80"/>
      <c r="B28" s="5">
        <v>25</v>
      </c>
      <c r="C28" s="5"/>
      <c r="D28" s="5">
        <v>1.5027999999999999</v>
      </c>
      <c r="E28" s="5">
        <v>1.4728000000000001</v>
      </c>
      <c r="F28" s="6">
        <f t="shared" si="1"/>
        <v>2.9999999999999805E-2</v>
      </c>
      <c r="G28" s="5">
        <f t="shared" si="2"/>
        <v>1.9962736225711875</v>
      </c>
      <c r="H28" s="5">
        <v>0.59670000000000001</v>
      </c>
      <c r="I28" s="5">
        <f t="shared" si="3"/>
        <v>0.8761000000000001</v>
      </c>
      <c r="J28" s="5">
        <f t="shared" si="4"/>
        <v>1.395301906175094</v>
      </c>
      <c r="K28" s="25">
        <f t="shared" si="5"/>
        <v>91.796178037835134</v>
      </c>
      <c r="L28">
        <v>10.259</v>
      </c>
      <c r="M28">
        <v>10.282999999999999</v>
      </c>
      <c r="N28">
        <v>10.614000000000001</v>
      </c>
      <c r="O28" s="5">
        <f t="shared" si="6"/>
        <v>1119.7058543580001</v>
      </c>
      <c r="P28" s="5">
        <f t="shared" si="7"/>
        <v>105.493297</v>
      </c>
      <c r="Q28" s="5">
        <f t="shared" si="11"/>
        <v>1.3153454492246552</v>
      </c>
      <c r="R28" s="5">
        <f t="shared" si="8"/>
        <v>0.86535884817411524</v>
      </c>
      <c r="S28" s="5">
        <f t="shared" si="9"/>
        <v>5.8994362945191927</v>
      </c>
      <c r="T28" s="5"/>
      <c r="U28" s="5"/>
      <c r="V28" s="5"/>
      <c r="W28" s="5" t="s">
        <v>67</v>
      </c>
      <c r="X28" s="5">
        <f>_xlfn.STDEV.S(D27:D32)</f>
        <v>0.12098257312522327</v>
      </c>
      <c r="Y28" s="5">
        <f t="shared" ref="Y28:AO28" si="31">_xlfn.STDEV.S(E27:E32)</f>
        <v>0.11619667809365289</v>
      </c>
      <c r="Z28" s="5">
        <f t="shared" si="31"/>
        <v>3.4762954419899343E-2</v>
      </c>
      <c r="AA28" s="5">
        <f t="shared" si="31"/>
        <v>2.3922911632143933</v>
      </c>
      <c r="AB28" s="5">
        <f t="shared" si="31"/>
        <v>4.7044889910240716E-2</v>
      </c>
      <c r="AC28" s="5">
        <f t="shared" si="31"/>
        <v>7.229493527673056E-2</v>
      </c>
      <c r="AD28" s="5">
        <f t="shared" si="31"/>
        <v>2.0410368053456016E-2</v>
      </c>
      <c r="AE28" s="25">
        <f t="shared" si="31"/>
        <v>1.342787371937894</v>
      </c>
      <c r="AF28" s="5">
        <f t="shared" si="31"/>
        <v>0.2261049903621469</v>
      </c>
      <c r="AG28" s="5">
        <f t="shared" si="31"/>
        <v>9.4593868723083452E-2</v>
      </c>
      <c r="AH28" s="5">
        <f t="shared" si="31"/>
        <v>0.88347897541480869</v>
      </c>
      <c r="AI28" s="5">
        <f t="shared" si="31"/>
        <v>78.990921409830435</v>
      </c>
      <c r="AJ28" s="5">
        <f t="shared" si="31"/>
        <v>2.6123411450339025</v>
      </c>
      <c r="AK28" s="5">
        <f t="shared" si="31"/>
        <v>0.15286674956389612</v>
      </c>
      <c r="AL28" s="5">
        <f t="shared" si="31"/>
        <v>0.10057022997624585</v>
      </c>
      <c r="AM28" s="5">
        <f t="shared" si="31"/>
        <v>7.4532615972591287</v>
      </c>
      <c r="AN28" s="25">
        <f t="shared" si="31"/>
        <v>0.42990696668000233</v>
      </c>
      <c r="AO28" s="25">
        <f t="shared" si="31"/>
        <v>7.6706147080920886</v>
      </c>
      <c r="AS28" s="62"/>
      <c r="AT28" s="65"/>
      <c r="AU28" s="50">
        <v>168</v>
      </c>
      <c r="AV28" s="46">
        <f>AE78</f>
        <v>2.3879390381739447</v>
      </c>
      <c r="AW28" s="46">
        <f>AN78</f>
        <v>0.34141860913937716</v>
      </c>
      <c r="AX28" s="47">
        <f>AO78</f>
        <v>6.0123061299305141</v>
      </c>
    </row>
    <row r="29" spans="1:105" s="38" customFormat="1" ht="21" customHeight="1" x14ac:dyDescent="0.35">
      <c r="A29" s="80"/>
      <c r="B29" s="20">
        <v>26</v>
      </c>
      <c r="C29" s="20"/>
      <c r="D29" s="20">
        <v>1.5012000000000001</v>
      </c>
      <c r="E29" s="20">
        <v>1.5014000000000001</v>
      </c>
      <c r="F29" s="21">
        <f t="shared" si="1"/>
        <v>1.9999999999997797E-4</v>
      </c>
      <c r="G29" s="20">
        <f t="shared" si="2"/>
        <v>1.332267519317732E-2</v>
      </c>
      <c r="H29" s="20">
        <v>0.58109999999999995</v>
      </c>
      <c r="I29" s="20">
        <f t="shared" si="3"/>
        <v>0.92030000000000012</v>
      </c>
      <c r="J29" s="20">
        <f t="shared" si="4"/>
        <v>1.354082364446376</v>
      </c>
      <c r="K29" s="25">
        <f t="shared" si="5"/>
        <v>89.084366081998425</v>
      </c>
      <c r="L29" s="38">
        <v>10.156000000000001</v>
      </c>
      <c r="M29" s="38">
        <v>10.096</v>
      </c>
      <c r="N29" s="38">
        <v>11.406000000000001</v>
      </c>
      <c r="O29" s="20">
        <f t="shared" si="6"/>
        <v>1169.5139362560001</v>
      </c>
      <c r="P29" s="20">
        <f t="shared" si="7"/>
        <v>102.534976</v>
      </c>
      <c r="Q29" s="20">
        <f t="shared" si="11"/>
        <v>1.2837811961492966</v>
      </c>
      <c r="R29" s="20">
        <f t="shared" si="8"/>
        <v>0.84459289220348466</v>
      </c>
      <c r="S29" s="20">
        <f t="shared" si="9"/>
        <v>5.3301595539084046</v>
      </c>
      <c r="T29" s="20">
        <v>1.35</v>
      </c>
      <c r="U29" s="20">
        <v>63.46</v>
      </c>
      <c r="V29" s="20"/>
      <c r="W29" s="5" t="s">
        <v>61</v>
      </c>
      <c r="X29" s="5">
        <f>MIN(D27:D32)</f>
        <v>1.2053</v>
      </c>
      <c r="Y29" s="5">
        <f t="shared" ref="Y29:AO29" si="32">MIN(E27:E32)</f>
        <v>1.2493000000000001</v>
      </c>
      <c r="Z29" s="5">
        <f t="shared" si="32"/>
        <v>1.9999999999997797E-4</v>
      </c>
      <c r="AA29" s="5">
        <f t="shared" si="32"/>
        <v>1.332267519317732E-2</v>
      </c>
      <c r="AB29" s="5">
        <f t="shared" si="32"/>
        <v>0.50149999999999995</v>
      </c>
      <c r="AC29" s="5">
        <f t="shared" si="32"/>
        <v>0.74780000000000013</v>
      </c>
      <c r="AD29" s="5">
        <f t="shared" si="32"/>
        <v>1.354082364446376</v>
      </c>
      <c r="AE29" s="25">
        <f t="shared" si="32"/>
        <v>89.084366081998425</v>
      </c>
      <c r="AF29" s="5">
        <f t="shared" si="32"/>
        <v>10.07</v>
      </c>
      <c r="AG29" s="5">
        <f t="shared" si="32"/>
        <v>10.09</v>
      </c>
      <c r="AH29" s="5">
        <f t="shared" si="32"/>
        <v>8.9359999999999999</v>
      </c>
      <c r="AI29" s="5">
        <f t="shared" si="32"/>
        <v>957.1835718399999</v>
      </c>
      <c r="AJ29" s="5">
        <f t="shared" si="32"/>
        <v>101.88826</v>
      </c>
      <c r="AK29" s="5">
        <f t="shared" si="32"/>
        <v>1.1012638348792123</v>
      </c>
      <c r="AL29" s="5">
        <f t="shared" si="32"/>
        <v>0.72451568084158702</v>
      </c>
      <c r="AM29" s="5">
        <f t="shared" si="32"/>
        <v>1.5821804682089542</v>
      </c>
      <c r="AN29" s="25">
        <f t="shared" si="32"/>
        <v>1.35</v>
      </c>
      <c r="AO29" s="25">
        <f t="shared" si="32"/>
        <v>52.73</v>
      </c>
      <c r="AP29"/>
      <c r="AQ29"/>
      <c r="AR29"/>
      <c r="AS29" s="60" t="s">
        <v>85</v>
      </c>
      <c r="AT29" s="63" t="s">
        <v>84</v>
      </c>
      <c r="AU29" s="48">
        <v>24</v>
      </c>
      <c r="AV29" s="43">
        <f>AE22</f>
        <v>2.4195437785045213</v>
      </c>
      <c r="AW29" s="43">
        <f>AN22</f>
        <v>0.16970562748477155</v>
      </c>
      <c r="AX29" s="44">
        <f>AO22</f>
        <v>5.1335952314143416</v>
      </c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38" customFormat="1" ht="21" x14ac:dyDescent="0.35">
      <c r="A30" s="80"/>
      <c r="B30" s="20">
        <v>27</v>
      </c>
      <c r="C30" s="20"/>
      <c r="D30" s="21">
        <v>1.502</v>
      </c>
      <c r="E30" s="20">
        <v>1.5014000000000001</v>
      </c>
      <c r="F30" s="21">
        <f t="shared" si="1"/>
        <v>5.9999999999993392E-4</v>
      </c>
      <c r="G30" s="20">
        <f t="shared" si="2"/>
        <v>3.9946737683084814E-2</v>
      </c>
      <c r="H30" s="20">
        <v>0.61939999999999995</v>
      </c>
      <c r="I30" s="20">
        <f t="shared" si="3"/>
        <v>0.88200000000000012</v>
      </c>
      <c r="J30" s="20">
        <f t="shared" si="4"/>
        <v>1.4128820861678002</v>
      </c>
      <c r="K30" s="25">
        <f t="shared" si="5"/>
        <v>92.952768826828958</v>
      </c>
      <c r="L30" s="38">
        <v>10.616</v>
      </c>
      <c r="M30" s="38">
        <v>10.09</v>
      </c>
      <c r="N30" s="38">
        <v>8.9359999999999999</v>
      </c>
      <c r="O30" s="20">
        <f t="shared" si="6"/>
        <v>957.1835718399999</v>
      </c>
      <c r="P30" s="20">
        <f t="shared" si="7"/>
        <v>107.11543999999999</v>
      </c>
      <c r="Q30" s="20">
        <f t="shared" si="11"/>
        <v>1.5685601426629685</v>
      </c>
      <c r="R30" s="20">
        <f t="shared" si="8"/>
        <v>1.0319474622782687</v>
      </c>
      <c r="S30" s="20">
        <f t="shared" si="9"/>
        <v>10.443137552004186</v>
      </c>
      <c r="T30" s="20">
        <v>1.41</v>
      </c>
      <c r="U30" s="20">
        <v>72.47</v>
      </c>
      <c r="V30" s="20"/>
      <c r="W30" s="5" t="s">
        <v>62</v>
      </c>
      <c r="X30" s="5">
        <f>MAX(D27:D32)</f>
        <v>1.5027999999999999</v>
      </c>
      <c r="Y30" s="5">
        <f t="shared" ref="Y30:AO30" si="33">MAX(E27:E32)</f>
        <v>1.5928</v>
      </c>
      <c r="Z30" s="5">
        <f t="shared" si="33"/>
        <v>9.1199999999999948E-2</v>
      </c>
      <c r="AA30" s="5">
        <f t="shared" si="33"/>
        <v>6.0735215769845459</v>
      </c>
      <c r="AB30" s="5">
        <f t="shared" si="33"/>
        <v>0.63100000000000001</v>
      </c>
      <c r="AC30" s="5">
        <f t="shared" si="33"/>
        <v>0.96179999999999999</v>
      </c>
      <c r="AD30" s="5">
        <f t="shared" si="33"/>
        <v>1.4128820861678002</v>
      </c>
      <c r="AE30" s="25">
        <f t="shared" si="33"/>
        <v>92.952768826828958</v>
      </c>
      <c r="AF30" s="5">
        <f t="shared" si="33"/>
        <v>10.616</v>
      </c>
      <c r="AG30" s="5">
        <f t="shared" si="33"/>
        <v>10.298999999999999</v>
      </c>
      <c r="AH30" s="5">
        <f t="shared" si="33"/>
        <v>11.406000000000001</v>
      </c>
      <c r="AI30" s="5">
        <f t="shared" si="33"/>
        <v>1169.5139362560001</v>
      </c>
      <c r="AJ30" s="5">
        <f t="shared" si="33"/>
        <v>108.33518099999999</v>
      </c>
      <c r="AK30" s="5">
        <f t="shared" si="33"/>
        <v>1.5685601426629685</v>
      </c>
      <c r="AL30" s="5">
        <f t="shared" si="33"/>
        <v>1.0319474622782687</v>
      </c>
      <c r="AM30" s="5">
        <f t="shared" si="33"/>
        <v>22.940103899701825</v>
      </c>
      <c r="AN30" s="25">
        <f t="shared" si="33"/>
        <v>2.34</v>
      </c>
      <c r="AO30" s="25">
        <f t="shared" si="33"/>
        <v>72.47</v>
      </c>
      <c r="AP30"/>
      <c r="AQ30"/>
      <c r="AR30"/>
      <c r="AS30" s="61"/>
      <c r="AT30" s="64"/>
      <c r="AU30" s="49">
        <v>48</v>
      </c>
      <c r="AV30">
        <f>AE34</f>
        <v>1.5635047214453601</v>
      </c>
      <c r="AW30">
        <f>AN34</f>
        <v>0.33039118228750092</v>
      </c>
      <c r="AX30" s="45">
        <f>AO34</f>
        <v>12.525255486416224</v>
      </c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38" customFormat="1" ht="21.75" thickBot="1" x14ac:dyDescent="0.4">
      <c r="A31" s="80"/>
      <c r="B31" s="20">
        <v>28</v>
      </c>
      <c r="C31" s="20"/>
      <c r="D31" s="20">
        <v>1.5016</v>
      </c>
      <c r="E31" s="20">
        <v>1.5928</v>
      </c>
      <c r="F31" s="21">
        <f t="shared" si="1"/>
        <v>9.1199999999999948E-2</v>
      </c>
      <c r="G31" s="20">
        <f t="shared" si="2"/>
        <v>6.0735215769845459</v>
      </c>
      <c r="H31" s="20">
        <v>0.63100000000000001</v>
      </c>
      <c r="I31" s="20">
        <f t="shared" si="3"/>
        <v>0.96179999999999999</v>
      </c>
      <c r="J31" s="20">
        <f t="shared" si="4"/>
        <v>1.3745310875441878</v>
      </c>
      <c r="K31" s="25">
        <f t="shared" si="5"/>
        <v>90.42967681211762</v>
      </c>
      <c r="L31" s="38">
        <v>10.118</v>
      </c>
      <c r="M31" s="38">
        <v>10.212</v>
      </c>
      <c r="N31" s="38">
        <v>11.039</v>
      </c>
      <c r="O31" s="20">
        <f t="shared" si="6"/>
        <v>1140.604851624</v>
      </c>
      <c r="P31" s="20">
        <f t="shared" si="7"/>
        <v>103.32501600000001</v>
      </c>
      <c r="Q31" s="20">
        <f t="shared" si="11"/>
        <v>1.3964520646498755</v>
      </c>
      <c r="R31" s="20">
        <f t="shared" si="8"/>
        <v>0.9187184635854444</v>
      </c>
      <c r="S31" s="20">
        <f t="shared" si="9"/>
        <v>1.5821804682089542</v>
      </c>
      <c r="T31" s="20">
        <v>1.37</v>
      </c>
      <c r="U31" s="20">
        <v>62.66</v>
      </c>
      <c r="V31" s="20"/>
      <c r="W31" s="5" t="s">
        <v>68</v>
      </c>
      <c r="X31" s="5">
        <f>COUNT(D27:D32)</f>
        <v>6</v>
      </c>
      <c r="Y31" s="5">
        <f t="shared" ref="Y31:AO31" si="34">COUNT(E27:E32)</f>
        <v>6</v>
      </c>
      <c r="Z31" s="5">
        <f t="shared" si="34"/>
        <v>6</v>
      </c>
      <c r="AA31" s="5">
        <f t="shared" si="34"/>
        <v>6</v>
      </c>
      <c r="AB31" s="5">
        <f t="shared" si="34"/>
        <v>6</v>
      </c>
      <c r="AC31" s="5">
        <f t="shared" si="34"/>
        <v>6</v>
      </c>
      <c r="AD31" s="5">
        <f t="shared" si="34"/>
        <v>6</v>
      </c>
      <c r="AE31" s="25">
        <f t="shared" si="34"/>
        <v>6</v>
      </c>
      <c r="AF31" s="5">
        <f t="shared" si="34"/>
        <v>6</v>
      </c>
      <c r="AG31" s="5">
        <f t="shared" si="34"/>
        <v>6</v>
      </c>
      <c r="AH31" s="5">
        <f t="shared" si="34"/>
        <v>6</v>
      </c>
      <c r="AI31" s="5">
        <f t="shared" si="34"/>
        <v>6</v>
      </c>
      <c r="AJ31" s="5">
        <f t="shared" si="34"/>
        <v>6</v>
      </c>
      <c r="AK31" s="5">
        <f t="shared" si="34"/>
        <v>6</v>
      </c>
      <c r="AL31" s="5">
        <f t="shared" si="34"/>
        <v>6</v>
      </c>
      <c r="AM31" s="5">
        <f t="shared" si="34"/>
        <v>6</v>
      </c>
      <c r="AN31" s="25">
        <f t="shared" si="34"/>
        <v>5</v>
      </c>
      <c r="AO31" s="25">
        <f t="shared" si="34"/>
        <v>5</v>
      </c>
      <c r="AP31"/>
      <c r="AQ31"/>
      <c r="AR31"/>
      <c r="AS31" s="61"/>
      <c r="AT31" s="65"/>
      <c r="AU31" s="50">
        <v>168</v>
      </c>
      <c r="AV31" s="46">
        <f>AE46</f>
        <v>1.5859928391146718</v>
      </c>
      <c r="AW31" s="46">
        <f>AN46</f>
        <v>0.24062418831031895</v>
      </c>
      <c r="AX31" s="47">
        <f>AO46</f>
        <v>0.62580614676857649</v>
      </c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38" customFormat="1" ht="21" x14ac:dyDescent="0.35">
      <c r="A32" s="80"/>
      <c r="B32" s="20">
        <v>29</v>
      </c>
      <c r="C32" s="20"/>
      <c r="D32" s="20">
        <v>1.2053</v>
      </c>
      <c r="E32" s="20">
        <v>1.2493000000000001</v>
      </c>
      <c r="F32" s="21">
        <f t="shared" si="1"/>
        <v>4.4000000000000039E-2</v>
      </c>
      <c r="G32" s="20">
        <f t="shared" si="2"/>
        <v>3.6505434331701685</v>
      </c>
      <c r="H32" s="20">
        <v>0.50149999999999995</v>
      </c>
      <c r="I32" s="20">
        <f t="shared" si="3"/>
        <v>0.74780000000000013</v>
      </c>
      <c r="J32" s="20">
        <f t="shared" si="4"/>
        <v>1.3866261032361591</v>
      </c>
      <c r="K32" s="25">
        <f t="shared" si="5"/>
        <v>91.225401528694675</v>
      </c>
      <c r="L32" s="38">
        <v>10.07</v>
      </c>
      <c r="M32" s="38">
        <v>10.118</v>
      </c>
      <c r="N32" s="38">
        <v>11.134</v>
      </c>
      <c r="O32" s="20">
        <f t="shared" si="6"/>
        <v>1134.42388684</v>
      </c>
      <c r="P32" s="20">
        <f t="shared" si="7"/>
        <v>101.88826</v>
      </c>
      <c r="Q32" s="20">
        <f t="shared" si="11"/>
        <v>1.1012638348792123</v>
      </c>
      <c r="R32" s="20">
        <f t="shared" si="8"/>
        <v>0.72451568084158702</v>
      </c>
      <c r="S32" s="20">
        <f t="shared" si="9"/>
        <v>22.940103899701825</v>
      </c>
      <c r="T32" s="20">
        <v>1.39</v>
      </c>
      <c r="U32" s="20">
        <v>69.900000000000006</v>
      </c>
      <c r="V32" s="20"/>
      <c r="W32" s="5"/>
      <c r="X32" s="5"/>
      <c r="Y32" s="5"/>
      <c r="Z32"/>
      <c r="AA32"/>
      <c r="AB32"/>
      <c r="AC32"/>
      <c r="AD32"/>
      <c r="AE32" s="27"/>
      <c r="AF32"/>
      <c r="AG32"/>
      <c r="AH32"/>
      <c r="AI32"/>
      <c r="AJ32"/>
      <c r="AK32"/>
      <c r="AL32"/>
      <c r="AM32"/>
      <c r="AN32" s="27"/>
      <c r="AO32" s="27"/>
      <c r="AP32"/>
      <c r="AQ32"/>
      <c r="AR32"/>
      <c r="AS32" s="61"/>
      <c r="AT32" s="64" t="s">
        <v>83</v>
      </c>
      <c r="AU32" s="49">
        <v>24</v>
      </c>
      <c r="AV32">
        <f>AE57</f>
        <v>2.1171516722031969</v>
      </c>
      <c r="AW32">
        <f>AN57</f>
        <v>0.21213203435596428</v>
      </c>
      <c r="AX32" s="45">
        <f>AO57</f>
        <v>10.16112444565068</v>
      </c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38" customFormat="1" ht="21" x14ac:dyDescent="0.35">
      <c r="A33" s="80" t="s">
        <v>35</v>
      </c>
      <c r="B33" s="22">
        <v>30</v>
      </c>
      <c r="C33" s="22"/>
      <c r="D33" s="22">
        <v>1.5015000000000001</v>
      </c>
      <c r="E33" s="22">
        <v>1.4668000000000001</v>
      </c>
      <c r="F33" s="23">
        <f t="shared" si="1"/>
        <v>3.4699999999999953E-2</v>
      </c>
      <c r="G33" s="22">
        <f t="shared" si="2"/>
        <v>2.3110223110223078</v>
      </c>
      <c r="H33" s="22">
        <v>0.57069999999999999</v>
      </c>
      <c r="I33" s="22">
        <f t="shared" si="3"/>
        <v>0.89610000000000012</v>
      </c>
      <c r="J33" s="22">
        <f t="shared" si="4"/>
        <v>1.3586028345050774</v>
      </c>
      <c r="K33" s="25">
        <f t="shared" si="5"/>
        <v>89.381765427965604</v>
      </c>
      <c r="L33" s="38">
        <v>10.125</v>
      </c>
      <c r="M33" s="38">
        <v>10.116</v>
      </c>
      <c r="N33" s="38">
        <v>11.025</v>
      </c>
      <c r="O33" s="22">
        <f t="shared" si="6"/>
        <v>1129.2301124999999</v>
      </c>
      <c r="P33" s="22">
        <f t="shared" si="7"/>
        <v>102.42449999999999</v>
      </c>
      <c r="Q33" s="20">
        <f t="shared" si="11"/>
        <v>1.2989380851283314</v>
      </c>
      <c r="R33" s="20">
        <f t="shared" si="8"/>
        <v>0.85456452968969177</v>
      </c>
      <c r="S33" s="20">
        <f t="shared" si="9"/>
        <v>4.4902224410509781</v>
      </c>
      <c r="T33" s="22">
        <v>1.68</v>
      </c>
      <c r="U33" s="22">
        <v>22.35</v>
      </c>
      <c r="V33" s="20"/>
      <c r="W33" s="5" t="s">
        <v>66</v>
      </c>
      <c r="X33" s="7">
        <f>AVERAGE(D33:D38)</f>
        <v>1.48675</v>
      </c>
      <c r="Y33" s="7">
        <f t="shared" ref="Y33:AO33" si="35">AVERAGE(E33:E38)</f>
        <v>1.452</v>
      </c>
      <c r="Z33" s="7">
        <f t="shared" si="35"/>
        <v>3.4750000000000024E-2</v>
      </c>
      <c r="AA33" s="7">
        <f t="shared" si="35"/>
        <v>2.3241215991386643</v>
      </c>
      <c r="AB33" s="7">
        <f t="shared" si="35"/>
        <v>0.55903333333333338</v>
      </c>
      <c r="AC33" s="7">
        <f t="shared" si="35"/>
        <v>0.89296666666666669</v>
      </c>
      <c r="AD33" s="7">
        <f t="shared" si="35"/>
        <v>1.3499813008605024</v>
      </c>
      <c r="AE33" s="26">
        <f t="shared" si="35"/>
        <v>88.814559267138293</v>
      </c>
      <c r="AF33" s="7">
        <f t="shared" si="35"/>
        <v>10.233333333333333</v>
      </c>
      <c r="AG33" s="7">
        <f t="shared" si="35"/>
        <v>10.282333333333336</v>
      </c>
      <c r="AH33" s="7">
        <f t="shared" si="35"/>
        <v>10.783333333333333</v>
      </c>
      <c r="AI33" s="7">
        <f t="shared" si="35"/>
        <v>1135.1919803820001</v>
      </c>
      <c r="AJ33" s="7">
        <f t="shared" si="35"/>
        <v>105.23460666666666</v>
      </c>
      <c r="AK33" s="7">
        <f t="shared" si="35"/>
        <v>1.2828458317170974</v>
      </c>
      <c r="AL33" s="7">
        <f t="shared" si="35"/>
        <v>0.84397752086651145</v>
      </c>
      <c r="AM33" s="7">
        <f t="shared" si="35"/>
        <v>6.937973670784527</v>
      </c>
      <c r="AN33" s="26">
        <f t="shared" si="35"/>
        <v>1.6825000000000001</v>
      </c>
      <c r="AO33" s="26">
        <f t="shared" si="35"/>
        <v>23.427500000000002</v>
      </c>
      <c r="AP33"/>
      <c r="AQ33"/>
      <c r="AR33"/>
      <c r="AS33" s="61"/>
      <c r="AT33" s="64"/>
      <c r="AU33" s="49">
        <v>48</v>
      </c>
      <c r="AV33">
        <f>AE71</f>
        <v>0.99342229365357337</v>
      </c>
      <c r="AW33">
        <f>AN71</f>
        <v>4.2426406871192889E-2</v>
      </c>
      <c r="AX33" s="45">
        <f>AO71</f>
        <v>0.57275649276110263</v>
      </c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8" customFormat="1" ht="21.75" thickBot="1" x14ac:dyDescent="0.4">
      <c r="A34" s="80"/>
      <c r="B34" s="20">
        <v>31</v>
      </c>
      <c r="C34" s="20"/>
      <c r="D34" s="20">
        <v>1.5027999999999999</v>
      </c>
      <c r="E34" s="20">
        <v>1.4699</v>
      </c>
      <c r="F34" s="21">
        <f t="shared" si="1"/>
        <v>3.2899999999999929E-2</v>
      </c>
      <c r="G34" s="20">
        <f t="shared" si="2"/>
        <v>2.1892467394197452</v>
      </c>
      <c r="H34" s="20">
        <v>0.55940000000000001</v>
      </c>
      <c r="I34" s="20">
        <f t="shared" si="3"/>
        <v>0.91049999999999998</v>
      </c>
      <c r="J34" s="20">
        <f t="shared" si="4"/>
        <v>1.3399417902251509</v>
      </c>
      <c r="K34" s="25">
        <f t="shared" si="5"/>
        <v>88.154065146391503</v>
      </c>
      <c r="L34" s="38">
        <v>10.236000000000001</v>
      </c>
      <c r="M34" s="38">
        <v>10.236000000000001</v>
      </c>
      <c r="N34" s="38">
        <v>10.898</v>
      </c>
      <c r="O34" s="20">
        <f t="shared" si="6"/>
        <v>1141.8455350080001</v>
      </c>
      <c r="P34" s="20">
        <f t="shared" si="7"/>
        <v>104.77569600000001</v>
      </c>
      <c r="Q34" s="20">
        <f t="shared" si="11"/>
        <v>1.2873019641747789</v>
      </c>
      <c r="R34" s="20">
        <f t="shared" si="8"/>
        <v>0.84690918695709139</v>
      </c>
      <c r="S34" s="20">
        <f t="shared" si="9"/>
        <v>4.0072281806523939</v>
      </c>
      <c r="T34" s="20">
        <v>1.43</v>
      </c>
      <c r="U34" s="20">
        <v>13.61</v>
      </c>
      <c r="V34" s="20"/>
      <c r="W34" s="5" t="s">
        <v>67</v>
      </c>
      <c r="X34" s="5">
        <f>_xlfn.STDEV.S(D33:D38)</f>
        <v>2.6582155668794034E-2</v>
      </c>
      <c r="Y34" s="5">
        <f t="shared" ref="Y34:AO34" si="36">_xlfn.STDEV.S(E33:E38)</f>
        <v>2.4800806438501126E-2</v>
      </c>
      <c r="Z34" s="5">
        <f t="shared" si="36"/>
        <v>2.5043062911712682E-2</v>
      </c>
      <c r="AA34" s="5">
        <f t="shared" si="36"/>
        <v>1.6589396754870001</v>
      </c>
      <c r="AB34" s="5">
        <f t="shared" si="36"/>
        <v>1.7456994777643356E-2</v>
      </c>
      <c r="AC34" s="5">
        <f t="shared" si="36"/>
        <v>2.2360918287643399E-2</v>
      </c>
      <c r="AD34" s="5">
        <f t="shared" si="36"/>
        <v>2.3765271765969494E-2</v>
      </c>
      <c r="AE34" s="25">
        <f t="shared" si="36"/>
        <v>1.5635047214453601</v>
      </c>
      <c r="AF34" s="5">
        <f t="shared" si="36"/>
        <v>0.10917447809202777</v>
      </c>
      <c r="AG34" s="5">
        <f t="shared" si="36"/>
        <v>0.16658651406001235</v>
      </c>
      <c r="AH34" s="5">
        <f t="shared" si="36"/>
        <v>0.38722069503923279</v>
      </c>
      <c r="AI34" s="5">
        <f t="shared" si="36"/>
        <v>60.698471951699503</v>
      </c>
      <c r="AJ34" s="5">
        <f t="shared" si="36"/>
        <v>2.7032513490697552</v>
      </c>
      <c r="AK34" s="5">
        <f t="shared" si="36"/>
        <v>8.5823785820948545E-2</v>
      </c>
      <c r="AL34" s="5">
        <f t="shared" si="36"/>
        <v>5.6463016987466134E-2</v>
      </c>
      <c r="AM34" s="5">
        <f t="shared" si="36"/>
        <v>4.2897748781720635</v>
      </c>
      <c r="AN34" s="25">
        <f t="shared" si="36"/>
        <v>0.33039118228750092</v>
      </c>
      <c r="AO34" s="25">
        <f t="shared" si="36"/>
        <v>12.525255486416224</v>
      </c>
      <c r="AP34"/>
      <c r="AQ34"/>
      <c r="AR34"/>
      <c r="AS34" s="62"/>
      <c r="AT34" s="65"/>
      <c r="AU34" s="50">
        <v>168</v>
      </c>
      <c r="AV34" s="46">
        <f>AE85</f>
        <v>2.2775521768391265</v>
      </c>
      <c r="AW34" s="46">
        <f>AN85</f>
        <v>65.768001718160789</v>
      </c>
      <c r="AX34" s="47">
        <f>AO85</f>
        <v>2.368807716974934</v>
      </c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ht="21" x14ac:dyDescent="0.35">
      <c r="A35" s="80"/>
      <c r="B35" s="5">
        <v>32</v>
      </c>
      <c r="C35" s="5"/>
      <c r="D35" s="5">
        <v>1.4755</v>
      </c>
      <c r="E35" s="5">
        <v>1.4484999999999999</v>
      </c>
      <c r="F35" s="6">
        <f t="shared" si="1"/>
        <v>2.7000000000000135E-2</v>
      </c>
      <c r="G35" s="5">
        <f t="shared" si="2"/>
        <v>1.8298881735005175</v>
      </c>
      <c r="H35" s="5">
        <v>0.55579999999999996</v>
      </c>
      <c r="I35" s="5">
        <f t="shared" si="3"/>
        <v>0.89269999999999994</v>
      </c>
      <c r="J35" s="5">
        <f t="shared" si="4"/>
        <v>1.3467626302229192</v>
      </c>
      <c r="K35" s="25">
        <f t="shared" si="5"/>
        <v>88.602804619928904</v>
      </c>
      <c r="L35">
        <v>10.286</v>
      </c>
      <c r="M35">
        <v>10.183999999999999</v>
      </c>
      <c r="N35">
        <v>10.638</v>
      </c>
      <c r="O35" s="5">
        <f t="shared" si="6"/>
        <v>1114.3584141119998</v>
      </c>
      <c r="P35" s="5">
        <f t="shared" si="7"/>
        <v>104.75262399999998</v>
      </c>
      <c r="Q35" s="5">
        <f t="shared" si="11"/>
        <v>1.2998510906872525</v>
      </c>
      <c r="R35" s="5">
        <f t="shared" si="8"/>
        <v>0.8551651912416135</v>
      </c>
      <c r="S35" s="5">
        <f t="shared" si="9"/>
        <v>3.5450235268586026</v>
      </c>
      <c r="T35" s="5"/>
      <c r="U35" s="5"/>
      <c r="V35" s="5"/>
      <c r="W35" s="5" t="s">
        <v>61</v>
      </c>
      <c r="X35" s="5">
        <f>MIN(D33:D38)</f>
        <v>1.4370000000000001</v>
      </c>
      <c r="Y35" s="5">
        <f t="shared" ref="Y35:AO35" si="37">MIN(E33:E38)</f>
        <v>1.4196</v>
      </c>
      <c r="Z35" s="5">
        <f t="shared" si="37"/>
        <v>1.0499999999999954E-2</v>
      </c>
      <c r="AA35" s="5">
        <f t="shared" si="37"/>
        <v>0.73068893528183387</v>
      </c>
      <c r="AB35" s="5">
        <f t="shared" si="37"/>
        <v>0.52649999999999997</v>
      </c>
      <c r="AC35" s="5">
        <f t="shared" si="37"/>
        <v>0.85130000000000006</v>
      </c>
      <c r="AD35" s="5">
        <f t="shared" si="37"/>
        <v>1.3193013100436679</v>
      </c>
      <c r="AE35" s="25">
        <f t="shared" si="37"/>
        <v>86.796138818662357</v>
      </c>
      <c r="AF35" s="5">
        <f t="shared" si="37"/>
        <v>10.125</v>
      </c>
      <c r="AG35" s="5">
        <f t="shared" si="37"/>
        <v>10.116</v>
      </c>
      <c r="AH35" s="5">
        <f t="shared" si="37"/>
        <v>10.092000000000001</v>
      </c>
      <c r="AI35" s="5">
        <f t="shared" si="37"/>
        <v>1047.5826613920001</v>
      </c>
      <c r="AJ35" s="5">
        <f t="shared" si="37"/>
        <v>102.42449999999999</v>
      </c>
      <c r="AK35" s="5">
        <f t="shared" si="37"/>
        <v>1.1484358556534875</v>
      </c>
      <c r="AL35" s="5">
        <f t="shared" si="37"/>
        <v>0.75554990503518915</v>
      </c>
      <c r="AM35" s="5">
        <f t="shared" si="37"/>
        <v>3.5450235268586026</v>
      </c>
      <c r="AN35" s="25">
        <f t="shared" si="37"/>
        <v>1.43</v>
      </c>
      <c r="AO35" s="25">
        <f t="shared" si="37"/>
        <v>13.61</v>
      </c>
    </row>
    <row r="36" spans="1:105" s="38" customFormat="1" ht="21" x14ac:dyDescent="0.35">
      <c r="A36" s="80"/>
      <c r="B36" s="20">
        <v>33</v>
      </c>
      <c r="C36" s="20"/>
      <c r="D36" s="20">
        <v>1.5015000000000001</v>
      </c>
      <c r="E36" s="20">
        <v>1.4806999999999999</v>
      </c>
      <c r="F36" s="21">
        <f>ABS(D36-E36)</f>
        <v>2.0800000000000152E-2</v>
      </c>
      <c r="G36" s="20">
        <f t="shared" si="2"/>
        <v>1.3852813852813954</v>
      </c>
      <c r="H36" s="20">
        <v>0.56659999999999999</v>
      </c>
      <c r="I36" s="20">
        <f t="shared" si="3"/>
        <v>0.91409999999999991</v>
      </c>
      <c r="J36" s="20">
        <f t="shared" si="4"/>
        <v>1.3444710644349633</v>
      </c>
      <c r="K36" s="25">
        <f t="shared" si="5"/>
        <v>88.452043712826537</v>
      </c>
      <c r="L36" s="38">
        <v>10.141</v>
      </c>
      <c r="M36" s="38">
        <v>10.236000000000001</v>
      </c>
      <c r="N36" s="38">
        <v>10.092000000000001</v>
      </c>
      <c r="O36" s="20">
        <f t="shared" si="6"/>
        <v>1047.5826613920001</v>
      </c>
      <c r="P36" s="20">
        <f t="shared" si="7"/>
        <v>103.80327600000001</v>
      </c>
      <c r="Q36" s="20">
        <f t="shared" si="11"/>
        <v>1.4134445467362786</v>
      </c>
      <c r="R36" s="20">
        <f t="shared" si="8"/>
        <v>0.92989772811597271</v>
      </c>
      <c r="S36" s="20">
        <f t="shared" si="9"/>
        <v>5.0018558959476902</v>
      </c>
      <c r="T36" s="20">
        <v>1.47</v>
      </c>
      <c r="U36" s="20">
        <v>16.350000000000001</v>
      </c>
      <c r="V36" s="20"/>
      <c r="W36" s="5" t="s">
        <v>62</v>
      </c>
      <c r="X36" s="5">
        <f>MAX(D33:D38)</f>
        <v>1.5027999999999999</v>
      </c>
      <c r="Y36" s="5">
        <f t="shared" ref="Y36:AO36" si="38">MAX(E33:E38)</f>
        <v>1.4806999999999999</v>
      </c>
      <c r="Z36" s="5">
        <f t="shared" si="38"/>
        <v>8.2600000000000007E-2</v>
      </c>
      <c r="AA36" s="5">
        <f t="shared" si="38"/>
        <v>5.4986020503261885</v>
      </c>
      <c r="AB36" s="5">
        <f t="shared" si="38"/>
        <v>0.57520000000000004</v>
      </c>
      <c r="AC36" s="5">
        <f t="shared" si="38"/>
        <v>0.91409999999999991</v>
      </c>
      <c r="AD36" s="5">
        <f t="shared" si="38"/>
        <v>1.3908081757312347</v>
      </c>
      <c r="AE36" s="25">
        <f t="shared" si="38"/>
        <v>91.50053787705491</v>
      </c>
      <c r="AF36" s="5">
        <f t="shared" si="38"/>
        <v>10.42</v>
      </c>
      <c r="AG36" s="5">
        <f t="shared" si="38"/>
        <v>10.59</v>
      </c>
      <c r="AH36" s="5">
        <f t="shared" si="38"/>
        <v>11.202</v>
      </c>
      <c r="AI36" s="5">
        <f t="shared" si="38"/>
        <v>1236.1160556</v>
      </c>
      <c r="AJ36" s="5">
        <f t="shared" si="38"/>
        <v>110.34779999999999</v>
      </c>
      <c r="AK36" s="5">
        <f t="shared" si="38"/>
        <v>1.4134445467362786</v>
      </c>
      <c r="AL36" s="5">
        <f t="shared" si="38"/>
        <v>0.92989772811597271</v>
      </c>
      <c r="AM36" s="5">
        <f t="shared" si="38"/>
        <v>13.847945945402948</v>
      </c>
      <c r="AN36" s="25">
        <f t="shared" si="38"/>
        <v>2.15</v>
      </c>
      <c r="AO36" s="25">
        <f t="shared" si="38"/>
        <v>41.4</v>
      </c>
      <c r="AP36"/>
      <c r="AQ36"/>
      <c r="AR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ht="21" x14ac:dyDescent="0.35">
      <c r="A37" s="80"/>
      <c r="B37" s="5">
        <v>34</v>
      </c>
      <c r="C37" s="5"/>
      <c r="D37" s="5">
        <v>1.5022</v>
      </c>
      <c r="E37" s="5">
        <v>1.4196</v>
      </c>
      <c r="F37" s="6">
        <f t="shared" si="1"/>
        <v>8.2600000000000007E-2</v>
      </c>
      <c r="G37" s="5">
        <f t="shared" si="2"/>
        <v>5.4986020503261885</v>
      </c>
      <c r="H37" s="5">
        <v>0.52649999999999997</v>
      </c>
      <c r="I37" s="5">
        <f t="shared" si="3"/>
        <v>0.8931</v>
      </c>
      <c r="J37" s="5">
        <f t="shared" si="4"/>
        <v>1.3193013100436679</v>
      </c>
      <c r="K37" s="25">
        <f t="shared" si="5"/>
        <v>86.796138818662357</v>
      </c>
      <c r="L37">
        <v>10.42</v>
      </c>
      <c r="M37">
        <v>10.59</v>
      </c>
      <c r="N37">
        <v>11.202</v>
      </c>
      <c r="O37" s="5">
        <f t="shared" si="6"/>
        <v>1236.1160556</v>
      </c>
      <c r="P37" s="5">
        <f t="shared" si="7"/>
        <v>110.34779999999999</v>
      </c>
      <c r="Q37" s="5">
        <f t="shared" si="11"/>
        <v>1.1484358556534875</v>
      </c>
      <c r="R37" s="5">
        <f t="shared" si="8"/>
        <v>0.75554990503518915</v>
      </c>
      <c r="S37" s="5">
        <f t="shared" si="9"/>
        <v>13.847945945402948</v>
      </c>
      <c r="T37" s="5"/>
      <c r="U37" s="5"/>
      <c r="V37" s="5"/>
      <c r="W37" s="5" t="s">
        <v>68</v>
      </c>
      <c r="X37" s="5">
        <f>COUNT(D33:D38)</f>
        <v>6</v>
      </c>
      <c r="Y37" s="5">
        <f t="shared" ref="Y37:AO37" si="39">COUNT(E33:E38)</f>
        <v>6</v>
      </c>
      <c r="Z37" s="5">
        <f t="shared" si="39"/>
        <v>6</v>
      </c>
      <c r="AA37" s="5">
        <f t="shared" si="39"/>
        <v>6</v>
      </c>
      <c r="AB37" s="5">
        <f t="shared" si="39"/>
        <v>6</v>
      </c>
      <c r="AC37" s="5">
        <f t="shared" si="39"/>
        <v>6</v>
      </c>
      <c r="AD37" s="5">
        <f t="shared" si="39"/>
        <v>6</v>
      </c>
      <c r="AE37" s="25">
        <f t="shared" si="39"/>
        <v>6</v>
      </c>
      <c r="AF37" s="5">
        <f t="shared" si="39"/>
        <v>6</v>
      </c>
      <c r="AG37" s="5">
        <f t="shared" si="39"/>
        <v>6</v>
      </c>
      <c r="AH37" s="5">
        <f t="shared" si="39"/>
        <v>6</v>
      </c>
      <c r="AI37" s="5">
        <f t="shared" si="39"/>
        <v>6</v>
      </c>
      <c r="AJ37" s="5">
        <f t="shared" si="39"/>
        <v>6</v>
      </c>
      <c r="AK37" s="5">
        <f t="shared" si="39"/>
        <v>6</v>
      </c>
      <c r="AL37" s="5">
        <f t="shared" si="39"/>
        <v>6</v>
      </c>
      <c r="AM37" s="5">
        <f t="shared" si="39"/>
        <v>6</v>
      </c>
      <c r="AN37" s="25">
        <f t="shared" si="39"/>
        <v>4</v>
      </c>
      <c r="AO37" s="25">
        <f t="shared" si="39"/>
        <v>4</v>
      </c>
    </row>
    <row r="38" spans="1:105" s="38" customFormat="1" ht="21" x14ac:dyDescent="0.35">
      <c r="A38" s="80"/>
      <c r="B38" s="20">
        <v>35</v>
      </c>
      <c r="C38" s="20"/>
      <c r="D38" s="21">
        <v>1.4370000000000001</v>
      </c>
      <c r="E38" s="20">
        <v>1.4265000000000001</v>
      </c>
      <c r="F38" s="21">
        <f t="shared" si="1"/>
        <v>1.0499999999999954E-2</v>
      </c>
      <c r="G38" s="20">
        <f t="shared" si="2"/>
        <v>0.73068893528183387</v>
      </c>
      <c r="H38" s="20">
        <v>0.57520000000000004</v>
      </c>
      <c r="I38" s="20">
        <f t="shared" si="3"/>
        <v>0.85130000000000006</v>
      </c>
      <c r="J38" s="20">
        <f t="shared" si="4"/>
        <v>1.3908081757312347</v>
      </c>
      <c r="K38" s="25">
        <f t="shared" si="5"/>
        <v>91.50053787705491</v>
      </c>
      <c r="L38" s="38">
        <v>10.192</v>
      </c>
      <c r="M38" s="38">
        <v>10.332000000000001</v>
      </c>
      <c r="N38" s="38">
        <v>10.845000000000001</v>
      </c>
      <c r="O38" s="20">
        <f t="shared" si="6"/>
        <v>1142.0191036800002</v>
      </c>
      <c r="P38" s="20">
        <f t="shared" si="7"/>
        <v>105.30374400000001</v>
      </c>
      <c r="Q38" s="20">
        <f t="shared" si="11"/>
        <v>1.2491034479224552</v>
      </c>
      <c r="R38" s="20">
        <f t="shared" si="8"/>
        <v>0.82177858415950999</v>
      </c>
      <c r="S38" s="20">
        <f t="shared" si="9"/>
        <v>10.735566034794555</v>
      </c>
      <c r="T38" s="20">
        <v>2.15</v>
      </c>
      <c r="U38" s="20">
        <v>41.4</v>
      </c>
      <c r="V38" s="20"/>
      <c r="W38" s="5"/>
      <c r="X38" s="5"/>
      <c r="Y38" s="5"/>
      <c r="Z38"/>
      <c r="AA38"/>
      <c r="AB38"/>
      <c r="AC38"/>
      <c r="AD38"/>
      <c r="AE38" s="27"/>
      <c r="AF38"/>
      <c r="AG38"/>
      <c r="AH38"/>
      <c r="AI38"/>
      <c r="AJ38"/>
      <c r="AK38"/>
      <c r="AL38"/>
      <c r="AM38"/>
      <c r="AN38" s="27"/>
      <c r="AO38" s="27"/>
      <c r="AP38"/>
      <c r="AQ38"/>
      <c r="AR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ht="21" x14ac:dyDescent="0.35">
      <c r="A39" s="80" t="s">
        <v>36</v>
      </c>
      <c r="B39" s="7">
        <v>36</v>
      </c>
      <c r="C39" s="7"/>
      <c r="D39" s="7">
        <v>1.5017</v>
      </c>
      <c r="E39" s="7">
        <v>1.5452999999999999</v>
      </c>
      <c r="F39" s="8">
        <f t="shared" si="1"/>
        <v>4.3599999999999861E-2</v>
      </c>
      <c r="G39" s="7">
        <f t="shared" si="2"/>
        <v>2.9033761736698316</v>
      </c>
      <c r="H39" s="7">
        <v>0.61629999999999996</v>
      </c>
      <c r="I39" s="7">
        <f t="shared" si="3"/>
        <v>0.92899999999999994</v>
      </c>
      <c r="J39" s="7">
        <f t="shared" si="4"/>
        <v>1.3806232508073195</v>
      </c>
      <c r="K39" s="25">
        <f t="shared" si="5"/>
        <v>90.83047702679734</v>
      </c>
      <c r="L39">
        <v>10.308999999999999</v>
      </c>
      <c r="M39">
        <v>10.401</v>
      </c>
      <c r="N39">
        <v>10.628</v>
      </c>
      <c r="O39" s="7">
        <f t="shared" si="6"/>
        <v>1139.5757048519999</v>
      </c>
      <c r="P39" s="7">
        <f t="shared" si="7"/>
        <v>107.22390899999999</v>
      </c>
      <c r="Q39" s="5">
        <f t="shared" si="11"/>
        <v>1.3560310152458828</v>
      </c>
      <c r="R39" s="5">
        <f t="shared" si="8"/>
        <v>0.89212566792492287</v>
      </c>
      <c r="S39" s="5">
        <f t="shared" si="9"/>
        <v>1.7972482579543103</v>
      </c>
      <c r="T39" s="7"/>
      <c r="U39" s="7"/>
      <c r="V39" s="5"/>
      <c r="W39" s="5" t="s">
        <v>66</v>
      </c>
      <c r="X39" s="7">
        <f>AVERAGE(D39:D44)</f>
        <v>1.5016833333333335</v>
      </c>
      <c r="Y39" s="7">
        <f t="shared" ref="Y39:AO39" si="40">AVERAGE(E39:E44)</f>
        <v>1.5260166666666668</v>
      </c>
      <c r="Z39" s="7">
        <f t="shared" si="40"/>
        <v>2.4400000000000015E-2</v>
      </c>
      <c r="AA39" s="7">
        <f t="shared" si="40"/>
        <v>1.624957874999623</v>
      </c>
      <c r="AB39" s="7">
        <f t="shared" si="40"/>
        <v>0.61289999999999989</v>
      </c>
      <c r="AC39" s="7">
        <f t="shared" si="40"/>
        <v>0.9131166666666668</v>
      </c>
      <c r="AD39" s="7">
        <f t="shared" si="40"/>
        <v>1.3873180860943097</v>
      </c>
      <c r="AE39" s="26">
        <f t="shared" si="40"/>
        <v>91.270926716730898</v>
      </c>
      <c r="AF39" s="7">
        <f t="shared" si="40"/>
        <v>10.366333333333332</v>
      </c>
      <c r="AG39" s="7">
        <f t="shared" si="40"/>
        <v>10.271666666666667</v>
      </c>
      <c r="AH39" s="7">
        <f t="shared" si="40"/>
        <v>11.002666666666665</v>
      </c>
      <c r="AI39" s="7">
        <f t="shared" si="40"/>
        <v>1170.9757249858333</v>
      </c>
      <c r="AJ39" s="7">
        <f t="shared" si="40"/>
        <v>106.47846799999998</v>
      </c>
      <c r="AK39" s="7">
        <f t="shared" si="40"/>
        <v>1.3041880608799257</v>
      </c>
      <c r="AL39" s="7">
        <f t="shared" si="40"/>
        <v>0.85801846110521429</v>
      </c>
      <c r="AM39" s="7">
        <f t="shared" si="40"/>
        <v>6.2191890095314015</v>
      </c>
      <c r="AN39" s="26">
        <f t="shared" si="40"/>
        <v>1.22</v>
      </c>
      <c r="AO39" s="26">
        <f t="shared" si="40"/>
        <v>20.350000000000001</v>
      </c>
    </row>
    <row r="40" spans="1:105" ht="21" x14ac:dyDescent="0.35">
      <c r="A40" s="80"/>
      <c r="B40" s="5">
        <v>37</v>
      </c>
      <c r="C40" s="5"/>
      <c r="D40" s="6">
        <v>1.5009999999999999</v>
      </c>
      <c r="E40" s="5">
        <v>1.5379</v>
      </c>
      <c r="F40" s="6">
        <f t="shared" si="1"/>
        <v>3.6900000000000155E-2</v>
      </c>
      <c r="G40" s="5">
        <f t="shared" si="2"/>
        <v>2.4583610926049406</v>
      </c>
      <c r="H40" s="5">
        <v>0.61619999999999997</v>
      </c>
      <c r="I40" s="5">
        <f t="shared" si="3"/>
        <v>0.92170000000000007</v>
      </c>
      <c r="J40" s="5">
        <f t="shared" si="4"/>
        <v>1.3848942172073342</v>
      </c>
      <c r="K40" s="25">
        <f t="shared" si="5"/>
        <v>91.111461658377252</v>
      </c>
      <c r="L40">
        <v>10.340999999999999</v>
      </c>
      <c r="M40">
        <v>10.241</v>
      </c>
      <c r="N40">
        <v>11.291</v>
      </c>
      <c r="O40" s="5">
        <f t="shared" si="6"/>
        <v>1195.7415256709999</v>
      </c>
      <c r="P40" s="5">
        <f t="shared" si="7"/>
        <v>105.90218099999998</v>
      </c>
      <c r="Q40" s="5">
        <f t="shared" si="11"/>
        <v>1.2861475218375438</v>
      </c>
      <c r="R40" s="5">
        <f t="shared" si="8"/>
        <v>0.84614968541943669</v>
      </c>
      <c r="S40" s="5">
        <f t="shared" si="9"/>
        <v>7.3938713818152966</v>
      </c>
      <c r="T40" s="5"/>
      <c r="U40" s="5"/>
      <c r="V40" s="5"/>
      <c r="W40" s="5" t="s">
        <v>67</v>
      </c>
      <c r="X40" s="5">
        <f>_xlfn.STDEV.S(D39:D44)</f>
        <v>6.4316923641187648E-4</v>
      </c>
      <c r="Y40" s="5">
        <f t="shared" ref="Y40:AO40" si="41">_xlfn.STDEV.S(E39:E44)</f>
        <v>1.8265532203214467E-2</v>
      </c>
      <c r="Z40" s="5">
        <f t="shared" si="41"/>
        <v>1.8317314213606724E-2</v>
      </c>
      <c r="AA40" s="5">
        <f t="shared" si="41"/>
        <v>1.2200135261665803</v>
      </c>
      <c r="AB40" s="5">
        <f t="shared" si="41"/>
        <v>4.5628938186199073E-3</v>
      </c>
      <c r="AC40" s="5">
        <f t="shared" si="41"/>
        <v>1.8580572291150375E-2</v>
      </c>
      <c r="AD40" s="5">
        <f t="shared" si="41"/>
        <v>1.2877608414823617E-2</v>
      </c>
      <c r="AE40" s="25">
        <f t="shared" si="41"/>
        <v>0.84721107992260714</v>
      </c>
      <c r="AF40" s="5">
        <f t="shared" si="41"/>
        <v>0.14269641434411273</v>
      </c>
      <c r="AG40" s="5">
        <f t="shared" si="41"/>
        <v>0.10270864942480099</v>
      </c>
      <c r="AH40" s="5">
        <f t="shared" si="41"/>
        <v>0.45714928269293675</v>
      </c>
      <c r="AI40" s="5">
        <f t="shared" si="41"/>
        <v>33.399804128531528</v>
      </c>
      <c r="AJ40" s="5">
        <f t="shared" si="41"/>
        <v>1.7399769455680731</v>
      </c>
      <c r="AK40" s="5">
        <f t="shared" si="41"/>
        <v>4.4001843132716753E-2</v>
      </c>
      <c r="AL40" s="5">
        <f t="shared" si="41"/>
        <v>2.8948581008366288E-2</v>
      </c>
      <c r="AM40" s="5">
        <f t="shared" si="41"/>
        <v>4.1616059638743295</v>
      </c>
      <c r="AN40" s="25">
        <f t="shared" si="41"/>
        <v>9.8994949366116733E-2</v>
      </c>
      <c r="AO40" s="25">
        <f t="shared" si="41"/>
        <v>16.857425663487295</v>
      </c>
    </row>
    <row r="41" spans="1:105" s="38" customFormat="1" ht="21" x14ac:dyDescent="0.35">
      <c r="A41" s="80"/>
      <c r="B41" s="20">
        <v>38</v>
      </c>
      <c r="C41" s="20"/>
      <c r="D41" s="20">
        <v>1.5018</v>
      </c>
      <c r="E41" s="20">
        <v>1.5016</v>
      </c>
      <c r="F41" s="21">
        <f t="shared" si="1"/>
        <v>1.9999999999997797E-4</v>
      </c>
      <c r="G41" s="20">
        <f t="shared" si="2"/>
        <v>1.331735251031948E-2</v>
      </c>
      <c r="H41" s="20">
        <v>0.60960000000000003</v>
      </c>
      <c r="I41" s="20">
        <f t="shared" si="3"/>
        <v>0.89200000000000002</v>
      </c>
      <c r="J41" s="20">
        <f t="shared" si="4"/>
        <v>1.3972286995515693</v>
      </c>
      <c r="K41" s="25">
        <f t="shared" si="5"/>
        <v>91.922940759971667</v>
      </c>
      <c r="L41" s="38">
        <v>10.542999999999999</v>
      </c>
      <c r="M41" s="38">
        <v>10.378</v>
      </c>
      <c r="N41" s="38">
        <v>10.472</v>
      </c>
      <c r="O41" s="20">
        <f t="shared" si="6"/>
        <v>1145.7965398879999</v>
      </c>
      <c r="P41" s="20">
        <f t="shared" si="7"/>
        <v>109.41525399999999</v>
      </c>
      <c r="Q41" s="20">
        <f t="shared" si="11"/>
        <v>1.3105293546677836</v>
      </c>
      <c r="R41" s="20">
        <f t="shared" si="8"/>
        <v>0.86219036491301559</v>
      </c>
      <c r="S41" s="20">
        <f t="shared" si="9"/>
        <v>6.4037733909561618</v>
      </c>
      <c r="T41" s="20">
        <v>1.1499999999999999</v>
      </c>
      <c r="U41" s="20">
        <v>8.43</v>
      </c>
      <c r="V41" s="20"/>
      <c r="W41" s="5" t="s">
        <v>61</v>
      </c>
      <c r="X41" s="5">
        <f>MIN(D39:D44)</f>
        <v>1.5009999999999999</v>
      </c>
      <c r="Y41" s="5">
        <f t="shared" ref="Y41:AO41" si="42">MIN(E39:E44)</f>
        <v>1.5016</v>
      </c>
      <c r="Z41" s="5">
        <f t="shared" si="42"/>
        <v>1.9999999999997797E-4</v>
      </c>
      <c r="AA41" s="5">
        <f t="shared" si="42"/>
        <v>1.331735251031948E-2</v>
      </c>
      <c r="AB41" s="5">
        <f t="shared" si="42"/>
        <v>0.60550000000000004</v>
      </c>
      <c r="AC41" s="5">
        <f t="shared" si="42"/>
        <v>0.88830000000000009</v>
      </c>
      <c r="AD41" s="5">
        <f t="shared" si="42"/>
        <v>1.3696960910652922</v>
      </c>
      <c r="AE41" s="25">
        <f t="shared" si="42"/>
        <v>90.111584938506056</v>
      </c>
      <c r="AF41" s="5">
        <f t="shared" si="42"/>
        <v>10.183999999999999</v>
      </c>
      <c r="AG41" s="5">
        <f t="shared" si="42"/>
        <v>10.128</v>
      </c>
      <c r="AH41" s="5">
        <f t="shared" si="42"/>
        <v>10.472</v>
      </c>
      <c r="AI41" s="5">
        <f t="shared" si="42"/>
        <v>1139.5757048519999</v>
      </c>
      <c r="AJ41" s="5">
        <f t="shared" si="42"/>
        <v>104.54894399999999</v>
      </c>
      <c r="AK41" s="5">
        <f t="shared" si="42"/>
        <v>1.2274775923149708</v>
      </c>
      <c r="AL41" s="5">
        <f t="shared" si="42"/>
        <v>0.80755104757563867</v>
      </c>
      <c r="AM41" s="5">
        <f t="shared" si="42"/>
        <v>1.7972482579543103</v>
      </c>
      <c r="AN41" s="25">
        <f t="shared" si="42"/>
        <v>1.1499999999999999</v>
      </c>
      <c r="AO41" s="25">
        <f t="shared" si="42"/>
        <v>8.43</v>
      </c>
      <c r="AP41"/>
      <c r="AQ41"/>
      <c r="AR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ht="21" customHeight="1" x14ac:dyDescent="0.35">
      <c r="A42" s="80"/>
      <c r="B42" s="5">
        <v>39</v>
      </c>
      <c r="C42" s="5"/>
      <c r="D42" s="5">
        <v>1.5011000000000001</v>
      </c>
      <c r="E42" s="5">
        <v>1.5367</v>
      </c>
      <c r="F42" s="6">
        <f t="shared" si="1"/>
        <v>3.5599999999999854E-2</v>
      </c>
      <c r="G42" s="5">
        <f t="shared" si="2"/>
        <v>2.3715941642795184</v>
      </c>
      <c r="H42" s="5">
        <v>0.60550000000000004</v>
      </c>
      <c r="I42" s="5">
        <f t="shared" si="3"/>
        <v>0.93119999999999992</v>
      </c>
      <c r="J42" s="5">
        <f t="shared" si="4"/>
        <v>1.3696960910652922</v>
      </c>
      <c r="K42" s="25">
        <f t="shared" si="5"/>
        <v>90.111584938506056</v>
      </c>
      <c r="L42">
        <v>10.289</v>
      </c>
      <c r="M42">
        <v>10.215999999999999</v>
      </c>
      <c r="N42">
        <v>11.004</v>
      </c>
      <c r="O42" s="5">
        <f t="shared" si="6"/>
        <v>1156.6571136959999</v>
      </c>
      <c r="P42" s="5">
        <f t="shared" si="7"/>
        <v>105.11242399999999</v>
      </c>
      <c r="Q42" s="5">
        <f t="shared" si="11"/>
        <v>1.3285700505395286</v>
      </c>
      <c r="R42" s="5">
        <f t="shared" si="8"/>
        <v>0.87405924377600563</v>
      </c>
      <c r="S42" s="5">
        <f t="shared" si="9"/>
        <v>3.0483309182617182</v>
      </c>
      <c r="T42" s="5"/>
      <c r="U42" s="5"/>
      <c r="V42" s="5"/>
      <c r="W42" s="5" t="s">
        <v>62</v>
      </c>
      <c r="X42" s="5">
        <f>MAX(D39:D44)</f>
        <v>1.5027999999999999</v>
      </c>
      <c r="Y42" s="5">
        <f t="shared" ref="Y42:AO42" si="43">MAX(E39:E44)</f>
        <v>1.5452999999999999</v>
      </c>
      <c r="Z42" s="5">
        <f t="shared" si="43"/>
        <v>4.3599999999999861E-2</v>
      </c>
      <c r="AA42" s="5">
        <f t="shared" si="43"/>
        <v>2.9033761736698316</v>
      </c>
      <c r="AB42" s="5">
        <f t="shared" si="43"/>
        <v>0.6169</v>
      </c>
      <c r="AC42" s="5">
        <f t="shared" si="43"/>
        <v>0.93119999999999992</v>
      </c>
      <c r="AD42" s="5">
        <f t="shared" si="43"/>
        <v>1.4064122481143757</v>
      </c>
      <c r="AE42" s="25">
        <f t="shared" si="43"/>
        <v>92.527121586472077</v>
      </c>
      <c r="AF42" s="5">
        <f t="shared" si="43"/>
        <v>10.542999999999999</v>
      </c>
      <c r="AG42" s="5">
        <f t="shared" si="43"/>
        <v>10.401</v>
      </c>
      <c r="AH42" s="5">
        <f t="shared" si="43"/>
        <v>11.728999999999999</v>
      </c>
      <c r="AI42" s="5">
        <f t="shared" si="43"/>
        <v>1226.2545641759998</v>
      </c>
      <c r="AJ42" s="5">
        <f t="shared" si="43"/>
        <v>109.41525399999999</v>
      </c>
      <c r="AK42" s="5">
        <f t="shared" si="43"/>
        <v>1.3560310152458828</v>
      </c>
      <c r="AL42" s="5">
        <f t="shared" si="43"/>
        <v>0.89212566792492287</v>
      </c>
      <c r="AM42" s="5">
        <f t="shared" si="43"/>
        <v>13.5871024712436</v>
      </c>
      <c r="AN42" s="25">
        <f t="shared" si="43"/>
        <v>1.29</v>
      </c>
      <c r="AO42" s="25">
        <f t="shared" si="43"/>
        <v>32.270000000000003</v>
      </c>
    </row>
    <row r="43" spans="1:105" s="38" customFormat="1" ht="21" x14ac:dyDescent="0.35">
      <c r="A43" s="80"/>
      <c r="B43" s="20">
        <v>40</v>
      </c>
      <c r="C43" s="20"/>
      <c r="D43" s="20">
        <v>1.5017</v>
      </c>
      <c r="E43" s="20">
        <v>1.5052000000000001</v>
      </c>
      <c r="F43" s="21">
        <f t="shared" si="1"/>
        <v>3.5000000000000586E-3</v>
      </c>
      <c r="G43" s="20">
        <f t="shared" si="2"/>
        <v>0.23306918825331682</v>
      </c>
      <c r="H43" s="20">
        <v>0.6169</v>
      </c>
      <c r="I43" s="20">
        <f t="shared" si="3"/>
        <v>0.88830000000000009</v>
      </c>
      <c r="J43" s="20">
        <f t="shared" si="4"/>
        <v>1.4064122481143757</v>
      </c>
      <c r="K43" s="25">
        <f t="shared" si="5"/>
        <v>92.527121586472077</v>
      </c>
      <c r="L43" s="38">
        <v>10.183999999999999</v>
      </c>
      <c r="M43" s="38">
        <v>10.266</v>
      </c>
      <c r="N43" s="38">
        <v>11.728999999999999</v>
      </c>
      <c r="O43" s="20">
        <f t="shared" si="6"/>
        <v>1226.2545641759998</v>
      </c>
      <c r="P43" s="20">
        <f t="shared" si="7"/>
        <v>104.54894399999999</v>
      </c>
      <c r="Q43" s="20">
        <f t="shared" si="11"/>
        <v>1.2274775923149708</v>
      </c>
      <c r="R43" s="20">
        <f t="shared" si="8"/>
        <v>0.80755104757563867</v>
      </c>
      <c r="S43" s="20">
        <f t="shared" si="9"/>
        <v>13.5871024712436</v>
      </c>
      <c r="T43" s="20">
        <v>1.29</v>
      </c>
      <c r="U43" s="20">
        <v>32.270000000000003</v>
      </c>
      <c r="V43" s="20"/>
      <c r="W43" s="5" t="s">
        <v>68</v>
      </c>
      <c r="X43" s="5">
        <f>COUNT(D39:D44)</f>
        <v>6</v>
      </c>
      <c r="Y43" s="5">
        <f t="shared" ref="Y43:AO43" si="44">COUNT(E39:E44)</f>
        <v>6</v>
      </c>
      <c r="Z43" s="5">
        <f t="shared" si="44"/>
        <v>6</v>
      </c>
      <c r="AA43" s="5">
        <f t="shared" si="44"/>
        <v>6</v>
      </c>
      <c r="AB43" s="5">
        <f t="shared" si="44"/>
        <v>6</v>
      </c>
      <c r="AC43" s="5">
        <f t="shared" si="44"/>
        <v>6</v>
      </c>
      <c r="AD43" s="5">
        <f t="shared" si="44"/>
        <v>6</v>
      </c>
      <c r="AE43" s="25">
        <f t="shared" si="44"/>
        <v>6</v>
      </c>
      <c r="AF43" s="5">
        <f t="shared" si="44"/>
        <v>6</v>
      </c>
      <c r="AG43" s="5">
        <f t="shared" si="44"/>
        <v>6</v>
      </c>
      <c r="AH43" s="5">
        <f t="shared" si="44"/>
        <v>6</v>
      </c>
      <c r="AI43" s="5">
        <f t="shared" si="44"/>
        <v>6</v>
      </c>
      <c r="AJ43" s="5">
        <f t="shared" si="44"/>
        <v>6</v>
      </c>
      <c r="AK43" s="5">
        <f t="shared" si="44"/>
        <v>6</v>
      </c>
      <c r="AL43" s="5">
        <f t="shared" si="44"/>
        <v>6</v>
      </c>
      <c r="AM43" s="5">
        <f t="shared" si="44"/>
        <v>6</v>
      </c>
      <c r="AN43" s="25">
        <f t="shared" si="44"/>
        <v>2</v>
      </c>
      <c r="AO43" s="25">
        <f t="shared" si="44"/>
        <v>2</v>
      </c>
      <c r="AP43"/>
      <c r="AQ43"/>
      <c r="AR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ht="21" x14ac:dyDescent="0.35">
      <c r="A44" s="80"/>
      <c r="B44" s="5">
        <v>41</v>
      </c>
      <c r="C44" s="5"/>
      <c r="D44" s="5">
        <v>1.5027999999999999</v>
      </c>
      <c r="E44" s="5">
        <v>1.5294000000000001</v>
      </c>
      <c r="F44" s="6">
        <f t="shared" si="1"/>
        <v>2.6600000000000179E-2</v>
      </c>
      <c r="G44" s="5">
        <f t="shared" si="2"/>
        <v>1.7700292786798097</v>
      </c>
      <c r="H44" s="5">
        <v>0.6129</v>
      </c>
      <c r="I44" s="5">
        <f t="shared" si="3"/>
        <v>0.91650000000000009</v>
      </c>
      <c r="J44" s="5">
        <f t="shared" si="4"/>
        <v>1.3850540098199671</v>
      </c>
      <c r="K44" s="25">
        <f t="shared" si="5"/>
        <v>91.121974330260997</v>
      </c>
      <c r="L44">
        <v>10.532</v>
      </c>
      <c r="M44">
        <v>10.128</v>
      </c>
      <c r="N44">
        <v>10.891999999999999</v>
      </c>
      <c r="O44" s="5">
        <f t="shared" si="6"/>
        <v>1161.828901632</v>
      </c>
      <c r="P44" s="5">
        <f t="shared" si="7"/>
        <v>106.66809600000001</v>
      </c>
      <c r="Q44" s="5">
        <f t="shared" si="11"/>
        <v>1.3163728306738449</v>
      </c>
      <c r="R44" s="5">
        <f t="shared" si="8"/>
        <v>0.8660347570222664</v>
      </c>
      <c r="S44" s="5">
        <f t="shared" si="9"/>
        <v>5.0848076369573239</v>
      </c>
      <c r="T44" s="5"/>
      <c r="U44" s="5"/>
      <c r="V44" s="5"/>
      <c r="W44" s="5"/>
      <c r="X44" s="5"/>
      <c r="Y44" s="5"/>
    </row>
    <row r="45" spans="1:105" ht="45" customHeight="1" x14ac:dyDescent="0.35">
      <c r="A45" s="80" t="s">
        <v>37</v>
      </c>
      <c r="B45" s="7">
        <v>42</v>
      </c>
      <c r="C45" s="7"/>
      <c r="D45" s="7">
        <v>1.5001</v>
      </c>
      <c r="E45" s="7">
        <v>1.5268999999999999</v>
      </c>
      <c r="F45" s="8">
        <f t="shared" si="1"/>
        <v>2.6799999999999935E-2</v>
      </c>
      <c r="G45" s="7">
        <f t="shared" si="2"/>
        <v>1.7865475634957626</v>
      </c>
      <c r="H45" s="7">
        <v>0.56479999999999997</v>
      </c>
      <c r="I45" s="7">
        <f t="shared" si="3"/>
        <v>0.96209999999999996</v>
      </c>
      <c r="J45" s="7">
        <f t="shared" si="4"/>
        <v>1.3172508055295706</v>
      </c>
      <c r="K45" s="25">
        <f t="shared" si="5"/>
        <v>86.661237205892803</v>
      </c>
      <c r="L45">
        <v>10.327</v>
      </c>
      <c r="M45">
        <v>10.236000000000001</v>
      </c>
      <c r="N45">
        <v>11.377000000000001</v>
      </c>
      <c r="O45" s="7">
        <f t="shared" si="6"/>
        <v>1202.6304958440001</v>
      </c>
      <c r="P45" s="7">
        <f t="shared" si="7"/>
        <v>105.707172</v>
      </c>
      <c r="Q45" s="5">
        <f t="shared" si="11"/>
        <v>1.2696335285664189</v>
      </c>
      <c r="R45" s="5">
        <f t="shared" si="8"/>
        <v>0.83528521616211771</v>
      </c>
      <c r="S45" s="5">
        <f t="shared" si="9"/>
        <v>3.6814384265690072</v>
      </c>
      <c r="T45" s="7"/>
      <c r="U45" s="7"/>
      <c r="V45" s="5"/>
      <c r="W45" s="5" t="s">
        <v>66</v>
      </c>
      <c r="X45" s="7">
        <f>AVERAGE(D45:D48)</f>
        <v>1.5016000000000003</v>
      </c>
      <c r="Y45" s="7">
        <f t="shared" ref="Y45:AO45" si="45">AVERAGE(E45:E48)</f>
        <v>1.514175</v>
      </c>
      <c r="Z45" s="7">
        <f t="shared" si="45"/>
        <v>1.2575000000000003E-2</v>
      </c>
      <c r="AA45" s="7">
        <f t="shared" si="45"/>
        <v>0.83772944867805832</v>
      </c>
      <c r="AB45" s="7">
        <f t="shared" si="45"/>
        <v>0.56302499999999989</v>
      </c>
      <c r="AC45" s="7">
        <f t="shared" si="45"/>
        <v>0.95115000000000005</v>
      </c>
      <c r="AD45" s="7">
        <f t="shared" si="45"/>
        <v>1.3216998947381577</v>
      </c>
      <c r="AE45" s="26">
        <f t="shared" si="45"/>
        <v>86.953940443299857</v>
      </c>
      <c r="AF45" s="7">
        <f t="shared" si="45"/>
        <v>10.361999999999998</v>
      </c>
      <c r="AG45" s="7">
        <f t="shared" si="45"/>
        <v>10.375249999999999</v>
      </c>
      <c r="AH45" s="7">
        <f t="shared" si="45"/>
        <v>11.663</v>
      </c>
      <c r="AI45" s="7">
        <f t="shared" si="45"/>
        <v>1254.2135219014999</v>
      </c>
      <c r="AJ45" s="7">
        <f t="shared" si="45"/>
        <v>107.5272415</v>
      </c>
      <c r="AK45" s="7">
        <f t="shared" si="45"/>
        <v>1.2092299128974107</v>
      </c>
      <c r="AL45" s="7">
        <f t="shared" si="45"/>
        <v>0.79554599532724368</v>
      </c>
      <c r="AM45" s="7">
        <f t="shared" si="45"/>
        <v>8.9591400799179794</v>
      </c>
      <c r="AN45" s="26">
        <f t="shared" si="45"/>
        <v>0.84</v>
      </c>
      <c r="AO45" s="26">
        <f t="shared" si="45"/>
        <v>3.0233333333333334</v>
      </c>
    </row>
    <row r="46" spans="1:105" s="38" customFormat="1" ht="21" x14ac:dyDescent="0.35">
      <c r="A46" s="80"/>
      <c r="B46" s="20">
        <v>43</v>
      </c>
      <c r="C46" s="20"/>
      <c r="D46" s="20">
        <v>1.5013000000000001</v>
      </c>
      <c r="E46" s="20">
        <v>1.5051000000000001</v>
      </c>
      <c r="F46" s="21">
        <f t="shared" si="1"/>
        <v>3.8000000000000256E-3</v>
      </c>
      <c r="G46" s="20">
        <f t="shared" si="2"/>
        <v>0.25311396789449314</v>
      </c>
      <c r="H46" s="20">
        <v>0.58109999999999995</v>
      </c>
      <c r="I46" s="20">
        <f t="shared" si="3"/>
        <v>0.92400000000000015</v>
      </c>
      <c r="J46" s="20">
        <f t="shared" si="4"/>
        <v>1.3519837662337661</v>
      </c>
      <c r="K46" s="25">
        <f t="shared" si="5"/>
        <v>88.946300410116194</v>
      </c>
      <c r="L46" s="38">
        <v>10.353999999999999</v>
      </c>
      <c r="M46" s="38">
        <v>10.617000000000001</v>
      </c>
      <c r="N46" s="38">
        <v>11.961</v>
      </c>
      <c r="O46" s="20">
        <f t="shared" si="6"/>
        <v>1314.8538076980001</v>
      </c>
      <c r="P46" s="20">
        <f t="shared" si="7"/>
        <v>109.92841800000001</v>
      </c>
      <c r="Q46" s="20">
        <f t="shared" si="11"/>
        <v>1.1446899960955175</v>
      </c>
      <c r="R46" s="20">
        <f t="shared" si="8"/>
        <v>0.75308552374705096</v>
      </c>
      <c r="S46" s="20">
        <f t="shared" si="9"/>
        <v>16.605595273677483</v>
      </c>
      <c r="T46" s="20">
        <v>0.82</v>
      </c>
      <c r="U46" s="20">
        <v>3.63</v>
      </c>
      <c r="V46" s="20"/>
      <c r="W46" s="5" t="s">
        <v>67</v>
      </c>
      <c r="X46" s="5">
        <f>_xlfn.STDEV.S(D45:D48)</f>
        <v>1.1944315244778892E-3</v>
      </c>
      <c r="Y46" s="5">
        <f t="shared" ref="Y46:AO46" si="46">_xlfn.STDEV.S(E45:E48)</f>
        <v>9.3983597859767648E-3</v>
      </c>
      <c r="Z46" s="5">
        <f t="shared" si="46"/>
        <v>1.0211227480898921E-2</v>
      </c>
      <c r="AA46" s="5">
        <f t="shared" si="46"/>
        <v>0.68090836096035789</v>
      </c>
      <c r="AB46" s="5">
        <f t="shared" si="46"/>
        <v>1.5695514221160986E-2</v>
      </c>
      <c r="AC46" s="5">
        <f t="shared" si="46"/>
        <v>2.1005158096683366E-2</v>
      </c>
      <c r="AD46" s="5">
        <f t="shared" si="46"/>
        <v>2.4107091154543001E-2</v>
      </c>
      <c r="AE46" s="25">
        <f t="shared" si="46"/>
        <v>1.5859928391146718</v>
      </c>
      <c r="AF46" s="5">
        <f t="shared" si="46"/>
        <v>0.15226949793047886</v>
      </c>
      <c r="AG46" s="5">
        <f t="shared" si="46"/>
        <v>0.23545611763836929</v>
      </c>
      <c r="AH46" s="5">
        <f t="shared" si="46"/>
        <v>0.25031313722349174</v>
      </c>
      <c r="AI46" s="5">
        <f t="shared" si="46"/>
        <v>55.039305771899365</v>
      </c>
      <c r="AJ46" s="5">
        <f t="shared" si="46"/>
        <v>3.7170989679406001</v>
      </c>
      <c r="AK46" s="5">
        <f t="shared" si="46"/>
        <v>5.9663404355868165E-2</v>
      </c>
      <c r="AL46" s="5">
        <f t="shared" si="46"/>
        <v>3.9252239707808022E-2</v>
      </c>
      <c r="AM46" s="5">
        <f t="shared" si="46"/>
        <v>6.4785528088166089</v>
      </c>
      <c r="AN46" s="25">
        <f t="shared" si="46"/>
        <v>0.24062418831031895</v>
      </c>
      <c r="AO46" s="25">
        <f t="shared" si="46"/>
        <v>0.62580614676857649</v>
      </c>
      <c r="AP46"/>
      <c r="AQ46"/>
      <c r="AR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8" customFormat="1" ht="21" x14ac:dyDescent="0.35">
      <c r="A47" s="80"/>
      <c r="B47" s="20">
        <v>44</v>
      </c>
      <c r="C47" s="20"/>
      <c r="D47" s="20">
        <v>1.5028999999999999</v>
      </c>
      <c r="E47" s="20">
        <v>1.5097</v>
      </c>
      <c r="F47" s="21">
        <f t="shared" si="1"/>
        <v>6.8000000000001393E-3</v>
      </c>
      <c r="G47" s="20">
        <f t="shared" si="2"/>
        <v>0.45245858007852413</v>
      </c>
      <c r="H47" s="20">
        <v>0.56340000000000001</v>
      </c>
      <c r="I47" s="20">
        <f t="shared" si="3"/>
        <v>0.94630000000000003</v>
      </c>
      <c r="J47" s="20">
        <f t="shared" si="4"/>
        <v>1.3241583007502904</v>
      </c>
      <c r="K47" s="25">
        <f t="shared" si="5"/>
        <v>87.115677680940152</v>
      </c>
      <c r="L47" s="38">
        <v>10.567</v>
      </c>
      <c r="M47" s="38">
        <v>10.528</v>
      </c>
      <c r="N47" s="38">
        <v>11.564</v>
      </c>
      <c r="O47" s="20">
        <f t="shared" si="6"/>
        <v>1286.4877840640002</v>
      </c>
      <c r="P47" s="20">
        <f t="shared" si="7"/>
        <v>111.24937600000001</v>
      </c>
      <c r="Q47" s="20">
        <f t="shared" si="11"/>
        <v>1.1735051188988948</v>
      </c>
      <c r="R47" s="20">
        <f t="shared" si="8"/>
        <v>0.77204284138085177</v>
      </c>
      <c r="S47" s="20">
        <f t="shared" si="9"/>
        <v>12.063529510517954</v>
      </c>
      <c r="T47" s="20">
        <v>0.61</v>
      </c>
      <c r="U47" s="20">
        <v>2.38</v>
      </c>
      <c r="V47" s="20"/>
      <c r="W47" s="5" t="s">
        <v>61</v>
      </c>
      <c r="X47" s="5">
        <f>MIN(D45:D48)</f>
        <v>1.5001</v>
      </c>
      <c r="Y47" s="5">
        <f t="shared" ref="Y47:AO47" si="47">MIN(E45:E48)</f>
        <v>1.5051000000000001</v>
      </c>
      <c r="Z47" s="5">
        <f t="shared" si="47"/>
        <v>3.8000000000000256E-3</v>
      </c>
      <c r="AA47" s="5">
        <f t="shared" si="47"/>
        <v>0.25311396789449314</v>
      </c>
      <c r="AB47" s="5">
        <f t="shared" si="47"/>
        <v>0.54279999999999995</v>
      </c>
      <c r="AC47" s="5">
        <f t="shared" si="47"/>
        <v>0.92400000000000015</v>
      </c>
      <c r="AD47" s="5">
        <f t="shared" si="47"/>
        <v>1.2934067064390042</v>
      </c>
      <c r="AE47" s="25">
        <f t="shared" si="47"/>
        <v>85.092546476250277</v>
      </c>
      <c r="AF47" s="5">
        <f t="shared" si="47"/>
        <v>10.199999999999999</v>
      </c>
      <c r="AG47" s="5">
        <f t="shared" si="47"/>
        <v>10.119999999999999</v>
      </c>
      <c r="AH47" s="5">
        <f t="shared" si="47"/>
        <v>11.377000000000001</v>
      </c>
      <c r="AI47" s="5">
        <f t="shared" si="47"/>
        <v>1202.6304958440001</v>
      </c>
      <c r="AJ47" s="5">
        <f t="shared" si="47"/>
        <v>103.22399999999999</v>
      </c>
      <c r="AK47" s="5">
        <f t="shared" si="47"/>
        <v>1.1446899960955175</v>
      </c>
      <c r="AL47" s="5">
        <f t="shared" si="47"/>
        <v>0.75308552374705096</v>
      </c>
      <c r="AM47" s="5">
        <f t="shared" si="47"/>
        <v>3.4859971089074757</v>
      </c>
      <c r="AN47" s="25">
        <f t="shared" si="47"/>
        <v>0.61</v>
      </c>
      <c r="AO47" s="25">
        <f t="shared" si="47"/>
        <v>2.38</v>
      </c>
      <c r="AP47"/>
      <c r="AQ47"/>
      <c r="AR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8" customFormat="1" ht="21" x14ac:dyDescent="0.35">
      <c r="A48" s="80"/>
      <c r="B48" s="20">
        <v>45</v>
      </c>
      <c r="C48" s="20"/>
      <c r="D48" s="20">
        <v>1.5021</v>
      </c>
      <c r="E48" s="20">
        <v>1.5149999999999999</v>
      </c>
      <c r="F48" s="21">
        <f t="shared" si="1"/>
        <v>1.2899999999999912E-2</v>
      </c>
      <c r="G48" s="20">
        <f t="shared" si="2"/>
        <v>0.85879768324345329</v>
      </c>
      <c r="H48" s="20">
        <v>0.54279999999999995</v>
      </c>
      <c r="I48" s="20">
        <f t="shared" si="3"/>
        <v>0.97219999999999995</v>
      </c>
      <c r="J48" s="20">
        <f t="shared" si="4"/>
        <v>1.2934067064390042</v>
      </c>
      <c r="K48" s="25">
        <f t="shared" si="5"/>
        <v>85.092546476250277</v>
      </c>
      <c r="L48" s="20">
        <v>10.199999999999999</v>
      </c>
      <c r="M48" s="20">
        <v>10.119999999999999</v>
      </c>
      <c r="N48" s="20">
        <v>11.75</v>
      </c>
      <c r="O48" s="20">
        <f t="shared" si="6"/>
        <v>1212.8819999999998</v>
      </c>
      <c r="P48" s="20">
        <f t="shared" si="7"/>
        <v>103.22399999999999</v>
      </c>
      <c r="Q48" s="20">
        <f t="shared" si="11"/>
        <v>1.2490910080288109</v>
      </c>
      <c r="R48" s="20">
        <f t="shared" si="8"/>
        <v>0.82177040001895452</v>
      </c>
      <c r="S48" s="20">
        <f t="shared" si="9"/>
        <v>3.4859971089074757</v>
      </c>
      <c r="T48" s="20">
        <v>1.0900000000000001</v>
      </c>
      <c r="U48" s="20">
        <v>3.06</v>
      </c>
      <c r="V48" s="20"/>
      <c r="W48" s="5" t="s">
        <v>62</v>
      </c>
      <c r="X48" s="5">
        <f>MAX(D45:D48)</f>
        <v>1.5028999999999999</v>
      </c>
      <c r="Y48" s="5">
        <f t="shared" ref="Y48:AO48" si="48">MAX(E45:E48)</f>
        <v>1.5268999999999999</v>
      </c>
      <c r="Z48" s="5">
        <f t="shared" si="48"/>
        <v>2.6799999999999935E-2</v>
      </c>
      <c r="AA48" s="5">
        <f t="shared" si="48"/>
        <v>1.7865475634957626</v>
      </c>
      <c r="AB48" s="5">
        <f t="shared" si="48"/>
        <v>0.58109999999999995</v>
      </c>
      <c r="AC48" s="5">
        <f t="shared" si="48"/>
        <v>0.97219999999999995</v>
      </c>
      <c r="AD48" s="5">
        <f t="shared" si="48"/>
        <v>1.3519837662337661</v>
      </c>
      <c r="AE48" s="25">
        <f t="shared" si="48"/>
        <v>88.946300410116194</v>
      </c>
      <c r="AF48" s="5">
        <f t="shared" si="48"/>
        <v>10.567</v>
      </c>
      <c r="AG48" s="5">
        <f t="shared" si="48"/>
        <v>10.617000000000001</v>
      </c>
      <c r="AH48" s="5">
        <f t="shared" si="48"/>
        <v>11.961</v>
      </c>
      <c r="AI48" s="5">
        <f t="shared" si="48"/>
        <v>1314.8538076980001</v>
      </c>
      <c r="AJ48" s="5">
        <f t="shared" si="48"/>
        <v>111.24937600000001</v>
      </c>
      <c r="AK48" s="5">
        <f t="shared" si="48"/>
        <v>1.2696335285664189</v>
      </c>
      <c r="AL48" s="5">
        <f t="shared" si="48"/>
        <v>0.83528521616211771</v>
      </c>
      <c r="AM48" s="5">
        <f t="shared" si="48"/>
        <v>16.605595273677483</v>
      </c>
      <c r="AN48" s="25">
        <f t="shared" si="48"/>
        <v>1.0900000000000001</v>
      </c>
      <c r="AO48" s="25">
        <f t="shared" si="48"/>
        <v>3.63</v>
      </c>
      <c r="AP48"/>
      <c r="AQ48"/>
      <c r="AR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8" customFormat="1" ht="21" x14ac:dyDescent="0.35">
      <c r="A49" s="80" t="s">
        <v>47</v>
      </c>
      <c r="B49" s="22">
        <v>1</v>
      </c>
      <c r="C49" s="22"/>
      <c r="D49" s="22">
        <v>1.5004999999999999</v>
      </c>
      <c r="E49" s="22">
        <v>1.4823</v>
      </c>
      <c r="F49" s="23">
        <f t="shared" si="1"/>
        <v>1.8199999999999994E-2</v>
      </c>
      <c r="G49" s="22">
        <f t="shared" si="2"/>
        <v>1.21292902365878</v>
      </c>
      <c r="H49" s="22">
        <v>0.59309999999999996</v>
      </c>
      <c r="I49" s="22">
        <f t="shared" si="3"/>
        <v>0.88919999999999999</v>
      </c>
      <c r="J49" s="22">
        <f t="shared" si="4"/>
        <v>1.3836133603238865</v>
      </c>
      <c r="K49" s="26">
        <f>J49/$M$2*100</f>
        <v>91.027194758150415</v>
      </c>
      <c r="L49" s="38">
        <v>10.448</v>
      </c>
      <c r="M49" s="38">
        <v>10.148</v>
      </c>
      <c r="N49" s="38">
        <v>10.961</v>
      </c>
      <c r="O49" s="22">
        <f t="shared" si="6"/>
        <v>1162.1543181439999</v>
      </c>
      <c r="P49" s="22">
        <f t="shared" si="7"/>
        <v>106.026304</v>
      </c>
      <c r="Q49" s="20">
        <f t="shared" si="11"/>
        <v>1.2754760506911711</v>
      </c>
      <c r="R49" s="20">
        <f t="shared" si="8"/>
        <v>0.83912898071787567</v>
      </c>
      <c r="S49" s="20">
        <f t="shared" si="9"/>
        <v>8.13340906738717</v>
      </c>
      <c r="T49" s="22">
        <v>1.84</v>
      </c>
      <c r="U49" s="22">
        <v>31.21</v>
      </c>
      <c r="V49" s="20"/>
      <c r="W49" s="5" t="s">
        <v>66</v>
      </c>
      <c r="X49" s="7">
        <f>AVERAGE(D49:D55)</f>
        <v>1.4779142857142857</v>
      </c>
      <c r="Y49" s="7">
        <f t="shared" ref="Y49:AO49" si="49">AVERAGE(E49:E55)</f>
        <v>1.3876142857142857</v>
      </c>
      <c r="Z49" s="7">
        <f t="shared" si="49"/>
        <v>0.12101428571428571</v>
      </c>
      <c r="AA49" s="7">
        <f t="shared" si="49"/>
        <v>8.1548819651834936</v>
      </c>
      <c r="AB49" s="7">
        <f t="shared" si="49"/>
        <v>0.52288571428571429</v>
      </c>
      <c r="AC49" s="7">
        <f t="shared" si="49"/>
        <v>0.8647285714285714</v>
      </c>
      <c r="AD49" s="7">
        <f t="shared" si="49"/>
        <v>1.3323445181799654</v>
      </c>
      <c r="AE49" s="26">
        <f t="shared" si="49"/>
        <v>87.654244617102975</v>
      </c>
      <c r="AF49" s="7">
        <f t="shared" si="49"/>
        <v>10.342285714285714</v>
      </c>
      <c r="AG49" s="7">
        <f t="shared" si="49"/>
        <v>10.351428571428572</v>
      </c>
      <c r="AH49" s="7">
        <f t="shared" si="49"/>
        <v>11.028428571428572</v>
      </c>
      <c r="AI49" s="7">
        <f t="shared" si="49"/>
        <v>1186.2304094606668</v>
      </c>
      <c r="AJ49" s="7">
        <f t="shared" si="49"/>
        <v>107.58924233333335</v>
      </c>
      <c r="AK49" s="7">
        <f t="shared" si="49"/>
        <v>1.1747475125134985</v>
      </c>
      <c r="AL49" s="7">
        <f t="shared" si="49"/>
        <v>0.77286020560098567</v>
      </c>
      <c r="AM49" s="7">
        <f t="shared" si="49"/>
        <v>12.740776101964423</v>
      </c>
      <c r="AN49" s="26">
        <f t="shared" si="49"/>
        <v>1.84</v>
      </c>
      <c r="AO49" s="26">
        <f t="shared" si="49"/>
        <v>31.21</v>
      </c>
      <c r="AP49"/>
      <c r="AQ49" s="5" t="s">
        <v>81</v>
      </c>
      <c r="AR49">
        <f>COUNT(S45:S48)</f>
        <v>4</v>
      </c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ht="21" x14ac:dyDescent="0.35">
      <c r="A50" s="80"/>
      <c r="B50" s="5">
        <v>2</v>
      </c>
      <c r="C50" s="5" t="s">
        <v>54</v>
      </c>
      <c r="D50" s="5">
        <v>1.5019</v>
      </c>
      <c r="E50" s="5">
        <v>1.6093999999999999</v>
      </c>
      <c r="F50" s="6">
        <f>ABS(D50-E50)</f>
        <v>0.10749999999999993</v>
      </c>
      <c r="G50" s="5">
        <f t="shared" si="2"/>
        <v>7.1576003728610376</v>
      </c>
      <c r="H50" s="5">
        <v>0.5806</v>
      </c>
      <c r="I50" s="5">
        <f t="shared" si="3"/>
        <v>1.0287999999999999</v>
      </c>
      <c r="J50" s="5">
        <f t="shared" si="4"/>
        <v>1.2984078538102644</v>
      </c>
      <c r="K50" s="26">
        <f t="shared" ref="K50:K90" si="50">J50/$M$2*100</f>
        <v>85.421569329622642</v>
      </c>
      <c r="L50">
        <v>10.286</v>
      </c>
      <c r="M50">
        <v>10.327999999999999</v>
      </c>
      <c r="N50">
        <v>12.257</v>
      </c>
      <c r="O50" s="5">
        <f t="shared" si="6"/>
        <v>1302.1077846559999</v>
      </c>
      <c r="P50" s="5">
        <f t="shared" si="7"/>
        <v>106.233808</v>
      </c>
      <c r="Q50" s="5">
        <f t="shared" si="11"/>
        <v>1.2359959897061692</v>
      </c>
      <c r="R50" s="5">
        <f t="shared" si="8"/>
        <v>0.81315525638563757</v>
      </c>
      <c r="S50" s="5">
        <f t="shared" si="9"/>
        <v>4.9251712006165498</v>
      </c>
      <c r="T50" s="5"/>
      <c r="U50" s="5"/>
      <c r="V50" s="5"/>
      <c r="W50" s="5" t="s">
        <v>67</v>
      </c>
      <c r="X50" s="5">
        <f>_xlfn.STDEV.S(D49:D55)</f>
        <v>6.1264928209958998E-2</v>
      </c>
      <c r="Y50" s="5">
        <f t="shared" ref="Y50:AO50" si="51">_xlfn.STDEV.S(E49:E55)</f>
        <v>0.12222507146751067</v>
      </c>
      <c r="Z50" s="5">
        <f t="shared" si="51"/>
        <v>6.3771216824191901E-2</v>
      </c>
      <c r="AA50" s="5">
        <f t="shared" si="51"/>
        <v>4.1902775616566972</v>
      </c>
      <c r="AB50" s="5">
        <f t="shared" si="51"/>
        <v>4.9727639148044157E-2</v>
      </c>
      <c r="AC50" s="5">
        <f t="shared" si="51"/>
        <v>7.909837154425102E-2</v>
      </c>
      <c r="AD50" s="5">
        <f t="shared" si="51"/>
        <v>2.916284965969785E-2</v>
      </c>
      <c r="AE50" s="25">
        <f t="shared" si="51"/>
        <v>1.9186085302432807</v>
      </c>
      <c r="AF50" s="5">
        <f t="shared" si="51"/>
        <v>0.2365161828753049</v>
      </c>
      <c r="AG50" s="5">
        <f t="shared" si="51"/>
        <v>0.21707668164564747</v>
      </c>
      <c r="AH50" s="5">
        <f t="shared" si="51"/>
        <v>0.65666705342023901</v>
      </c>
      <c r="AI50" s="5">
        <f t="shared" si="51"/>
        <v>73.693128247670074</v>
      </c>
      <c r="AJ50" s="5">
        <f t="shared" si="51"/>
        <v>4.2998829286194162</v>
      </c>
      <c r="AK50" s="5">
        <f t="shared" si="51"/>
        <v>8.2484409896178265E-2</v>
      </c>
      <c r="AL50" s="5">
        <f t="shared" si="51"/>
        <v>5.4266059142222545E-2</v>
      </c>
      <c r="AM50" s="5">
        <f t="shared" si="51"/>
        <v>6.7783846584358427</v>
      </c>
      <c r="AN50" s="25" t="e">
        <f>_xlfn.STDEV.S(T49:T55)</f>
        <v>#DIV/0!</v>
      </c>
      <c r="AO50" s="25" t="e">
        <f t="shared" si="51"/>
        <v>#DIV/0!</v>
      </c>
    </row>
    <row r="51" spans="1:105" ht="21" x14ac:dyDescent="0.35">
      <c r="A51" s="80"/>
      <c r="B51" s="5">
        <v>3</v>
      </c>
      <c r="C51" s="5"/>
      <c r="D51" s="5">
        <v>1.4988999999999999</v>
      </c>
      <c r="E51" s="5">
        <v>1.2823</v>
      </c>
      <c r="F51" s="6">
        <f t="shared" si="1"/>
        <v>0.2165999999999999</v>
      </c>
      <c r="G51" s="5">
        <f t="shared" si="2"/>
        <v>14.450597104543325</v>
      </c>
      <c r="H51" s="5">
        <v>0.47410000000000002</v>
      </c>
      <c r="I51" s="5">
        <f t="shared" si="3"/>
        <v>0.80820000000000003</v>
      </c>
      <c r="J51" s="5">
        <f t="shared" si="4"/>
        <v>1.3168881464983915</v>
      </c>
      <c r="K51" s="26">
        <f t="shared" si="50"/>
        <v>86.637378059104691</v>
      </c>
      <c r="L51">
        <v>10.779</v>
      </c>
      <c r="M51">
        <v>10.794</v>
      </c>
      <c r="N51">
        <v>10.472</v>
      </c>
      <c r="O51" s="5">
        <f t="shared" si="6"/>
        <v>1218.401764272</v>
      </c>
      <c r="P51" s="5">
        <f t="shared" si="7"/>
        <v>116.34852600000001</v>
      </c>
      <c r="Q51" s="5">
        <f t="shared" si="11"/>
        <v>1.0524443066332718</v>
      </c>
      <c r="R51" s="5">
        <f t="shared" si="8"/>
        <v>0.69239757015346826</v>
      </c>
      <c r="S51" s="5">
        <f t="shared" si="9"/>
        <v>22.322223250316032</v>
      </c>
      <c r="T51" s="5"/>
      <c r="U51" s="5"/>
      <c r="V51" s="5"/>
      <c r="W51" s="5" t="s">
        <v>61</v>
      </c>
      <c r="X51" s="5">
        <f>MIN(D49:D55)</f>
        <v>1.339</v>
      </c>
      <c r="Y51" s="5">
        <f t="shared" ref="Y51:AO51" si="52">MIN(E49:E55)</f>
        <v>1.2588999999999999</v>
      </c>
      <c r="Z51" s="5">
        <f t="shared" si="52"/>
        <v>1.8199999999999994E-2</v>
      </c>
      <c r="AA51" s="5">
        <f t="shared" si="52"/>
        <v>1.21292902365878</v>
      </c>
      <c r="AB51" s="5">
        <f t="shared" si="52"/>
        <v>0.4597</v>
      </c>
      <c r="AC51" s="5">
        <f t="shared" si="52"/>
        <v>0.79919999999999991</v>
      </c>
      <c r="AD51" s="5">
        <f t="shared" si="52"/>
        <v>1.2984078538102644</v>
      </c>
      <c r="AE51" s="25">
        <f t="shared" si="52"/>
        <v>85.421569329622642</v>
      </c>
      <c r="AF51" s="5">
        <f t="shared" si="52"/>
        <v>10.07</v>
      </c>
      <c r="AG51" s="5">
        <f t="shared" si="52"/>
        <v>10.148</v>
      </c>
      <c r="AH51" s="5">
        <f t="shared" si="52"/>
        <v>10.25</v>
      </c>
      <c r="AI51" s="5">
        <f t="shared" si="52"/>
        <v>1083.3068174999999</v>
      </c>
      <c r="AJ51" s="5">
        <f t="shared" si="52"/>
        <v>105.43937400000002</v>
      </c>
      <c r="AK51" s="5">
        <f t="shared" si="52"/>
        <v>1.0524443066332718</v>
      </c>
      <c r="AL51" s="5">
        <f t="shared" si="52"/>
        <v>0.69239757015346826</v>
      </c>
      <c r="AM51" s="5">
        <f t="shared" si="52"/>
        <v>4.9251712006165498</v>
      </c>
      <c r="AN51" s="25">
        <f t="shared" si="52"/>
        <v>1.84</v>
      </c>
      <c r="AO51" s="25">
        <f t="shared" si="52"/>
        <v>31.21</v>
      </c>
    </row>
    <row r="52" spans="1:105" ht="21" x14ac:dyDescent="0.35">
      <c r="A52" s="80"/>
      <c r="B52" s="5">
        <v>4</v>
      </c>
      <c r="C52" s="5"/>
      <c r="D52" s="5">
        <v>1.5016</v>
      </c>
      <c r="E52" s="5">
        <v>1.3911</v>
      </c>
      <c r="F52" s="6">
        <f t="shared" si="1"/>
        <v>0.11050000000000004</v>
      </c>
      <c r="G52" s="5">
        <f t="shared" si="2"/>
        <v>7.3588172615876424</v>
      </c>
      <c r="H52" s="5">
        <v>0.52539999999999998</v>
      </c>
      <c r="I52" s="5">
        <f t="shared" si="3"/>
        <v>0.86570000000000003</v>
      </c>
      <c r="J52" s="5">
        <f t="shared" si="4"/>
        <v>1.3337333949405104</v>
      </c>
      <c r="K52" s="26">
        <f t="shared" si="50"/>
        <v>87.745618088191463</v>
      </c>
      <c r="L52">
        <v>10.401</v>
      </c>
      <c r="M52">
        <v>10.172000000000001</v>
      </c>
      <c r="N52">
        <v>10.872</v>
      </c>
      <c r="O52" s="5">
        <f t="shared" si="6"/>
        <v>1150.246423584</v>
      </c>
      <c r="P52" s="5">
        <f t="shared" si="7"/>
        <v>105.79897200000001</v>
      </c>
      <c r="Q52" s="5">
        <f t="shared" si="11"/>
        <v>1.2093930235101582</v>
      </c>
      <c r="R52" s="5">
        <f t="shared" si="8"/>
        <v>0.79565330494089359</v>
      </c>
      <c r="S52" s="5">
        <f t="shared" si="9"/>
        <v>9.7785442774884288</v>
      </c>
      <c r="T52" s="5"/>
      <c r="U52" s="5"/>
      <c r="V52" s="5"/>
      <c r="W52" s="5" t="s">
        <v>62</v>
      </c>
      <c r="X52" s="5">
        <f>MAX(D49:D55)</f>
        <v>1.5019</v>
      </c>
      <c r="Y52" s="5">
        <f t="shared" ref="Y52:AO52" si="53">MAX(E49:E55)</f>
        <v>1.6093999999999999</v>
      </c>
      <c r="Z52" s="5">
        <f t="shared" si="53"/>
        <v>0.2165999999999999</v>
      </c>
      <c r="AA52" s="5">
        <f t="shared" si="53"/>
        <v>14.450597104543325</v>
      </c>
      <c r="AB52" s="5">
        <f t="shared" si="53"/>
        <v>0.59309999999999996</v>
      </c>
      <c r="AC52" s="5">
        <f t="shared" si="53"/>
        <v>1.0287999999999999</v>
      </c>
      <c r="AD52" s="5">
        <f t="shared" si="53"/>
        <v>1.3836133603238865</v>
      </c>
      <c r="AE52" s="25">
        <f t="shared" si="53"/>
        <v>91.027194758150415</v>
      </c>
      <c r="AF52" s="5">
        <f t="shared" si="53"/>
        <v>10.779</v>
      </c>
      <c r="AG52" s="5">
        <f t="shared" si="53"/>
        <v>10.794</v>
      </c>
      <c r="AH52" s="5">
        <f t="shared" si="53"/>
        <v>12.257</v>
      </c>
      <c r="AI52" s="5">
        <f t="shared" si="53"/>
        <v>1302.1077846559999</v>
      </c>
      <c r="AJ52" s="5">
        <f t="shared" si="53"/>
        <v>116.34852600000001</v>
      </c>
      <c r="AK52" s="5">
        <f t="shared" si="53"/>
        <v>1.2754760506911711</v>
      </c>
      <c r="AL52" s="5">
        <f t="shared" si="53"/>
        <v>0.83912898071787567</v>
      </c>
      <c r="AM52" s="5">
        <f t="shared" si="53"/>
        <v>22.322223250316032</v>
      </c>
      <c r="AN52" s="25">
        <f t="shared" si="53"/>
        <v>1.84</v>
      </c>
      <c r="AO52" s="25">
        <f t="shared" si="53"/>
        <v>31.21</v>
      </c>
    </row>
    <row r="53" spans="1:105" ht="21" x14ac:dyDescent="0.35">
      <c r="A53" s="80"/>
      <c r="B53" s="5">
        <v>5</v>
      </c>
      <c r="C53" s="5"/>
      <c r="D53" s="6">
        <v>1.5019</v>
      </c>
      <c r="E53" s="5">
        <v>1.337</v>
      </c>
      <c r="F53" s="6">
        <f t="shared" si="1"/>
        <v>0.16490000000000005</v>
      </c>
      <c r="G53" s="5">
        <f t="shared" si="2"/>
        <v>10.979426060323593</v>
      </c>
      <c r="H53" s="5">
        <v>0.51729999999999998</v>
      </c>
      <c r="I53" s="5">
        <f t="shared" si="3"/>
        <v>0.81969999999999998</v>
      </c>
      <c r="J53" s="5">
        <f t="shared" si="4"/>
        <v>1.3538001707941929</v>
      </c>
      <c r="K53" s="26">
        <f t="shared" si="50"/>
        <v>89.065800710144273</v>
      </c>
      <c r="L53">
        <v>10.117000000000001</v>
      </c>
      <c r="M53">
        <v>10.422000000000001</v>
      </c>
      <c r="N53">
        <v>11.391999999999999</v>
      </c>
      <c r="O53" s="5">
        <f t="shared" si="6"/>
        <v>1201.1653486080002</v>
      </c>
      <c r="P53" s="5">
        <f t="shared" si="7"/>
        <v>105.43937400000002</v>
      </c>
      <c r="Q53" s="5">
        <f t="shared" si="11"/>
        <v>1.1130857225855</v>
      </c>
      <c r="R53" s="5">
        <f t="shared" si="8"/>
        <v>0.73229323854309214</v>
      </c>
      <c r="S53" s="5">
        <f t="shared" si="9"/>
        <v>19.515653225363284</v>
      </c>
      <c r="T53" s="5"/>
      <c r="U53" s="5"/>
      <c r="V53" s="5"/>
      <c r="W53" s="5" t="s">
        <v>68</v>
      </c>
      <c r="X53" s="5">
        <f>COUNT(D49:D55)</f>
        <v>7</v>
      </c>
      <c r="Y53" s="5">
        <f t="shared" ref="Y53:AO53" si="54">COUNT(E49:E55)</f>
        <v>7</v>
      </c>
      <c r="Z53" s="5">
        <f t="shared" si="54"/>
        <v>7</v>
      </c>
      <c r="AA53" s="5">
        <f t="shared" si="54"/>
        <v>7</v>
      </c>
      <c r="AB53" s="5">
        <f t="shared" si="54"/>
        <v>7</v>
      </c>
      <c r="AC53" s="5">
        <f t="shared" si="54"/>
        <v>7</v>
      </c>
      <c r="AD53" s="5">
        <f t="shared" si="54"/>
        <v>7</v>
      </c>
      <c r="AE53" s="25">
        <f t="shared" si="54"/>
        <v>7</v>
      </c>
      <c r="AF53" s="5">
        <f t="shared" si="54"/>
        <v>7</v>
      </c>
      <c r="AG53" s="5">
        <f t="shared" si="54"/>
        <v>7</v>
      </c>
      <c r="AH53" s="5">
        <f t="shared" si="54"/>
        <v>7</v>
      </c>
      <c r="AI53" s="5">
        <f t="shared" si="54"/>
        <v>6</v>
      </c>
      <c r="AJ53" s="5">
        <f t="shared" si="54"/>
        <v>6</v>
      </c>
      <c r="AK53" s="5">
        <f t="shared" si="54"/>
        <v>6</v>
      </c>
      <c r="AL53" s="5">
        <f t="shared" si="54"/>
        <v>6</v>
      </c>
      <c r="AM53" s="5">
        <f t="shared" si="54"/>
        <v>6</v>
      </c>
      <c r="AN53" s="25">
        <f t="shared" si="54"/>
        <v>1</v>
      </c>
      <c r="AO53" s="25">
        <f t="shared" si="54"/>
        <v>1</v>
      </c>
    </row>
    <row r="54" spans="1:105" ht="21" x14ac:dyDescent="0.35">
      <c r="A54" s="80"/>
      <c r="B54" s="5">
        <v>6</v>
      </c>
      <c r="C54" s="5"/>
      <c r="D54" s="6">
        <v>1.5016</v>
      </c>
      <c r="E54" s="5">
        <v>1.3523000000000001</v>
      </c>
      <c r="F54" s="6">
        <f t="shared" si="1"/>
        <v>0.14929999999999999</v>
      </c>
      <c r="G54" s="5">
        <f t="shared" si="2"/>
        <v>9.9427277570591368</v>
      </c>
      <c r="H54" s="5">
        <v>0.51</v>
      </c>
      <c r="I54" s="5">
        <f t="shared" si="3"/>
        <v>0.84230000000000005</v>
      </c>
      <c r="J54" s="5">
        <f t="shared" si="4"/>
        <v>1.3325525347263445</v>
      </c>
      <c r="K54" s="26">
        <f t="shared" si="50"/>
        <v>87.667929916206873</v>
      </c>
      <c r="L54">
        <v>10.07</v>
      </c>
      <c r="M54">
        <v>10.33</v>
      </c>
      <c r="N54">
        <v>10.994999999999999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105" ht="21" x14ac:dyDescent="0.35">
      <c r="A55" s="80"/>
      <c r="B55" s="5">
        <v>7</v>
      </c>
      <c r="C55" s="5"/>
      <c r="D55" s="6">
        <v>1.339</v>
      </c>
      <c r="E55" s="5">
        <v>1.2588999999999999</v>
      </c>
      <c r="F55" s="6">
        <f t="shared" si="1"/>
        <v>8.010000000000006E-2</v>
      </c>
      <c r="G55" s="5">
        <f t="shared" si="2"/>
        <v>5.9820761762509385</v>
      </c>
      <c r="H55" s="5">
        <v>0.4597</v>
      </c>
      <c r="I55" s="5">
        <f t="shared" si="3"/>
        <v>0.79919999999999991</v>
      </c>
      <c r="J55" s="5">
        <f t="shared" si="4"/>
        <v>1.3074161661661663</v>
      </c>
      <c r="K55" s="26">
        <f t="shared" si="50"/>
        <v>86.014221458300412</v>
      </c>
      <c r="L55">
        <v>10.295</v>
      </c>
      <c r="M55">
        <v>10.266</v>
      </c>
      <c r="N55">
        <v>10.25</v>
      </c>
      <c r="O55" s="5">
        <f t="shared" si="6"/>
        <v>1083.3068174999999</v>
      </c>
      <c r="P55" s="5">
        <f t="shared" si="7"/>
        <v>105.68847</v>
      </c>
      <c r="Q55" s="5">
        <f t="shared" si="11"/>
        <v>1.1620899819547199</v>
      </c>
      <c r="R55" s="5">
        <f t="shared" si="8"/>
        <v>0.76453288286494725</v>
      </c>
      <c r="S55" s="5">
        <f t="shared" si="9"/>
        <v>11.76965559061507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105" ht="21" x14ac:dyDescent="0.35">
      <c r="A56" s="80" t="s">
        <v>48</v>
      </c>
      <c r="B56" s="7">
        <v>8</v>
      </c>
      <c r="C56" s="7"/>
      <c r="D56" s="7">
        <v>1.5001</v>
      </c>
      <c r="E56" s="7">
        <v>1.4816</v>
      </c>
      <c r="F56" s="8">
        <f t="shared" si="1"/>
        <v>1.8499999999999961E-2</v>
      </c>
      <c r="G56" s="7">
        <f t="shared" si="2"/>
        <v>1.2332511165922246</v>
      </c>
      <c r="H56" s="7">
        <v>0.55410000000000004</v>
      </c>
      <c r="I56" s="7">
        <f t="shared" si="3"/>
        <v>0.92749999999999999</v>
      </c>
      <c r="J56" s="7">
        <f t="shared" si="4"/>
        <v>1.3258522911051212</v>
      </c>
      <c r="K56" s="26">
        <f t="shared" si="50"/>
        <v>87.227124414810604</v>
      </c>
      <c r="L56">
        <v>10.401</v>
      </c>
      <c r="M56">
        <v>10.085000000000001</v>
      </c>
      <c r="N56">
        <v>12.15</v>
      </c>
      <c r="O56" s="7">
        <f t="shared" si="6"/>
        <v>1274.4631327500001</v>
      </c>
      <c r="P56" s="7">
        <f t="shared" si="7"/>
        <v>104.894085</v>
      </c>
      <c r="Q56" s="5">
        <f t="shared" si="11"/>
        <v>1.1625287243916156</v>
      </c>
      <c r="R56" s="5">
        <f t="shared" si="8"/>
        <v>0.76482152920501023</v>
      </c>
      <c r="S56" s="5">
        <f t="shared" si="9"/>
        <v>13.126893807369971</v>
      </c>
      <c r="T56" s="7"/>
      <c r="U56" s="7"/>
      <c r="V56" s="5"/>
      <c r="W56" s="5" t="s">
        <v>66</v>
      </c>
      <c r="X56" s="7">
        <f>AVERAGE(D56:D62)</f>
        <v>1.5187714285714284</v>
      </c>
      <c r="Y56" s="7">
        <f t="shared" ref="Y56:AO56" si="55">AVERAGE(E56:E62)</f>
        <v>1.4963857142857147</v>
      </c>
      <c r="Z56" s="7">
        <f t="shared" si="55"/>
        <v>5.232857142857144E-2</v>
      </c>
      <c r="AA56" s="7">
        <f t="shared" si="55"/>
        <v>3.4443860511145634</v>
      </c>
      <c r="AB56" s="7">
        <f t="shared" si="55"/>
        <v>0.56464285714285711</v>
      </c>
      <c r="AC56" s="7">
        <f t="shared" si="55"/>
        <v>0.93174285714285721</v>
      </c>
      <c r="AD56" s="7">
        <f t="shared" si="55"/>
        <v>1.3345800566584631</v>
      </c>
      <c r="AE56" s="26">
        <f t="shared" si="55"/>
        <v>87.801319517004117</v>
      </c>
      <c r="AF56" s="7">
        <f t="shared" si="55"/>
        <v>10.233571428571429</v>
      </c>
      <c r="AG56" s="7">
        <f t="shared" si="55"/>
        <v>10.161285714285714</v>
      </c>
      <c r="AH56" s="7">
        <f t="shared" si="55"/>
        <v>11.860428571428571</v>
      </c>
      <c r="AI56" s="7">
        <f t="shared" si="55"/>
        <v>1246.6976279711664</v>
      </c>
      <c r="AJ56" s="7">
        <f t="shared" si="55"/>
        <v>103.71644683333334</v>
      </c>
      <c r="AK56" s="7">
        <f t="shared" si="55"/>
        <v>1.2169791103631964</v>
      </c>
      <c r="AL56" s="7">
        <f t="shared" si="55"/>
        <v>0.80064415155473434</v>
      </c>
      <c r="AM56" s="7">
        <f t="shared" si="55"/>
        <v>9.3314951046922374</v>
      </c>
      <c r="AN56" s="26">
        <f t="shared" si="55"/>
        <v>1.7999999999999998</v>
      </c>
      <c r="AO56" s="26">
        <f t="shared" si="55"/>
        <v>21.575000000000003</v>
      </c>
    </row>
    <row r="57" spans="1:105" ht="21" x14ac:dyDescent="0.35">
      <c r="A57" s="80"/>
      <c r="B57" s="5">
        <v>9</v>
      </c>
      <c r="C57" s="5"/>
      <c r="D57" s="5">
        <v>1.5004</v>
      </c>
      <c r="E57" s="5">
        <v>1.6052</v>
      </c>
      <c r="F57" s="6">
        <f t="shared" si="1"/>
        <v>0.1048</v>
      </c>
      <c r="G57" s="5">
        <f t="shared" si="2"/>
        <v>6.9848040522527324</v>
      </c>
      <c r="H57" s="5">
        <v>0.57289999999999996</v>
      </c>
      <c r="I57" s="5">
        <f t="shared" si="3"/>
        <v>1.0323</v>
      </c>
      <c r="J57" s="5">
        <f t="shared" si="4"/>
        <v>1.2906286932093383</v>
      </c>
      <c r="K57" s="26">
        <f t="shared" si="50"/>
        <v>84.909782447982778</v>
      </c>
      <c r="L57">
        <v>10.186999999999999</v>
      </c>
      <c r="M57">
        <v>10.131</v>
      </c>
      <c r="N57">
        <v>13.302</v>
      </c>
      <c r="O57" s="5">
        <f t="shared" si="6"/>
        <v>1372.8262190939997</v>
      </c>
      <c r="P57" s="5">
        <f t="shared" si="7"/>
        <v>103.20449699999999</v>
      </c>
      <c r="Q57" s="5">
        <f t="shared" si="11"/>
        <v>1.169266712475346</v>
      </c>
      <c r="R57" s="5">
        <f t="shared" si="8"/>
        <v>0.76925441610220124</v>
      </c>
      <c r="S57" s="5">
        <f t="shared" si="9"/>
        <v>9.8672472377102984</v>
      </c>
      <c r="T57" s="5"/>
      <c r="U57" s="5"/>
      <c r="V57" s="5"/>
      <c r="W57" s="5" t="s">
        <v>67</v>
      </c>
      <c r="X57" s="5">
        <f>_xlfn.STDEV.S(D56:D62)</f>
        <v>4.69383181876568E-2</v>
      </c>
      <c r="Y57" s="5">
        <f t="shared" ref="Y57:AO57" si="56">_xlfn.STDEV.S(E56:E62)</f>
        <v>6.5665120842332253E-2</v>
      </c>
      <c r="Z57" s="5">
        <f t="shared" si="56"/>
        <v>3.1517810535511226E-2</v>
      </c>
      <c r="AA57" s="5">
        <f t="shared" si="56"/>
        <v>2.0956832955938709</v>
      </c>
      <c r="AB57" s="5">
        <f t="shared" si="56"/>
        <v>1.5514708842778498E-2</v>
      </c>
      <c r="AC57" s="5">
        <f t="shared" si="56"/>
        <v>6.021840408443413E-2</v>
      </c>
      <c r="AD57" s="5">
        <f t="shared" si="56"/>
        <v>3.2180705417488603E-2</v>
      </c>
      <c r="AE57" s="25">
        <f t="shared" si="56"/>
        <v>2.1171516722031969</v>
      </c>
      <c r="AF57" s="5">
        <f t="shared" si="56"/>
        <v>0.12848716815679451</v>
      </c>
      <c r="AG57" s="5">
        <f t="shared" si="56"/>
        <v>8.8988228220954882E-2</v>
      </c>
      <c r="AH57" s="5">
        <f t="shared" si="56"/>
        <v>1.0899940148372151</v>
      </c>
      <c r="AI57" s="5">
        <f t="shared" si="56"/>
        <v>126.31410438200285</v>
      </c>
      <c r="AJ57" s="5">
        <f t="shared" si="56"/>
        <v>1.9315395750310094</v>
      </c>
      <c r="AK57" s="5">
        <f t="shared" si="56"/>
        <v>0.10069201592019343</v>
      </c>
      <c r="AL57" s="5">
        <f t="shared" si="56"/>
        <v>6.624474731591673E-2</v>
      </c>
      <c r="AM57" s="5">
        <f t="shared" si="56"/>
        <v>6.5351450970922942</v>
      </c>
      <c r="AN57" s="25">
        <f t="shared" si="56"/>
        <v>0.21213203435596428</v>
      </c>
      <c r="AO57" s="25">
        <f t="shared" si="56"/>
        <v>10.16112444565068</v>
      </c>
    </row>
    <row r="58" spans="1:105" s="38" customFormat="1" ht="21" x14ac:dyDescent="0.35">
      <c r="A58" s="80"/>
      <c r="B58" s="20">
        <v>10</v>
      </c>
      <c r="C58" s="20"/>
      <c r="D58" s="20">
        <v>1.5019</v>
      </c>
      <c r="E58" s="20">
        <v>1.4555</v>
      </c>
      <c r="F58" s="21">
        <f t="shared" si="1"/>
        <v>4.6399999999999997E-2</v>
      </c>
      <c r="G58" s="20">
        <f t="shared" si="2"/>
        <v>3.0894200679139754</v>
      </c>
      <c r="H58" s="20">
        <v>0.56930000000000003</v>
      </c>
      <c r="I58" s="20">
        <f t="shared" si="3"/>
        <v>0.88619999999999999</v>
      </c>
      <c r="J58" s="20">
        <f t="shared" si="4"/>
        <v>1.3631967953058</v>
      </c>
      <c r="K58" s="26">
        <f t="shared" si="50"/>
        <v>89.683999691171039</v>
      </c>
      <c r="L58" s="38">
        <v>10.09</v>
      </c>
      <c r="M58" s="38">
        <v>10.164</v>
      </c>
      <c r="N58" s="38">
        <v>11.063000000000001</v>
      </c>
      <c r="O58" s="20">
        <f t="shared" si="6"/>
        <v>1134.5633098800001</v>
      </c>
      <c r="P58" s="20">
        <f t="shared" si="7"/>
        <v>102.55476</v>
      </c>
      <c r="Q58" s="20">
        <f t="shared" si="11"/>
        <v>1.2828724385190498</v>
      </c>
      <c r="R58" s="20">
        <f t="shared" si="8"/>
        <v>0.84399502534148008</v>
      </c>
      <c r="S58" s="20">
        <f t="shared" si="9"/>
        <v>6.0712210973136678</v>
      </c>
      <c r="T58" s="20">
        <v>1.65</v>
      </c>
      <c r="U58" s="20">
        <v>14.39</v>
      </c>
      <c r="V58" s="20"/>
      <c r="W58" s="5" t="s">
        <v>61</v>
      </c>
      <c r="X58" s="5">
        <f>MIN(D56:D62)</f>
        <v>1.5001</v>
      </c>
      <c r="Y58" s="5">
        <f t="shared" ref="Y58:AO58" si="57">MIN(E56:E62)</f>
        <v>1.4303999999999999</v>
      </c>
      <c r="Z58" s="5">
        <f t="shared" si="57"/>
        <v>1.21E-2</v>
      </c>
      <c r="AA58" s="5">
        <f t="shared" si="57"/>
        <v>0.80661289247383505</v>
      </c>
      <c r="AB58" s="5">
        <f t="shared" si="57"/>
        <v>0.54500000000000004</v>
      </c>
      <c r="AC58" s="5">
        <f t="shared" si="57"/>
        <v>0.86670000000000003</v>
      </c>
      <c r="AD58" s="5">
        <f t="shared" si="57"/>
        <v>1.2906286932093383</v>
      </c>
      <c r="AE58" s="25">
        <f t="shared" si="57"/>
        <v>84.909782447982778</v>
      </c>
      <c r="AF58" s="5">
        <f t="shared" si="57"/>
        <v>10.09</v>
      </c>
      <c r="AG58" s="5">
        <f t="shared" si="57"/>
        <v>10.055</v>
      </c>
      <c r="AH58" s="5">
        <f t="shared" si="57"/>
        <v>10.412000000000001</v>
      </c>
      <c r="AI58" s="5">
        <f t="shared" si="57"/>
        <v>1074.6738928080001</v>
      </c>
      <c r="AJ58" s="5">
        <f t="shared" si="57"/>
        <v>101.48511499999999</v>
      </c>
      <c r="AK58" s="5">
        <f t="shared" si="57"/>
        <v>1.0699520321080926</v>
      </c>
      <c r="AL58" s="5">
        <f t="shared" si="57"/>
        <v>0.70391581059742936</v>
      </c>
      <c r="AM58" s="5">
        <f t="shared" si="57"/>
        <v>2.8748084525250674</v>
      </c>
      <c r="AN58" s="25">
        <f t="shared" si="57"/>
        <v>1.65</v>
      </c>
      <c r="AO58" s="25">
        <f t="shared" si="57"/>
        <v>14.39</v>
      </c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ht="21" x14ac:dyDescent="0.35">
      <c r="A59" s="80"/>
      <c r="B59" s="5">
        <v>11</v>
      </c>
      <c r="C59" s="5"/>
      <c r="D59" s="6">
        <v>1.5001</v>
      </c>
      <c r="E59" s="5">
        <v>1.488</v>
      </c>
      <c r="F59" s="6">
        <f t="shared" si="1"/>
        <v>1.21E-2</v>
      </c>
      <c r="G59" s="5">
        <f t="shared" si="2"/>
        <v>0.80661289247383505</v>
      </c>
      <c r="H59" s="5">
        <v>0.54500000000000004</v>
      </c>
      <c r="I59" s="5">
        <f t="shared" si="3"/>
        <v>0.94299999999999995</v>
      </c>
      <c r="J59" s="5">
        <f t="shared" si="4"/>
        <v>1.3096924708377518</v>
      </c>
      <c r="K59" s="26">
        <f t="shared" si="50"/>
        <v>86.163978344588926</v>
      </c>
      <c r="L59">
        <v>10.378</v>
      </c>
      <c r="M59">
        <v>10.305</v>
      </c>
      <c r="N59">
        <v>13.004</v>
      </c>
      <c r="O59" s="5">
        <f t="shared" si="6"/>
        <v>1390.7165511599999</v>
      </c>
      <c r="P59" s="5">
        <f t="shared" si="7"/>
        <v>106.94529</v>
      </c>
      <c r="Q59" s="5">
        <f t="shared" si="11"/>
        <v>1.0699520321080926</v>
      </c>
      <c r="R59" s="5">
        <f t="shared" si="8"/>
        <v>0.70391581059742936</v>
      </c>
      <c r="S59" s="5">
        <f t="shared" si="9"/>
        <v>20.149265021130351</v>
      </c>
      <c r="T59" s="5"/>
      <c r="U59" s="5"/>
      <c r="V59" s="5"/>
      <c r="W59" s="5" t="s">
        <v>62</v>
      </c>
      <c r="X59" s="5">
        <f>MAX(D56:D62)</f>
        <v>1.6252</v>
      </c>
      <c r="Y59" s="5">
        <f t="shared" ref="Y59:AO59" si="58">MAX(E56:E62)</f>
        <v>1.6052</v>
      </c>
      <c r="Z59" s="5">
        <f t="shared" si="58"/>
        <v>0.1048</v>
      </c>
      <c r="AA59" s="5">
        <f t="shared" si="58"/>
        <v>6.9848040522527324</v>
      </c>
      <c r="AB59" s="5">
        <f t="shared" si="58"/>
        <v>0.58399999999999996</v>
      </c>
      <c r="AC59" s="5">
        <f t="shared" si="58"/>
        <v>1.0323</v>
      </c>
      <c r="AD59" s="5">
        <f t="shared" si="58"/>
        <v>1.3845782854505595</v>
      </c>
      <c r="AE59" s="25">
        <f t="shared" si="58"/>
        <v>91.090676674378912</v>
      </c>
      <c r="AF59" s="5">
        <f t="shared" si="58"/>
        <v>10.401</v>
      </c>
      <c r="AG59" s="5">
        <f t="shared" si="58"/>
        <v>10.305</v>
      </c>
      <c r="AH59" s="5">
        <f t="shared" si="58"/>
        <v>13.302</v>
      </c>
      <c r="AI59" s="5">
        <f t="shared" si="58"/>
        <v>1390.7165511599999</v>
      </c>
      <c r="AJ59" s="5">
        <f t="shared" si="58"/>
        <v>106.94529</v>
      </c>
      <c r="AK59" s="5">
        <f t="shared" si="58"/>
        <v>1.3453383483824006</v>
      </c>
      <c r="AL59" s="5">
        <f t="shared" si="58"/>
        <v>0.88509101867263196</v>
      </c>
      <c r="AM59" s="5">
        <f t="shared" si="58"/>
        <v>20.149265021130351</v>
      </c>
      <c r="AN59" s="25">
        <f t="shared" si="58"/>
        <v>1.95</v>
      </c>
      <c r="AO59" s="25">
        <f t="shared" si="58"/>
        <v>28.76</v>
      </c>
    </row>
    <row r="60" spans="1:105" s="38" customFormat="1" ht="21" x14ac:dyDescent="0.35">
      <c r="A60" s="80"/>
      <c r="B60" s="20">
        <v>12</v>
      </c>
      <c r="C60" s="20"/>
      <c r="D60" s="20">
        <v>1.5016</v>
      </c>
      <c r="E60" s="20">
        <v>1.4458</v>
      </c>
      <c r="F60" s="21">
        <f t="shared" si="1"/>
        <v>5.5800000000000072E-2</v>
      </c>
      <c r="G60" s="20">
        <f t="shared" si="2"/>
        <v>3.7160362280234462</v>
      </c>
      <c r="H60" s="20">
        <v>0.57909999999999995</v>
      </c>
      <c r="I60" s="20">
        <f t="shared" si="3"/>
        <v>0.86670000000000003</v>
      </c>
      <c r="J60" s="20">
        <f t="shared" si="4"/>
        <v>1.3845782854505595</v>
      </c>
      <c r="K60" s="26">
        <f t="shared" si="50"/>
        <v>91.090676674378912</v>
      </c>
      <c r="L60" s="38">
        <v>10.182</v>
      </c>
      <c r="M60" s="38">
        <v>10.137</v>
      </c>
      <c r="N60" s="38">
        <v>10.412000000000001</v>
      </c>
      <c r="O60" s="20">
        <f t="shared" si="6"/>
        <v>1074.6738928080001</v>
      </c>
      <c r="P60" s="20">
        <f t="shared" si="7"/>
        <v>103.21493400000001</v>
      </c>
      <c r="Q60" s="20">
        <f t="shared" si="11"/>
        <v>1.3453383483824006</v>
      </c>
      <c r="R60" s="20">
        <f t="shared" si="8"/>
        <v>0.88509101867263196</v>
      </c>
      <c r="S60" s="20">
        <f t="shared" si="9"/>
        <v>2.8748084525250674</v>
      </c>
      <c r="T60" s="20">
        <v>1.95</v>
      </c>
      <c r="U60" s="20">
        <v>28.76</v>
      </c>
      <c r="V60" s="20"/>
      <c r="W60" s="5" t="s">
        <v>68</v>
      </c>
      <c r="X60" s="5">
        <f>COUNT(D56:D62)</f>
        <v>7</v>
      </c>
      <c r="Y60" s="5">
        <f t="shared" ref="Y60:AO60" si="59">COUNT(E56:E62)</f>
        <v>7</v>
      </c>
      <c r="Z60" s="5">
        <f t="shared" si="59"/>
        <v>7</v>
      </c>
      <c r="AA60" s="5">
        <f t="shared" si="59"/>
        <v>7</v>
      </c>
      <c r="AB60" s="5">
        <f t="shared" si="59"/>
        <v>7</v>
      </c>
      <c r="AC60" s="5">
        <f t="shared" si="59"/>
        <v>7</v>
      </c>
      <c r="AD60" s="5">
        <f t="shared" si="59"/>
        <v>7</v>
      </c>
      <c r="AE60" s="25">
        <f t="shared" si="59"/>
        <v>7</v>
      </c>
      <c r="AF60" s="5">
        <f t="shared" si="59"/>
        <v>7</v>
      </c>
      <c r="AG60" s="5">
        <f t="shared" si="59"/>
        <v>7</v>
      </c>
      <c r="AH60" s="5">
        <f t="shared" si="59"/>
        <v>7</v>
      </c>
      <c r="AI60" s="5">
        <f t="shared" si="59"/>
        <v>6</v>
      </c>
      <c r="AJ60" s="5">
        <f t="shared" si="59"/>
        <v>6</v>
      </c>
      <c r="AK60" s="5">
        <f t="shared" si="59"/>
        <v>6</v>
      </c>
      <c r="AL60" s="5">
        <f t="shared" si="59"/>
        <v>6</v>
      </c>
      <c r="AM60" s="5">
        <f t="shared" si="59"/>
        <v>6</v>
      </c>
      <c r="AN60" s="25">
        <f t="shared" si="59"/>
        <v>2</v>
      </c>
      <c r="AO60" s="25">
        <f t="shared" si="59"/>
        <v>2</v>
      </c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ht="21" x14ac:dyDescent="0.35">
      <c r="A61" s="80"/>
      <c r="B61" s="5">
        <v>13</v>
      </c>
      <c r="C61" s="5"/>
      <c r="D61" s="5">
        <v>1.5021</v>
      </c>
      <c r="E61" s="5">
        <v>1.4303999999999999</v>
      </c>
      <c r="F61" s="6">
        <f t="shared" si="1"/>
        <v>7.1700000000000097E-2</v>
      </c>
      <c r="G61" s="5">
        <f t="shared" si="2"/>
        <v>4.7733173557020239</v>
      </c>
      <c r="H61" s="5">
        <v>0.54810000000000003</v>
      </c>
      <c r="I61" s="5">
        <f t="shared" si="3"/>
        <v>0.88229999999999986</v>
      </c>
      <c r="J61" s="5">
        <f>E61*$J$2/I61</f>
        <v>1.3456103366201972</v>
      </c>
      <c r="K61" s="26">
        <f t="shared" si="50"/>
        <v>88.526995830276135</v>
      </c>
      <c r="L61">
        <v>10.304</v>
      </c>
      <c r="M61">
        <v>10.252000000000001</v>
      </c>
      <c r="N61">
        <v>10.943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105" ht="21" x14ac:dyDescent="0.35">
      <c r="A62" s="80"/>
      <c r="B62" s="5">
        <v>14</v>
      </c>
      <c r="C62" s="5"/>
      <c r="D62" s="5">
        <v>1.6252</v>
      </c>
      <c r="E62" s="5">
        <v>1.5682</v>
      </c>
      <c r="F62" s="6">
        <f t="shared" si="1"/>
        <v>5.699999999999994E-2</v>
      </c>
      <c r="G62" s="5">
        <f t="shared" si="2"/>
        <v>3.5072606448437078</v>
      </c>
      <c r="H62" s="5">
        <v>0.58399999999999996</v>
      </c>
      <c r="I62" s="5">
        <f t="shared" si="3"/>
        <v>0.98420000000000007</v>
      </c>
      <c r="J62" s="5">
        <f t="shared" si="4"/>
        <v>1.3225015240804714</v>
      </c>
      <c r="K62" s="26">
        <f t="shared" si="50"/>
        <v>87.006679215820483</v>
      </c>
      <c r="L62">
        <v>10.093</v>
      </c>
      <c r="M62">
        <v>10.055</v>
      </c>
      <c r="N62">
        <v>12.148999999999999</v>
      </c>
      <c r="O62" s="5">
        <f t="shared" si="6"/>
        <v>1232.9426621349999</v>
      </c>
      <c r="P62" s="5">
        <f t="shared" si="7"/>
        <v>101.48511499999999</v>
      </c>
      <c r="Q62" s="5">
        <f t="shared" si="11"/>
        <v>1.2719164063026731</v>
      </c>
      <c r="R62" s="5">
        <f t="shared" si="8"/>
        <v>0.8367871094096534</v>
      </c>
      <c r="S62" s="5">
        <f t="shared" si="9"/>
        <v>3.8995350121040717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105" s="38" customFormat="1" ht="21" x14ac:dyDescent="0.35">
      <c r="A63" s="80" t="s">
        <v>49</v>
      </c>
      <c r="B63" s="20">
        <v>15</v>
      </c>
      <c r="C63" s="22"/>
      <c r="D63" s="22">
        <v>1.5005999999999999</v>
      </c>
      <c r="E63" s="22">
        <v>1.4334</v>
      </c>
      <c r="F63" s="23">
        <f t="shared" si="1"/>
        <v>6.7199999999999926E-2</v>
      </c>
      <c r="G63" s="22">
        <f t="shared" si="2"/>
        <v>4.4782087165133895</v>
      </c>
      <c r="H63" s="22">
        <v>0.55230000000000001</v>
      </c>
      <c r="I63" s="22">
        <f t="shared" si="3"/>
        <v>0.88109999999999999</v>
      </c>
      <c r="J63" s="22">
        <f t="shared" si="4"/>
        <v>1.3502689819543752</v>
      </c>
      <c r="K63" s="26">
        <f t="shared" si="50"/>
        <v>88.83348565489311</v>
      </c>
      <c r="L63" s="38">
        <v>10.023</v>
      </c>
      <c r="M63" s="38">
        <v>10.101000000000001</v>
      </c>
      <c r="N63" s="38">
        <v>10.945</v>
      </c>
      <c r="O63" s="22">
        <f t="shared" si="6"/>
        <v>1108.097225235</v>
      </c>
      <c r="P63" s="22">
        <f t="shared" si="7"/>
        <v>101.242323</v>
      </c>
      <c r="Q63" s="20">
        <f t="shared" si="11"/>
        <v>1.2935688018675537</v>
      </c>
      <c r="R63" s="20">
        <f t="shared" si="8"/>
        <v>0.85103210649181171</v>
      </c>
      <c r="S63" s="20">
        <f t="shared" si="9"/>
        <v>4.2892329048157949</v>
      </c>
      <c r="T63" s="22">
        <v>1.54</v>
      </c>
      <c r="U63" s="22">
        <v>13.59</v>
      </c>
      <c r="V63" s="20"/>
      <c r="W63" s="5" t="s">
        <v>66</v>
      </c>
      <c r="X63" s="7">
        <f>AVERAGE(D63:D69)</f>
        <v>1.5000857142857142</v>
      </c>
      <c r="Y63" s="7">
        <f t="shared" ref="Y63:AO63" si="60">AVERAGE(E63:E69)</f>
        <v>1.421357142857143</v>
      </c>
      <c r="Z63" s="7">
        <f t="shared" si="60"/>
        <v>7.8728571428571453E-2</v>
      </c>
      <c r="AA63" s="7">
        <f t="shared" si="60"/>
        <v>5.2489687819290705</v>
      </c>
      <c r="AB63" s="7">
        <f t="shared" si="60"/>
        <v>0.54804285714285705</v>
      </c>
      <c r="AC63" s="7">
        <f t="shared" si="60"/>
        <v>0.87331428571428571</v>
      </c>
      <c r="AD63" s="7">
        <f t="shared" si="60"/>
        <v>1.3511621271656917</v>
      </c>
      <c r="AE63" s="26">
        <f t="shared" si="60"/>
        <v>88.892245208269202</v>
      </c>
      <c r="AF63" s="7">
        <f t="shared" si="60"/>
        <v>10.191714285714285</v>
      </c>
      <c r="AG63" s="7">
        <f t="shared" si="60"/>
        <v>10.278999999999998</v>
      </c>
      <c r="AH63" s="7">
        <f t="shared" si="60"/>
        <v>10.872714285714286</v>
      </c>
      <c r="AI63" s="7">
        <f t="shared" si="60"/>
        <v>1145.036614546</v>
      </c>
      <c r="AJ63" s="7">
        <f t="shared" si="60"/>
        <v>104.918273</v>
      </c>
      <c r="AK63" s="7">
        <f t="shared" si="60"/>
        <v>1.2417249824685681</v>
      </c>
      <c r="AL63" s="7">
        <f t="shared" si="60"/>
        <v>0.81692433057142644</v>
      </c>
      <c r="AM63" s="7">
        <f t="shared" si="60"/>
        <v>8.2856872026838282</v>
      </c>
      <c r="AN63" s="26">
        <f t="shared" si="60"/>
        <v>1.7033333333333331</v>
      </c>
      <c r="AO63" s="26">
        <f t="shared" si="60"/>
        <v>24.773333333333337</v>
      </c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38" customFormat="1" ht="21" x14ac:dyDescent="0.35">
      <c r="A64" s="80"/>
      <c r="B64" s="20">
        <v>16</v>
      </c>
      <c r="C64" s="20"/>
      <c r="D64" s="20">
        <v>1.5015000000000001</v>
      </c>
      <c r="E64" s="20">
        <v>1.4689000000000001</v>
      </c>
      <c r="F64" s="21">
        <f t="shared" si="1"/>
        <v>3.2599999999999962E-2</v>
      </c>
      <c r="G64" s="20">
        <f t="shared" si="2"/>
        <v>2.1711621711621687</v>
      </c>
      <c r="H64" s="20">
        <v>0.58989999999999998</v>
      </c>
      <c r="I64" s="20">
        <f t="shared" si="3"/>
        <v>0.87900000000000011</v>
      </c>
      <c r="J64" s="20">
        <f t="shared" si="4"/>
        <v>1.3870159271899885</v>
      </c>
      <c r="K64" s="26">
        <f t="shared" si="50"/>
        <v>91.251047841446606</v>
      </c>
      <c r="L64" s="38">
        <v>10.093999999999999</v>
      </c>
      <c r="M64" s="38">
        <v>10.164999999999999</v>
      </c>
      <c r="N64" s="38">
        <v>10.42</v>
      </c>
      <c r="O64" s="20">
        <f t="shared" si="6"/>
        <v>1069.1494141999997</v>
      </c>
      <c r="P64" s="20">
        <f t="shared" si="7"/>
        <v>102.60550999999998</v>
      </c>
      <c r="Q64" s="20">
        <f t="shared" si="11"/>
        <v>1.3738959031269893</v>
      </c>
      <c r="R64" s="20">
        <f t="shared" si="8"/>
        <v>0.90387888363617719</v>
      </c>
      <c r="S64" s="20">
        <f t="shared" si="9"/>
        <v>0.95041239049585091</v>
      </c>
      <c r="T64" s="20">
        <v>1.89</v>
      </c>
      <c r="U64" s="20">
        <v>38.17</v>
      </c>
      <c r="V64" s="20"/>
      <c r="W64" s="5" t="s">
        <v>67</v>
      </c>
      <c r="X64" s="5">
        <f>_xlfn.STDEV.S(D63:D69)</f>
        <v>1.2979837844757029E-3</v>
      </c>
      <c r="Y64" s="5">
        <f t="shared" ref="Y64:AO64" si="61">_xlfn.STDEV.S(E63:E69)</f>
        <v>7.1886713124259094E-2</v>
      </c>
      <c r="Z64" s="5">
        <f t="shared" si="61"/>
        <v>7.1620916737261314E-2</v>
      </c>
      <c r="AA64" s="5">
        <f t="shared" si="61"/>
        <v>4.7778620996224035</v>
      </c>
      <c r="AB64" s="5">
        <f t="shared" si="61"/>
        <v>3.4091634220282288E-2</v>
      </c>
      <c r="AC64" s="5">
        <f t="shared" si="61"/>
        <v>4.5509025792379129E-2</v>
      </c>
      <c r="AD64" s="5">
        <f t="shared" si="61"/>
        <v>2.5712428269647578E-2</v>
      </c>
      <c r="AE64" s="25">
        <f t="shared" si="61"/>
        <v>1.6916071230031278</v>
      </c>
      <c r="AF64" s="5">
        <f t="shared" si="61"/>
        <v>0.17528235724654331</v>
      </c>
      <c r="AG64" s="5">
        <f t="shared" si="61"/>
        <v>0.2170430064910332</v>
      </c>
      <c r="AH64" s="5">
        <f t="shared" si="61"/>
        <v>0.79503075711692095</v>
      </c>
      <c r="AI64" s="5">
        <f t="shared" si="61"/>
        <v>101.85211394941769</v>
      </c>
      <c r="AJ64" s="5">
        <f t="shared" si="61"/>
        <v>4.0879769754529729</v>
      </c>
      <c r="AK64" s="5">
        <f t="shared" si="61"/>
        <v>8.3322759079725292E-2</v>
      </c>
      <c r="AL64" s="5">
        <f t="shared" si="61"/>
        <v>5.4817604657714042E-2</v>
      </c>
      <c r="AM64" s="5">
        <f t="shared" si="61"/>
        <v>5.0818821105300076</v>
      </c>
      <c r="AN64" s="25">
        <f t="shared" si="61"/>
        <v>0.17616280348965074</v>
      </c>
      <c r="AO64" s="25">
        <f t="shared" si="61"/>
        <v>12.438578428957754</v>
      </c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ht="21" x14ac:dyDescent="0.35">
      <c r="A65" s="80"/>
      <c r="B65" s="5">
        <v>17</v>
      </c>
      <c r="C65" s="5"/>
      <c r="D65" s="5">
        <v>1.4991000000000001</v>
      </c>
      <c r="E65" s="5">
        <v>1.2663</v>
      </c>
      <c r="F65" s="6">
        <f t="shared" si="1"/>
        <v>0.23280000000000012</v>
      </c>
      <c r="G65" s="5">
        <f t="shared" si="2"/>
        <v>15.52931759055434</v>
      </c>
      <c r="H65" s="5">
        <v>0.48970000000000002</v>
      </c>
      <c r="I65" s="5">
        <f t="shared" si="3"/>
        <v>0.77659999999999996</v>
      </c>
      <c r="J65" s="5">
        <f t="shared" si="4"/>
        <v>1.3533723924800414</v>
      </c>
      <c r="K65" s="26">
        <f t="shared" si="50"/>
        <v>89.037657400002729</v>
      </c>
      <c r="L65">
        <v>10.08</v>
      </c>
      <c r="M65">
        <v>10.337</v>
      </c>
      <c r="N65">
        <v>9.6479999999999997</v>
      </c>
      <c r="O65" s="5">
        <f t="shared" si="6"/>
        <v>1005.29227008</v>
      </c>
      <c r="P65" s="5">
        <f t="shared" si="7"/>
        <v>104.19696</v>
      </c>
      <c r="Q65" s="5">
        <f t="shared" si="11"/>
        <v>1.2596336783721904</v>
      </c>
      <c r="R65" s="5">
        <f t="shared" si="8"/>
        <v>0.82870636735012526</v>
      </c>
      <c r="S65" s="5">
        <f t="shared" si="9"/>
        <v>7.1747796649609823</v>
      </c>
      <c r="T65" s="5"/>
      <c r="U65" s="5"/>
      <c r="V65" s="5"/>
      <c r="W65" s="5" t="s">
        <v>61</v>
      </c>
      <c r="X65" s="5">
        <f>MIN(D63:D69)</f>
        <v>1.4982</v>
      </c>
      <c r="Y65" s="5">
        <f t="shared" ref="Y65:AO65" si="62">MIN(E63:E69)</f>
        <v>1.2663</v>
      </c>
      <c r="Z65" s="5">
        <f t="shared" si="62"/>
        <v>2.6400000000000201E-2</v>
      </c>
      <c r="AA65" s="5">
        <f t="shared" si="62"/>
        <v>1.7611741160773982</v>
      </c>
      <c r="AB65" s="5">
        <f t="shared" si="62"/>
        <v>0.48970000000000002</v>
      </c>
      <c r="AC65" s="5">
        <f t="shared" si="62"/>
        <v>0.77659999999999996</v>
      </c>
      <c r="AD65" s="5">
        <f t="shared" si="62"/>
        <v>1.3127708083342424</v>
      </c>
      <c r="AE65" s="25">
        <f t="shared" si="62"/>
        <v>86.366500548305424</v>
      </c>
      <c r="AF65" s="5">
        <f t="shared" si="62"/>
        <v>10.023</v>
      </c>
      <c r="AG65" s="5">
        <f t="shared" si="62"/>
        <v>10.087999999999999</v>
      </c>
      <c r="AH65" s="5">
        <f t="shared" si="62"/>
        <v>9.6479999999999997</v>
      </c>
      <c r="AI65" s="5">
        <f t="shared" si="62"/>
        <v>1005.29227008</v>
      </c>
      <c r="AJ65" s="5">
        <f t="shared" si="62"/>
        <v>101.242323</v>
      </c>
      <c r="AK65" s="5">
        <f t="shared" si="62"/>
        <v>1.1591863242816194</v>
      </c>
      <c r="AL65" s="5">
        <f t="shared" si="62"/>
        <v>0.76262258176422326</v>
      </c>
      <c r="AM65" s="5">
        <f t="shared" si="62"/>
        <v>0.95041239049585091</v>
      </c>
      <c r="AN65" s="25">
        <f t="shared" si="62"/>
        <v>1.54</v>
      </c>
      <c r="AO65" s="25">
        <f t="shared" si="62"/>
        <v>13.59</v>
      </c>
    </row>
    <row r="66" spans="1:105" ht="21" x14ac:dyDescent="0.35">
      <c r="A66" s="80"/>
      <c r="B66" s="5">
        <v>18</v>
      </c>
      <c r="C66" s="5"/>
      <c r="D66" s="5">
        <v>1.5013000000000001</v>
      </c>
      <c r="E66" s="5">
        <v>1.4069</v>
      </c>
      <c r="F66" s="6">
        <f t="shared" si="1"/>
        <v>9.4400000000000039E-2</v>
      </c>
      <c r="G66" s="5">
        <f t="shared" si="2"/>
        <v>6.2878838340105272</v>
      </c>
      <c r="H66" s="5">
        <v>0.52780000000000005</v>
      </c>
      <c r="I66" s="5">
        <f t="shared" si="3"/>
        <v>0.87909999999999999</v>
      </c>
      <c r="J66" s="5">
        <f t="shared" si="4"/>
        <v>1.3283210101239904</v>
      </c>
      <c r="K66" s="26">
        <f t="shared" si="50"/>
        <v>87.389540139736212</v>
      </c>
      <c r="L66">
        <v>10.32</v>
      </c>
      <c r="M66">
        <v>10.393000000000001</v>
      </c>
      <c r="N66">
        <v>10.984</v>
      </c>
      <c r="O66" s="5">
        <f t="shared" si="6"/>
        <v>1178.0972678400001</v>
      </c>
      <c r="P66" s="5">
        <f t="shared" si="7"/>
        <v>107.25576000000001</v>
      </c>
      <c r="Q66" s="5">
        <f t="shared" si="11"/>
        <v>1.1942137872703005</v>
      </c>
      <c r="R66" s="5">
        <f t="shared" si="8"/>
        <v>0.78566696530940816</v>
      </c>
      <c r="S66" s="5">
        <f t="shared" si="9"/>
        <v>10.632735214770396</v>
      </c>
      <c r="T66" s="5"/>
      <c r="U66" s="5"/>
      <c r="V66" s="5"/>
      <c r="W66" s="5" t="s">
        <v>62</v>
      </c>
      <c r="X66" s="5">
        <f>MAX(D63:D69)</f>
        <v>1.5015000000000001</v>
      </c>
      <c r="Y66" s="5">
        <f t="shared" ref="Y66:AO66" si="63">MAX(E63:E69)</f>
        <v>1.4725999999999999</v>
      </c>
      <c r="Z66" s="5">
        <f t="shared" si="63"/>
        <v>0.23280000000000012</v>
      </c>
      <c r="AA66" s="5">
        <f t="shared" si="63"/>
        <v>15.52931759055434</v>
      </c>
      <c r="AB66" s="5">
        <f t="shared" si="63"/>
        <v>0.58989999999999998</v>
      </c>
      <c r="AC66" s="5">
        <f t="shared" si="63"/>
        <v>0.91669999999999996</v>
      </c>
      <c r="AD66" s="5">
        <f t="shared" si="63"/>
        <v>1.3870159271899885</v>
      </c>
      <c r="AE66" s="25">
        <f t="shared" si="63"/>
        <v>91.251047841446606</v>
      </c>
      <c r="AF66" s="5">
        <f t="shared" si="63"/>
        <v>10.477</v>
      </c>
      <c r="AG66" s="5">
        <f t="shared" si="63"/>
        <v>10.696</v>
      </c>
      <c r="AH66" s="5">
        <f t="shared" si="63"/>
        <v>12.244999999999999</v>
      </c>
      <c r="AI66" s="5">
        <f t="shared" si="63"/>
        <v>1258.7923561360001</v>
      </c>
      <c r="AJ66" s="5">
        <f t="shared" si="63"/>
        <v>112.061992</v>
      </c>
      <c r="AK66" s="5">
        <f t="shared" si="63"/>
        <v>1.3738959031269893</v>
      </c>
      <c r="AL66" s="5">
        <f t="shared" si="63"/>
        <v>0.90387888363617719</v>
      </c>
      <c r="AM66" s="5">
        <f t="shared" si="63"/>
        <v>14.240818426642813</v>
      </c>
      <c r="AN66" s="25">
        <f t="shared" si="63"/>
        <v>1.89</v>
      </c>
      <c r="AO66" s="25">
        <f t="shared" si="63"/>
        <v>38.17</v>
      </c>
    </row>
    <row r="67" spans="1:105" ht="21" x14ac:dyDescent="0.35">
      <c r="A67" s="80"/>
      <c r="B67" s="5">
        <v>19</v>
      </c>
      <c r="C67" s="5"/>
      <c r="D67" s="5">
        <v>1.4990000000000001</v>
      </c>
      <c r="E67" s="5">
        <v>1.4725999999999999</v>
      </c>
      <c r="F67" s="6">
        <f t="shared" ref="F67:F106" si="64">ABS(D67-E67)</f>
        <v>2.6400000000000201E-2</v>
      </c>
      <c r="G67" s="5">
        <f t="shared" ref="G67:G102" si="65">F67/D67*100</f>
        <v>1.7611741160773982</v>
      </c>
      <c r="H67" s="5">
        <v>0.56669999999999998</v>
      </c>
      <c r="I67" s="5">
        <f t="shared" ref="I67:I106" si="66">ABS(E67-H67)</f>
        <v>0.90589999999999993</v>
      </c>
      <c r="J67" s="5">
        <f t="shared" ref="J67:J90" si="67">E67*$J$2/I67</f>
        <v>1.3492195606579092</v>
      </c>
      <c r="K67" s="26">
        <f t="shared" si="50"/>
        <v>88.764444780125601</v>
      </c>
      <c r="L67">
        <v>10.477</v>
      </c>
      <c r="M67">
        <v>10.696</v>
      </c>
      <c r="N67">
        <v>11.233000000000001</v>
      </c>
      <c r="O67" s="5">
        <f t="shared" ref="O67:O106" si="68">L67*M67*N67</f>
        <v>1258.7923561360001</v>
      </c>
      <c r="P67" s="5">
        <f t="shared" ref="P67:P106" si="69">L67*M67</f>
        <v>112.061992</v>
      </c>
      <c r="Q67" s="5">
        <f t="shared" si="11"/>
        <v>1.1698513998927556</v>
      </c>
      <c r="R67" s="5">
        <f t="shared" ref="R67:R106" si="70">Q67/$M$2</f>
        <v>0.76963907887681282</v>
      </c>
      <c r="S67" s="5">
        <f t="shared" ref="S67:S106" si="71">ABS(J67-Q67)/((J67+Q67)/2)*100</f>
        <v>14.240818426642813</v>
      </c>
      <c r="T67" s="5"/>
      <c r="U67" s="5"/>
      <c r="V67" s="5"/>
      <c r="W67" s="5" t="s">
        <v>68</v>
      </c>
      <c r="X67" s="5">
        <f>COUNT(D63:D69)</f>
        <v>7</v>
      </c>
      <c r="Y67" s="5">
        <f t="shared" ref="Y67:AO67" si="72">COUNT(E63:E69)</f>
        <v>7</v>
      </c>
      <c r="Z67" s="5">
        <f t="shared" si="72"/>
        <v>7</v>
      </c>
      <c r="AA67" s="5">
        <f t="shared" si="72"/>
        <v>7</v>
      </c>
      <c r="AB67" s="5">
        <f t="shared" si="72"/>
        <v>7</v>
      </c>
      <c r="AC67" s="5">
        <f t="shared" si="72"/>
        <v>7</v>
      </c>
      <c r="AD67" s="5">
        <f t="shared" si="72"/>
        <v>7</v>
      </c>
      <c r="AE67" s="25">
        <f t="shared" si="72"/>
        <v>7</v>
      </c>
      <c r="AF67" s="5">
        <f t="shared" si="72"/>
        <v>7</v>
      </c>
      <c r="AG67" s="5">
        <f t="shared" si="72"/>
        <v>7</v>
      </c>
      <c r="AH67" s="5">
        <f t="shared" si="72"/>
        <v>7</v>
      </c>
      <c r="AI67" s="5">
        <f t="shared" si="72"/>
        <v>6</v>
      </c>
      <c r="AJ67" s="5">
        <f t="shared" si="72"/>
        <v>6</v>
      </c>
      <c r="AK67" s="5">
        <f t="shared" si="72"/>
        <v>6</v>
      </c>
      <c r="AL67" s="5">
        <f t="shared" si="72"/>
        <v>6</v>
      </c>
      <c r="AM67" s="5">
        <f t="shared" si="72"/>
        <v>6</v>
      </c>
      <c r="AN67" s="25">
        <f t="shared" si="72"/>
        <v>3</v>
      </c>
      <c r="AO67" s="25">
        <f t="shared" si="72"/>
        <v>3</v>
      </c>
    </row>
    <row r="68" spans="1:105" s="38" customFormat="1" ht="21" x14ac:dyDescent="0.35">
      <c r="A68" s="80"/>
      <c r="B68" s="20">
        <v>20</v>
      </c>
      <c r="C68" s="20"/>
      <c r="D68" s="20">
        <v>1.4982</v>
      </c>
      <c r="E68" s="20">
        <v>1.4515</v>
      </c>
      <c r="F68" s="21">
        <f t="shared" si="64"/>
        <v>4.6699999999999964E-2</v>
      </c>
      <c r="G68" s="20">
        <f t="shared" si="65"/>
        <v>3.1170738219196346</v>
      </c>
      <c r="H68" s="20">
        <v>0.57669999999999999</v>
      </c>
      <c r="I68" s="20">
        <f t="shared" si="66"/>
        <v>0.87480000000000002</v>
      </c>
      <c r="J68" s="20">
        <f t="shared" si="67"/>
        <v>1.3771662094192958</v>
      </c>
      <c r="K68" s="26">
        <f t="shared" si="50"/>
        <v>90.603040093374716</v>
      </c>
      <c r="L68" s="38">
        <v>10.307</v>
      </c>
      <c r="M68" s="38">
        <v>10.087999999999999</v>
      </c>
      <c r="N68" s="38">
        <v>10.634</v>
      </c>
      <c r="O68" s="20"/>
      <c r="P68" s="20"/>
      <c r="Q68" s="20"/>
      <c r="R68" s="20"/>
      <c r="S68" s="20"/>
      <c r="T68" s="20">
        <v>1.68</v>
      </c>
      <c r="U68" s="20">
        <v>22.56</v>
      </c>
      <c r="V68" s="20"/>
      <c r="W68" s="5"/>
      <c r="X68" s="5"/>
      <c r="Y68" s="5"/>
      <c r="Z68" s="5"/>
      <c r="AA68" s="5"/>
      <c r="AB68" s="5"/>
      <c r="AC68" s="5"/>
      <c r="AD68" s="5"/>
      <c r="AE68" s="27"/>
      <c r="AF68"/>
      <c r="AG68"/>
      <c r="AH68"/>
      <c r="AI68"/>
      <c r="AJ68"/>
      <c r="AK68"/>
      <c r="AL68"/>
      <c r="AM68"/>
      <c r="AN68" s="27"/>
      <c r="AO68" s="27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</row>
    <row r="69" spans="1:105" ht="21" x14ac:dyDescent="0.35">
      <c r="A69" s="80"/>
      <c r="B69" s="5">
        <v>21</v>
      </c>
      <c r="C69" s="5"/>
      <c r="D69" s="5">
        <v>1.5008999999999999</v>
      </c>
      <c r="E69" s="5">
        <v>1.4499</v>
      </c>
      <c r="F69" s="6">
        <f t="shared" si="64"/>
        <v>5.0999999999999934E-2</v>
      </c>
      <c r="G69" s="5">
        <f t="shared" si="65"/>
        <v>3.3979612232660363</v>
      </c>
      <c r="H69" s="5">
        <v>0.53320000000000001</v>
      </c>
      <c r="I69" s="5">
        <f t="shared" si="66"/>
        <v>0.91669999999999996</v>
      </c>
      <c r="J69" s="5">
        <f t="shared" si="67"/>
        <v>1.3127708083342424</v>
      </c>
      <c r="K69" s="26">
        <f t="shared" si="50"/>
        <v>86.366500548305424</v>
      </c>
      <c r="L69">
        <v>10.041</v>
      </c>
      <c r="M69">
        <v>10.173</v>
      </c>
      <c r="N69">
        <v>12.244999999999999</v>
      </c>
      <c r="O69" s="5">
        <f t="shared" si="68"/>
        <v>1250.791153785</v>
      </c>
      <c r="P69" s="5">
        <f t="shared" si="69"/>
        <v>102.147093</v>
      </c>
      <c r="Q69" s="5">
        <f t="shared" ref="Q69:Q106" si="73">E69/(O69*0.001)</f>
        <v>1.1591863242816194</v>
      </c>
      <c r="R69" s="5">
        <f t="shared" si="70"/>
        <v>0.76262258176422326</v>
      </c>
      <c r="S69" s="5">
        <f t="shared" si="71"/>
        <v>12.426144614417131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105" ht="21" x14ac:dyDescent="0.35">
      <c r="A70" s="80" t="s">
        <v>50</v>
      </c>
      <c r="B70" s="5">
        <v>22</v>
      </c>
      <c r="C70" s="7"/>
      <c r="D70" s="7">
        <v>1.4994000000000001</v>
      </c>
      <c r="E70" s="7">
        <v>1.4303999999999999</v>
      </c>
      <c r="F70" s="8">
        <f t="shared" si="64"/>
        <v>6.9000000000000172E-2</v>
      </c>
      <c r="G70" s="7">
        <f t="shared" si="65"/>
        <v>4.6018407362945286</v>
      </c>
      <c r="H70" s="7">
        <v>0.55249999999999999</v>
      </c>
      <c r="I70" s="7">
        <f t="shared" si="66"/>
        <v>0.8778999999999999</v>
      </c>
      <c r="J70" s="7">
        <f t="shared" si="67"/>
        <v>1.3523544822872764</v>
      </c>
      <c r="K70" s="26">
        <f t="shared" si="50"/>
        <v>88.970689624162929</v>
      </c>
      <c r="L70">
        <v>10.118</v>
      </c>
      <c r="M70">
        <v>10.212</v>
      </c>
      <c r="N70">
        <v>11.157999999999999</v>
      </c>
      <c r="O70" s="7">
        <f t="shared" si="68"/>
        <v>1152.900528528</v>
      </c>
      <c r="P70" s="7">
        <f t="shared" si="69"/>
        <v>103.32501600000001</v>
      </c>
      <c r="Q70" s="5">
        <f t="shared" si="73"/>
        <v>1.2406968030679155</v>
      </c>
      <c r="R70" s="5">
        <f t="shared" si="70"/>
        <v>0.81624789675520759</v>
      </c>
      <c r="S70" s="5">
        <f t="shared" si="71"/>
        <v>8.6120687122519595</v>
      </c>
      <c r="T70" s="7"/>
      <c r="U70" s="7"/>
      <c r="V70" s="5"/>
      <c r="W70" s="5" t="s">
        <v>66</v>
      </c>
      <c r="X70" s="7">
        <f>AVERAGE(D70:D76)</f>
        <v>1.4837857142857143</v>
      </c>
      <c r="Y70" s="7">
        <f t="shared" ref="Y70:AO70" si="74">AVERAGE(E70:E76)</f>
        <v>1.4083428571428569</v>
      </c>
      <c r="Z70" s="7">
        <f t="shared" si="74"/>
        <v>7.5442857142857145E-2</v>
      </c>
      <c r="AA70" s="7">
        <f t="shared" si="74"/>
        <v>5.0870149954616908</v>
      </c>
      <c r="AB70" s="7">
        <f t="shared" si="74"/>
        <v>0.55189999999999995</v>
      </c>
      <c r="AC70" s="7">
        <f t="shared" si="74"/>
        <v>0.85644285714285695</v>
      </c>
      <c r="AD70" s="7">
        <f t="shared" si="74"/>
        <v>1.3651407953356094</v>
      </c>
      <c r="AE70" s="26">
        <f t="shared" si="74"/>
        <v>89.811894429974316</v>
      </c>
      <c r="AF70" s="7">
        <f t="shared" si="74"/>
        <v>10.25657142857143</v>
      </c>
      <c r="AG70" s="7">
        <f t="shared" si="74"/>
        <v>10.11542857142857</v>
      </c>
      <c r="AH70" s="7">
        <f t="shared" si="74"/>
        <v>10.694000000000001</v>
      </c>
      <c r="AI70" s="7">
        <f t="shared" si="74"/>
        <v>1112.4407539573333</v>
      </c>
      <c r="AJ70" s="7">
        <f t="shared" si="74"/>
        <v>103.83474266666667</v>
      </c>
      <c r="AK70" s="7">
        <f t="shared" si="74"/>
        <v>1.2628351084255989</v>
      </c>
      <c r="AL70" s="7">
        <f t="shared" si="74"/>
        <v>0.83081257133263076</v>
      </c>
      <c r="AM70" s="7">
        <f t="shared" si="74"/>
        <v>7.6291976111818434</v>
      </c>
      <c r="AN70" s="26">
        <f t="shared" si="74"/>
        <v>1.67</v>
      </c>
      <c r="AO70" s="26">
        <f t="shared" si="74"/>
        <v>16.454999999999998</v>
      </c>
    </row>
    <row r="71" spans="1:105" ht="21" x14ac:dyDescent="0.35">
      <c r="A71" s="80"/>
      <c r="B71" s="5">
        <v>23</v>
      </c>
      <c r="C71" s="5"/>
      <c r="D71" s="5">
        <v>1.5002</v>
      </c>
      <c r="E71" s="5">
        <v>1.4478</v>
      </c>
      <c r="F71" s="6">
        <f t="shared" si="64"/>
        <v>5.2400000000000002E-2</v>
      </c>
      <c r="G71" s="5">
        <f t="shared" si="65"/>
        <v>3.4928676176509796</v>
      </c>
      <c r="H71" s="5">
        <v>0.55510000000000004</v>
      </c>
      <c r="I71" s="5">
        <f t="shared" si="66"/>
        <v>0.89269999999999994</v>
      </c>
      <c r="J71" s="5">
        <f t="shared" si="67"/>
        <v>1.3461117956760389</v>
      </c>
      <c r="K71" s="26">
        <f t="shared" si="50"/>
        <v>88.559986557634147</v>
      </c>
      <c r="L71">
        <v>10.448</v>
      </c>
      <c r="M71">
        <v>10.141</v>
      </c>
      <c r="N71">
        <v>10.824</v>
      </c>
      <c r="O71" s="5">
        <f t="shared" si="68"/>
        <v>1146.837090432</v>
      </c>
      <c r="P71" s="5">
        <f t="shared" si="69"/>
        <v>105.95316800000001</v>
      </c>
      <c r="Q71" s="5">
        <f t="shared" si="73"/>
        <v>1.2624286501360282</v>
      </c>
      <c r="R71" s="5">
        <f t="shared" si="70"/>
        <v>0.83054516456317651</v>
      </c>
      <c r="S71" s="5">
        <f t="shared" si="71"/>
        <v>6.4160895549357058</v>
      </c>
      <c r="T71" s="5"/>
      <c r="U71" s="5"/>
      <c r="V71" s="5"/>
      <c r="W71" s="5" t="s">
        <v>67</v>
      </c>
      <c r="X71" s="5">
        <f>_xlfn.STDEV.S(D70:D76)</f>
        <v>4.3297399020088528E-2</v>
      </c>
      <c r="Y71" s="5">
        <f t="shared" ref="Y71:AO71" si="75">_xlfn.STDEV.S(E70:E76)</f>
        <v>4.9376575321463785E-2</v>
      </c>
      <c r="Z71" s="5">
        <f t="shared" si="75"/>
        <v>2.512773083950989E-2</v>
      </c>
      <c r="AA71" s="5">
        <f t="shared" si="75"/>
        <v>1.6771834845586269</v>
      </c>
      <c r="AB71" s="5">
        <f t="shared" si="75"/>
        <v>1.9016221145818284E-2</v>
      </c>
      <c r="AC71" s="5">
        <f t="shared" si="75"/>
        <v>3.3981507576075175E-2</v>
      </c>
      <c r="AD71" s="5">
        <f t="shared" si="75"/>
        <v>1.5100018863534388E-2</v>
      </c>
      <c r="AE71" s="25">
        <f t="shared" si="75"/>
        <v>0.99342229365357337</v>
      </c>
      <c r="AF71" s="5">
        <f t="shared" si="75"/>
        <v>0.16213354284134343</v>
      </c>
      <c r="AG71" s="5">
        <f t="shared" si="75"/>
        <v>6.9195031475911425E-2</v>
      </c>
      <c r="AH71" s="5">
        <f t="shared" si="75"/>
        <v>0.43807077053827748</v>
      </c>
      <c r="AI71" s="5">
        <f t="shared" si="75"/>
        <v>61.096989078959332</v>
      </c>
      <c r="AJ71" s="5">
        <f t="shared" si="75"/>
        <v>1.7581334872568359</v>
      </c>
      <c r="AK71" s="5">
        <f t="shared" si="75"/>
        <v>3.4893527958888282E-2</v>
      </c>
      <c r="AL71" s="5">
        <f t="shared" si="75"/>
        <v>2.2956268394005455E-2</v>
      </c>
      <c r="AM71" s="5">
        <f t="shared" si="75"/>
        <v>2.3380483937854954</v>
      </c>
      <c r="AN71" s="25">
        <f t="shared" si="75"/>
        <v>4.2426406871192889E-2</v>
      </c>
      <c r="AO71" s="25">
        <f t="shared" si="75"/>
        <v>0.57275649276110263</v>
      </c>
    </row>
    <row r="72" spans="1:105" ht="21" x14ac:dyDescent="0.35">
      <c r="A72" s="80"/>
      <c r="B72" s="5">
        <v>24</v>
      </c>
      <c r="C72" s="5"/>
      <c r="D72" s="5">
        <v>1.5004999999999999</v>
      </c>
      <c r="E72" s="5">
        <v>1.4415</v>
      </c>
      <c r="F72" s="6">
        <f t="shared" si="64"/>
        <v>5.8999999999999941E-2</v>
      </c>
      <c r="G72" s="5">
        <f t="shared" si="65"/>
        <v>3.9320226591136249</v>
      </c>
      <c r="H72" s="5">
        <v>0.57589999999999997</v>
      </c>
      <c r="I72" s="5">
        <f t="shared" si="66"/>
        <v>0.86560000000000004</v>
      </c>
      <c r="J72" s="5">
        <f t="shared" si="67"/>
        <v>1.3822146487985212</v>
      </c>
      <c r="K72" s="26">
        <f t="shared" si="50"/>
        <v>90.935174263060603</v>
      </c>
      <c r="L72">
        <v>10.33</v>
      </c>
      <c r="M72">
        <v>10.07</v>
      </c>
      <c r="N72">
        <v>10.827999999999999</v>
      </c>
      <c r="O72" s="5">
        <f t="shared" si="68"/>
        <v>1126.3621267999999</v>
      </c>
      <c r="P72" s="5">
        <f t="shared" si="69"/>
        <v>104.0231</v>
      </c>
      <c r="Q72" s="5">
        <f t="shared" si="73"/>
        <v>1.2797837975033024</v>
      </c>
      <c r="R72" s="5">
        <f t="shared" si="70"/>
        <v>0.84196302467322526</v>
      </c>
      <c r="S72" s="5">
        <f t="shared" si="71"/>
        <v>7.6957859564133591</v>
      </c>
      <c r="T72" s="5"/>
      <c r="U72" s="5"/>
      <c r="V72" s="5"/>
      <c r="W72" s="5" t="s">
        <v>61</v>
      </c>
      <c r="X72" s="5">
        <f>MIN(D70:D76)</f>
        <v>1.3855999999999999</v>
      </c>
      <c r="Y72" s="5">
        <f t="shared" ref="Y72:AO72" si="76">MIN(E70:E76)</f>
        <v>1.3119000000000001</v>
      </c>
      <c r="Z72" s="5">
        <f t="shared" si="76"/>
        <v>5.2400000000000002E-2</v>
      </c>
      <c r="AA72" s="5">
        <f t="shared" si="76"/>
        <v>3.4928676176509796</v>
      </c>
      <c r="AB72" s="5">
        <f t="shared" si="76"/>
        <v>0.52210000000000001</v>
      </c>
      <c r="AC72" s="5">
        <f t="shared" si="76"/>
        <v>0.78980000000000006</v>
      </c>
      <c r="AD72" s="5">
        <f t="shared" si="76"/>
        <v>1.3461117956760389</v>
      </c>
      <c r="AE72" s="25">
        <f t="shared" si="76"/>
        <v>88.559986557634147</v>
      </c>
      <c r="AF72" s="5">
        <f t="shared" si="76"/>
        <v>10.093999999999999</v>
      </c>
      <c r="AG72" s="5">
        <f t="shared" si="76"/>
        <v>10.019</v>
      </c>
      <c r="AH72" s="5">
        <f t="shared" si="76"/>
        <v>9.8989999999999991</v>
      </c>
      <c r="AI72" s="5">
        <f t="shared" si="76"/>
        <v>1020.309688404</v>
      </c>
      <c r="AJ72" s="5">
        <f t="shared" si="76"/>
        <v>101.13178599999999</v>
      </c>
      <c r="AK72" s="5">
        <f t="shared" si="76"/>
        <v>1.2060280407404118</v>
      </c>
      <c r="AL72" s="5">
        <f t="shared" si="76"/>
        <v>0.79343950048711298</v>
      </c>
      <c r="AM72" s="5">
        <f t="shared" si="76"/>
        <v>4.5665116654161633</v>
      </c>
      <c r="AN72" s="25">
        <f t="shared" si="76"/>
        <v>1.64</v>
      </c>
      <c r="AO72" s="25">
        <f t="shared" si="76"/>
        <v>16.05</v>
      </c>
    </row>
    <row r="73" spans="1:105" ht="21" x14ac:dyDescent="0.35">
      <c r="A73" s="80"/>
      <c r="B73" s="5">
        <v>25</v>
      </c>
      <c r="C73" s="5"/>
      <c r="D73" s="6">
        <v>1.5002</v>
      </c>
      <c r="E73" s="5">
        <v>1.373</v>
      </c>
      <c r="F73" s="6">
        <f t="shared" si="64"/>
        <v>0.12719999999999998</v>
      </c>
      <c r="G73" s="5">
        <f t="shared" si="65"/>
        <v>8.4788694840687899</v>
      </c>
      <c r="H73" s="5">
        <v>0.53700000000000003</v>
      </c>
      <c r="I73" s="5">
        <f t="shared" si="66"/>
        <v>0.83599999999999997</v>
      </c>
      <c r="J73" s="5">
        <f t="shared" si="67"/>
        <v>1.363145933014354</v>
      </c>
      <c r="K73" s="26">
        <f t="shared" si="50"/>
        <v>89.680653487786458</v>
      </c>
      <c r="L73">
        <v>10.093999999999999</v>
      </c>
      <c r="M73">
        <v>10.019</v>
      </c>
      <c r="N73">
        <v>10.425000000000001</v>
      </c>
      <c r="O73" s="5">
        <f t="shared" si="68"/>
        <v>1054.2988690499999</v>
      </c>
      <c r="P73" s="5">
        <f t="shared" si="69"/>
        <v>101.13178599999999</v>
      </c>
      <c r="Q73" s="5">
        <f t="shared" si="73"/>
        <v>1.302287273851648</v>
      </c>
      <c r="R73" s="5">
        <f t="shared" si="70"/>
        <v>0.85676794332345263</v>
      </c>
      <c r="S73" s="5">
        <f t="shared" si="71"/>
        <v>4.5665116654161633</v>
      </c>
      <c r="T73" s="5"/>
      <c r="U73" s="5"/>
      <c r="V73" s="5"/>
      <c r="W73" s="5" t="s">
        <v>62</v>
      </c>
      <c r="X73" s="5">
        <f>MAX(D70:D76)</f>
        <v>1.5004999999999999</v>
      </c>
      <c r="Y73" s="5">
        <f t="shared" ref="Y73:AO73" si="77">MAX(E70:E76)</f>
        <v>1.4478</v>
      </c>
      <c r="Z73" s="5">
        <f t="shared" si="77"/>
        <v>0.12719999999999998</v>
      </c>
      <c r="AA73" s="5">
        <f t="shared" si="77"/>
        <v>8.4788694840687899</v>
      </c>
      <c r="AB73" s="5">
        <f t="shared" si="77"/>
        <v>0.57589999999999997</v>
      </c>
      <c r="AC73" s="5">
        <f t="shared" si="77"/>
        <v>0.89269999999999994</v>
      </c>
      <c r="AD73" s="5">
        <f t="shared" si="77"/>
        <v>1.3822146487985212</v>
      </c>
      <c r="AE73" s="25">
        <f t="shared" si="77"/>
        <v>90.935174263060603</v>
      </c>
      <c r="AF73" s="5">
        <f t="shared" si="77"/>
        <v>10.477</v>
      </c>
      <c r="AG73" s="5">
        <f t="shared" si="77"/>
        <v>10.212</v>
      </c>
      <c r="AH73" s="5">
        <f t="shared" si="77"/>
        <v>11.157999999999999</v>
      </c>
      <c r="AI73" s="5">
        <f t="shared" si="77"/>
        <v>1173.9362205300001</v>
      </c>
      <c r="AJ73" s="5">
        <f t="shared" si="77"/>
        <v>105.95316800000001</v>
      </c>
      <c r="AK73" s="5">
        <f t="shared" si="77"/>
        <v>1.302287273851648</v>
      </c>
      <c r="AL73" s="5">
        <f t="shared" si="77"/>
        <v>0.85676794332345263</v>
      </c>
      <c r="AM73" s="5">
        <f t="shared" si="77"/>
        <v>11.512341558319088</v>
      </c>
      <c r="AN73" s="25">
        <f t="shared" si="77"/>
        <v>1.7</v>
      </c>
      <c r="AO73" s="25">
        <f t="shared" si="77"/>
        <v>16.86</v>
      </c>
    </row>
    <row r="74" spans="1:105" s="38" customFormat="1" ht="21" x14ac:dyDescent="0.35">
      <c r="A74" s="80"/>
      <c r="B74" s="20">
        <v>26</v>
      </c>
      <c r="C74" s="20"/>
      <c r="D74" s="21">
        <v>1.5001</v>
      </c>
      <c r="E74" s="20">
        <v>1.4379999999999999</v>
      </c>
      <c r="F74" s="21">
        <f t="shared" si="64"/>
        <v>6.2100000000000044E-2</v>
      </c>
      <c r="G74" s="20">
        <f t="shared" si="65"/>
        <v>4.139724018398776</v>
      </c>
      <c r="H74" s="20">
        <v>0.57320000000000004</v>
      </c>
      <c r="I74" s="20">
        <f t="shared" si="66"/>
        <v>0.8647999999999999</v>
      </c>
      <c r="J74" s="20">
        <f t="shared" si="67"/>
        <v>1.3801341350601295</v>
      </c>
      <c r="K74" s="26">
        <f t="shared" si="50"/>
        <v>90.798298359219046</v>
      </c>
      <c r="L74" s="38">
        <v>10.212</v>
      </c>
      <c r="M74" s="38">
        <v>10.108000000000001</v>
      </c>
      <c r="N74" s="38">
        <v>10.597</v>
      </c>
      <c r="O74" s="20"/>
      <c r="P74" s="20"/>
      <c r="Q74" s="20"/>
      <c r="R74" s="20"/>
      <c r="S74" s="20"/>
      <c r="T74" s="20">
        <v>1.64</v>
      </c>
      <c r="U74" s="20">
        <v>16.86</v>
      </c>
      <c r="V74" s="20"/>
      <c r="W74" s="5" t="s">
        <v>68</v>
      </c>
      <c r="X74" s="5">
        <f>COUNT(D70:D76)</f>
        <v>7</v>
      </c>
      <c r="Y74" s="5">
        <f t="shared" ref="Y74:AO74" si="78">COUNT(E70:E76)</f>
        <v>7</v>
      </c>
      <c r="Z74" s="5">
        <f t="shared" si="78"/>
        <v>7</v>
      </c>
      <c r="AA74" s="5">
        <f t="shared" si="78"/>
        <v>7</v>
      </c>
      <c r="AB74" s="5">
        <f t="shared" si="78"/>
        <v>7</v>
      </c>
      <c r="AC74" s="5">
        <f t="shared" si="78"/>
        <v>7</v>
      </c>
      <c r="AD74" s="5">
        <f t="shared" si="78"/>
        <v>7</v>
      </c>
      <c r="AE74" s="25">
        <f t="shared" si="78"/>
        <v>7</v>
      </c>
      <c r="AF74" s="5">
        <f t="shared" si="78"/>
        <v>7</v>
      </c>
      <c r="AG74" s="5">
        <f t="shared" si="78"/>
        <v>7</v>
      </c>
      <c r="AH74" s="5">
        <f t="shared" si="78"/>
        <v>7</v>
      </c>
      <c r="AI74" s="5">
        <f t="shared" si="78"/>
        <v>6</v>
      </c>
      <c r="AJ74" s="5">
        <f t="shared" si="78"/>
        <v>6</v>
      </c>
      <c r="AK74" s="5">
        <f t="shared" si="78"/>
        <v>6</v>
      </c>
      <c r="AL74" s="5">
        <f t="shared" si="78"/>
        <v>6</v>
      </c>
      <c r="AM74" s="5">
        <f t="shared" si="78"/>
        <v>6</v>
      </c>
      <c r="AN74" s="25">
        <f t="shared" si="78"/>
        <v>2</v>
      </c>
      <c r="AO74" s="25">
        <f t="shared" si="78"/>
        <v>2</v>
      </c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</row>
    <row r="75" spans="1:105" ht="21" x14ac:dyDescent="0.35">
      <c r="A75" s="80"/>
      <c r="B75" s="5">
        <v>27</v>
      </c>
      <c r="C75" s="5"/>
      <c r="D75" s="5">
        <v>1.5004999999999999</v>
      </c>
      <c r="E75" s="5">
        <v>1.4157999999999999</v>
      </c>
      <c r="F75" s="6">
        <f t="shared" si="64"/>
        <v>8.4699999999999998E-2</v>
      </c>
      <c r="G75" s="5">
        <f t="shared" si="65"/>
        <v>5.6447850716427856</v>
      </c>
      <c r="H75" s="5">
        <v>0.54749999999999999</v>
      </c>
      <c r="I75" s="5">
        <f t="shared" si="66"/>
        <v>0.86829999999999996</v>
      </c>
      <c r="J75" s="5">
        <f t="shared" si="67"/>
        <v>1.3533502245767592</v>
      </c>
      <c r="K75" s="26">
        <f t="shared" si="50"/>
        <v>89.036198985313106</v>
      </c>
      <c r="L75">
        <v>10.477</v>
      </c>
      <c r="M75">
        <v>10.07</v>
      </c>
      <c r="N75">
        <v>11.127000000000001</v>
      </c>
      <c r="O75" s="5">
        <f t="shared" si="68"/>
        <v>1173.9362205300001</v>
      </c>
      <c r="P75" s="5">
        <f t="shared" si="69"/>
        <v>105.50339000000001</v>
      </c>
      <c r="Q75" s="5">
        <f t="shared" si="73"/>
        <v>1.2060280407404118</v>
      </c>
      <c r="R75" s="5">
        <f t="shared" si="70"/>
        <v>0.79343950048711298</v>
      </c>
      <c r="S75" s="5">
        <f t="shared" si="71"/>
        <v>11.512341558319088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105" s="38" customFormat="1" ht="21" x14ac:dyDescent="0.35">
      <c r="A76" s="80"/>
      <c r="B76" s="20">
        <v>28</v>
      </c>
      <c r="C76" s="20"/>
      <c r="D76" s="20">
        <v>1.3855999999999999</v>
      </c>
      <c r="E76" s="20">
        <v>1.3119000000000001</v>
      </c>
      <c r="F76" s="21">
        <f t="shared" si="64"/>
        <v>7.3699999999999877E-2</v>
      </c>
      <c r="G76" s="20">
        <f t="shared" si="65"/>
        <v>5.3189953810623471</v>
      </c>
      <c r="H76" s="20">
        <v>0.52210000000000001</v>
      </c>
      <c r="I76" s="20">
        <f t="shared" si="66"/>
        <v>0.78980000000000006</v>
      </c>
      <c r="J76" s="20">
        <f t="shared" si="67"/>
        <v>1.3786743479361865</v>
      </c>
      <c r="K76" s="26">
        <f t="shared" si="50"/>
        <v>90.702259732643839</v>
      </c>
      <c r="L76" s="38">
        <v>10.117000000000001</v>
      </c>
      <c r="M76" s="38">
        <v>10.188000000000001</v>
      </c>
      <c r="N76" s="38">
        <v>9.8989999999999991</v>
      </c>
      <c r="O76" s="20">
        <f t="shared" si="68"/>
        <v>1020.309688404</v>
      </c>
      <c r="P76" s="20">
        <f t="shared" si="69"/>
        <v>103.07199600000001</v>
      </c>
      <c r="Q76" s="20">
        <f t="shared" si="73"/>
        <v>1.2857860852542866</v>
      </c>
      <c r="R76" s="20">
        <f t="shared" si="70"/>
        <v>0.84591189819360957</v>
      </c>
      <c r="S76" s="20">
        <f t="shared" si="71"/>
        <v>6.9723882197547811</v>
      </c>
      <c r="T76" s="20">
        <v>1.7</v>
      </c>
      <c r="U76" s="20">
        <v>16.05</v>
      </c>
      <c r="V76" s="20"/>
      <c r="W76" s="5"/>
      <c r="X76" s="5"/>
      <c r="Y76" s="5"/>
      <c r="Z76" s="5"/>
      <c r="AA76" s="5"/>
      <c r="AB76" s="5"/>
      <c r="AC76" s="5"/>
      <c r="AD76" s="5"/>
      <c r="AE76" s="27"/>
      <c r="AF76"/>
      <c r="AG76"/>
      <c r="AH76"/>
      <c r="AI76"/>
      <c r="AJ76"/>
      <c r="AK76"/>
      <c r="AL76"/>
      <c r="AM76"/>
      <c r="AN76" s="27"/>
      <c r="AO76" s="27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</row>
    <row r="77" spans="1:105" ht="21" x14ac:dyDescent="0.35">
      <c r="A77" s="80" t="s">
        <v>51</v>
      </c>
      <c r="B77" s="5">
        <v>29</v>
      </c>
      <c r="C77" s="7"/>
      <c r="D77" s="7">
        <v>1.5013000000000001</v>
      </c>
      <c r="E77" s="7">
        <v>1.4577</v>
      </c>
      <c r="F77" s="8">
        <f t="shared" si="64"/>
        <v>4.3600000000000083E-2</v>
      </c>
      <c r="G77" s="7">
        <f t="shared" si="65"/>
        <v>2.9041497368946967</v>
      </c>
      <c r="H77" s="7">
        <v>0.57369999999999999</v>
      </c>
      <c r="I77" s="7">
        <f t="shared" si="66"/>
        <v>0.88400000000000001</v>
      </c>
      <c r="J77" s="7">
        <f t="shared" si="67"/>
        <v>1.3686549773755654</v>
      </c>
      <c r="K77" s="26">
        <f t="shared" si="50"/>
        <v>90.043090616813515</v>
      </c>
      <c r="L77">
        <v>10.239000000000001</v>
      </c>
      <c r="M77">
        <v>10.282999999999999</v>
      </c>
      <c r="N77">
        <v>10.909000000000001</v>
      </c>
      <c r="O77" s="7">
        <f t="shared" si="68"/>
        <v>1148.5828320330002</v>
      </c>
      <c r="P77" s="7">
        <f t="shared" si="69"/>
        <v>105.287637</v>
      </c>
      <c r="Q77" s="5">
        <f t="shared" si="73"/>
        <v>1.269129190639094</v>
      </c>
      <c r="R77" s="5">
        <f t="shared" si="70"/>
        <v>0.83495341489414077</v>
      </c>
      <c r="S77" s="5">
        <f t="shared" si="71"/>
        <v>7.5461660543197455</v>
      </c>
      <c r="T77" s="7"/>
      <c r="U77" s="7"/>
      <c r="V77" s="5"/>
      <c r="W77" s="5" t="s">
        <v>66</v>
      </c>
      <c r="X77" s="7">
        <f>AVERAGE(D77:D83)</f>
        <v>1.4913000000000001</v>
      </c>
      <c r="Y77" s="7">
        <f t="shared" ref="Y77:AO77" si="79">AVERAGE(E77:E83)</f>
        <v>1.4829285714285714</v>
      </c>
      <c r="Z77" s="7">
        <f t="shared" si="79"/>
        <v>2.8885714285714372E-2</v>
      </c>
      <c r="AA77" s="7">
        <f t="shared" si="79"/>
        <v>1.9317217691934168</v>
      </c>
      <c r="AB77" s="7">
        <f t="shared" si="79"/>
        <v>0.57351428571428564</v>
      </c>
      <c r="AC77" s="7">
        <f t="shared" si="79"/>
        <v>0.90941428571428573</v>
      </c>
      <c r="AD77" s="7">
        <f t="shared" si="79"/>
        <v>1.3549207240787506</v>
      </c>
      <c r="AE77" s="26">
        <f t="shared" si="79"/>
        <v>89.139521320970417</v>
      </c>
      <c r="AF77" s="7">
        <f t="shared" si="79"/>
        <v>10.215571428571428</v>
      </c>
      <c r="AG77" s="7">
        <f t="shared" si="79"/>
        <v>10.187571428571427</v>
      </c>
      <c r="AH77" s="7">
        <f t="shared" si="79"/>
        <v>11.010428571428573</v>
      </c>
      <c r="AI77" s="7">
        <f t="shared" si="79"/>
        <v>1154.0849793473333</v>
      </c>
      <c r="AJ77" s="7">
        <f t="shared" si="79"/>
        <v>104.21868433333334</v>
      </c>
      <c r="AK77" s="7">
        <f t="shared" si="79"/>
        <v>1.2862392717753492</v>
      </c>
      <c r="AL77" s="7">
        <f t="shared" si="79"/>
        <v>0.84621004722062454</v>
      </c>
      <c r="AM77" s="7">
        <f t="shared" si="79"/>
        <v>4.9245815818907301</v>
      </c>
      <c r="AN77" s="26">
        <f t="shared" si="79"/>
        <v>1.4350000000000001</v>
      </c>
      <c r="AO77" s="26">
        <f t="shared" si="79"/>
        <v>8.7624999999999993</v>
      </c>
    </row>
    <row r="78" spans="1:105" ht="21" x14ac:dyDescent="0.35">
      <c r="A78" s="80"/>
      <c r="B78" s="5">
        <v>30</v>
      </c>
      <c r="C78" s="5"/>
      <c r="D78" s="5">
        <v>1.4996</v>
      </c>
      <c r="E78" s="5">
        <v>1.4746999999999999</v>
      </c>
      <c r="F78" s="6">
        <f t="shared" si="64"/>
        <v>2.4900000000000144E-2</v>
      </c>
      <c r="G78" s="5">
        <f t="shared" si="65"/>
        <v>1.6604427847426075</v>
      </c>
      <c r="H78" s="5">
        <v>0.58209999999999995</v>
      </c>
      <c r="I78" s="5">
        <f t="shared" si="66"/>
        <v>0.89259999999999995</v>
      </c>
      <c r="J78" s="5">
        <f t="shared" si="67"/>
        <v>1.3712760475016805</v>
      </c>
      <c r="K78" s="26">
        <f t="shared" si="50"/>
        <v>90.215529440900028</v>
      </c>
      <c r="L78">
        <v>10.14</v>
      </c>
      <c r="M78">
        <v>10.054</v>
      </c>
      <c r="N78">
        <v>10.695</v>
      </c>
      <c r="O78" s="5">
        <f t="shared" si="68"/>
        <v>1090.3291542000002</v>
      </c>
      <c r="P78" s="5">
        <f t="shared" si="69"/>
        <v>101.94756000000001</v>
      </c>
      <c r="Q78" s="5">
        <f t="shared" si="73"/>
        <v>1.3525273485711951</v>
      </c>
      <c r="R78" s="5">
        <f t="shared" si="70"/>
        <v>0.88982062405999673</v>
      </c>
      <c r="S78" s="5">
        <f t="shared" si="71"/>
        <v>1.3766558157256847</v>
      </c>
      <c r="T78" s="5"/>
      <c r="U78" s="5"/>
      <c r="V78" s="5"/>
      <c r="W78" s="5" t="s">
        <v>67</v>
      </c>
      <c r="X78" s="5">
        <f>_xlfn.STDEV.S(D77:D83)</f>
        <v>2.3879349516545311E-2</v>
      </c>
      <c r="Y78" s="5">
        <f t="shared" ref="Y78:AO78" si="80">_xlfn.STDEV.S(E77:E83)</f>
        <v>4.5849453442242755E-2</v>
      </c>
      <c r="Z78" s="5">
        <f t="shared" si="80"/>
        <v>2.0793302493144972E-2</v>
      </c>
      <c r="AA78" s="5">
        <f t="shared" si="80"/>
        <v>1.3796008649901494</v>
      </c>
      <c r="AB78" s="5">
        <f t="shared" si="80"/>
        <v>2.0527577269892992E-2</v>
      </c>
      <c r="AC78" s="5">
        <f t="shared" si="80"/>
        <v>4.9329282330458649E-2</v>
      </c>
      <c r="AD78" s="5">
        <f t="shared" si="80"/>
        <v>3.6296673380243949E-2</v>
      </c>
      <c r="AE78" s="25">
        <f t="shared" si="80"/>
        <v>2.3879390381739447</v>
      </c>
      <c r="AF78" s="5">
        <f t="shared" si="80"/>
        <v>6.2941393753388211E-2</v>
      </c>
      <c r="AG78" s="5">
        <f t="shared" si="80"/>
        <v>0.11114833503454896</v>
      </c>
      <c r="AH78" s="5">
        <f t="shared" si="80"/>
        <v>0.67260782460084823</v>
      </c>
      <c r="AI78" s="5">
        <f t="shared" si="80"/>
        <v>94.533650745966909</v>
      </c>
      <c r="AJ78" s="5">
        <f t="shared" si="80"/>
        <v>1.8258725357876047</v>
      </c>
      <c r="AK78" s="5">
        <f t="shared" si="80"/>
        <v>6.5170721614632943E-2</v>
      </c>
      <c r="AL78" s="5">
        <f t="shared" si="80"/>
        <v>4.2875474746469057E-2</v>
      </c>
      <c r="AM78" s="5">
        <f t="shared" si="80"/>
        <v>2.8026092059429493</v>
      </c>
      <c r="AN78" s="25">
        <f t="shared" si="80"/>
        <v>0.34141860913937716</v>
      </c>
      <c r="AO78" s="25">
        <f t="shared" si="80"/>
        <v>6.0123061299305141</v>
      </c>
    </row>
    <row r="79" spans="1:105" ht="21" x14ac:dyDescent="0.35">
      <c r="A79" s="80"/>
      <c r="B79" s="5">
        <v>31</v>
      </c>
      <c r="C79" s="5"/>
      <c r="D79" s="5">
        <v>1.5007999999999999</v>
      </c>
      <c r="E79" s="5">
        <v>1.4767999999999999</v>
      </c>
      <c r="F79" s="6">
        <f t="shared" si="64"/>
        <v>2.4000000000000021E-2</v>
      </c>
      <c r="G79" s="5">
        <f t="shared" si="65"/>
        <v>1.5991471215351827</v>
      </c>
      <c r="H79" s="5">
        <v>0.57589999999999997</v>
      </c>
      <c r="I79" s="5">
        <f t="shared" si="66"/>
        <v>0.90089999999999992</v>
      </c>
      <c r="J79" s="5">
        <f t="shared" si="67"/>
        <v>1.3605772005772006</v>
      </c>
      <c r="K79" s="26">
        <f t="shared" si="50"/>
        <v>89.511657932710563</v>
      </c>
      <c r="L79">
        <v>10.198</v>
      </c>
      <c r="M79">
        <v>10.164999999999999</v>
      </c>
      <c r="N79">
        <v>10.874000000000001</v>
      </c>
      <c r="O79" s="5">
        <f t="shared" si="68"/>
        <v>1127.2278735800001</v>
      </c>
      <c r="P79" s="5">
        <f t="shared" si="69"/>
        <v>103.66266999999999</v>
      </c>
      <c r="Q79" s="5">
        <f t="shared" si="73"/>
        <v>1.3101166451019191</v>
      </c>
      <c r="R79" s="5">
        <f t="shared" si="70"/>
        <v>0.86191884546178887</v>
      </c>
      <c r="S79" s="5">
        <f t="shared" si="71"/>
        <v>3.7788348939299778</v>
      </c>
      <c r="T79" s="5"/>
      <c r="U79" s="5"/>
      <c r="V79" s="5"/>
      <c r="W79" s="5" t="s">
        <v>61</v>
      </c>
      <c r="X79" s="5">
        <f>MIN(D77:D83)</f>
        <v>1.4372</v>
      </c>
      <c r="Y79" s="5">
        <f t="shared" ref="Y79:AO79" si="81">MIN(E77:E83)</f>
        <v>1.4200999999999999</v>
      </c>
      <c r="Z79" s="5">
        <f t="shared" si="81"/>
        <v>4.0000000000000036E-3</v>
      </c>
      <c r="AA79" s="5">
        <f t="shared" si="81"/>
        <v>0.26688017080330961</v>
      </c>
      <c r="AB79" s="5">
        <f t="shared" si="81"/>
        <v>0.54330000000000001</v>
      </c>
      <c r="AC79" s="5">
        <f t="shared" si="81"/>
        <v>0.87679999999999991</v>
      </c>
      <c r="AD79" s="5">
        <f t="shared" si="81"/>
        <v>1.2778499264345267</v>
      </c>
      <c r="AE79" s="25">
        <f t="shared" si="81"/>
        <v>84.069074107534647</v>
      </c>
      <c r="AF79" s="5">
        <f t="shared" si="81"/>
        <v>10.14</v>
      </c>
      <c r="AG79" s="5">
        <f t="shared" si="81"/>
        <v>10.054</v>
      </c>
      <c r="AH79" s="5">
        <f t="shared" si="81"/>
        <v>10.661</v>
      </c>
      <c r="AI79" s="5">
        <f t="shared" si="81"/>
        <v>1090.3291542000002</v>
      </c>
      <c r="AJ79" s="5">
        <f t="shared" si="81"/>
        <v>101.94756000000001</v>
      </c>
      <c r="AK79" s="5">
        <f t="shared" si="81"/>
        <v>1.1689698637001218</v>
      </c>
      <c r="AL79" s="5">
        <f t="shared" si="81"/>
        <v>0.76905912085534323</v>
      </c>
      <c r="AM79" s="5">
        <f t="shared" si="81"/>
        <v>1.3766558157256847</v>
      </c>
      <c r="AN79" s="25">
        <f t="shared" si="81"/>
        <v>0.97</v>
      </c>
      <c r="AO79" s="25">
        <f t="shared" si="81"/>
        <v>2.97</v>
      </c>
    </row>
    <row r="80" spans="1:105" s="38" customFormat="1" ht="21" x14ac:dyDescent="0.35">
      <c r="A80" s="80"/>
      <c r="B80" s="20">
        <v>32</v>
      </c>
      <c r="C80" s="20"/>
      <c r="D80" s="20">
        <v>1.4996</v>
      </c>
      <c r="E80" s="20">
        <v>1.4787999999999999</v>
      </c>
      <c r="F80" s="21">
        <f t="shared" si="64"/>
        <v>2.0800000000000152E-2</v>
      </c>
      <c r="G80" s="20">
        <f t="shared" si="65"/>
        <v>1.3870365430781642</v>
      </c>
      <c r="H80" s="20">
        <v>0.58819999999999995</v>
      </c>
      <c r="I80" s="20">
        <f t="shared" si="66"/>
        <v>0.89059999999999995</v>
      </c>
      <c r="J80" s="20">
        <f t="shared" si="67"/>
        <v>1.3781765102178307</v>
      </c>
      <c r="K80" s="26">
        <f t="shared" si="50"/>
        <v>90.669507251173073</v>
      </c>
      <c r="L80" s="38">
        <v>10.236000000000001</v>
      </c>
      <c r="M80" s="38">
        <v>10.099</v>
      </c>
      <c r="N80" s="38">
        <v>10.728999999999999</v>
      </c>
      <c r="O80" s="20">
        <f t="shared" si="68"/>
        <v>1109.0928223559999</v>
      </c>
      <c r="P80" s="20">
        <f t="shared" si="69"/>
        <v>103.37336400000001</v>
      </c>
      <c r="Q80" s="20">
        <f t="shared" si="73"/>
        <v>1.3333419621800873</v>
      </c>
      <c r="R80" s="20">
        <f t="shared" si="70"/>
        <v>0.87719865932900476</v>
      </c>
      <c r="S80" s="20">
        <f t="shared" si="71"/>
        <v>3.3069697657707078</v>
      </c>
      <c r="T80" s="20">
        <v>1.6</v>
      </c>
      <c r="U80" s="20">
        <v>15.48</v>
      </c>
      <c r="V80" s="20"/>
      <c r="W80" s="5" t="s">
        <v>62</v>
      </c>
      <c r="X80" s="5">
        <f>MAX(D77:D83)</f>
        <v>1.5018</v>
      </c>
      <c r="Y80" s="5">
        <f t="shared" ref="Y80:AO80" si="82">MAX(E77:E83)</f>
        <v>1.5696000000000001</v>
      </c>
      <c r="Z80" s="5">
        <f t="shared" si="82"/>
        <v>6.7800000000000082E-2</v>
      </c>
      <c r="AA80" s="5">
        <f t="shared" si="82"/>
        <v>4.5145825009988068</v>
      </c>
      <c r="AB80" s="5">
        <f t="shared" si="82"/>
        <v>0.60129999999999995</v>
      </c>
      <c r="AC80" s="5">
        <f t="shared" si="82"/>
        <v>1.0195000000000001</v>
      </c>
      <c r="AD80" s="5">
        <f t="shared" si="82"/>
        <v>1.3836095396561285</v>
      </c>
      <c r="AE80" s="25">
        <f t="shared" si="82"/>
        <v>91.026943398429509</v>
      </c>
      <c r="AF80" s="5">
        <f t="shared" si="82"/>
        <v>10.33</v>
      </c>
      <c r="AG80" s="5">
        <f t="shared" si="82"/>
        <v>10.382</v>
      </c>
      <c r="AH80" s="5">
        <f t="shared" si="82"/>
        <v>12.52</v>
      </c>
      <c r="AI80" s="5">
        <f t="shared" si="82"/>
        <v>1342.7206712</v>
      </c>
      <c r="AJ80" s="5">
        <f t="shared" si="82"/>
        <v>107.24606</v>
      </c>
      <c r="AK80" s="5">
        <f t="shared" si="82"/>
        <v>1.3525273485711951</v>
      </c>
      <c r="AL80" s="5">
        <f t="shared" si="82"/>
        <v>0.88982062405999673</v>
      </c>
      <c r="AM80" s="5">
        <f t="shared" si="82"/>
        <v>8.8997206229407855</v>
      </c>
      <c r="AN80" s="25">
        <f t="shared" si="82"/>
        <v>1.76</v>
      </c>
      <c r="AO80" s="25">
        <f t="shared" si="82"/>
        <v>15.48</v>
      </c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</row>
    <row r="81" spans="1:105" s="38" customFormat="1" ht="21" x14ac:dyDescent="0.35">
      <c r="A81" s="80"/>
      <c r="B81" s="20">
        <v>33</v>
      </c>
      <c r="C81" s="20"/>
      <c r="D81" s="20">
        <v>1.4987999999999999</v>
      </c>
      <c r="E81" s="20">
        <v>1.5027999999999999</v>
      </c>
      <c r="F81" s="21">
        <f t="shared" si="64"/>
        <v>4.0000000000000036E-3</v>
      </c>
      <c r="G81" s="20">
        <f t="shared" si="65"/>
        <v>0.26688017080330961</v>
      </c>
      <c r="H81" s="20">
        <v>0.60129999999999995</v>
      </c>
      <c r="I81" s="20">
        <f t="shared" si="66"/>
        <v>0.90149999999999997</v>
      </c>
      <c r="J81" s="20">
        <f t="shared" si="67"/>
        <v>1.3836095396561285</v>
      </c>
      <c r="K81" s="26">
        <f t="shared" si="50"/>
        <v>91.026943398429509</v>
      </c>
      <c r="L81" s="38">
        <v>10.154999999999999</v>
      </c>
      <c r="M81" s="38">
        <v>10.164999999999999</v>
      </c>
      <c r="N81" s="38">
        <v>10.685</v>
      </c>
      <c r="O81" s="20"/>
      <c r="P81" s="20"/>
      <c r="Q81" s="20"/>
      <c r="R81" s="20"/>
      <c r="S81" s="20"/>
      <c r="T81" s="20">
        <v>1.76</v>
      </c>
      <c r="U81" s="20">
        <v>12.13</v>
      </c>
      <c r="V81" s="20"/>
      <c r="W81" s="5" t="s">
        <v>68</v>
      </c>
      <c r="X81" s="5">
        <f>COUNT(D77:D83)</f>
        <v>7</v>
      </c>
      <c r="Y81" s="5">
        <f t="shared" ref="Y81:AO81" si="83">COUNT(E77:E83)</f>
        <v>7</v>
      </c>
      <c r="Z81" s="5">
        <f t="shared" si="83"/>
        <v>7</v>
      </c>
      <c r="AA81" s="5">
        <f t="shared" si="83"/>
        <v>7</v>
      </c>
      <c r="AB81" s="5">
        <f t="shared" si="83"/>
        <v>7</v>
      </c>
      <c r="AC81" s="5">
        <f t="shared" si="83"/>
        <v>7</v>
      </c>
      <c r="AD81" s="5">
        <f t="shared" si="83"/>
        <v>7</v>
      </c>
      <c r="AE81" s="25">
        <f t="shared" si="83"/>
        <v>7</v>
      </c>
      <c r="AF81" s="5">
        <f t="shared" si="83"/>
        <v>7</v>
      </c>
      <c r="AG81" s="5">
        <f t="shared" si="83"/>
        <v>7</v>
      </c>
      <c r="AH81" s="5">
        <f t="shared" si="83"/>
        <v>7</v>
      </c>
      <c r="AI81" s="5">
        <f t="shared" si="83"/>
        <v>6</v>
      </c>
      <c r="AJ81" s="5">
        <f t="shared" si="83"/>
        <v>6</v>
      </c>
      <c r="AK81" s="5">
        <f t="shared" si="83"/>
        <v>6</v>
      </c>
      <c r="AL81" s="5">
        <f t="shared" si="83"/>
        <v>6</v>
      </c>
      <c r="AM81" s="5">
        <f t="shared" si="83"/>
        <v>6</v>
      </c>
      <c r="AN81" s="25">
        <f t="shared" si="83"/>
        <v>4</v>
      </c>
      <c r="AO81" s="25">
        <f t="shared" si="83"/>
        <v>4</v>
      </c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</row>
    <row r="82" spans="1:105" s="38" customFormat="1" ht="21" x14ac:dyDescent="0.35">
      <c r="A82" s="80"/>
      <c r="B82" s="20">
        <v>34</v>
      </c>
      <c r="C82" s="20" t="s">
        <v>54</v>
      </c>
      <c r="D82" s="20">
        <v>1.5018</v>
      </c>
      <c r="E82" s="20">
        <v>1.5696000000000001</v>
      </c>
      <c r="F82" s="21">
        <f t="shared" si="64"/>
        <v>6.7800000000000082E-2</v>
      </c>
      <c r="G82" s="20">
        <f t="shared" si="65"/>
        <v>4.5145825009988068</v>
      </c>
      <c r="H82" s="20">
        <v>0.55010000000000003</v>
      </c>
      <c r="I82" s="20">
        <f t="shared" si="66"/>
        <v>1.0195000000000001</v>
      </c>
      <c r="J82" s="20">
        <f t="shared" si="67"/>
        <v>1.2778499264345267</v>
      </c>
      <c r="K82" s="26">
        <f t="shared" si="50"/>
        <v>84.069074107534647</v>
      </c>
      <c r="L82" s="38">
        <v>10.33</v>
      </c>
      <c r="M82" s="38">
        <v>10.382</v>
      </c>
      <c r="N82" s="38">
        <v>12.52</v>
      </c>
      <c r="O82" s="20">
        <f t="shared" si="68"/>
        <v>1342.7206712</v>
      </c>
      <c r="P82" s="20">
        <f t="shared" si="69"/>
        <v>107.24606</v>
      </c>
      <c r="Q82" s="20">
        <f t="shared" si="73"/>
        <v>1.1689698637001218</v>
      </c>
      <c r="R82" s="20">
        <f t="shared" si="70"/>
        <v>0.76905912085534323</v>
      </c>
      <c r="S82" s="20">
        <f t="shared" si="71"/>
        <v>8.8997206229407855</v>
      </c>
      <c r="T82" s="20">
        <v>0.97</v>
      </c>
      <c r="U82" s="20">
        <v>2.97</v>
      </c>
      <c r="V82" s="20"/>
      <c r="W82" s="5"/>
      <c r="X82" s="5"/>
      <c r="Y82" s="5"/>
      <c r="Z82" s="5"/>
      <c r="AA82" s="5"/>
      <c r="AB82" s="5"/>
      <c r="AC82" s="5"/>
      <c r="AD82" s="5"/>
      <c r="AE82" s="27"/>
      <c r="AF82"/>
      <c r="AG82"/>
      <c r="AH82"/>
      <c r="AI82"/>
      <c r="AJ82"/>
      <c r="AK82"/>
      <c r="AL82"/>
      <c r="AM82"/>
      <c r="AN82" s="27"/>
      <c r="AO82" s="27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</row>
    <row r="83" spans="1:105" s="38" customFormat="1" ht="21" x14ac:dyDescent="0.35">
      <c r="A83" s="80"/>
      <c r="B83" s="20">
        <v>35</v>
      </c>
      <c r="C83" s="20"/>
      <c r="D83" s="21">
        <v>1.4372</v>
      </c>
      <c r="E83" s="20">
        <v>1.4200999999999999</v>
      </c>
      <c r="F83" s="21">
        <f t="shared" si="64"/>
        <v>1.7100000000000115E-2</v>
      </c>
      <c r="G83" s="20">
        <f t="shared" si="65"/>
        <v>1.1898135263011491</v>
      </c>
      <c r="H83" s="20">
        <v>0.54330000000000001</v>
      </c>
      <c r="I83" s="20">
        <f t="shared" si="66"/>
        <v>0.87679999999999991</v>
      </c>
      <c r="J83" s="20">
        <f t="shared" si="67"/>
        <v>1.3443008667883212</v>
      </c>
      <c r="K83" s="26">
        <f t="shared" si="50"/>
        <v>88.440846499231654</v>
      </c>
      <c r="L83" s="38">
        <v>10.211</v>
      </c>
      <c r="M83" s="38">
        <v>10.164999999999999</v>
      </c>
      <c r="N83" s="38">
        <v>10.661</v>
      </c>
      <c r="O83" s="20">
        <f t="shared" si="68"/>
        <v>1106.556522715</v>
      </c>
      <c r="P83" s="20">
        <f t="shared" si="69"/>
        <v>103.794815</v>
      </c>
      <c r="Q83" s="20">
        <f t="shared" si="73"/>
        <v>1.2833506204596787</v>
      </c>
      <c r="R83" s="20">
        <f t="shared" si="70"/>
        <v>0.84430961872347288</v>
      </c>
      <c r="S83" s="20">
        <f t="shared" si="71"/>
        <v>4.6391423386574777</v>
      </c>
      <c r="T83" s="20">
        <v>1.41</v>
      </c>
      <c r="U83" s="20">
        <v>4.47</v>
      </c>
      <c r="V83" s="20"/>
      <c r="W83" s="5"/>
      <c r="X83" s="5"/>
      <c r="Y83" s="5"/>
      <c r="Z83" s="5"/>
      <c r="AA83" s="5"/>
      <c r="AB83" s="5"/>
      <c r="AC83" s="5"/>
      <c r="AD83" s="5"/>
      <c r="AE83" s="27"/>
      <c r="AF83"/>
      <c r="AG83"/>
      <c r="AH83"/>
      <c r="AI83"/>
      <c r="AJ83"/>
      <c r="AK83"/>
      <c r="AL83"/>
      <c r="AM83"/>
      <c r="AN83" s="27"/>
      <c r="AO83" s="27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</row>
    <row r="84" spans="1:105" ht="21" x14ac:dyDescent="0.35">
      <c r="A84" s="80" t="s">
        <v>52</v>
      </c>
      <c r="B84" s="5">
        <v>36</v>
      </c>
      <c r="C84" s="7"/>
      <c r="D84" s="7">
        <v>1.5017799999999999</v>
      </c>
      <c r="E84" s="7">
        <v>1.4854000000000001</v>
      </c>
      <c r="F84" s="8">
        <f t="shared" si="64"/>
        <v>1.6379999999999839E-2</v>
      </c>
      <c r="G84" s="7">
        <f t="shared" si="65"/>
        <v>1.0907056959075125</v>
      </c>
      <c r="H84" s="7">
        <v>0.5141</v>
      </c>
      <c r="I84" s="7">
        <f t="shared" si="66"/>
        <v>0.97130000000000005</v>
      </c>
      <c r="J84" s="7">
        <f t="shared" si="67"/>
        <v>1.2693112323689899</v>
      </c>
      <c r="K84" s="26">
        <f t="shared" si="50"/>
        <v>83.507317919012493</v>
      </c>
      <c r="L84">
        <v>10.164999999999999</v>
      </c>
      <c r="M84">
        <v>10.301</v>
      </c>
      <c r="N84">
        <v>11.843</v>
      </c>
      <c r="O84" s="7">
        <f t="shared" si="68"/>
        <v>1240.0765625949998</v>
      </c>
      <c r="P84" s="7">
        <f t="shared" si="69"/>
        <v>104.70966499999999</v>
      </c>
      <c r="Q84" s="5">
        <f t="shared" si="73"/>
        <v>1.1978292670023802</v>
      </c>
      <c r="R84" s="5">
        <f t="shared" si="70"/>
        <v>0.78804557039630274</v>
      </c>
      <c r="S84" s="5">
        <f t="shared" si="71"/>
        <v>5.7947218964484062</v>
      </c>
      <c r="T84" s="7"/>
      <c r="U84" s="7"/>
      <c r="V84" s="5"/>
      <c r="W84" s="5" t="s">
        <v>66</v>
      </c>
      <c r="X84" s="7">
        <f>AVERAGE(D84:D90)</f>
        <v>1.5309257142857142</v>
      </c>
      <c r="Y84" s="7">
        <f t="shared" ref="Y84:AO84" si="84">AVERAGE(E84:E90)</f>
        <v>1.5220428571428575</v>
      </c>
      <c r="Z84" s="7">
        <f t="shared" si="84"/>
        <v>3.0368571428571394E-2</v>
      </c>
      <c r="AA84" s="7">
        <f t="shared" si="84"/>
        <v>1.9942423367867097</v>
      </c>
      <c r="AB84" s="7">
        <f t="shared" si="84"/>
        <v>0.53901428571428567</v>
      </c>
      <c r="AC84" s="7">
        <f t="shared" si="84"/>
        <v>0.98302857142857136</v>
      </c>
      <c r="AD84" s="7">
        <f t="shared" si="84"/>
        <v>1.2861683621535103</v>
      </c>
      <c r="AE84" s="26">
        <f t="shared" si="84"/>
        <v>84.616339615362492</v>
      </c>
      <c r="AF84" s="7">
        <f t="shared" si="84"/>
        <v>10.276285714285715</v>
      </c>
      <c r="AG84" s="7">
        <f t="shared" si="84"/>
        <v>10.296999999999999</v>
      </c>
      <c r="AH84" s="7">
        <f t="shared" si="84"/>
        <v>11.987714285714286</v>
      </c>
      <c r="AI84" s="7">
        <f t="shared" si="84"/>
        <v>1271.9784791173333</v>
      </c>
      <c r="AJ84" s="7">
        <f t="shared" si="84"/>
        <v>105.88030300000001</v>
      </c>
      <c r="AK84" s="7">
        <f t="shared" si="84"/>
        <v>1.2032257849917884</v>
      </c>
      <c r="AL84" s="7">
        <f t="shared" si="84"/>
        <v>0.79159591117880801</v>
      </c>
      <c r="AM84" s="7">
        <f t="shared" si="84"/>
        <v>6.8803230318786346</v>
      </c>
      <c r="AN84" s="26">
        <f t="shared" si="84"/>
        <v>47.494999999999997</v>
      </c>
      <c r="AO84" s="26">
        <f t="shared" si="84"/>
        <v>5.7850000000000001</v>
      </c>
    </row>
    <row r="85" spans="1:105" ht="21" x14ac:dyDescent="0.35">
      <c r="A85" s="80"/>
      <c r="B85" s="5">
        <v>37</v>
      </c>
      <c r="C85" s="5"/>
      <c r="D85" s="6">
        <v>1.5021</v>
      </c>
      <c r="E85" s="5">
        <v>1.5476000000000001</v>
      </c>
      <c r="F85" s="6">
        <f t="shared" si="64"/>
        <v>4.5500000000000096E-2</v>
      </c>
      <c r="G85" s="5">
        <f t="shared" si="65"/>
        <v>3.0290926036881762</v>
      </c>
      <c r="H85" s="5">
        <v>0.50329999999999997</v>
      </c>
      <c r="I85" s="5">
        <f t="shared" si="66"/>
        <v>1.0443000000000002</v>
      </c>
      <c r="J85" s="5">
        <f t="shared" si="67"/>
        <v>1.2300181940055537</v>
      </c>
      <c r="K85" s="26">
        <f t="shared" si="50"/>
        <v>80.922249605628522</v>
      </c>
      <c r="L85">
        <v>10.721</v>
      </c>
      <c r="M85">
        <v>10.246</v>
      </c>
      <c r="N85">
        <v>12.952999999999999</v>
      </c>
      <c r="O85" s="5">
        <f t="shared" si="68"/>
        <v>1422.8529317980001</v>
      </c>
      <c r="P85" s="5">
        <f t="shared" si="69"/>
        <v>109.84736600000001</v>
      </c>
      <c r="Q85" s="5">
        <f t="shared" si="73"/>
        <v>1.0876739017885442</v>
      </c>
      <c r="R85" s="5">
        <f t="shared" si="70"/>
        <v>0.71557493538720007</v>
      </c>
      <c r="S85" s="5">
        <f t="shared" si="71"/>
        <v>12.283278911406811</v>
      </c>
      <c r="T85" s="5"/>
      <c r="U85" s="5"/>
      <c r="V85" s="5"/>
      <c r="W85" s="5" t="s">
        <v>67</v>
      </c>
      <c r="X85" s="5">
        <f>_xlfn.STDEV.S(D84:D90)</f>
        <v>7.8131256838976385E-2</v>
      </c>
      <c r="Y85" s="5">
        <f t="shared" ref="Y85:AO85" si="85">_xlfn.STDEV.S(E84:E90)</f>
        <v>7.9436575478865679E-2</v>
      </c>
      <c r="Z85" s="5">
        <f t="shared" si="85"/>
        <v>1.7972356021189396E-2</v>
      </c>
      <c r="AA85" s="5">
        <f t="shared" si="85"/>
        <v>1.2095658357895913</v>
      </c>
      <c r="AB85" s="5">
        <f t="shared" si="85"/>
        <v>3.552165670739605E-2</v>
      </c>
      <c r="AC85" s="5">
        <f t="shared" si="85"/>
        <v>6.0843123804467159E-2</v>
      </c>
      <c r="AD85" s="5">
        <f t="shared" si="85"/>
        <v>3.4618793087954715E-2</v>
      </c>
      <c r="AE85" s="25">
        <f t="shared" si="85"/>
        <v>2.2775521768391265</v>
      </c>
      <c r="AF85" s="5">
        <f t="shared" si="85"/>
        <v>0.25779818611057914</v>
      </c>
      <c r="AG85" s="5">
        <f t="shared" si="85"/>
        <v>0.11095494581135169</v>
      </c>
      <c r="AH85" s="5">
        <f t="shared" si="85"/>
        <v>0.70881020362428804</v>
      </c>
      <c r="AI85" s="5">
        <f t="shared" si="85"/>
        <v>104.5217875418093</v>
      </c>
      <c r="AJ85" s="5">
        <f t="shared" si="85"/>
        <v>2.7863976476879286</v>
      </c>
      <c r="AK85" s="5">
        <f t="shared" si="85"/>
        <v>6.2937794482064727E-2</v>
      </c>
      <c r="AL85" s="5">
        <f t="shared" si="85"/>
        <v>4.1406443738200495E-2</v>
      </c>
      <c r="AM85" s="5">
        <f t="shared" si="85"/>
        <v>2.7443219487911605</v>
      </c>
      <c r="AN85" s="25">
        <f t="shared" si="85"/>
        <v>65.768001718160789</v>
      </c>
      <c r="AO85" s="25">
        <f t="shared" si="85"/>
        <v>2.368807716974934</v>
      </c>
    </row>
    <row r="86" spans="1:105" ht="21" x14ac:dyDescent="0.35">
      <c r="A86" s="80"/>
      <c r="B86" s="5">
        <v>38</v>
      </c>
      <c r="C86" s="5"/>
      <c r="D86" s="5">
        <v>1.5008999999999999</v>
      </c>
      <c r="E86" s="5">
        <v>1.4714</v>
      </c>
      <c r="F86" s="6">
        <f t="shared" si="64"/>
        <v>2.949999999999986E-2</v>
      </c>
      <c r="G86" s="5">
        <f t="shared" si="65"/>
        <v>1.9654873742421122</v>
      </c>
      <c r="H86" s="5">
        <v>0.5232</v>
      </c>
      <c r="I86" s="5">
        <f t="shared" si="66"/>
        <v>0.94820000000000004</v>
      </c>
      <c r="J86" s="5">
        <f t="shared" si="67"/>
        <v>1.2879793292554313</v>
      </c>
      <c r="K86" s="26">
        <f t="shared" si="50"/>
        <v>84.735482187857329</v>
      </c>
      <c r="L86">
        <v>10.092000000000001</v>
      </c>
      <c r="M86">
        <v>10.292</v>
      </c>
      <c r="N86">
        <v>11.82</v>
      </c>
      <c r="O86" s="5">
        <f t="shared" si="68"/>
        <v>1227.7063324800001</v>
      </c>
      <c r="P86" s="5">
        <f t="shared" si="69"/>
        <v>103.86686400000001</v>
      </c>
      <c r="Q86" s="5">
        <f t="shared" si="73"/>
        <v>1.1984950806824723</v>
      </c>
      <c r="R86" s="5">
        <f t="shared" si="70"/>
        <v>0.78848360571215281</v>
      </c>
      <c r="S86" s="5">
        <f t="shared" si="71"/>
        <v>7.1976810390897015</v>
      </c>
      <c r="T86" s="5"/>
      <c r="U86" s="5"/>
      <c r="V86" s="5"/>
      <c r="W86" s="5" t="s">
        <v>61</v>
      </c>
      <c r="X86" s="5">
        <f>MIN(D84:D90)</f>
        <v>1.4998</v>
      </c>
      <c r="Y86" s="5">
        <f t="shared" ref="Y86:AO86" si="86">MIN(E84:E90)</f>
        <v>1.4410000000000001</v>
      </c>
      <c r="Z86" s="5">
        <f t="shared" si="86"/>
        <v>6.2999999999999723E-3</v>
      </c>
      <c r="AA86" s="5">
        <f t="shared" si="86"/>
        <v>0.41932907348242626</v>
      </c>
      <c r="AB86" s="5">
        <f t="shared" si="86"/>
        <v>0.50329999999999997</v>
      </c>
      <c r="AC86" s="5">
        <f t="shared" si="86"/>
        <v>0.88990000000000002</v>
      </c>
      <c r="AD86" s="5">
        <f t="shared" si="86"/>
        <v>1.2300181940055537</v>
      </c>
      <c r="AE86" s="25">
        <f t="shared" si="86"/>
        <v>80.922249605628522</v>
      </c>
      <c r="AF86" s="5">
        <f t="shared" si="86"/>
        <v>10.023</v>
      </c>
      <c r="AG86" s="5">
        <f t="shared" si="86"/>
        <v>10.141</v>
      </c>
      <c r="AH86" s="5">
        <f t="shared" si="86"/>
        <v>11.036</v>
      </c>
      <c r="AI86" s="5">
        <f t="shared" si="86"/>
        <v>1132.3668569680001</v>
      </c>
      <c r="AJ86" s="5">
        <f t="shared" si="86"/>
        <v>102.606638</v>
      </c>
      <c r="AK86" s="5">
        <f t="shared" si="86"/>
        <v>1.0876739017885442</v>
      </c>
      <c r="AL86" s="5">
        <f t="shared" si="86"/>
        <v>0.71557493538720007</v>
      </c>
      <c r="AM86" s="5">
        <f t="shared" si="86"/>
        <v>5.2462187983235538</v>
      </c>
      <c r="AN86" s="25">
        <f t="shared" si="86"/>
        <v>0.99</v>
      </c>
      <c r="AO86" s="25">
        <f t="shared" si="86"/>
        <v>4.1100000000000003</v>
      </c>
    </row>
    <row r="87" spans="1:105" s="38" customFormat="1" ht="21" x14ac:dyDescent="0.35">
      <c r="A87" s="80"/>
      <c r="B87" s="20">
        <v>39</v>
      </c>
      <c r="C87" s="20"/>
      <c r="D87" s="20">
        <v>1.4998</v>
      </c>
      <c r="E87" s="20">
        <v>1.5295000000000001</v>
      </c>
      <c r="F87" s="21">
        <f t="shared" si="64"/>
        <v>2.970000000000006E-2</v>
      </c>
      <c r="G87" s="20">
        <f t="shared" si="65"/>
        <v>1.9802640352046978</v>
      </c>
      <c r="H87" s="20">
        <v>0.54969999999999997</v>
      </c>
      <c r="I87" s="20">
        <f t="shared" si="66"/>
        <v>0.97980000000000012</v>
      </c>
      <c r="J87" s="20">
        <f t="shared" si="67"/>
        <v>1.295657276995305</v>
      </c>
      <c r="K87" s="26">
        <f t="shared" si="50"/>
        <v>85.240610328638482</v>
      </c>
      <c r="L87" s="38">
        <v>10.532</v>
      </c>
      <c r="M87" s="38">
        <v>10.303000000000001</v>
      </c>
      <c r="N87" s="38">
        <v>11.465</v>
      </c>
      <c r="O87" s="20">
        <f t="shared" si="68"/>
        <v>1244.0808621400001</v>
      </c>
      <c r="P87" s="20">
        <f t="shared" si="69"/>
        <v>108.51119600000001</v>
      </c>
      <c r="Q87" s="20">
        <f t="shared" si="73"/>
        <v>1.2294216931920627</v>
      </c>
      <c r="R87" s="20">
        <f t="shared" si="70"/>
        <v>0.80883006131056756</v>
      </c>
      <c r="S87" s="20">
        <f t="shared" si="71"/>
        <v>5.2462187983235538</v>
      </c>
      <c r="T87" s="20">
        <v>0.99</v>
      </c>
      <c r="U87" s="20">
        <v>4.1100000000000003</v>
      </c>
      <c r="V87" s="20"/>
      <c r="W87" s="5" t="s">
        <v>62</v>
      </c>
      <c r="X87" s="5">
        <f>MAX(D84:D90)</f>
        <v>1.7081</v>
      </c>
      <c r="Y87" s="5">
        <f t="shared" ref="Y87:AO87" si="87">MAX(E84:E90)</f>
        <v>1.6833</v>
      </c>
      <c r="Z87" s="5">
        <f t="shared" si="87"/>
        <v>6.0400000000000009E-2</v>
      </c>
      <c r="AA87" s="5">
        <f t="shared" si="87"/>
        <v>4.0229119488477423</v>
      </c>
      <c r="AB87" s="5">
        <f t="shared" si="87"/>
        <v>0.60899999999999999</v>
      </c>
      <c r="AC87" s="5">
        <f t="shared" si="87"/>
        <v>1.0743</v>
      </c>
      <c r="AD87" s="5">
        <f t="shared" si="87"/>
        <v>1.3440049443757724</v>
      </c>
      <c r="AE87" s="25">
        <f t="shared" si="87"/>
        <v>88.421377919458706</v>
      </c>
      <c r="AF87" s="5">
        <f t="shared" si="87"/>
        <v>10.721</v>
      </c>
      <c r="AG87" s="5">
        <f t="shared" si="87"/>
        <v>10.513</v>
      </c>
      <c r="AH87" s="5">
        <f t="shared" si="87"/>
        <v>12.952999999999999</v>
      </c>
      <c r="AI87" s="5">
        <f t="shared" si="87"/>
        <v>1422.8529317980001</v>
      </c>
      <c r="AJ87" s="5">
        <f t="shared" si="87"/>
        <v>109.84736600000001</v>
      </c>
      <c r="AK87" s="5">
        <f t="shared" si="87"/>
        <v>1.2725557897891757</v>
      </c>
      <c r="AL87" s="5">
        <f t="shared" si="87"/>
        <v>0.83720775644024714</v>
      </c>
      <c r="AM87" s="5">
        <f t="shared" si="87"/>
        <v>12.283278911406811</v>
      </c>
      <c r="AN87" s="25">
        <f t="shared" si="87"/>
        <v>94</v>
      </c>
      <c r="AO87" s="25">
        <f t="shared" si="87"/>
        <v>7.46</v>
      </c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</row>
    <row r="88" spans="1:105" ht="21" x14ac:dyDescent="0.35">
      <c r="A88" s="80"/>
      <c r="B88" s="5">
        <v>40</v>
      </c>
      <c r="C88" s="5"/>
      <c r="D88" s="5">
        <v>1.5024</v>
      </c>
      <c r="E88" s="5">
        <v>1.4961</v>
      </c>
      <c r="F88" s="6">
        <f t="shared" si="64"/>
        <v>6.2999999999999723E-3</v>
      </c>
      <c r="G88" s="5">
        <f t="shared" si="65"/>
        <v>0.41932907348242626</v>
      </c>
      <c r="H88" s="5">
        <v>0.52270000000000005</v>
      </c>
      <c r="I88" s="5">
        <f t="shared" si="66"/>
        <v>0.97339999999999993</v>
      </c>
      <c r="J88" s="5">
        <f t="shared" si="67"/>
        <v>1.2756965276350936</v>
      </c>
      <c r="K88" s="26">
        <f t="shared" si="50"/>
        <v>83.927403133887736</v>
      </c>
      <c r="L88">
        <v>10.023</v>
      </c>
      <c r="M88">
        <v>10.513</v>
      </c>
      <c r="N88">
        <v>11.89</v>
      </c>
      <c r="O88" s="5"/>
      <c r="P88" s="5"/>
      <c r="Q88" s="5"/>
      <c r="R88" s="5"/>
      <c r="S88" s="5"/>
      <c r="T88" s="5"/>
      <c r="U88" s="5"/>
      <c r="V88" s="5"/>
      <c r="W88" s="5" t="s">
        <v>68</v>
      </c>
      <c r="X88" s="5">
        <f>COUNT(D84:D90)</f>
        <v>7</v>
      </c>
      <c r="Y88" s="5">
        <f t="shared" ref="Y88:AO88" si="88">COUNT(E84:E90)</f>
        <v>7</v>
      </c>
      <c r="Z88" s="5">
        <f t="shared" si="88"/>
        <v>7</v>
      </c>
      <c r="AA88" s="5">
        <f t="shared" si="88"/>
        <v>7</v>
      </c>
      <c r="AB88" s="5">
        <f t="shared" si="88"/>
        <v>7</v>
      </c>
      <c r="AC88" s="5">
        <f t="shared" si="88"/>
        <v>7</v>
      </c>
      <c r="AD88" s="5">
        <f t="shared" si="88"/>
        <v>7</v>
      </c>
      <c r="AE88" s="25">
        <f t="shared" si="88"/>
        <v>7</v>
      </c>
      <c r="AF88" s="5">
        <f t="shared" si="88"/>
        <v>7</v>
      </c>
      <c r="AG88" s="5">
        <f t="shared" si="88"/>
        <v>7</v>
      </c>
      <c r="AH88" s="5">
        <f t="shared" si="88"/>
        <v>7</v>
      </c>
      <c r="AI88" s="5">
        <f t="shared" si="88"/>
        <v>6</v>
      </c>
      <c r="AJ88" s="5">
        <f t="shared" si="88"/>
        <v>6</v>
      </c>
      <c r="AK88" s="5">
        <f t="shared" si="88"/>
        <v>6</v>
      </c>
      <c r="AL88" s="5">
        <f t="shared" si="88"/>
        <v>6</v>
      </c>
      <c r="AM88" s="5">
        <f t="shared" si="88"/>
        <v>6</v>
      </c>
      <c r="AN88" s="25">
        <f t="shared" si="88"/>
        <v>2</v>
      </c>
      <c r="AO88" s="25">
        <f t="shared" si="88"/>
        <v>2</v>
      </c>
    </row>
    <row r="89" spans="1:105" ht="21" x14ac:dyDescent="0.35">
      <c r="A89" s="80"/>
      <c r="B89" s="5">
        <v>41</v>
      </c>
      <c r="C89" s="5"/>
      <c r="D89" s="5">
        <v>1.5014000000000001</v>
      </c>
      <c r="E89" s="5">
        <v>1.4410000000000001</v>
      </c>
      <c r="F89" s="6">
        <f t="shared" si="64"/>
        <v>6.0400000000000009E-2</v>
      </c>
      <c r="G89" s="5">
        <f t="shared" si="65"/>
        <v>4.0229119488477423</v>
      </c>
      <c r="H89" s="5">
        <v>0.55110000000000003</v>
      </c>
      <c r="I89" s="5">
        <f t="shared" si="66"/>
        <v>0.88990000000000002</v>
      </c>
      <c r="J89" s="5">
        <f t="shared" si="67"/>
        <v>1.3440049443757724</v>
      </c>
      <c r="K89" s="26">
        <f t="shared" si="50"/>
        <v>88.421377919458706</v>
      </c>
      <c r="L89">
        <v>10.118</v>
      </c>
      <c r="M89">
        <v>10.141</v>
      </c>
      <c r="N89">
        <v>11.036</v>
      </c>
      <c r="O89" s="5">
        <f t="shared" si="68"/>
        <v>1132.3668569680001</v>
      </c>
      <c r="P89" s="5">
        <f t="shared" si="69"/>
        <v>102.606638</v>
      </c>
      <c r="Q89" s="5">
        <f t="shared" si="73"/>
        <v>1.2725557897891757</v>
      </c>
      <c r="R89" s="5">
        <f t="shared" si="70"/>
        <v>0.83720775644024714</v>
      </c>
      <c r="S89" s="5">
        <f t="shared" si="71"/>
        <v>5.4613029733016374</v>
      </c>
      <c r="T89" s="5"/>
      <c r="U89" s="5"/>
      <c r="V89" s="5"/>
      <c r="W89" s="5"/>
      <c r="X89" s="5"/>
      <c r="Y89" s="5"/>
      <c r="Z89" s="16"/>
      <c r="AA89" s="5"/>
      <c r="AB89" s="5"/>
      <c r="AC89" s="5"/>
      <c r="AD89" s="5"/>
    </row>
    <row r="90" spans="1:105" s="38" customFormat="1" ht="21" x14ac:dyDescent="0.35">
      <c r="A90" s="80"/>
      <c r="B90" s="39">
        <v>42</v>
      </c>
      <c r="C90" s="39"/>
      <c r="D90" s="39">
        <v>1.7081</v>
      </c>
      <c r="E90" s="39">
        <v>1.6833</v>
      </c>
      <c r="F90" s="40">
        <f t="shared" si="64"/>
        <v>2.4799999999999933E-2</v>
      </c>
      <c r="G90" s="39">
        <f t="shared" si="65"/>
        <v>1.4519056261342973</v>
      </c>
      <c r="H90" s="39">
        <v>0.60899999999999999</v>
      </c>
      <c r="I90" s="39">
        <f t="shared" si="66"/>
        <v>1.0743</v>
      </c>
      <c r="J90" s="39">
        <f t="shared" si="67"/>
        <v>1.3005110304384249</v>
      </c>
      <c r="K90" s="26">
        <f t="shared" si="50"/>
        <v>85.559936213054272</v>
      </c>
      <c r="L90" s="38">
        <v>10.282999999999999</v>
      </c>
      <c r="M90" s="38">
        <v>10.282999999999999</v>
      </c>
      <c r="N90" s="38">
        <v>12.907</v>
      </c>
      <c r="O90" s="39">
        <f t="shared" si="68"/>
        <v>1364.7873287229997</v>
      </c>
      <c r="P90" s="39">
        <f t="shared" si="69"/>
        <v>105.74008899999998</v>
      </c>
      <c r="Q90" s="39">
        <f t="shared" si="73"/>
        <v>1.2333789774960948</v>
      </c>
      <c r="R90" s="39">
        <f t="shared" si="70"/>
        <v>0.81143353782637817</v>
      </c>
      <c r="S90" s="39">
        <f t="shared" si="71"/>
        <v>5.2987345727016937</v>
      </c>
      <c r="T90" s="39">
        <v>94</v>
      </c>
      <c r="U90" s="39">
        <v>7.46</v>
      </c>
      <c r="V90" s="39"/>
      <c r="W90" s="17"/>
      <c r="X90" s="17"/>
      <c r="Y90" s="17"/>
      <c r="Z90" s="17"/>
      <c r="AA90" s="17"/>
      <c r="AB90" s="17"/>
      <c r="AC90" s="17"/>
      <c r="AD90" s="17"/>
      <c r="AE90" s="27"/>
      <c r="AF90"/>
      <c r="AG90"/>
      <c r="AH90"/>
      <c r="AI90"/>
      <c r="AJ90"/>
      <c r="AK90"/>
      <c r="AL90"/>
      <c r="AM90"/>
      <c r="AN90" s="27"/>
      <c r="AO90" s="27"/>
      <c r="AP90"/>
      <c r="AQ90"/>
      <c r="AR90"/>
      <c r="AS90"/>
      <c r="AT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</row>
    <row r="91" spans="1:105" ht="21" customHeight="1" x14ac:dyDescent="0.35">
      <c r="A91" s="80" t="s">
        <v>126</v>
      </c>
      <c r="B91" s="7">
        <v>1</v>
      </c>
      <c r="C91" s="7"/>
      <c r="D91" s="7">
        <v>1.5002</v>
      </c>
      <c r="E91" s="7">
        <v>1.4854000000000001</v>
      </c>
      <c r="F91" s="8">
        <f t="shared" si="64"/>
        <v>1.4799999999999924E-2</v>
      </c>
      <c r="G91" s="7">
        <f t="shared" si="65"/>
        <v>0.98653512864950843</v>
      </c>
      <c r="H91" s="7">
        <v>0.6</v>
      </c>
      <c r="I91" s="7">
        <f t="shared" si="66"/>
        <v>0.88540000000000008</v>
      </c>
      <c r="J91" s="7">
        <f>E91*$J$2/I91</f>
        <v>1.3924576462615765</v>
      </c>
      <c r="K91" s="5">
        <f>(J91/$M$2)*100</f>
        <v>91.609055675103718</v>
      </c>
      <c r="L91" s="7">
        <f>AVERAGE(10.265, 10.098, 10.107, 10.239)</f>
        <v>10.177250000000001</v>
      </c>
      <c r="M91" s="7">
        <f>AVERAGE(10.179, 10.135, 9.992, 10.066)</f>
        <v>10.093</v>
      </c>
      <c r="N91" s="7">
        <f>AVERAGE(10.426, 10.284, 10.451, 10.412)</f>
        <v>10.39325</v>
      </c>
      <c r="O91" s="7">
        <f t="shared" si="68"/>
        <v>1067.5840830563125</v>
      </c>
      <c r="P91" s="7">
        <f t="shared" si="69"/>
        <v>102.71898425000001</v>
      </c>
      <c r="Q91" s="5">
        <f t="shared" si="73"/>
        <v>1.3913658170582228</v>
      </c>
      <c r="R91" s="5">
        <f t="shared" si="70"/>
        <v>0.91537224806462025</v>
      </c>
      <c r="S91" s="5">
        <f t="shared" si="71"/>
        <v>7.8440980021891898E-2</v>
      </c>
      <c r="T91" s="7">
        <v>2.8635999999999999</v>
      </c>
      <c r="U91" s="7">
        <v>70.040099999999995</v>
      </c>
      <c r="V91" s="7">
        <v>0.99970000000000003</v>
      </c>
      <c r="W91" s="31" t="s">
        <v>66</v>
      </c>
      <c r="X91" s="7">
        <f>AVERAGE(D91:D94)</f>
        <v>1.5000749999999998</v>
      </c>
      <c r="Y91" s="7">
        <f>AVERAGE(E91:E94)</f>
        <v>1.4800499999999999</v>
      </c>
      <c r="Z91" s="7">
        <f t="shared" ref="Z91:AM91" si="89">AVERAGE(F91:F94)</f>
        <v>2.0024999999999904E-2</v>
      </c>
      <c r="AA91" s="7">
        <f t="shared" si="89"/>
        <v>1.3349543425549077</v>
      </c>
      <c r="AB91" s="7">
        <f t="shared" si="89"/>
        <v>0.59335000000000004</v>
      </c>
      <c r="AC91" s="7">
        <f t="shared" si="89"/>
        <v>0.88670000000000004</v>
      </c>
      <c r="AD91" s="7">
        <f t="shared" si="89"/>
        <v>1.385447758128326</v>
      </c>
      <c r="AE91" s="7">
        <f t="shared" si="89"/>
        <v>91.147878824231967</v>
      </c>
      <c r="AF91" s="7">
        <f t="shared" si="89"/>
        <v>10.145187499999999</v>
      </c>
      <c r="AG91" s="7">
        <f t="shared" si="89"/>
        <v>10.1085625</v>
      </c>
      <c r="AH91" s="7">
        <f t="shared" si="89"/>
        <v>10.4743125</v>
      </c>
      <c r="AI91" s="7">
        <f t="shared" si="89"/>
        <v>1074.1527832528907</v>
      </c>
      <c r="AJ91" s="7">
        <f t="shared" si="89"/>
        <v>102.55297165625001</v>
      </c>
      <c r="AK91" s="7">
        <f t="shared" si="89"/>
        <v>1.3779506795857441</v>
      </c>
      <c r="AL91" s="7">
        <f t="shared" si="89"/>
        <v>0.90654649972746315</v>
      </c>
      <c r="AM91" s="7">
        <f t="shared" si="89"/>
        <v>0.54395595029504773</v>
      </c>
      <c r="AN91" s="7">
        <f>AVERAGE(U91:U94)</f>
        <v>53.869774999999997</v>
      </c>
      <c r="AO91" s="7">
        <f>AVERAGE(T91:T94)</f>
        <v>2.7729499999999998</v>
      </c>
    </row>
    <row r="92" spans="1:105" ht="21" x14ac:dyDescent="0.35">
      <c r="A92" s="80"/>
      <c r="B92" s="5">
        <v>2</v>
      </c>
      <c r="C92" s="5"/>
      <c r="D92" s="5">
        <v>1.4999</v>
      </c>
      <c r="E92" s="5">
        <v>1.4730000000000001</v>
      </c>
      <c r="F92" s="6">
        <f t="shared" si="64"/>
        <v>2.6899999999999924E-2</v>
      </c>
      <c r="G92" s="5">
        <f t="shared" si="65"/>
        <v>1.7934528968597856</v>
      </c>
      <c r="H92" s="5">
        <v>0.58609999999999995</v>
      </c>
      <c r="I92" s="5">
        <f>ABS(E92-H92)</f>
        <v>0.88690000000000013</v>
      </c>
      <c r="J92" s="5">
        <f>E92*$J$2/I92</f>
        <v>1.3784981395873266</v>
      </c>
      <c r="K92" s="5">
        <f t="shared" ref="K92:K110" si="90">(J92/$M$2)*100</f>
        <v>90.690667078113592</v>
      </c>
      <c r="L92" s="7">
        <f>AVERAGE(10.106, 10.008, 9.983, 10.209)</f>
        <v>10.076499999999999</v>
      </c>
      <c r="M92" s="7">
        <f>AVERAGE(10.228, 10.104, 10.138, 9.971)</f>
        <v>10.110250000000001</v>
      </c>
      <c r="N92" s="7">
        <f>AVERAGE(10.425, 10.63, 10.629, 10.498)</f>
        <v>10.545499999999999</v>
      </c>
      <c r="O92" s="5">
        <f t="shared" si="68"/>
        <v>1074.3326633151873</v>
      </c>
      <c r="P92" s="5">
        <f t="shared" si="69"/>
        <v>101.875934125</v>
      </c>
      <c r="Q92" s="5">
        <f t="shared" si="73"/>
        <v>1.3710836971619209</v>
      </c>
      <c r="R92" s="5">
        <f t="shared" si="70"/>
        <v>0.90202874813284273</v>
      </c>
      <c r="S92" s="5">
        <f t="shared" si="71"/>
        <v>0.53931418416493182</v>
      </c>
      <c r="T92" s="5">
        <v>2.6219999999999999</v>
      </c>
      <c r="U92" s="5">
        <v>40.808</v>
      </c>
      <c r="V92" s="5">
        <v>0.99950000000000006</v>
      </c>
      <c r="W92" s="31" t="s">
        <v>67</v>
      </c>
      <c r="X92" s="5">
        <f>_xlfn.STDEV.S(D91:D94)</f>
        <v>1.2583057392116529E-4</v>
      </c>
      <c r="Y92" s="5">
        <f t="shared" ref="Y92" si="91">_xlfn.STDEV.S(E91:E97)</f>
        <v>1.1138521745126974E-2</v>
      </c>
      <c r="Z92" s="5">
        <f t="shared" ref="Z92" si="92">_xlfn.STDEV.S(F91:F97)</f>
        <v>1.113708947188455E-2</v>
      </c>
      <c r="AA92" s="5">
        <f t="shared" ref="AA92" si="93">_xlfn.STDEV.S(G91:G97)</f>
        <v>0.74239589907331316</v>
      </c>
      <c r="AB92" s="5">
        <f t="shared" ref="AB92" si="94">_xlfn.STDEV.S(H91:H97)</f>
        <v>1.5307187854076924E-2</v>
      </c>
      <c r="AC92" s="5">
        <f t="shared" ref="AC92" si="95">_xlfn.STDEV.S(I91:I97)</f>
        <v>9.0494935401564496E-3</v>
      </c>
      <c r="AD92" s="5">
        <f t="shared" ref="AD92" si="96">_xlfn.STDEV.S(J91:J97)</f>
        <v>1.8414256656432811E-2</v>
      </c>
      <c r="AE92" s="25">
        <f t="shared" ref="AE92" si="97">_xlfn.STDEV.S(K91:K97)</f>
        <v>1.2114642537126843</v>
      </c>
      <c r="AF92" s="5">
        <f t="shared" ref="AF92" si="98">_xlfn.STDEV.S(L91:L97)</f>
        <v>4.5436638247543223E-2</v>
      </c>
      <c r="AG92" s="5">
        <f t="shared" ref="AG92" si="99">_xlfn.STDEV.S(M91:M97)</f>
        <v>3.2624076341604843E-2</v>
      </c>
      <c r="AH92" s="5">
        <f t="shared" ref="AH92" si="100">_xlfn.STDEV.S(N91:N97)</f>
        <v>0.19577441616260671</v>
      </c>
      <c r="AI92" s="5">
        <f t="shared" ref="AI92" si="101">_xlfn.STDEV.S(O91:O97)</f>
        <v>18.289642530181617</v>
      </c>
      <c r="AJ92" s="5">
        <f t="shared" ref="AJ92" si="102">_xlfn.STDEV.S(P91:P97)</f>
        <v>0.36974719125642075</v>
      </c>
      <c r="AK92" s="5">
        <f t="shared" ref="AK92" si="103">_xlfn.STDEV.S(Q91:Q97)</f>
        <v>2.8678394129677244E-2</v>
      </c>
      <c r="AL92" s="5">
        <f t="shared" ref="AL92" si="104">_xlfn.STDEV.S(R91:R97)</f>
        <v>1.8867364558998186E-2</v>
      </c>
      <c r="AM92" s="5">
        <f t="shared" ref="AM92" si="105">_xlfn.STDEV.S(S91:S97)</f>
        <v>0.81644928931629546</v>
      </c>
      <c r="AN92" s="25">
        <f>_xlfn.STDEV.S(U91:U97)</f>
        <v>14.761587450203303</v>
      </c>
      <c r="AO92" s="25">
        <f>_xlfn.STDEV.S(T91:T97)</f>
        <v>0.41347572221007428</v>
      </c>
    </row>
    <row r="93" spans="1:105" ht="21" x14ac:dyDescent="0.35">
      <c r="A93" s="80"/>
      <c r="B93" s="5">
        <v>3</v>
      </c>
      <c r="C93" s="5"/>
      <c r="D93" s="5">
        <v>1.5001</v>
      </c>
      <c r="E93" s="5">
        <v>1.4769000000000001</v>
      </c>
      <c r="F93" s="6">
        <f t="shared" si="64"/>
        <v>2.3199999999999887E-2</v>
      </c>
      <c r="G93" s="5">
        <f t="shared" si="65"/>
        <v>1.546563562429164</v>
      </c>
      <c r="H93" s="5">
        <v>0.59740000000000004</v>
      </c>
      <c r="I93" s="5">
        <f t="shared" si="66"/>
        <v>0.87950000000000006</v>
      </c>
      <c r="J93" s="5">
        <f t="shared" ref="J93:J106" si="106">E93*$J$2/I93</f>
        <v>1.3937771461057418</v>
      </c>
      <c r="K93" s="5">
        <f t="shared" si="90"/>
        <v>91.695864875377737</v>
      </c>
      <c r="L93" s="7">
        <f>AVERAGE(10.213, 10.151, 10.077, 10.31)</f>
        <v>10.187749999999999</v>
      </c>
      <c r="M93" s="7">
        <f>AVERAGE(10.152, 10.129, 10.052, 10.063)</f>
        <v>10.099</v>
      </c>
      <c r="N93" s="7">
        <f>AVERAGE(10.468, 10.266, 10.442, 10.297)</f>
        <v>10.36825</v>
      </c>
      <c r="O93" s="5">
        <f t="shared" si="68"/>
        <v>1066.7486741298126</v>
      </c>
      <c r="P93" s="5">
        <f t="shared" si="69"/>
        <v>102.88608725</v>
      </c>
      <c r="Q93" s="5">
        <f t="shared" si="73"/>
        <v>1.3844873078513675</v>
      </c>
      <c r="R93" s="5">
        <f t="shared" si="70"/>
        <v>0.91084691306011023</v>
      </c>
      <c r="S93" s="5">
        <f t="shared" si="71"/>
        <v>0.66875118681683676</v>
      </c>
      <c r="T93" s="5">
        <v>2.9674</v>
      </c>
      <c r="U93" s="5">
        <v>52.56</v>
      </c>
      <c r="V93" s="5">
        <v>0.99880000000000002</v>
      </c>
      <c r="W93" s="31" t="s">
        <v>61</v>
      </c>
      <c r="X93" s="5">
        <f>MIN(D91:D94)</f>
        <v>1.4999</v>
      </c>
      <c r="Y93" s="5">
        <f t="shared" ref="Y93" si="107">MIN(E91:E97)</f>
        <v>1.4569000000000001</v>
      </c>
      <c r="Z93" s="5">
        <f t="shared" ref="Z93" si="108">MIN(F91:F97)</f>
        <v>1.0199999999999987E-2</v>
      </c>
      <c r="AA93" s="5">
        <f t="shared" ref="AA93" si="109">MIN(G91:G97)</f>
        <v>0.67995466968868656</v>
      </c>
      <c r="AB93" s="5">
        <f t="shared" ref="AB93" si="110">MIN(H91:H97)</f>
        <v>0.55349999999999999</v>
      </c>
      <c r="AC93" s="5">
        <f t="shared" ref="AC93" si="111">MIN(I91:I97)</f>
        <v>0.87950000000000006</v>
      </c>
      <c r="AD93" s="5">
        <f t="shared" ref="AD93" si="112">MIN(J91:J97)</f>
        <v>1.3385288908567632</v>
      </c>
      <c r="AE93" s="25">
        <f t="shared" ref="AE93" si="113">MIN(K91:K97)</f>
        <v>88.061111240576523</v>
      </c>
      <c r="AF93" s="5">
        <f t="shared" ref="AF93" si="114">MIN(L91:L97)</f>
        <v>10.076499999999999</v>
      </c>
      <c r="AG93" s="5">
        <f t="shared" ref="AG93" si="115">MIN(M91:M97)</f>
        <v>10.0275</v>
      </c>
      <c r="AH93" s="5">
        <f t="shared" ref="AH93" si="116">MIN(N91:N97)</f>
        <v>10.36825</v>
      </c>
      <c r="AI93" s="5">
        <f t="shared" ref="AI93" si="117">MIN(O91:O97)</f>
        <v>1066.7486741298126</v>
      </c>
      <c r="AJ93" s="5">
        <f t="shared" ref="AJ93" si="118">MIN(P91:P97)</f>
        <v>101.875934125</v>
      </c>
      <c r="AK93" s="5">
        <f t="shared" ref="AK93" si="119">MIN(Q91:Q97)</f>
        <v>1.3031786754423533</v>
      </c>
      <c r="AL93" s="5">
        <f t="shared" ref="AL93" si="120">MIN(R91:R97)</f>
        <v>0.85735439173839034</v>
      </c>
      <c r="AM93" s="5">
        <f t="shared" ref="AM93" si="121">MIN(S91:S97)</f>
        <v>7.8440980021891898E-2</v>
      </c>
      <c r="AN93" s="25">
        <f>MIN(U91:U97)</f>
        <v>23.757400000000001</v>
      </c>
      <c r="AO93" s="25">
        <f>MIN(T91:T97)</f>
        <v>1.7082999999999999</v>
      </c>
    </row>
    <row r="94" spans="1:105" ht="21" x14ac:dyDescent="0.35">
      <c r="A94" s="80"/>
      <c r="B94" s="5">
        <v>4</v>
      </c>
      <c r="C94" s="5"/>
      <c r="D94" s="5">
        <v>1.5001</v>
      </c>
      <c r="E94" s="5">
        <v>1.4849000000000001</v>
      </c>
      <c r="F94" s="6">
        <f t="shared" si="64"/>
        <v>1.519999999999988E-2</v>
      </c>
      <c r="G94" s="5">
        <f t="shared" si="65"/>
        <v>1.0132657822811733</v>
      </c>
      <c r="H94" s="5">
        <v>0.58989999999999998</v>
      </c>
      <c r="I94" s="5">
        <f t="shared" si="66"/>
        <v>0.89500000000000013</v>
      </c>
      <c r="J94" s="5">
        <f t="shared" si="106"/>
        <v>1.3770581005586591</v>
      </c>
      <c r="K94" s="5">
        <f t="shared" si="90"/>
        <v>90.595927668332834</v>
      </c>
      <c r="L94" s="7">
        <f>AVERAGE(10.117, 10.062, 10.292, 10.086)</f>
        <v>10.139250000000001</v>
      </c>
      <c r="M94" s="7">
        <f>AVERAGE(10.153, 10.211, 10.105, 10.059)</f>
        <v>10.132</v>
      </c>
      <c r="N94" s="7">
        <f>AVERAGE(10.543, 10.53, 10.663, 10.625)</f>
        <v>10.590250000000001</v>
      </c>
      <c r="O94" s="5">
        <f t="shared" si="68"/>
        <v>1087.9457125102501</v>
      </c>
      <c r="P94" s="5">
        <f t="shared" si="69"/>
        <v>102.730881</v>
      </c>
      <c r="Q94" s="5">
        <f t="shared" si="73"/>
        <v>1.364865896271465</v>
      </c>
      <c r="R94" s="5">
        <f t="shared" si="70"/>
        <v>0.89793808965227961</v>
      </c>
      <c r="S94" s="5">
        <f t="shared" si="71"/>
        <v>0.88931745017653019</v>
      </c>
      <c r="T94" s="5">
        <v>2.6387999999999998</v>
      </c>
      <c r="U94" s="5">
        <v>52.070999999999998</v>
      </c>
      <c r="V94" s="5">
        <v>0.999</v>
      </c>
      <c r="W94" s="31" t="s">
        <v>62</v>
      </c>
      <c r="X94" s="5">
        <f>MAX(D91:D94)</f>
        <v>1.5002</v>
      </c>
      <c r="Y94" s="5">
        <f t="shared" ref="Y94" si="122">MAX(E91:E97)</f>
        <v>1.4899</v>
      </c>
      <c r="Z94" s="5">
        <f t="shared" ref="Z94" si="123">MAX(F91:F97)</f>
        <v>4.3299999999999894E-2</v>
      </c>
      <c r="AA94" s="5">
        <f t="shared" ref="AA94" si="124">MAX(G91:G97)</f>
        <v>2.8862818290894476</v>
      </c>
      <c r="AB94" s="5">
        <f t="shared" ref="AB94" si="125">MAX(H91:H97)</f>
        <v>0.6</v>
      </c>
      <c r="AC94" s="5">
        <f t="shared" ref="AC94" si="126">MAX(I91:I97)</f>
        <v>0.90340000000000009</v>
      </c>
      <c r="AD94" s="5">
        <f t="shared" ref="AD94" si="127">MAX(J91:J97)</f>
        <v>1.3937771461057418</v>
      </c>
      <c r="AE94" s="25">
        <f t="shared" ref="AE94" si="128">MAX(K91:K97)</f>
        <v>91.695864875377737</v>
      </c>
      <c r="AF94" s="5">
        <f t="shared" ref="AF94" si="129">MAX(L91:L97)</f>
        <v>10.202999999999999</v>
      </c>
      <c r="AG94" s="5">
        <f t="shared" ref="AG94" si="130">MAX(M91:M97)</f>
        <v>10.132</v>
      </c>
      <c r="AH94" s="5">
        <f t="shared" ref="AH94" si="131">MAX(N91:N97)</f>
        <v>10.92925</v>
      </c>
      <c r="AI94" s="5">
        <f t="shared" ref="AI94" si="132">MAX(O91:O97)</f>
        <v>1117.9587476793752</v>
      </c>
      <c r="AJ94" s="5">
        <f t="shared" ref="AJ94" si="133">MAX(P91:P97)</f>
        <v>102.88608725</v>
      </c>
      <c r="AK94" s="5">
        <f t="shared" ref="AK94" si="134">MAX(Q91:Q97)</f>
        <v>1.3913658170582228</v>
      </c>
      <c r="AL94" s="5">
        <f t="shared" ref="AL94" si="135">MAX(R91:R97)</f>
        <v>0.91537224806462025</v>
      </c>
      <c r="AM94" s="5">
        <f t="shared" ref="AM94" si="136">MAX(S91:S97)</f>
        <v>2.6763155668992931</v>
      </c>
      <c r="AN94" s="25">
        <f>MAX(U91:U97)</f>
        <v>70.040099999999995</v>
      </c>
      <c r="AO94" s="25">
        <f>MAX(T91:T97)</f>
        <v>2.9674</v>
      </c>
    </row>
    <row r="95" spans="1:105" ht="21" customHeight="1" x14ac:dyDescent="0.35">
      <c r="A95" s="80" t="s">
        <v>128</v>
      </c>
      <c r="B95" s="7">
        <v>6</v>
      </c>
      <c r="C95" s="7"/>
      <c r="D95" s="7">
        <v>1.5</v>
      </c>
      <c r="E95" s="7">
        <v>1.472</v>
      </c>
      <c r="F95" s="8">
        <f t="shared" si="64"/>
        <v>2.8000000000000025E-2</v>
      </c>
      <c r="G95" s="7">
        <f t="shared" si="65"/>
        <v>1.8666666666666683</v>
      </c>
      <c r="H95" s="7">
        <v>0.58709999999999996</v>
      </c>
      <c r="I95" s="7">
        <f t="shared" si="66"/>
        <v>0.88490000000000002</v>
      </c>
      <c r="J95" s="7">
        <f t="shared" si="106"/>
        <v>1.3806757825743021</v>
      </c>
      <c r="K95" s="7">
        <f t="shared" si="90"/>
        <v>90.833933064098829</v>
      </c>
      <c r="L95" s="7">
        <f>AVERAGE(10.322, 10.145, 10.08, 10.265)</f>
        <v>10.202999999999999</v>
      </c>
      <c r="M95" s="7">
        <f>AVERAGE(10.201, 10.133, 9.969, 9.999)</f>
        <v>10.0755</v>
      </c>
      <c r="N95" s="7">
        <f>AVERAGE(10.454, 10.501, 10.48, 10.479)</f>
        <v>10.4785</v>
      </c>
      <c r="O95" s="7">
        <f t="shared" si="68"/>
        <v>1077.1932212302499</v>
      </c>
      <c r="P95" s="7">
        <f t="shared" si="69"/>
        <v>102.8003265</v>
      </c>
      <c r="Q95" s="5">
        <f t="shared" si="73"/>
        <v>1.3665143550744274</v>
      </c>
      <c r="R95" s="5">
        <f t="shared" si="70"/>
        <v>0.89902260202264961</v>
      </c>
      <c r="S95" s="5">
        <f t="shared" si="71"/>
        <v>1.0309754178132871</v>
      </c>
      <c r="T95" s="7">
        <v>2.7553999999999998</v>
      </c>
      <c r="U95" s="7">
        <v>59.275399999999998</v>
      </c>
      <c r="V95" s="7">
        <v>0.99990000000000001</v>
      </c>
      <c r="W95" s="31" t="s">
        <v>66</v>
      </c>
      <c r="X95" s="7">
        <f>AVERAGE(D95:D98)</f>
        <v>1.5000749999999998</v>
      </c>
      <c r="Y95" s="7">
        <f t="shared" ref="Y95:AM95" si="137">AVERAGE(E95:E98)</f>
        <v>1.4741</v>
      </c>
      <c r="Z95" s="7">
        <f t="shared" si="137"/>
        <v>2.597499999999997E-2</v>
      </c>
      <c r="AA95" s="7">
        <f t="shared" si="137"/>
        <v>1.7315591246945337</v>
      </c>
      <c r="AB95" s="7">
        <f t="shared" si="137"/>
        <v>0.57994999999999997</v>
      </c>
      <c r="AC95" s="7">
        <f t="shared" si="137"/>
        <v>0.89415</v>
      </c>
      <c r="AD95" s="7">
        <f t="shared" si="137"/>
        <v>1.3684713100626378</v>
      </c>
      <c r="AE95" s="7">
        <f t="shared" si="137"/>
        <v>90.031007240963007</v>
      </c>
      <c r="AF95" s="7">
        <f t="shared" si="137"/>
        <v>10.175062499999999</v>
      </c>
      <c r="AG95" s="7">
        <f t="shared" si="137"/>
        <v>10.071687499999999</v>
      </c>
      <c r="AH95" s="7">
        <f t="shared" si="137"/>
        <v>10.667562499999999</v>
      </c>
      <c r="AI95" s="7">
        <f t="shared" si="137"/>
        <v>1093.1753534553557</v>
      </c>
      <c r="AJ95" s="7">
        <f t="shared" si="137"/>
        <v>102.47953817187501</v>
      </c>
      <c r="AK95" s="7">
        <f t="shared" si="137"/>
        <v>1.348816860987724</v>
      </c>
      <c r="AL95" s="7">
        <f t="shared" si="137"/>
        <v>0.88737951380771307</v>
      </c>
      <c r="AM95" s="7">
        <f t="shared" si="137"/>
        <v>1.4576824002021072</v>
      </c>
      <c r="AN95" s="7">
        <f>AVERAGE(U95:U98)</f>
        <v>58.718024999999997</v>
      </c>
      <c r="AO95" s="7">
        <f>AVERAGE(T95:T98)</f>
        <v>2.5384000000000002</v>
      </c>
    </row>
    <row r="96" spans="1:105" ht="21" customHeight="1" x14ac:dyDescent="0.35">
      <c r="A96" s="80"/>
      <c r="B96" s="5">
        <v>7</v>
      </c>
      <c r="C96" s="5"/>
      <c r="D96" s="5">
        <v>1.5001</v>
      </c>
      <c r="E96" s="5">
        <v>1.4899</v>
      </c>
      <c r="F96" s="6">
        <f t="shared" si="64"/>
        <v>1.0199999999999987E-2</v>
      </c>
      <c r="G96" s="5">
        <f t="shared" si="65"/>
        <v>0.67995466968868656</v>
      </c>
      <c r="H96" s="5">
        <v>0.5887</v>
      </c>
      <c r="I96" s="5">
        <f t="shared" si="66"/>
        <v>0.9012</v>
      </c>
      <c r="J96" s="5">
        <f t="shared" si="106"/>
        <v>1.3721893031513537</v>
      </c>
      <c r="K96" s="5">
        <f t="shared" si="90"/>
        <v>90.27561204943116</v>
      </c>
      <c r="L96" s="7">
        <f>AVERAGE(10.173, 10.124, 10.215, 10.049)</f>
        <v>10.14025</v>
      </c>
      <c r="M96" s="7">
        <f>AVERAGE(10.119, 10.14, 10.061, 10.027)</f>
        <v>10.08675</v>
      </c>
      <c r="N96" s="7">
        <f>AVERAGE(10.736, 10.695, 10.727, 10.683)</f>
        <v>10.71025</v>
      </c>
      <c r="O96" s="5">
        <f t="shared" si="68"/>
        <v>1095.4675757647969</v>
      </c>
      <c r="P96" s="5">
        <f t="shared" si="69"/>
        <v>102.28216668750001</v>
      </c>
      <c r="Q96" s="5">
        <f t="shared" si="73"/>
        <v>1.3600585110516223</v>
      </c>
      <c r="R96" s="5">
        <f t="shared" si="70"/>
        <v>0.89477533621817262</v>
      </c>
      <c r="S96" s="5">
        <f t="shared" si="71"/>
        <v>0.88797158417857558</v>
      </c>
      <c r="T96" s="5">
        <v>2.6133000000000002</v>
      </c>
      <c r="U96" s="5">
        <v>56.246000000000002</v>
      </c>
      <c r="V96" s="5">
        <v>0.99880000000000002</v>
      </c>
      <c r="W96" s="31" t="s">
        <v>67</v>
      </c>
      <c r="X96" s="5">
        <f>_xlfn.STDEV.S(D95:D98)</f>
        <v>9.5742710775623274E-5</v>
      </c>
      <c r="Y96" s="5">
        <f t="shared" ref="Y96:AM96" si="138">_xlfn.STDEV.S(E95:E98)</f>
        <v>1.3688681455859771E-2</v>
      </c>
      <c r="Z96" s="5">
        <f t="shared" si="138"/>
        <v>1.3734233384745789E-2</v>
      </c>
      <c r="AA96" s="5">
        <f t="shared" si="138"/>
        <v>0.91547110447766533</v>
      </c>
      <c r="AB96" s="5">
        <f t="shared" si="138"/>
        <v>1.7687943162881699E-2</v>
      </c>
      <c r="AC96" s="5">
        <f t="shared" si="138"/>
        <v>9.4961395665116004E-3</v>
      </c>
      <c r="AD96" s="5">
        <f t="shared" si="138"/>
        <v>2.0460369733513707E-2</v>
      </c>
      <c r="AE96" s="5">
        <f t="shared" si="138"/>
        <v>1.3460769561522186</v>
      </c>
      <c r="AF96" s="5">
        <f t="shared" si="138"/>
        <v>3.1772875617419184E-2</v>
      </c>
      <c r="AG96" s="5">
        <f t="shared" si="138"/>
        <v>3.0739073261893068E-2</v>
      </c>
      <c r="AH96" s="5">
        <f t="shared" si="138"/>
        <v>0.19945272779533499</v>
      </c>
      <c r="AI96" s="5">
        <f t="shared" si="138"/>
        <v>18.238830892170295</v>
      </c>
      <c r="AJ96" s="5">
        <f t="shared" si="138"/>
        <v>0.24623040610801114</v>
      </c>
      <c r="AK96" s="5">
        <f t="shared" si="138"/>
        <v>3.055747566191681E-2</v>
      </c>
      <c r="AL96" s="5">
        <f t="shared" si="138"/>
        <v>2.0103602409155805E-2</v>
      </c>
      <c r="AM96" s="5">
        <f t="shared" si="138"/>
        <v>0.82484255620693048</v>
      </c>
      <c r="AN96" s="5">
        <f>_xlfn.STDEV.S(U95:U98)</f>
        <v>29.373756888349057</v>
      </c>
      <c r="AO96" s="5">
        <f>_xlfn.STDEV.S(T95:T98)</f>
        <v>0.58635150436122019</v>
      </c>
    </row>
    <row r="97" spans="1:41" ht="21" x14ac:dyDescent="0.35">
      <c r="A97" s="80"/>
      <c r="B97" s="5">
        <v>8</v>
      </c>
      <c r="C97" s="5"/>
      <c r="D97" s="5">
        <v>1.5002</v>
      </c>
      <c r="E97" s="5">
        <v>1.4569000000000001</v>
      </c>
      <c r="F97" s="6">
        <f t="shared" si="64"/>
        <v>4.3299999999999894E-2</v>
      </c>
      <c r="G97" s="5">
        <f t="shared" si="65"/>
        <v>2.8862818290894476</v>
      </c>
      <c r="H97" s="5">
        <v>0.55349999999999999</v>
      </c>
      <c r="I97" s="5">
        <f t="shared" si="66"/>
        <v>0.90340000000000009</v>
      </c>
      <c r="J97" s="5">
        <f t="shared" si="106"/>
        <v>1.3385288908567632</v>
      </c>
      <c r="K97" s="5">
        <f t="shared" si="90"/>
        <v>88.061111240576523</v>
      </c>
      <c r="L97" s="7">
        <f>AVERAGE(10.069, 10.634, 10.063, 10.038)</f>
        <v>10.201000000000001</v>
      </c>
      <c r="M97" s="7">
        <f>AVERAGE(10.094, 10.114, 9.895, 10.007)</f>
        <v>10.0275</v>
      </c>
      <c r="N97" s="7">
        <f>AVERAGE(10.993, 10.755, 11.04, 10.929)</f>
        <v>10.92925</v>
      </c>
      <c r="O97" s="5">
        <f t="shared" si="68"/>
        <v>1117.9587476793752</v>
      </c>
      <c r="P97" s="5">
        <f t="shared" si="69"/>
        <v>102.29052750000001</v>
      </c>
      <c r="Q97" s="5">
        <f t="shared" si="73"/>
        <v>1.3031786754423533</v>
      </c>
      <c r="R97" s="5">
        <f t="shared" si="70"/>
        <v>0.85735439173839034</v>
      </c>
      <c r="S97" s="5">
        <f t="shared" si="71"/>
        <v>2.6763155668992931</v>
      </c>
      <c r="T97" s="5">
        <v>1.7082999999999999</v>
      </c>
      <c r="U97" s="5">
        <v>23.757400000000001</v>
      </c>
      <c r="V97" s="5">
        <v>1</v>
      </c>
      <c r="W97" s="31" t="s">
        <v>61</v>
      </c>
      <c r="X97" s="5">
        <f>MIN(D95:D98)</f>
        <v>1.5</v>
      </c>
      <c r="Y97" s="5">
        <f t="shared" ref="Y97:AM97" si="139">MIN(E95:E98)</f>
        <v>1.4569000000000001</v>
      </c>
      <c r="Z97" s="5">
        <f t="shared" si="139"/>
        <v>1.0199999999999987E-2</v>
      </c>
      <c r="AA97" s="5">
        <f t="shared" si="139"/>
        <v>0.67995466968868656</v>
      </c>
      <c r="AB97" s="5">
        <f t="shared" si="139"/>
        <v>0.55349999999999999</v>
      </c>
      <c r="AC97" s="5">
        <f t="shared" si="139"/>
        <v>0.88490000000000002</v>
      </c>
      <c r="AD97" s="5">
        <f t="shared" si="139"/>
        <v>1.3385288908567632</v>
      </c>
      <c r="AE97" s="5">
        <f t="shared" si="139"/>
        <v>88.061111240576523</v>
      </c>
      <c r="AF97" s="5">
        <f t="shared" si="139"/>
        <v>10.14025</v>
      </c>
      <c r="AG97" s="5">
        <f t="shared" si="139"/>
        <v>10.0275</v>
      </c>
      <c r="AH97" s="5">
        <f t="shared" si="139"/>
        <v>10.4785</v>
      </c>
      <c r="AI97" s="5">
        <f t="shared" si="139"/>
        <v>1077.1932212302499</v>
      </c>
      <c r="AJ97" s="5">
        <f t="shared" si="139"/>
        <v>102.28216668750001</v>
      </c>
      <c r="AK97" s="5">
        <f t="shared" si="139"/>
        <v>1.3031786754423533</v>
      </c>
      <c r="AL97" s="5">
        <f t="shared" si="139"/>
        <v>0.85735439173839034</v>
      </c>
      <c r="AM97" s="5">
        <f t="shared" si="139"/>
        <v>0.88797158417857558</v>
      </c>
      <c r="AN97" s="5">
        <f>MIN(U95:U98)</f>
        <v>23.757400000000001</v>
      </c>
      <c r="AO97" s="5">
        <f>MIN(T95:T98)</f>
        <v>1.7082999999999999</v>
      </c>
    </row>
    <row r="98" spans="1:41" ht="21" x14ac:dyDescent="0.35">
      <c r="A98" s="80"/>
      <c r="B98" s="5">
        <v>9</v>
      </c>
      <c r="C98" s="5"/>
      <c r="D98" s="6">
        <v>1.5</v>
      </c>
      <c r="E98" s="5">
        <v>1.4776</v>
      </c>
      <c r="F98" s="6">
        <f t="shared" si="64"/>
        <v>2.2399999999999975E-2</v>
      </c>
      <c r="G98" s="5">
        <f t="shared" si="65"/>
        <v>1.4933333333333318</v>
      </c>
      <c r="H98" s="5">
        <v>0.59050000000000002</v>
      </c>
      <c r="I98" s="5">
        <f t="shared" si="66"/>
        <v>0.8871</v>
      </c>
      <c r="J98" s="5">
        <f t="shared" si="106"/>
        <v>1.3824912636681321</v>
      </c>
      <c r="K98" s="5">
        <f t="shared" si="90"/>
        <v>90.953372609745529</v>
      </c>
      <c r="L98" s="7">
        <f>AVERAGE(10.153, 10.136, 10.259, 10.076)</f>
        <v>10.156000000000001</v>
      </c>
      <c r="M98" s="7">
        <f>AVERAGE(10.106, 10.189, 10.024, 10.069)</f>
        <v>10.097000000000001</v>
      </c>
      <c r="N98" s="7">
        <f>AVERAGE(10.572, 10.551, 10.477, 10.609)</f>
        <v>10.552249999999999</v>
      </c>
      <c r="O98" s="5">
        <f t="shared" si="68"/>
        <v>1082.0818691470001</v>
      </c>
      <c r="P98" s="5">
        <f t="shared" si="69"/>
        <v>102.54513200000002</v>
      </c>
      <c r="Q98" s="5">
        <f t="shared" si="73"/>
        <v>1.3655159023824923</v>
      </c>
      <c r="R98" s="5">
        <f t="shared" si="70"/>
        <v>0.89836572525163971</v>
      </c>
      <c r="S98" s="5">
        <f t="shared" si="71"/>
        <v>1.2354670319172734</v>
      </c>
      <c r="T98" s="5">
        <v>3.0766</v>
      </c>
      <c r="U98" s="5">
        <v>95.593299999999999</v>
      </c>
      <c r="V98" s="5">
        <v>0.99980000000000002</v>
      </c>
      <c r="W98" s="31" t="s">
        <v>62</v>
      </c>
      <c r="X98" s="5">
        <f>MAX(D95:D98)</f>
        <v>1.5002</v>
      </c>
      <c r="Y98" s="5">
        <f t="shared" ref="Y98:AM98" si="140">MAX(E95:E98)</f>
        <v>1.4899</v>
      </c>
      <c r="Z98" s="5">
        <f t="shared" si="140"/>
        <v>4.3299999999999894E-2</v>
      </c>
      <c r="AA98" s="5">
        <f t="shared" si="140"/>
        <v>2.8862818290894476</v>
      </c>
      <c r="AB98" s="5">
        <f t="shared" si="140"/>
        <v>0.59050000000000002</v>
      </c>
      <c r="AC98" s="5">
        <f t="shared" si="140"/>
        <v>0.90340000000000009</v>
      </c>
      <c r="AD98" s="5">
        <f t="shared" si="140"/>
        <v>1.3824912636681321</v>
      </c>
      <c r="AE98" s="5">
        <f t="shared" si="140"/>
        <v>90.953372609745529</v>
      </c>
      <c r="AF98" s="5">
        <f t="shared" si="140"/>
        <v>10.202999999999999</v>
      </c>
      <c r="AG98" s="5">
        <f t="shared" si="140"/>
        <v>10.097000000000001</v>
      </c>
      <c r="AH98" s="5">
        <f t="shared" si="140"/>
        <v>10.92925</v>
      </c>
      <c r="AI98" s="5">
        <f t="shared" si="140"/>
        <v>1117.9587476793752</v>
      </c>
      <c r="AJ98" s="5">
        <f t="shared" si="140"/>
        <v>102.8003265</v>
      </c>
      <c r="AK98" s="5">
        <f t="shared" si="140"/>
        <v>1.3665143550744274</v>
      </c>
      <c r="AL98" s="5">
        <f t="shared" si="140"/>
        <v>0.89902260202264961</v>
      </c>
      <c r="AM98" s="5">
        <f t="shared" si="140"/>
        <v>2.6763155668992931</v>
      </c>
      <c r="AN98" s="5">
        <f>MAX(U95:U98)</f>
        <v>95.593299999999999</v>
      </c>
      <c r="AO98" s="5">
        <f>MAX(T95:T98)</f>
        <v>3.0766</v>
      </c>
    </row>
    <row r="99" spans="1:41" ht="21" customHeight="1" x14ac:dyDescent="0.35">
      <c r="A99" s="80" t="s">
        <v>127</v>
      </c>
      <c r="B99" s="5">
        <v>11</v>
      </c>
      <c r="C99" s="7"/>
      <c r="D99" s="7">
        <v>1.4999</v>
      </c>
      <c r="E99" s="7">
        <v>1.4867999999999999</v>
      </c>
      <c r="F99" s="8">
        <f t="shared" si="64"/>
        <v>1.3100000000000112E-2</v>
      </c>
      <c r="G99" s="7">
        <f t="shared" si="65"/>
        <v>0.87339155943730318</v>
      </c>
      <c r="H99" s="7">
        <v>0.60350000000000004</v>
      </c>
      <c r="I99" s="7">
        <f t="shared" si="66"/>
        <v>0.88329999999999986</v>
      </c>
      <c r="J99" s="7">
        <f t="shared" si="106"/>
        <v>1.3970836635344732</v>
      </c>
      <c r="K99" s="5">
        <f t="shared" si="90"/>
        <v>91.913398916741656</v>
      </c>
      <c r="L99" s="7">
        <f>AVERAGE(10.126, 10.068, 10.099, 10.257)</f>
        <v>10.137499999999999</v>
      </c>
      <c r="M99" s="7">
        <f>AVERAGE(10.276, 10.184, 10.253, 10.104)</f>
        <v>10.20425</v>
      </c>
      <c r="N99" s="7">
        <f>AVERAGE(10.365, 10.386, 10.382, 10.399)</f>
        <v>10.382999999999999</v>
      </c>
      <c r="O99" s="7">
        <f t="shared" si="68"/>
        <v>1074.0755025656249</v>
      </c>
      <c r="P99" s="7">
        <f t="shared" si="69"/>
        <v>103.445584375</v>
      </c>
      <c r="Q99" s="5">
        <f t="shared" si="73"/>
        <v>1.3842602279341696</v>
      </c>
      <c r="R99" s="5">
        <f t="shared" si="70"/>
        <v>0.91069751837774315</v>
      </c>
      <c r="S99" s="5">
        <f t="shared" si="71"/>
        <v>0.92210356580770969</v>
      </c>
      <c r="T99" s="7">
        <v>2.7711000000000001</v>
      </c>
      <c r="U99" s="7">
        <v>65.148899999999998</v>
      </c>
      <c r="V99" s="7">
        <v>0.99970000000000003</v>
      </c>
      <c r="W99" s="31" t="s">
        <v>66</v>
      </c>
      <c r="X99" s="7">
        <f>AVERAGE(D99:D102)</f>
        <v>1.4998749999999998</v>
      </c>
      <c r="Y99" s="7">
        <f t="shared" ref="Y99:AM99" si="141">AVERAGE(E99:E102)</f>
        <v>1.4728999999999999</v>
      </c>
      <c r="Z99" s="7">
        <f t="shared" si="141"/>
        <v>2.6975000000000082E-2</v>
      </c>
      <c r="AA99" s="7">
        <f t="shared" si="141"/>
        <v>1.7984819026162451</v>
      </c>
      <c r="AB99" s="7">
        <f t="shared" si="141"/>
        <v>0.57990000000000008</v>
      </c>
      <c r="AC99" s="7">
        <f t="shared" si="141"/>
        <v>0.8929999999999999</v>
      </c>
      <c r="AD99" s="7">
        <f t="shared" si="141"/>
        <v>1.3691268175724089</v>
      </c>
      <c r="AE99" s="7">
        <f t="shared" si="141"/>
        <v>90.074132735026922</v>
      </c>
      <c r="AF99" s="7">
        <f t="shared" si="141"/>
        <v>10.1380625</v>
      </c>
      <c r="AG99" s="7">
        <f t="shared" si="141"/>
        <v>10.1313125</v>
      </c>
      <c r="AH99" s="7">
        <f t="shared" si="141"/>
        <v>10.6353125</v>
      </c>
      <c r="AI99" s="7">
        <f t="shared" si="141"/>
        <v>1092.262644062914</v>
      </c>
      <c r="AJ99" s="7">
        <f t="shared" si="141"/>
        <v>102.70773803125</v>
      </c>
      <c r="AK99" s="7">
        <f t="shared" si="141"/>
        <v>1.3487022130540218</v>
      </c>
      <c r="AL99" s="7">
        <f t="shared" si="141"/>
        <v>0.88730408753554069</v>
      </c>
      <c r="AM99" s="7">
        <f t="shared" si="141"/>
        <v>1.5069994194454768</v>
      </c>
      <c r="AN99" s="7">
        <f>AVERAGE(U99:U102)</f>
        <v>38.224424999999997</v>
      </c>
      <c r="AO99" s="7">
        <f>AVERAGE(T99:T102)</f>
        <v>2.334225</v>
      </c>
    </row>
    <row r="100" spans="1:41" ht="21" x14ac:dyDescent="0.35">
      <c r="A100" s="80"/>
      <c r="B100" s="5">
        <v>12</v>
      </c>
      <c r="C100" s="5"/>
      <c r="D100" s="5">
        <v>1.4999</v>
      </c>
      <c r="E100" s="5">
        <v>1.4603999999999999</v>
      </c>
      <c r="F100" s="6">
        <f t="shared" si="64"/>
        <v>3.9500000000000091E-2</v>
      </c>
      <c r="G100" s="5">
        <f t="shared" si="65"/>
        <v>2.6335089005933789</v>
      </c>
      <c r="H100" s="5">
        <v>0.5716</v>
      </c>
      <c r="I100" s="5">
        <f t="shared" si="66"/>
        <v>0.88879999999999992</v>
      </c>
      <c r="J100" s="5">
        <f t="shared" si="106"/>
        <v>1.3637848784878486</v>
      </c>
      <c r="K100" s="5">
        <f t="shared" si="90"/>
        <v>89.722689374200556</v>
      </c>
      <c r="L100" s="7">
        <f>AVERAGE(10.244, 10.132, 10.082,10.005)</f>
        <v>10.11575</v>
      </c>
      <c r="M100" s="7">
        <f>AVERAGE(10.136, 10.177, 9.877, 10.096)</f>
        <v>10.0715</v>
      </c>
      <c r="N100" s="7">
        <f>AVERAGE(10.51, 10.796, 10.77, 10.637)</f>
        <v>10.678249999999998</v>
      </c>
      <c r="O100" s="5">
        <f t="shared" si="68"/>
        <v>1087.9083976567813</v>
      </c>
      <c r="P100" s="5">
        <f t="shared" si="69"/>
        <v>101.88077612500001</v>
      </c>
      <c r="Q100" s="5">
        <f t="shared" si="73"/>
        <v>1.3423924322539644</v>
      </c>
      <c r="R100" s="5">
        <f t="shared" si="70"/>
        <v>0.88315291595655554</v>
      </c>
      <c r="S100" s="5">
        <f t="shared" si="71"/>
        <v>1.5810084689550574</v>
      </c>
      <c r="T100" s="5">
        <v>2.3763999999999998</v>
      </c>
      <c r="U100" s="5">
        <v>30.666899999999998</v>
      </c>
      <c r="V100" s="5">
        <v>0.99780000000000002</v>
      </c>
      <c r="W100" s="31" t="s">
        <v>67</v>
      </c>
      <c r="X100" s="5">
        <f>_xlfn.STDEV.S(D99:D102)</f>
        <v>4.9999999999994493E-5</v>
      </c>
      <c r="Y100" s="5">
        <f t="shared" ref="Y100:AM100" si="142">_xlfn.STDEV.S(E99:E102)</f>
        <v>1.0907489781491119E-2</v>
      </c>
      <c r="Z100" s="5">
        <f t="shared" si="142"/>
        <v>1.0910965432383443E-2</v>
      </c>
      <c r="AA100" s="5">
        <f t="shared" si="142"/>
        <v>0.72744207718571374</v>
      </c>
      <c r="AB100" s="5">
        <f t="shared" si="142"/>
        <v>1.6096997649665403E-2</v>
      </c>
      <c r="AC100" s="5">
        <f t="shared" si="142"/>
        <v>9.6460700114952037E-3</v>
      </c>
      <c r="AD100" s="5">
        <f t="shared" si="142"/>
        <v>1.9773032945061893E-2</v>
      </c>
      <c r="AE100" s="5">
        <f t="shared" si="142"/>
        <v>1.3008574305961746</v>
      </c>
      <c r="AF100" s="5">
        <f t="shared" si="142"/>
        <v>9.8659214597521833E-2</v>
      </c>
      <c r="AG100" s="5">
        <f t="shared" si="142"/>
        <v>8.1669398338667862E-2</v>
      </c>
      <c r="AH100" s="5">
        <f t="shared" si="142"/>
        <v>0.177155460801147</v>
      </c>
      <c r="AI100" s="5">
        <f t="shared" si="142"/>
        <v>14.214403420783272</v>
      </c>
      <c r="AJ100" s="5">
        <f t="shared" si="142"/>
        <v>0.74028810673270407</v>
      </c>
      <c r="AK100" s="5">
        <f t="shared" si="142"/>
        <v>2.402857875198925E-2</v>
      </c>
      <c r="AL100" s="5">
        <f t="shared" si="142"/>
        <v>1.5808275494729775E-2</v>
      </c>
      <c r="AM100" s="5">
        <f t="shared" si="142"/>
        <v>0.60864117704074228</v>
      </c>
      <c r="AN100" s="5">
        <f>_xlfn.STDEV.S(U99:U102)</f>
        <v>18.005879535561899</v>
      </c>
      <c r="AO100" s="5">
        <f>_xlfn.STDEV.S(T99:T102)</f>
        <v>0.32009731202661895</v>
      </c>
    </row>
    <row r="101" spans="1:41" ht="21" customHeight="1" x14ac:dyDescent="0.35">
      <c r="A101" s="80"/>
      <c r="B101" s="5">
        <v>13</v>
      </c>
      <c r="C101" s="5"/>
      <c r="D101" s="5">
        <v>1.4999</v>
      </c>
      <c r="E101" s="5">
        <v>1.4703999999999999</v>
      </c>
      <c r="F101" s="6">
        <f t="shared" si="64"/>
        <v>2.9500000000000082E-2</v>
      </c>
      <c r="G101" s="5">
        <f t="shared" si="65"/>
        <v>1.9667977865191069</v>
      </c>
      <c r="H101" s="5">
        <v>0.57640000000000002</v>
      </c>
      <c r="I101" s="5">
        <f t="shared" si="66"/>
        <v>0.89399999999999991</v>
      </c>
      <c r="J101" s="5">
        <f t="shared" si="106"/>
        <v>1.3651364653243849</v>
      </c>
      <c r="K101" s="5">
        <f t="shared" si="90"/>
        <v>89.811609560814802</v>
      </c>
      <c r="L101" s="7">
        <f>AVERAGE(10.251, 10.298, 10.251, 10.275)</f>
        <v>10.268749999999999</v>
      </c>
      <c r="M101" s="7">
        <f>AVERAGE(10.174, 10.115, 9.906, 10.007)</f>
        <v>10.0505</v>
      </c>
      <c r="N101" s="7">
        <f>AVERAGE(10.717, 10.57, 10.639, 10.802)</f>
        <v>10.681999999999999</v>
      </c>
      <c r="O101" s="5">
        <f t="shared" si="68"/>
        <v>1102.4472597687495</v>
      </c>
      <c r="P101" s="5">
        <f t="shared" si="69"/>
        <v>103.20607187499998</v>
      </c>
      <c r="Q101" s="5">
        <f t="shared" si="73"/>
        <v>1.3337599481252578</v>
      </c>
      <c r="R101" s="5">
        <f t="shared" si="70"/>
        <v>0.87747365008240641</v>
      </c>
      <c r="S101" s="5">
        <f t="shared" si="71"/>
        <v>2.3251368257607705</v>
      </c>
      <c r="T101" s="5">
        <v>2.0933000000000002</v>
      </c>
      <c r="U101" s="5">
        <v>29.776299999999999</v>
      </c>
      <c r="V101" s="5">
        <v>0.99950000000000006</v>
      </c>
      <c r="W101" s="31" t="s">
        <v>61</v>
      </c>
      <c r="X101" s="5">
        <f>MIN(D99:D102)</f>
        <v>1.4998</v>
      </c>
      <c r="Y101" s="5">
        <f t="shared" ref="Y101:AM101" si="143">MIN(E99:E102)</f>
        <v>1.4603999999999999</v>
      </c>
      <c r="Z101" s="5">
        <f t="shared" si="143"/>
        <v>1.3100000000000112E-2</v>
      </c>
      <c r="AA101" s="5">
        <f t="shared" si="143"/>
        <v>0.87339155943730318</v>
      </c>
      <c r="AB101" s="5">
        <f t="shared" si="143"/>
        <v>0.56810000000000005</v>
      </c>
      <c r="AC101" s="5">
        <f t="shared" si="143"/>
        <v>0.88329999999999986</v>
      </c>
      <c r="AD101" s="5">
        <f t="shared" si="143"/>
        <v>1.3505022629429297</v>
      </c>
      <c r="AE101" s="5">
        <f t="shared" si="143"/>
        <v>88.848833088350645</v>
      </c>
      <c r="AF101" s="5">
        <f t="shared" si="143"/>
        <v>10.030250000000001</v>
      </c>
      <c r="AG101" s="5">
        <f t="shared" si="143"/>
        <v>10.0505</v>
      </c>
      <c r="AH101" s="5">
        <f t="shared" si="143"/>
        <v>10.382999999999999</v>
      </c>
      <c r="AI101" s="5">
        <f t="shared" si="143"/>
        <v>1074.0755025656249</v>
      </c>
      <c r="AJ101" s="5">
        <f t="shared" si="143"/>
        <v>101.88077612500001</v>
      </c>
      <c r="AK101" s="5">
        <f t="shared" si="143"/>
        <v>1.3337599481252578</v>
      </c>
      <c r="AL101" s="5">
        <f t="shared" si="143"/>
        <v>0.87747365008240641</v>
      </c>
      <c r="AM101" s="5">
        <f t="shared" si="143"/>
        <v>0.92210356580770969</v>
      </c>
      <c r="AN101" s="5">
        <f>MIN(U99:U102)</f>
        <v>27.305599999999998</v>
      </c>
      <c r="AO101" s="5">
        <f>MIN(T99:T102)</f>
        <v>2.0933000000000002</v>
      </c>
    </row>
    <row r="102" spans="1:41" ht="21" x14ac:dyDescent="0.35">
      <c r="A102" s="80"/>
      <c r="B102" s="5">
        <v>14</v>
      </c>
      <c r="C102" s="5"/>
      <c r="D102" s="5">
        <v>1.4998</v>
      </c>
      <c r="E102" s="5">
        <v>1.474</v>
      </c>
      <c r="F102" s="5">
        <f t="shared" si="64"/>
        <v>2.5800000000000045E-2</v>
      </c>
      <c r="G102" s="5">
        <f t="shared" si="65"/>
        <v>1.7202293639151915</v>
      </c>
      <c r="H102" s="5">
        <v>0.56810000000000005</v>
      </c>
      <c r="I102" s="5">
        <f t="shared" si="66"/>
        <v>0.90589999999999993</v>
      </c>
      <c r="J102" s="5">
        <f t="shared" si="106"/>
        <v>1.3505022629429297</v>
      </c>
      <c r="K102" s="5">
        <f t="shared" si="90"/>
        <v>88.848833088350645</v>
      </c>
      <c r="L102" s="5">
        <f>AVERAGE(10.179, 9.86, 10.091, 9.991)</f>
        <v>10.030250000000001</v>
      </c>
      <c r="M102" s="5">
        <f>AVERAGE(10.164, 10.221, 10.319, 10.092)</f>
        <v>10.199</v>
      </c>
      <c r="N102" s="5">
        <f>AVERAGE(10.827, 10.898, 10.893, 10.574)</f>
        <v>10.798</v>
      </c>
      <c r="O102" s="5">
        <f t="shared" si="68"/>
        <v>1104.6194162605002</v>
      </c>
      <c r="P102" s="5">
        <f t="shared" si="69"/>
        <v>102.29851975000001</v>
      </c>
      <c r="Q102" s="5">
        <f t="shared" si="73"/>
        <v>1.3343962439026957</v>
      </c>
      <c r="R102" s="5">
        <f t="shared" si="70"/>
        <v>0.87789226572545775</v>
      </c>
      <c r="S102" s="5">
        <f t="shared" si="71"/>
        <v>1.1997488172583697</v>
      </c>
      <c r="T102" s="5">
        <v>2.0960999999999999</v>
      </c>
      <c r="U102" s="5">
        <v>27.305599999999998</v>
      </c>
      <c r="V102" s="5">
        <v>0.99790000000000001</v>
      </c>
      <c r="W102" s="31" t="s">
        <v>62</v>
      </c>
      <c r="X102" s="5">
        <f>MAX(D99:D102)</f>
        <v>1.4999</v>
      </c>
      <c r="Y102" s="5">
        <f t="shared" ref="Y102:AM102" si="144">MAX(E99:E102)</f>
        <v>1.4867999999999999</v>
      </c>
      <c r="Z102" s="5">
        <f t="shared" si="144"/>
        <v>3.9500000000000091E-2</v>
      </c>
      <c r="AA102" s="5">
        <f t="shared" si="144"/>
        <v>2.6335089005933789</v>
      </c>
      <c r="AB102" s="5">
        <f t="shared" si="144"/>
        <v>0.60350000000000004</v>
      </c>
      <c r="AC102" s="5">
        <f t="shared" si="144"/>
        <v>0.90589999999999993</v>
      </c>
      <c r="AD102" s="5">
        <f t="shared" si="144"/>
        <v>1.3970836635344732</v>
      </c>
      <c r="AE102" s="5">
        <f t="shared" si="144"/>
        <v>91.913398916741656</v>
      </c>
      <c r="AF102" s="5">
        <f t="shared" si="144"/>
        <v>10.268749999999999</v>
      </c>
      <c r="AG102" s="5">
        <f t="shared" si="144"/>
        <v>10.20425</v>
      </c>
      <c r="AH102" s="5">
        <f t="shared" si="144"/>
        <v>10.798</v>
      </c>
      <c r="AI102" s="5">
        <f t="shared" si="144"/>
        <v>1104.6194162605002</v>
      </c>
      <c r="AJ102" s="5">
        <f t="shared" si="144"/>
        <v>103.445584375</v>
      </c>
      <c r="AK102" s="5">
        <f t="shared" si="144"/>
        <v>1.3842602279341696</v>
      </c>
      <c r="AL102" s="5">
        <f t="shared" si="144"/>
        <v>0.91069751837774315</v>
      </c>
      <c r="AM102" s="5">
        <f t="shared" si="144"/>
        <v>2.3251368257607705</v>
      </c>
      <c r="AN102" s="5">
        <f>MAX(U99:U102)</f>
        <v>65.148899999999998</v>
      </c>
      <c r="AO102" s="5">
        <f>MAX(T99:T102)</f>
        <v>2.7711000000000001</v>
      </c>
    </row>
    <row r="103" spans="1:41" ht="21" x14ac:dyDescent="0.35">
      <c r="A103" s="80" t="s">
        <v>129</v>
      </c>
      <c r="B103" s="7">
        <v>16</v>
      </c>
      <c r="C103" s="7"/>
      <c r="D103" s="7">
        <v>1.5003</v>
      </c>
      <c r="E103" s="7">
        <v>1.4718</v>
      </c>
      <c r="F103" s="7">
        <f t="shared" si="64"/>
        <v>2.849999999999997E-2</v>
      </c>
      <c r="G103" s="7">
        <f t="shared" ref="G103:G106" si="145">F103/D103*100</f>
        <v>1.8996200759848012</v>
      </c>
      <c r="H103" s="7">
        <v>0.59499999999999997</v>
      </c>
      <c r="I103" s="7">
        <f t="shared" si="66"/>
        <v>0.87680000000000002</v>
      </c>
      <c r="J103" s="7">
        <f t="shared" si="106"/>
        <v>1.393241332116788</v>
      </c>
      <c r="K103" s="7">
        <f t="shared" si="90"/>
        <v>91.660613955051844</v>
      </c>
      <c r="L103" s="7">
        <f>AVERAGE(10.18, 10.125, 10.253, 10.103)</f>
        <v>10.16525</v>
      </c>
      <c r="M103" s="7">
        <f>AVERAGE(10.306, 10.247, 10.148, 10.046)</f>
        <v>10.18675</v>
      </c>
      <c r="N103" s="7">
        <f>AVERAGE(10.505, 10.347, 10.371, 10.313)</f>
        <v>10.384</v>
      </c>
      <c r="O103" s="7">
        <f t="shared" si="68"/>
        <v>1075.2721347830002</v>
      </c>
      <c r="P103" s="7">
        <f t="shared" si="69"/>
        <v>103.55086043750001</v>
      </c>
      <c r="Q103" s="7">
        <f t="shared" si="73"/>
        <v>1.3687697768686462</v>
      </c>
      <c r="R103" s="7">
        <f t="shared" si="70"/>
        <v>0.90050643215042514</v>
      </c>
      <c r="S103" s="7">
        <f t="shared" si="71"/>
        <v>1.7720099074569557</v>
      </c>
      <c r="T103" s="7">
        <v>2.1474000000000002</v>
      </c>
      <c r="U103" s="7">
        <v>45.922499999999999</v>
      </c>
      <c r="V103" s="7">
        <v>0.99909999999999999</v>
      </c>
      <c r="W103" s="74" t="s">
        <v>66</v>
      </c>
      <c r="X103" s="7">
        <f>AVERAGE(D103:D106)</f>
        <v>1.5001249999999999</v>
      </c>
      <c r="Y103" s="7">
        <f t="shared" ref="Y103:AM103" si="146">AVERAGE(E103:E106)</f>
        <v>1.46515</v>
      </c>
      <c r="Z103" s="7">
        <f t="shared" si="146"/>
        <v>3.4974999999999978E-2</v>
      </c>
      <c r="AA103" s="7">
        <f t="shared" si="146"/>
        <v>2.3314875801587887</v>
      </c>
      <c r="AB103" s="7">
        <f t="shared" si="146"/>
        <v>0.58019999999999994</v>
      </c>
      <c r="AC103" s="7">
        <f t="shared" si="146"/>
        <v>0.88495000000000001</v>
      </c>
      <c r="AD103" s="7">
        <f t="shared" si="146"/>
        <v>1.3743200455135001</v>
      </c>
      <c r="AE103" s="7">
        <f t="shared" si="146"/>
        <v>90.415792467993427</v>
      </c>
      <c r="AF103" s="7">
        <f t="shared" si="146"/>
        <v>10.134562499999999</v>
      </c>
      <c r="AG103" s="7">
        <f t="shared" si="146"/>
        <v>10.174375</v>
      </c>
      <c r="AH103" s="7">
        <f t="shared" si="146"/>
        <v>10.459125</v>
      </c>
      <c r="AI103" s="7">
        <f t="shared" si="146"/>
        <v>1078.5251184811016</v>
      </c>
      <c r="AJ103" s="7">
        <f t="shared" si="146"/>
        <v>103.11311214062499</v>
      </c>
      <c r="AK103" s="7">
        <f t="shared" si="146"/>
        <v>1.3589796409387747</v>
      </c>
      <c r="AL103" s="7">
        <f t="shared" si="146"/>
        <v>0.89406555324919379</v>
      </c>
      <c r="AM103" s="7">
        <f t="shared" si="146"/>
        <v>1.332731753937062</v>
      </c>
      <c r="AN103" s="7">
        <f>AVERAGE(U103:U106)</f>
        <v>41.745774999999995</v>
      </c>
      <c r="AO103" s="7">
        <f>AVERAGE(T103:T106)</f>
        <v>2.0101249999999999</v>
      </c>
    </row>
    <row r="104" spans="1:41" ht="21" x14ac:dyDescent="0.35">
      <c r="A104" s="80"/>
      <c r="B104" s="5">
        <v>17</v>
      </c>
      <c r="C104" s="5"/>
      <c r="D104" s="5">
        <v>1.5</v>
      </c>
      <c r="E104" s="5">
        <v>1.4642999999999999</v>
      </c>
      <c r="F104" s="6">
        <f t="shared" si="64"/>
        <v>3.5700000000000065E-2</v>
      </c>
      <c r="G104" s="5">
        <f t="shared" si="145"/>
        <v>2.3800000000000043</v>
      </c>
      <c r="H104" s="5">
        <v>0.5645</v>
      </c>
      <c r="I104" s="5">
        <f t="shared" si="66"/>
        <v>0.89979999999999993</v>
      </c>
      <c r="J104" s="5">
        <f t="shared" si="106"/>
        <v>1.3507101578128473</v>
      </c>
      <c r="K104" s="5">
        <f t="shared" si="90"/>
        <v>88.862510382424162</v>
      </c>
      <c r="L104" s="7">
        <f>AVERAGE(10.141, 10.17, 10.19, 10.069)</f>
        <v>10.1425</v>
      </c>
      <c r="M104" s="7">
        <f>AVERAGE(10.27, 10.238, 10.3, 10.052)</f>
        <v>10.215</v>
      </c>
      <c r="N104" s="7">
        <f>AVERAGE(10.789, 10.838, 10.736, 10.629)</f>
        <v>10.747999999999999</v>
      </c>
      <c r="O104" s="5">
        <f t="shared" si="68"/>
        <v>1113.55339185</v>
      </c>
      <c r="P104" s="5">
        <f t="shared" si="69"/>
        <v>103.6056375</v>
      </c>
      <c r="Q104" s="5">
        <f t="shared" si="73"/>
        <v>1.3149796055735483</v>
      </c>
      <c r="R104" s="5">
        <f t="shared" si="70"/>
        <v>0.86511816156154497</v>
      </c>
      <c r="S104" s="5">
        <f t="shared" si="71"/>
        <v>2.680773489103113</v>
      </c>
      <c r="T104" s="5">
        <v>2.0950000000000002</v>
      </c>
      <c r="U104" s="5">
        <v>32.265099999999997</v>
      </c>
      <c r="V104" s="5">
        <v>0.99909999999999999</v>
      </c>
      <c r="W104" s="31" t="s">
        <v>67</v>
      </c>
      <c r="X104" s="5">
        <f>_xlfn.STDEV.S(D103:D106)</f>
        <v>1.2583057392116529E-4</v>
      </c>
      <c r="Y104" s="5">
        <f t="shared" ref="Y104:AM104" si="147">_xlfn.STDEV.S(E103:E106)</f>
        <v>4.6508063816933709E-3</v>
      </c>
      <c r="Z104" s="5">
        <f t="shared" si="147"/>
        <v>4.5499999999999872E-3</v>
      </c>
      <c r="AA104" s="5">
        <f t="shared" si="147"/>
        <v>0.30344169874097215</v>
      </c>
      <c r="AB104" s="5">
        <f t="shared" si="147"/>
        <v>1.2486526071463314E-2</v>
      </c>
      <c r="AC104" s="5">
        <f t="shared" si="147"/>
        <v>1.0158247880417123E-2</v>
      </c>
      <c r="AD104" s="5">
        <f t="shared" si="147"/>
        <v>1.7582538266486477E-2</v>
      </c>
      <c r="AE104" s="5">
        <f t="shared" si="147"/>
        <v>1.1567459385846386</v>
      </c>
      <c r="AF104" s="5">
        <f t="shared" si="147"/>
        <v>2.8170888490307473E-2</v>
      </c>
      <c r="AG104" s="5">
        <f t="shared" si="147"/>
        <v>3.5809973005668218E-2</v>
      </c>
      <c r="AH104" s="5">
        <f t="shared" si="147"/>
        <v>0.19618449012770237</v>
      </c>
      <c r="AI104" s="5">
        <f t="shared" si="147"/>
        <v>24.354652262260057</v>
      </c>
      <c r="AJ104" s="5">
        <f t="shared" si="147"/>
        <v>0.53755938527982461</v>
      </c>
      <c r="AK104" s="5">
        <f t="shared" si="147"/>
        <v>3.0045156390122271E-2</v>
      </c>
      <c r="AL104" s="5">
        <f t="shared" si="147"/>
        <v>1.9766550256659372E-2</v>
      </c>
      <c r="AM104" s="5">
        <f t="shared" si="147"/>
        <v>1.0971462665885978</v>
      </c>
      <c r="AN104" s="5">
        <f>_xlfn.STDEV.S(U103:U106)</f>
        <v>6.3612108225688448</v>
      </c>
      <c r="AO104" s="5">
        <f>_xlfn.STDEV.S(T103:T106)</f>
        <v>0.13024457442314713</v>
      </c>
    </row>
    <row r="105" spans="1:41" ht="21" x14ac:dyDescent="0.35">
      <c r="A105" s="80"/>
      <c r="B105" s="5">
        <v>18</v>
      </c>
      <c r="C105" s="5"/>
      <c r="D105" s="5">
        <v>1.5001</v>
      </c>
      <c r="E105" s="5">
        <v>1.4610000000000001</v>
      </c>
      <c r="F105" s="6">
        <f t="shared" si="64"/>
        <v>3.9099999999999913E-2</v>
      </c>
      <c r="G105" s="5">
        <f t="shared" si="145"/>
        <v>2.6064929004732962</v>
      </c>
      <c r="H105" s="5">
        <v>0.57969999999999999</v>
      </c>
      <c r="I105" s="5">
        <f t="shared" si="66"/>
        <v>0.88130000000000008</v>
      </c>
      <c r="J105" s="5">
        <f t="shared" si="106"/>
        <v>1.3759559741291274</v>
      </c>
      <c r="K105" s="5">
        <f t="shared" si="90"/>
        <v>90.523419350600491</v>
      </c>
      <c r="L105" s="7">
        <f>AVERAGE(10.265, 10.136, 9.95, 10.181)</f>
        <v>10.132999999999999</v>
      </c>
      <c r="M105" s="7">
        <f>AVERAGE(9.951, 10.153, 10.28, 10.136)</f>
        <v>10.129999999999999</v>
      </c>
      <c r="N105" s="7">
        <f>AVERAGE(10.37, 10.375, 10.424, 10.408)</f>
        <v>10.39425</v>
      </c>
      <c r="O105" s="5">
        <f t="shared" si="68"/>
        <v>1066.9415940824997</v>
      </c>
      <c r="P105" s="5">
        <f t="shared" si="69"/>
        <v>102.64728999999998</v>
      </c>
      <c r="Q105" s="5">
        <f t="shared" si="73"/>
        <v>1.3693345616133419</v>
      </c>
      <c r="R105" s="5">
        <f t="shared" si="70"/>
        <v>0.90087800106140914</v>
      </c>
      <c r="S105" s="5">
        <f t="shared" si="71"/>
        <v>0.48238337105509632</v>
      </c>
      <c r="T105" s="5">
        <v>1.9081999999999999</v>
      </c>
      <c r="U105" s="5">
        <v>44.377299999999998</v>
      </c>
      <c r="V105" s="5">
        <v>0.99980000000000002</v>
      </c>
      <c r="W105" s="31" t="s">
        <v>61</v>
      </c>
      <c r="X105" s="5">
        <f>MIN(D103:D106)</f>
        <v>1.5</v>
      </c>
      <c r="Y105" s="5">
        <f t="shared" ref="Y105:AM105" si="148">MIN(E103:E106)</f>
        <v>1.4610000000000001</v>
      </c>
      <c r="Z105" s="5">
        <f t="shared" si="148"/>
        <v>2.849999999999997E-2</v>
      </c>
      <c r="AA105" s="5">
        <f t="shared" si="148"/>
        <v>1.8996200759848012</v>
      </c>
      <c r="AB105" s="5">
        <f t="shared" si="148"/>
        <v>0.5645</v>
      </c>
      <c r="AC105" s="5">
        <f t="shared" si="148"/>
        <v>0.87680000000000002</v>
      </c>
      <c r="AD105" s="5">
        <f t="shared" si="148"/>
        <v>1.3507101578128473</v>
      </c>
      <c r="AE105" s="5">
        <f t="shared" si="148"/>
        <v>88.862510382424162</v>
      </c>
      <c r="AF105" s="5">
        <f t="shared" si="148"/>
        <v>10.0975</v>
      </c>
      <c r="AG105" s="5">
        <f t="shared" si="148"/>
        <v>10.129999999999999</v>
      </c>
      <c r="AH105" s="5">
        <f t="shared" si="148"/>
        <v>10.31025</v>
      </c>
      <c r="AI105" s="5">
        <f t="shared" si="148"/>
        <v>1058.3333532089064</v>
      </c>
      <c r="AJ105" s="5">
        <f t="shared" si="148"/>
        <v>102.64728999999998</v>
      </c>
      <c r="AK105" s="5">
        <f t="shared" si="148"/>
        <v>1.3149796055735483</v>
      </c>
      <c r="AL105" s="5">
        <f t="shared" si="148"/>
        <v>0.86511816156154497</v>
      </c>
      <c r="AM105" s="5">
        <f t="shared" si="148"/>
        <v>0.39576024813308341</v>
      </c>
      <c r="AN105" s="5">
        <f>MIN(U103:U106)</f>
        <v>32.265099999999997</v>
      </c>
      <c r="AO105" s="5">
        <f>MIN(T103:T106)</f>
        <v>1.8898999999999999</v>
      </c>
    </row>
    <row r="106" spans="1:41" ht="21" customHeight="1" x14ac:dyDescent="0.35">
      <c r="A106" s="80"/>
      <c r="B106" s="5">
        <v>19</v>
      </c>
      <c r="C106" s="5"/>
      <c r="D106" s="5">
        <v>1.5001</v>
      </c>
      <c r="E106" s="5">
        <v>1.4635</v>
      </c>
      <c r="F106" s="6">
        <f t="shared" si="64"/>
        <v>3.6599999999999966E-2</v>
      </c>
      <c r="G106" s="5">
        <f t="shared" si="145"/>
        <v>2.4398373441770529</v>
      </c>
      <c r="H106" s="5">
        <v>0.58160000000000001</v>
      </c>
      <c r="I106" s="5">
        <f t="shared" si="66"/>
        <v>0.88190000000000002</v>
      </c>
      <c r="J106" s="5">
        <f t="shared" si="106"/>
        <v>1.3773727179952375</v>
      </c>
      <c r="K106" s="5">
        <f t="shared" si="90"/>
        <v>90.61662618389721</v>
      </c>
      <c r="L106" s="7">
        <f>AVERAGE(9.99, 10.109, 10.13, 10.161)</f>
        <v>10.0975</v>
      </c>
      <c r="M106" s="7">
        <f>AVERAGE(10.159, 9.992, 10.193, 10.319)</f>
        <v>10.165750000000001</v>
      </c>
      <c r="N106" s="7">
        <f>AVERAGE(10.234, 10.333, 10.384, 10.29)</f>
        <v>10.31025</v>
      </c>
      <c r="O106" s="5">
        <f t="shared" si="68"/>
        <v>1058.3333532089064</v>
      </c>
      <c r="P106" s="5">
        <f t="shared" si="69"/>
        <v>102.64866062500001</v>
      </c>
      <c r="Q106" s="5">
        <f t="shared" si="73"/>
        <v>1.3828346196995618</v>
      </c>
      <c r="R106" s="5">
        <f t="shared" si="70"/>
        <v>0.90975961822339591</v>
      </c>
      <c r="S106" s="5">
        <f t="shared" si="71"/>
        <v>0.39576024813308341</v>
      </c>
      <c r="T106" s="5">
        <v>1.8898999999999999</v>
      </c>
      <c r="U106" s="5">
        <v>44.418199999999999</v>
      </c>
      <c r="V106" s="5">
        <v>0.99470000000000003</v>
      </c>
      <c r="W106" s="31" t="s">
        <v>62</v>
      </c>
      <c r="X106" s="5">
        <f>MAX(D103:D106)</f>
        <v>1.5003</v>
      </c>
      <c r="Y106" s="5">
        <f t="shared" ref="Y106:AM106" si="149">MAX(E103:E106)</f>
        <v>1.4718</v>
      </c>
      <c r="Z106" s="5">
        <f t="shared" si="149"/>
        <v>3.9099999999999913E-2</v>
      </c>
      <c r="AA106" s="5">
        <f t="shared" si="149"/>
        <v>2.6064929004732962</v>
      </c>
      <c r="AB106" s="5">
        <f t="shared" si="149"/>
        <v>0.59499999999999997</v>
      </c>
      <c r="AC106" s="5">
        <f t="shared" si="149"/>
        <v>0.89979999999999993</v>
      </c>
      <c r="AD106" s="5">
        <f t="shared" si="149"/>
        <v>1.393241332116788</v>
      </c>
      <c r="AE106" s="5">
        <f t="shared" si="149"/>
        <v>91.660613955051844</v>
      </c>
      <c r="AF106" s="5">
        <f t="shared" si="149"/>
        <v>10.16525</v>
      </c>
      <c r="AG106" s="5">
        <f t="shared" si="149"/>
        <v>10.215</v>
      </c>
      <c r="AH106" s="5">
        <f t="shared" si="149"/>
        <v>10.747999999999999</v>
      </c>
      <c r="AI106" s="5">
        <f t="shared" si="149"/>
        <v>1113.55339185</v>
      </c>
      <c r="AJ106" s="5">
        <f t="shared" si="149"/>
        <v>103.6056375</v>
      </c>
      <c r="AK106" s="5">
        <f t="shared" si="149"/>
        <v>1.3828346196995618</v>
      </c>
      <c r="AL106" s="5">
        <f t="shared" si="149"/>
        <v>0.90975961822339591</v>
      </c>
      <c r="AM106" s="5">
        <f t="shared" si="149"/>
        <v>2.680773489103113</v>
      </c>
      <c r="AN106" s="5">
        <f>MAX(U103:U106)</f>
        <v>45.922499999999999</v>
      </c>
      <c r="AO106" s="5">
        <f>MAX(T103:T106)</f>
        <v>2.1474000000000002</v>
      </c>
    </row>
    <row r="107" spans="1:41" ht="21" x14ac:dyDescent="0.35">
      <c r="A107" s="80" t="s">
        <v>130</v>
      </c>
      <c r="B107" s="7">
        <v>21</v>
      </c>
      <c r="C107" s="7"/>
      <c r="D107" s="7">
        <v>1.4998</v>
      </c>
      <c r="E107" s="7">
        <v>1.4922</v>
      </c>
      <c r="F107" s="7">
        <f>ABS(D107-E107)</f>
        <v>7.6000000000000512E-3</v>
      </c>
      <c r="G107" s="7">
        <f>F107/D107*100</f>
        <v>0.50673423123083428</v>
      </c>
      <c r="H107" s="7">
        <v>0.59940000000000004</v>
      </c>
      <c r="I107" s="7">
        <f>ABS(E107-H107)</f>
        <v>0.89279999999999993</v>
      </c>
      <c r="J107" s="7">
        <f>E107*$J$2/I107</f>
        <v>1.3872379032258066</v>
      </c>
      <c r="K107" s="7">
        <f t="shared" si="90"/>
        <v>91.265651528013592</v>
      </c>
      <c r="L107" s="7">
        <f>AVERAGE(10.128, 10.24, 10.171, 10.079)</f>
        <v>10.154500000000001</v>
      </c>
      <c r="M107" s="7">
        <f>AVERAGE(10.059, 10.216, 10.094, 10.088)</f>
        <v>10.11425</v>
      </c>
      <c r="N107" s="7">
        <f>AVERAGE(10.413, 10.537, 10.471, 10.542)</f>
        <v>10.49075</v>
      </c>
      <c r="O107" s="7">
        <f>L107*M107*N107</f>
        <v>1077.454069409969</v>
      </c>
      <c r="P107" s="7">
        <f>L107*M107</f>
        <v>102.70515162500001</v>
      </c>
      <c r="Q107" s="7">
        <f>E107/(O107*0.001)</f>
        <v>1.3849314252598743</v>
      </c>
      <c r="R107" s="7">
        <f>Q107/$M$2</f>
        <v>0.91113909556570682</v>
      </c>
      <c r="S107" s="7">
        <f>ABS(J107-Q107)/((J107+Q107)/2)*100</f>
        <v>0.16640238691279649</v>
      </c>
      <c r="T107" s="7">
        <v>2.6595</v>
      </c>
      <c r="U107" s="7">
        <v>62.9101</v>
      </c>
      <c r="V107" s="7">
        <v>0.99660000000000004</v>
      </c>
      <c r="W107" s="74" t="s">
        <v>66</v>
      </c>
      <c r="X107" s="7">
        <f>AVERAGE(D107:D110)</f>
        <v>1.5</v>
      </c>
      <c r="Y107" s="7">
        <f t="shared" ref="Y107:AM107" si="150">AVERAGE(E107:E110)</f>
        <v>1.4952749999999999</v>
      </c>
      <c r="Z107" s="7">
        <f t="shared" si="150"/>
        <v>5.2250000000000352E-3</v>
      </c>
      <c r="AA107" s="7">
        <f t="shared" si="150"/>
        <v>0.3483430034595002</v>
      </c>
      <c r="AB107" s="7">
        <f t="shared" si="150"/>
        <v>0.58542500000000008</v>
      </c>
      <c r="AC107" s="7">
        <f t="shared" si="150"/>
        <v>0.90985000000000005</v>
      </c>
      <c r="AD107" s="7">
        <f t="shared" si="150"/>
        <v>1.3644881218729881</v>
      </c>
      <c r="AE107" s="7">
        <f t="shared" si="150"/>
        <v>89.768955386380796</v>
      </c>
      <c r="AF107" s="7">
        <f t="shared" si="150"/>
        <v>10.1480625</v>
      </c>
      <c r="AG107" s="7">
        <f t="shared" si="150"/>
        <v>10.126249999999999</v>
      </c>
      <c r="AH107" s="7">
        <f t="shared" si="150"/>
        <v>10.691625000000002</v>
      </c>
      <c r="AI107" s="7">
        <f t="shared" si="150"/>
        <v>1098.7132305114533</v>
      </c>
      <c r="AJ107" s="7">
        <f t="shared" si="150"/>
        <v>102.76170524999999</v>
      </c>
      <c r="AK107" s="7">
        <f t="shared" si="150"/>
        <v>1.361569722964231</v>
      </c>
      <c r="AL107" s="7">
        <f t="shared" si="150"/>
        <v>0.8957695545817308</v>
      </c>
      <c r="AM107" s="7">
        <f t="shared" si="150"/>
        <v>0.47009717653533883</v>
      </c>
      <c r="AN107" s="7">
        <f>AVERAGE(U107:U110)</f>
        <v>45.246949999999998</v>
      </c>
      <c r="AO107" s="7">
        <f>AVERAGE(T107:T110)</f>
        <v>2.304325</v>
      </c>
    </row>
    <row r="108" spans="1:41" ht="21" x14ac:dyDescent="0.35">
      <c r="A108" s="80"/>
      <c r="B108" s="5">
        <v>22</v>
      </c>
      <c r="C108" s="5"/>
      <c r="D108" s="5">
        <v>1.4999</v>
      </c>
      <c r="E108" s="5">
        <v>1.496</v>
      </c>
      <c r="F108" s="6">
        <f>ABS(D108-E108)</f>
        <v>3.9000000000000146E-3</v>
      </c>
      <c r="G108" s="5">
        <f>F108/D108*100</f>
        <v>0.26001733448896686</v>
      </c>
      <c r="H108" s="5">
        <v>0.58940000000000003</v>
      </c>
      <c r="I108" s="5">
        <f>ABS(E108-H108)</f>
        <v>0.90659999999999996</v>
      </c>
      <c r="J108" s="5">
        <f>E108*$J$2/I108</f>
        <v>1.3696007059342599</v>
      </c>
      <c r="K108" s="5">
        <f t="shared" si="90"/>
        <v>90.105309600938142</v>
      </c>
      <c r="L108" s="7">
        <f>AVERAGE(10.178, 10, 10.215, 10.12)</f>
        <v>10.12825</v>
      </c>
      <c r="M108" s="7">
        <f>AVERAGE(10.102, 10.216, 10.203, 10.045)</f>
        <v>10.141499999999999</v>
      </c>
      <c r="N108" s="7">
        <f>AVERAGE(10.536, 10.619, 10.568, 10.602)</f>
        <v>10.581250000000001</v>
      </c>
      <c r="O108" s="5">
        <f>L108*M108*N108</f>
        <v>1086.8599437867188</v>
      </c>
      <c r="P108" s="5">
        <f>L108*M108</f>
        <v>102.71564737499999</v>
      </c>
      <c r="Q108" s="5">
        <f>E108/(O108*0.001)</f>
        <v>1.3764422992605654</v>
      </c>
      <c r="R108" s="5">
        <f>Q108/$M$2</f>
        <v>0.90555414425037195</v>
      </c>
      <c r="S108" s="5">
        <f>ABS(J108-Q108)/((J108+Q108)/2)*100</f>
        <v>0.4982874130785962</v>
      </c>
      <c r="T108" s="5">
        <v>2.5053999999999998</v>
      </c>
      <c r="U108" s="5">
        <v>57.849800000000002</v>
      </c>
      <c r="V108" s="5">
        <v>0.99990000000000001</v>
      </c>
      <c r="W108" s="31" t="s">
        <v>67</v>
      </c>
      <c r="X108" s="5">
        <f>_xlfn.STDEV.S(D107:D110)</f>
        <v>1.8257418583503526E-4</v>
      </c>
      <c r="Y108" s="5">
        <f t="shared" ref="Y108:AM108" si="151">_xlfn.STDEV.S(E107:E110)</f>
        <v>4.3919433815415949E-3</v>
      </c>
      <c r="Z108" s="5">
        <f t="shared" si="151"/>
        <v>3.4315934102590027E-3</v>
      </c>
      <c r="AA108" s="5">
        <f t="shared" si="151"/>
        <v>0.22877838872512354</v>
      </c>
      <c r="AB108" s="5">
        <f t="shared" si="151"/>
        <v>1.6225571381824008E-2</v>
      </c>
      <c r="AC108" s="5">
        <f t="shared" si="151"/>
        <v>2.0368194159849681E-2</v>
      </c>
      <c r="AD108" s="5">
        <f t="shared" si="151"/>
        <v>2.6295036604086608E-2</v>
      </c>
      <c r="AE108" s="5">
        <f t="shared" si="151"/>
        <v>1.7299366186899054</v>
      </c>
      <c r="AF108" s="5">
        <f t="shared" si="151"/>
        <v>1.3285918297205381E-2</v>
      </c>
      <c r="AG108" s="5">
        <f t="shared" si="151"/>
        <v>1.6133557160981922E-2</v>
      </c>
      <c r="AH108" s="5">
        <f t="shared" si="151"/>
        <v>0.272484135623832</v>
      </c>
      <c r="AI108" s="5">
        <f t="shared" si="151"/>
        <v>29.268611617503783</v>
      </c>
      <c r="AJ108" s="5">
        <f t="shared" si="151"/>
        <v>0.11859469584318097</v>
      </c>
      <c r="AK108" s="5">
        <f t="shared" si="151"/>
        <v>3.1921074642253681E-2</v>
      </c>
      <c r="AL108" s="5">
        <f t="shared" si="151"/>
        <v>2.1000707001482689E-2</v>
      </c>
      <c r="AM108" s="5">
        <f t="shared" si="151"/>
        <v>0.32832777717290734</v>
      </c>
      <c r="AN108" s="5">
        <f>_xlfn.STDEV.S(U107:U110)</f>
        <v>18.598276004780679</v>
      </c>
      <c r="AO108" s="5">
        <f>_xlfn.STDEV.S(T107:T110)</f>
        <v>0.3905250600153588</v>
      </c>
    </row>
    <row r="109" spans="1:41" ht="21" x14ac:dyDescent="0.35">
      <c r="A109" s="80"/>
      <c r="B109" s="5">
        <v>23</v>
      </c>
      <c r="C109" s="5"/>
      <c r="D109" s="5">
        <v>1.5002</v>
      </c>
      <c r="E109" s="5">
        <v>1.5012000000000001</v>
      </c>
      <c r="F109" s="6">
        <f>ABS(D109-E109)</f>
        <v>1.0000000000001119E-3</v>
      </c>
      <c r="G109" s="5">
        <f>F109/D109*100</f>
        <v>6.6657778962812414E-2</v>
      </c>
      <c r="H109" s="5">
        <v>0.56200000000000006</v>
      </c>
      <c r="I109" s="5">
        <f>ABS(E109-H109)</f>
        <v>0.93920000000000003</v>
      </c>
      <c r="J109" s="5">
        <f>E109*$J$2/I109</f>
        <v>1.3266567291311755</v>
      </c>
      <c r="K109" s="5">
        <f t="shared" si="90"/>
        <v>87.280047969156286</v>
      </c>
      <c r="L109" s="7">
        <f>AVERAGE(10.058, 10.259, 10.176, 10.119)</f>
        <v>10.153</v>
      </c>
      <c r="M109" s="7">
        <f>AVERAGE(10.117, 10.064, 10.219, 10.155)</f>
        <v>10.13875</v>
      </c>
      <c r="N109" s="7">
        <f>AVERAGE(11.002, 11.122, 11.151, 11.101)</f>
        <v>11.094000000000001</v>
      </c>
      <c r="O109" s="5">
        <f>L109*M109*N109</f>
        <v>1142.0022567525002</v>
      </c>
      <c r="P109" s="5">
        <f>L109*M109</f>
        <v>102.93872875000001</v>
      </c>
      <c r="Q109" s="5">
        <f>E109/(O109*0.001)</f>
        <v>1.3145333042238871</v>
      </c>
      <c r="R109" s="5">
        <f>Q109/$M$2</f>
        <v>0.86482454225255734</v>
      </c>
      <c r="S109" s="5">
        <f>ABS(J109-Q109)/((J109+Q109)/2)*100</f>
        <v>0.91802746142337599</v>
      </c>
      <c r="T109" s="5">
        <v>1.7652000000000001</v>
      </c>
      <c r="U109" s="5">
        <v>22.736499999999999</v>
      </c>
      <c r="V109" s="5">
        <v>0.99990000000000001</v>
      </c>
      <c r="W109" s="31" t="s">
        <v>61</v>
      </c>
      <c r="X109" s="5">
        <f>MIN(D107:D110)</f>
        <v>1.4998</v>
      </c>
      <c r="Y109" s="5">
        <f t="shared" ref="Y109:AM109" si="152">MIN(E107:E110)</f>
        <v>1.4917</v>
      </c>
      <c r="Z109" s="5">
        <f t="shared" si="152"/>
        <v>1.0000000000001119E-3</v>
      </c>
      <c r="AA109" s="5">
        <f t="shared" si="152"/>
        <v>6.6657778962812414E-2</v>
      </c>
      <c r="AB109" s="5">
        <f t="shared" si="152"/>
        <v>0.56200000000000006</v>
      </c>
      <c r="AC109" s="5">
        <f t="shared" si="152"/>
        <v>0.89279999999999993</v>
      </c>
      <c r="AD109" s="5">
        <f t="shared" si="152"/>
        <v>1.3266567291311755</v>
      </c>
      <c r="AE109" s="5">
        <f t="shared" si="152"/>
        <v>87.280047969156286</v>
      </c>
      <c r="AF109" s="5">
        <f t="shared" si="152"/>
        <v>10.12825</v>
      </c>
      <c r="AG109" s="5">
        <f t="shared" si="152"/>
        <v>10.110499999999998</v>
      </c>
      <c r="AH109" s="5">
        <f t="shared" si="152"/>
        <v>10.49075</v>
      </c>
      <c r="AI109" s="5">
        <f t="shared" si="152"/>
        <v>1077.454069409969</v>
      </c>
      <c r="AJ109" s="5">
        <f t="shared" si="152"/>
        <v>102.68729325</v>
      </c>
      <c r="AK109" s="5">
        <f t="shared" si="152"/>
        <v>1.3145333042238871</v>
      </c>
      <c r="AL109" s="5">
        <f t="shared" si="152"/>
        <v>0.86482454225255734</v>
      </c>
      <c r="AM109" s="5">
        <f t="shared" si="152"/>
        <v>0.16640238691279649</v>
      </c>
      <c r="AN109" s="5">
        <f>MIN(U107:U110)</f>
        <v>22.736499999999999</v>
      </c>
      <c r="AO109" s="5">
        <f>MIN(T107:T110)</f>
        <v>1.7652000000000001</v>
      </c>
    </row>
    <row r="110" spans="1:41" ht="21" x14ac:dyDescent="0.35">
      <c r="A110" s="80"/>
      <c r="B110" s="5">
        <v>24</v>
      </c>
      <c r="C110" s="5"/>
      <c r="D110" s="5">
        <v>1.5001</v>
      </c>
      <c r="E110" s="5">
        <v>1.4917</v>
      </c>
      <c r="F110" s="6">
        <f>ABS(D110-E110)</f>
        <v>8.3999999999999631E-3</v>
      </c>
      <c r="G110" s="5">
        <f>F110/D110*100</f>
        <v>0.55996266915538717</v>
      </c>
      <c r="H110" s="5">
        <v>0.59089999999999998</v>
      </c>
      <c r="I110" s="5">
        <f>ABS(E110-H110)</f>
        <v>0.90080000000000005</v>
      </c>
      <c r="J110" s="5">
        <f>E110*$J$2/I110</f>
        <v>1.3744571492007103</v>
      </c>
      <c r="K110" s="5">
        <f t="shared" si="90"/>
        <v>90.42481244741515</v>
      </c>
      <c r="L110" s="7">
        <f>AVERAGE(10.05, 10.184, 10.161, 10.231)</f>
        <v>10.156500000000001</v>
      </c>
      <c r="M110" s="7">
        <f>AVERAGE(10.052, 10.046, 10.126, 10.218)</f>
        <v>10.110499999999998</v>
      </c>
      <c r="N110" s="7">
        <f>AVERAGE(10.616, 10.643, 10.582, 10.561)</f>
        <v>10.6005</v>
      </c>
      <c r="O110" s="5">
        <f>L110*M110*N110</f>
        <v>1088.5366520966249</v>
      </c>
      <c r="P110" s="5">
        <f>L110*M110</f>
        <v>102.68729325</v>
      </c>
      <c r="Q110" s="5">
        <f>E110/(O110*0.001)</f>
        <v>1.3703718631125965</v>
      </c>
      <c r="R110" s="5">
        <f>Q110/$M$2</f>
        <v>0.90156043625828719</v>
      </c>
      <c r="S110" s="5">
        <f>ABS(J110-Q110)/((J110+Q110)/2)*100</f>
        <v>0.29767144472658663</v>
      </c>
      <c r="T110" s="5">
        <v>2.2871999999999999</v>
      </c>
      <c r="U110" s="5">
        <v>37.491399999999999</v>
      </c>
      <c r="V110" s="5">
        <v>0.99729999999999996</v>
      </c>
      <c r="W110" s="31" t="s">
        <v>62</v>
      </c>
      <c r="X110" s="5">
        <f>MAX(D107:D110)</f>
        <v>1.5002</v>
      </c>
      <c r="Y110" s="5">
        <f t="shared" ref="Y110:AM110" si="153">MAX(E107:E110)</f>
        <v>1.5012000000000001</v>
      </c>
      <c r="Z110" s="5">
        <f t="shared" si="153"/>
        <v>8.3999999999999631E-3</v>
      </c>
      <c r="AA110" s="5">
        <f t="shared" si="153"/>
        <v>0.55996266915538717</v>
      </c>
      <c r="AB110" s="5">
        <f t="shared" si="153"/>
        <v>0.59940000000000004</v>
      </c>
      <c r="AC110" s="5">
        <f t="shared" si="153"/>
        <v>0.93920000000000003</v>
      </c>
      <c r="AD110" s="5">
        <f t="shared" si="153"/>
        <v>1.3872379032258066</v>
      </c>
      <c r="AE110" s="5">
        <f t="shared" si="153"/>
        <v>91.265651528013592</v>
      </c>
      <c r="AF110" s="5">
        <f t="shared" si="153"/>
        <v>10.156500000000001</v>
      </c>
      <c r="AG110" s="5">
        <f t="shared" si="153"/>
        <v>10.141499999999999</v>
      </c>
      <c r="AH110" s="5">
        <f t="shared" si="153"/>
        <v>11.094000000000001</v>
      </c>
      <c r="AI110" s="5">
        <f t="shared" si="153"/>
        <v>1142.0022567525002</v>
      </c>
      <c r="AJ110" s="5">
        <f t="shared" si="153"/>
        <v>102.93872875000001</v>
      </c>
      <c r="AK110" s="5">
        <f t="shared" si="153"/>
        <v>1.3849314252598743</v>
      </c>
      <c r="AL110" s="5">
        <f t="shared" si="153"/>
        <v>0.91113909556570682</v>
      </c>
      <c r="AM110" s="5">
        <f t="shared" si="153"/>
        <v>0.91802746142337599</v>
      </c>
      <c r="AN110" s="5">
        <f>MAX(U107:U110)</f>
        <v>62.9101</v>
      </c>
      <c r="AO110" s="5">
        <f>MAX(T107:T110)</f>
        <v>2.6595</v>
      </c>
    </row>
    <row r="111" spans="1:41" ht="15" customHeight="1" x14ac:dyDescent="0.25"/>
    <row r="112" spans="1:41" ht="15" customHeight="1" x14ac:dyDescent="0.25"/>
    <row r="113" ht="15" customHeight="1" x14ac:dyDescent="0.25"/>
    <row r="114" ht="15" customHeight="1" x14ac:dyDescent="0.25"/>
    <row r="115" ht="15" customHeight="1" x14ac:dyDescent="0.25"/>
  </sheetData>
  <mergeCells count="27">
    <mergeCell ref="A4:A8"/>
    <mergeCell ref="A9:A14"/>
    <mergeCell ref="A15:A20"/>
    <mergeCell ref="A21:A26"/>
    <mergeCell ref="A27:A32"/>
    <mergeCell ref="A99:A102"/>
    <mergeCell ref="A103:A106"/>
    <mergeCell ref="A107:A110"/>
    <mergeCell ref="A84:A90"/>
    <mergeCell ref="A39:A44"/>
    <mergeCell ref="A45:A48"/>
    <mergeCell ref="A49:A55"/>
    <mergeCell ref="A56:A62"/>
    <mergeCell ref="A63:A69"/>
    <mergeCell ref="A70:A76"/>
    <mergeCell ref="A77:A83"/>
    <mergeCell ref="BF20:BF22"/>
    <mergeCell ref="BF23:BF25"/>
    <mergeCell ref="BG23:BG25"/>
    <mergeCell ref="A91:A94"/>
    <mergeCell ref="A95:A98"/>
    <mergeCell ref="A33:A38"/>
    <mergeCell ref="BG14:BG16"/>
    <mergeCell ref="BF10:BH10"/>
    <mergeCell ref="BF14:BF16"/>
    <mergeCell ref="BF11:BF13"/>
    <mergeCell ref="BF19:BH19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09C0A-9707-432D-AAED-362DDA446166}">
  <dimension ref="A1:AI49"/>
  <sheetViews>
    <sheetView topLeftCell="A3" workbookViewId="0">
      <pane xSplit="1" topLeftCell="B1" activePane="topRight" state="frozen"/>
      <selection activeCell="A3" sqref="A3"/>
      <selection pane="topRight" activeCell="F48" sqref="F48"/>
    </sheetView>
  </sheetViews>
  <sheetFormatPr defaultRowHeight="15" x14ac:dyDescent="0.25"/>
  <cols>
    <col min="2" max="2" width="14.7109375" customWidth="1"/>
    <col min="3" max="3" width="9.85546875" bestFit="1" customWidth="1"/>
    <col min="5" max="5" width="9.85546875" bestFit="1" customWidth="1"/>
    <col min="9" max="10" width="10.42578125" bestFit="1" customWidth="1"/>
  </cols>
  <sheetData>
    <row r="1" spans="1:35" ht="49.5" x14ac:dyDescent="0.65">
      <c r="A1" s="66" t="s">
        <v>96</v>
      </c>
      <c r="I1" t="s">
        <v>1</v>
      </c>
      <c r="L1" t="s">
        <v>2</v>
      </c>
      <c r="U1" t="s">
        <v>3</v>
      </c>
      <c r="V1" t="s">
        <v>4</v>
      </c>
    </row>
    <row r="2" spans="1:35" x14ac:dyDescent="0.25">
      <c r="I2">
        <v>0.83</v>
      </c>
      <c r="K2" t="s">
        <v>5</v>
      </c>
      <c r="L2" s="67">
        <v>1.4696800000000001</v>
      </c>
      <c r="M2" t="s">
        <v>5</v>
      </c>
      <c r="U2">
        <f>(PI()/4 )*80^2</f>
        <v>5026.5482457436692</v>
      </c>
      <c r="V2">
        <f>10^2</f>
        <v>100</v>
      </c>
    </row>
    <row r="3" spans="1:35" ht="294" x14ac:dyDescent="0.35">
      <c r="A3" s="1" t="s">
        <v>97</v>
      </c>
      <c r="B3" s="2" t="s">
        <v>7</v>
      </c>
      <c r="C3" s="1" t="s">
        <v>8</v>
      </c>
      <c r="D3" s="13" t="s">
        <v>9</v>
      </c>
      <c r="E3" s="2" t="s">
        <v>10</v>
      </c>
      <c r="F3" s="1" t="s">
        <v>11</v>
      </c>
      <c r="G3" s="14" t="s">
        <v>12</v>
      </c>
      <c r="H3" s="2" t="s">
        <v>13</v>
      </c>
      <c r="I3" s="2" t="s">
        <v>14</v>
      </c>
      <c r="J3" s="1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2" t="s">
        <v>40</v>
      </c>
      <c r="Y3" s="2" t="s">
        <v>41</v>
      </c>
      <c r="Z3" s="2" t="s">
        <v>42</v>
      </c>
      <c r="AA3" s="2" t="s">
        <v>98</v>
      </c>
      <c r="AB3" s="2" t="s">
        <v>44</v>
      </c>
      <c r="AC3" s="2" t="s">
        <v>99</v>
      </c>
    </row>
    <row r="4" spans="1:35" ht="21" x14ac:dyDescent="0.35">
      <c r="A4" s="7">
        <v>1</v>
      </c>
      <c r="B4" s="7" t="s">
        <v>100</v>
      </c>
      <c r="C4" s="5">
        <v>1.5004</v>
      </c>
      <c r="D4" s="5">
        <v>1.4127000000000001</v>
      </c>
      <c r="E4" s="6">
        <f>ABS(C4-D4)</f>
        <v>8.7699999999999889E-2</v>
      </c>
      <c r="F4" s="5">
        <f t="shared" ref="F4:F38" si="0">E4/C4*100</f>
        <v>5.8451079712076703</v>
      </c>
      <c r="G4" s="5">
        <v>0.59899999999999998</v>
      </c>
      <c r="H4" s="5">
        <f>ABS(D4-G4)</f>
        <v>0.81370000000000009</v>
      </c>
      <c r="I4" s="5">
        <f>D4*$I$2/H4</f>
        <v>1.4409991397320878</v>
      </c>
      <c r="J4" s="5">
        <f>I4/$L$2*100</f>
        <v>98.048496253067867</v>
      </c>
      <c r="N4" s="5">
        <f>K5*L5*M5</f>
        <v>949.35717000000011</v>
      </c>
      <c r="O4" s="5">
        <f>K5*L5</f>
        <v>101.10300000000001</v>
      </c>
      <c r="P4" s="5">
        <f t="shared" ref="P4:P38" si="1">D4/(N4*0.001)</f>
        <v>1.4880595466509194</v>
      </c>
      <c r="Q4" s="5">
        <f t="shared" ref="Q4:Q38" si="2">P4/$L$2</f>
        <v>1.0125058153141633</v>
      </c>
      <c r="R4" s="5">
        <f t="shared" ref="R4:R38" si="3">ABS(I4-P4)/((I4+P4)/2)*100</f>
        <v>3.2133468091719859</v>
      </c>
      <c r="S4" s="5"/>
      <c r="T4" s="5"/>
      <c r="U4" s="5"/>
      <c r="V4" s="5"/>
      <c r="W4" s="5"/>
      <c r="X4" s="5"/>
      <c r="Y4" s="5"/>
      <c r="Z4" s="5">
        <f>Y4+X4</f>
        <v>0</v>
      </c>
      <c r="AA4" s="5" t="e">
        <f>Y4/Z4*100</f>
        <v>#DIV/0!</v>
      </c>
      <c r="AB4" s="5">
        <f>C4-Z4</f>
        <v>1.5004</v>
      </c>
      <c r="AC4" s="5">
        <f>AB4/C4*100</f>
        <v>100</v>
      </c>
      <c r="AH4" t="s">
        <v>111</v>
      </c>
      <c r="AI4" t="s">
        <v>15</v>
      </c>
    </row>
    <row r="5" spans="1:35" ht="21" x14ac:dyDescent="0.35">
      <c r="A5" s="5">
        <v>2</v>
      </c>
      <c r="B5" s="5"/>
      <c r="C5" s="5">
        <v>1.5002</v>
      </c>
      <c r="D5" s="5">
        <v>1.4116</v>
      </c>
      <c r="E5" s="6">
        <f t="shared" ref="E5:E38" si="4">ABS(C5-D5)</f>
        <v>8.8600000000000012E-2</v>
      </c>
      <c r="F5" s="5">
        <f t="shared" si="0"/>
        <v>5.9058792161045206</v>
      </c>
      <c r="G5" s="5">
        <v>0.59399999999999997</v>
      </c>
      <c r="H5" s="5">
        <f t="shared" ref="H5:H38" si="5">ABS(D5-G5)</f>
        <v>0.81759999999999999</v>
      </c>
      <c r="I5" s="5">
        <f t="shared" ref="I5:I38" si="6">D5*$I$2/H5</f>
        <v>1.4330088062622308</v>
      </c>
      <c r="J5" s="5">
        <f t="shared" ref="J5:J38" si="7">I5/$L$2*100</f>
        <v>97.504817801305776</v>
      </c>
      <c r="K5" s="5">
        <v>10.050000000000001</v>
      </c>
      <c r="L5" s="5">
        <v>10.06</v>
      </c>
      <c r="M5" s="5">
        <v>9.39</v>
      </c>
      <c r="N5" s="5" t="e">
        <f>#REF!*#REF!*#REF!</f>
        <v>#REF!</v>
      </c>
      <c r="O5" s="5" t="e">
        <f>#REF!*#REF!</f>
        <v>#REF!</v>
      </c>
      <c r="P5" s="5" t="e">
        <f t="shared" si="1"/>
        <v>#REF!</v>
      </c>
      <c r="Q5" s="5" t="e">
        <f t="shared" si="2"/>
        <v>#REF!</v>
      </c>
      <c r="R5" s="5" t="e">
        <f t="shared" si="3"/>
        <v>#REF!</v>
      </c>
      <c r="S5" s="5"/>
      <c r="T5" s="5"/>
      <c r="U5" s="5"/>
      <c r="V5" s="5"/>
      <c r="W5" s="5"/>
      <c r="X5" s="5"/>
      <c r="Y5" s="5"/>
      <c r="Z5" s="5">
        <f t="shared" ref="Z5:Z35" si="8">Y5+X5</f>
        <v>0</v>
      </c>
      <c r="AA5" s="5" t="e">
        <f t="shared" ref="AA5:AA35" si="9">Y5/Z5*100</f>
        <v>#DIV/0!</v>
      </c>
      <c r="AB5" s="5">
        <f t="shared" ref="AB5:AB38" si="10">C5-Z5</f>
        <v>1.5002</v>
      </c>
      <c r="AC5" s="5">
        <f t="shared" ref="AC5:AC35" si="11">AB5/C5*100</f>
        <v>100</v>
      </c>
      <c r="AG5" s="79" t="s">
        <v>39</v>
      </c>
      <c r="AH5">
        <v>0.5</v>
      </c>
      <c r="AI5">
        <f>_xlfn.AGGREGATE(1,6,J32:J38)</f>
        <v>97.06181659805506</v>
      </c>
    </row>
    <row r="6" spans="1:35" ht="21" x14ac:dyDescent="0.35">
      <c r="A6" s="5">
        <v>3</v>
      </c>
      <c r="B6" s="5"/>
      <c r="C6" s="5">
        <v>1.5</v>
      </c>
      <c r="D6" s="5">
        <v>1.4214</v>
      </c>
      <c r="E6" s="6">
        <f t="shared" si="4"/>
        <v>7.8600000000000003E-2</v>
      </c>
      <c r="F6" s="5">
        <f t="shared" si="0"/>
        <v>5.24</v>
      </c>
      <c r="G6" s="5">
        <v>0.60729999999999995</v>
      </c>
      <c r="H6" s="5">
        <f t="shared" si="5"/>
        <v>0.81410000000000005</v>
      </c>
      <c r="I6" s="5">
        <f t="shared" si="6"/>
        <v>1.4491610367276746</v>
      </c>
      <c r="J6" s="5">
        <f t="shared" si="7"/>
        <v>98.603848234151286</v>
      </c>
      <c r="K6" s="5">
        <v>10.029999999999999</v>
      </c>
      <c r="L6" s="5">
        <v>10.07</v>
      </c>
      <c r="M6" s="5">
        <v>9.3800000000000008</v>
      </c>
      <c r="N6" s="5">
        <f t="shared" ref="N6:N38" si="12">K6*L6*M6</f>
        <v>947.39969800000006</v>
      </c>
      <c r="O6" s="5">
        <f t="shared" ref="O6:O38" si="13">K6*L6</f>
        <v>101.0021</v>
      </c>
      <c r="P6" s="5">
        <f t="shared" si="1"/>
        <v>1.5003171343632831</v>
      </c>
      <c r="Q6" s="5">
        <f t="shared" si="2"/>
        <v>1.0208461259344095</v>
      </c>
      <c r="R6" s="5">
        <f t="shared" si="3"/>
        <v>3.4688236134113697</v>
      </c>
      <c r="S6" s="5"/>
      <c r="T6" s="5"/>
      <c r="U6" s="5"/>
      <c r="V6" s="5"/>
      <c r="W6" s="5"/>
      <c r="X6" s="5"/>
      <c r="Y6" s="5"/>
      <c r="Z6" s="5">
        <f t="shared" si="8"/>
        <v>0</v>
      </c>
      <c r="AA6" s="5" t="e">
        <f t="shared" si="9"/>
        <v>#DIV/0!</v>
      </c>
      <c r="AB6" s="5">
        <f t="shared" si="10"/>
        <v>1.5</v>
      </c>
      <c r="AC6" s="5">
        <f t="shared" si="11"/>
        <v>100</v>
      </c>
      <c r="AG6" s="79"/>
      <c r="AH6">
        <v>1</v>
      </c>
      <c r="AI6">
        <f>_xlfn.AGGREGATE(1,6,J4:J10)</f>
        <v>97.810257377395615</v>
      </c>
    </row>
    <row r="7" spans="1:35" ht="21" x14ac:dyDescent="0.35">
      <c r="A7" s="5">
        <v>4</v>
      </c>
      <c r="B7" s="5"/>
      <c r="C7" s="5">
        <v>1.4998</v>
      </c>
      <c r="D7" s="5">
        <v>1.3995</v>
      </c>
      <c r="E7" s="6">
        <f t="shared" si="4"/>
        <v>0.10030000000000006</v>
      </c>
      <c r="F7" s="5">
        <f t="shared" si="0"/>
        <v>6.6875583411121511</v>
      </c>
      <c r="G7" s="5">
        <v>0.59040000000000004</v>
      </c>
      <c r="H7" s="5">
        <f t="shared" si="5"/>
        <v>0.80909999999999993</v>
      </c>
      <c r="I7" s="5">
        <f t="shared" si="6"/>
        <v>1.4356507230255839</v>
      </c>
      <c r="J7" s="5">
        <f t="shared" si="7"/>
        <v>97.684579161830044</v>
      </c>
      <c r="K7" s="5">
        <v>10.029999999999999</v>
      </c>
      <c r="L7" s="5">
        <v>10.02</v>
      </c>
      <c r="M7" s="5">
        <v>9.2899999999999991</v>
      </c>
      <c r="N7" s="5">
        <f t="shared" si="12"/>
        <v>933.65057399999978</v>
      </c>
      <c r="O7" s="5">
        <f t="shared" si="13"/>
        <v>100.50059999999999</v>
      </c>
      <c r="P7" s="5">
        <f t="shared" si="1"/>
        <v>1.4989547899105133</v>
      </c>
      <c r="Q7" s="5">
        <f t="shared" si="2"/>
        <v>1.0199191592118784</v>
      </c>
      <c r="R7" s="5">
        <f t="shared" si="3"/>
        <v>4.3143152703746646</v>
      </c>
      <c r="S7" s="5"/>
      <c r="T7" s="5"/>
      <c r="U7" s="5"/>
      <c r="V7" s="5"/>
      <c r="W7" s="5"/>
      <c r="X7" s="5"/>
      <c r="Y7" s="5"/>
      <c r="Z7" s="5">
        <f t="shared" si="8"/>
        <v>0</v>
      </c>
      <c r="AA7" s="5" t="e">
        <f t="shared" si="9"/>
        <v>#DIV/0!</v>
      </c>
      <c r="AB7" s="5">
        <f t="shared" si="10"/>
        <v>1.4998</v>
      </c>
      <c r="AC7" s="5">
        <f t="shared" si="11"/>
        <v>100</v>
      </c>
      <c r="AG7" s="79"/>
      <c r="AH7">
        <v>5</v>
      </c>
      <c r="AI7">
        <f>_xlfn.AGGREGATE(1,6,J11:J17)</f>
        <v>95.95555485350566</v>
      </c>
    </row>
    <row r="8" spans="1:35" ht="21" x14ac:dyDescent="0.35">
      <c r="A8" s="5">
        <v>5</v>
      </c>
      <c r="C8" s="5">
        <v>1.5002</v>
      </c>
      <c r="D8" s="5">
        <v>1.4334</v>
      </c>
      <c r="E8" s="6">
        <f t="shared" si="4"/>
        <v>6.6799999999999971E-2</v>
      </c>
      <c r="F8" s="5">
        <f t="shared" si="0"/>
        <v>4.4527396347153694</v>
      </c>
      <c r="G8" s="5">
        <v>0.60409999999999997</v>
      </c>
      <c r="H8" s="5">
        <f t="shared" si="5"/>
        <v>0.82930000000000004</v>
      </c>
      <c r="I8" s="5">
        <f t="shared" si="6"/>
        <v>1.4346099119739537</v>
      </c>
      <c r="J8" s="5">
        <f t="shared" si="7"/>
        <v>97.613760272573188</v>
      </c>
      <c r="K8" s="5"/>
      <c r="L8" s="5"/>
      <c r="M8" s="5"/>
      <c r="N8" s="5">
        <f t="shared" si="12"/>
        <v>0</v>
      </c>
      <c r="O8" s="5">
        <f t="shared" si="13"/>
        <v>0</v>
      </c>
      <c r="P8" s="5" t="e">
        <f t="shared" si="1"/>
        <v>#DIV/0!</v>
      </c>
      <c r="Q8" s="5" t="e">
        <f t="shared" si="2"/>
        <v>#DIV/0!</v>
      </c>
      <c r="R8" s="5" t="e">
        <f t="shared" si="3"/>
        <v>#DIV/0!</v>
      </c>
      <c r="S8" s="5"/>
      <c r="T8" s="5"/>
      <c r="U8" s="5"/>
      <c r="V8" s="5"/>
      <c r="W8" s="5"/>
      <c r="X8" s="5"/>
      <c r="Y8" s="5"/>
      <c r="Z8" s="5">
        <f t="shared" si="8"/>
        <v>0</v>
      </c>
      <c r="AA8" s="5" t="e">
        <f t="shared" si="9"/>
        <v>#DIV/0!</v>
      </c>
      <c r="AB8" s="5">
        <f t="shared" si="10"/>
        <v>1.5002</v>
      </c>
      <c r="AC8" s="5">
        <f t="shared" si="11"/>
        <v>100</v>
      </c>
      <c r="AG8" s="79"/>
      <c r="AH8">
        <v>10</v>
      </c>
      <c r="AI8">
        <f>_xlfn.AGGREGATE(1,6,J25:J31)</f>
        <v>94.159792106682787</v>
      </c>
    </row>
    <row r="9" spans="1:35" ht="21" x14ac:dyDescent="0.35">
      <c r="A9" s="5">
        <v>6</v>
      </c>
      <c r="B9" s="5" t="s">
        <v>101</v>
      </c>
      <c r="C9" s="5">
        <v>1.4997</v>
      </c>
      <c r="D9" s="5">
        <v>1.4131</v>
      </c>
      <c r="E9" s="6">
        <f t="shared" si="4"/>
        <v>8.660000000000001E-2</v>
      </c>
      <c r="F9" s="5">
        <f t="shared" si="0"/>
        <v>5.7744882309795296</v>
      </c>
      <c r="G9" s="5">
        <v>0.59870000000000001</v>
      </c>
      <c r="H9" s="5">
        <f t="shared" si="5"/>
        <v>0.81440000000000001</v>
      </c>
      <c r="I9" s="5">
        <f t="shared" si="6"/>
        <v>1.4401682220039294</v>
      </c>
      <c r="J9" s="5">
        <f t="shared" si="7"/>
        <v>97.991958930102413</v>
      </c>
      <c r="K9" s="5">
        <v>10.11</v>
      </c>
      <c r="L9" s="5">
        <v>10.07</v>
      </c>
      <c r="M9" s="5">
        <v>9.48</v>
      </c>
      <c r="N9" s="5">
        <f t="shared" si="12"/>
        <v>965.13699600000007</v>
      </c>
      <c r="O9" s="5">
        <f t="shared" si="13"/>
        <v>101.8077</v>
      </c>
      <c r="P9" s="5">
        <f t="shared" si="1"/>
        <v>1.4641444746772507</v>
      </c>
      <c r="Q9" s="5">
        <f t="shared" si="2"/>
        <v>0.99623351660038284</v>
      </c>
      <c r="R9" s="5">
        <f t="shared" si="3"/>
        <v>1.651079286381218</v>
      </c>
      <c r="S9" s="5"/>
      <c r="T9" s="5"/>
      <c r="U9" s="5"/>
      <c r="V9" s="5"/>
      <c r="W9" s="5"/>
      <c r="X9" s="5"/>
      <c r="Y9" s="5"/>
      <c r="Z9" s="5">
        <f t="shared" si="8"/>
        <v>0</v>
      </c>
      <c r="AA9" s="5" t="e">
        <f t="shared" si="9"/>
        <v>#DIV/0!</v>
      </c>
      <c r="AB9" s="5">
        <f t="shared" si="10"/>
        <v>1.4997</v>
      </c>
      <c r="AC9" s="5">
        <f t="shared" si="11"/>
        <v>100</v>
      </c>
      <c r="AG9" s="79"/>
      <c r="AH9">
        <v>25</v>
      </c>
    </row>
    <row r="10" spans="1:35" ht="21" x14ac:dyDescent="0.35">
      <c r="A10" s="1">
        <v>7</v>
      </c>
      <c r="B10" s="1" t="s">
        <v>101</v>
      </c>
      <c r="C10" s="1">
        <v>1.5003</v>
      </c>
      <c r="D10" s="1">
        <v>1.3948</v>
      </c>
      <c r="E10" s="10">
        <f>ABS(C10-D10)</f>
        <v>0.10549999999999993</v>
      </c>
      <c r="F10" s="1">
        <f t="shared" si="0"/>
        <v>7.0319269479437398</v>
      </c>
      <c r="G10" s="1">
        <v>0.58460000000000001</v>
      </c>
      <c r="H10" s="1">
        <f t="shared" si="5"/>
        <v>0.81020000000000003</v>
      </c>
      <c r="I10" s="1">
        <f t="shared" si="6"/>
        <v>1.4288866946432979</v>
      </c>
      <c r="J10" s="5">
        <f t="shared" si="7"/>
        <v>97.224340988738888</v>
      </c>
      <c r="K10" s="1">
        <v>10.039999999999999</v>
      </c>
      <c r="L10" s="1">
        <v>10.14</v>
      </c>
      <c r="M10" s="1">
        <v>9.5399999999999991</v>
      </c>
      <c r="N10" s="1">
        <f t="shared" si="12"/>
        <v>971.22542399999986</v>
      </c>
      <c r="O10" s="1">
        <f t="shared" si="13"/>
        <v>101.8056</v>
      </c>
      <c r="P10" s="1">
        <f t="shared" si="1"/>
        <v>1.4361238550114399</v>
      </c>
      <c r="Q10" s="1">
        <f t="shared" si="2"/>
        <v>0.97716772019176956</v>
      </c>
      <c r="R10" s="1">
        <f t="shared" si="3"/>
        <v>0.50521003275287679</v>
      </c>
      <c r="S10" s="1"/>
      <c r="T10" s="1"/>
      <c r="U10" s="1"/>
      <c r="V10" s="1"/>
      <c r="W10" s="1"/>
      <c r="X10" s="1"/>
      <c r="Y10" s="1"/>
      <c r="Z10" s="1">
        <f t="shared" si="8"/>
        <v>0</v>
      </c>
      <c r="AA10" s="1" t="e">
        <f t="shared" si="9"/>
        <v>#DIV/0!</v>
      </c>
      <c r="AB10" s="1">
        <f t="shared" si="10"/>
        <v>1.5003</v>
      </c>
      <c r="AC10" s="1">
        <f t="shared" si="11"/>
        <v>100</v>
      </c>
    </row>
    <row r="11" spans="1:35" ht="21" x14ac:dyDescent="0.35">
      <c r="A11" s="5">
        <v>8</v>
      </c>
      <c r="B11" s="5" t="s">
        <v>102</v>
      </c>
      <c r="C11" s="5">
        <v>1.5001</v>
      </c>
      <c r="D11" s="5">
        <v>1.472</v>
      </c>
      <c r="E11" s="6">
        <f t="shared" si="4"/>
        <v>2.8100000000000014E-2</v>
      </c>
      <c r="F11" s="5">
        <f t="shared" si="0"/>
        <v>1.8732084527698163</v>
      </c>
      <c r="G11" s="5">
        <v>0.60370000000000001</v>
      </c>
      <c r="H11" s="5">
        <f t="shared" si="5"/>
        <v>0.86829999999999996</v>
      </c>
      <c r="I11" s="5">
        <f t="shared" si="6"/>
        <v>1.4070712887250951</v>
      </c>
      <c r="J11" s="5">
        <f t="shared" si="7"/>
        <v>95.739976642881103</v>
      </c>
      <c r="K11" s="5"/>
      <c r="L11" s="5"/>
      <c r="M11" s="5"/>
      <c r="N11" s="5">
        <f t="shared" si="12"/>
        <v>0</v>
      </c>
      <c r="O11" s="5">
        <f t="shared" si="13"/>
        <v>0</v>
      </c>
      <c r="P11" s="5" t="e">
        <f t="shared" si="1"/>
        <v>#DIV/0!</v>
      </c>
      <c r="Q11" s="5" t="e">
        <f t="shared" si="2"/>
        <v>#DIV/0!</v>
      </c>
      <c r="R11" s="5" t="e">
        <f t="shared" si="3"/>
        <v>#DIV/0!</v>
      </c>
      <c r="S11" s="5"/>
      <c r="T11" s="5"/>
      <c r="U11" s="5"/>
      <c r="V11" s="5"/>
      <c r="W11" s="5"/>
      <c r="X11" s="5"/>
      <c r="Y11" s="5"/>
      <c r="Z11" s="5">
        <f>Y11+X11</f>
        <v>0</v>
      </c>
      <c r="AA11" s="5"/>
      <c r="AB11" s="5">
        <f t="shared" si="10"/>
        <v>1.5001</v>
      </c>
      <c r="AC11" s="5">
        <f t="shared" si="11"/>
        <v>100</v>
      </c>
      <c r="AG11" s="79" t="s">
        <v>88</v>
      </c>
      <c r="AH11">
        <v>0.5</v>
      </c>
      <c r="AI11">
        <f>_xlfn.AGGREGATE(7,6,J32:J38)</f>
        <v>0.47432411550379877</v>
      </c>
    </row>
    <row r="12" spans="1:35" ht="21" x14ac:dyDescent="0.35">
      <c r="A12" s="5">
        <v>9</v>
      </c>
      <c r="B12" s="5"/>
      <c r="C12" s="5">
        <v>1.5001</v>
      </c>
      <c r="D12" s="5">
        <v>1.4737</v>
      </c>
      <c r="E12" s="6">
        <f t="shared" si="4"/>
        <v>2.6399999999999979E-2</v>
      </c>
      <c r="F12" s="5">
        <f t="shared" si="0"/>
        <v>1.759882674488366</v>
      </c>
      <c r="G12" s="5">
        <v>0.60429999999999995</v>
      </c>
      <c r="H12" s="5">
        <f t="shared" si="5"/>
        <v>0.86940000000000006</v>
      </c>
      <c r="I12" s="5">
        <f t="shared" si="6"/>
        <v>1.4069139636530941</v>
      </c>
      <c r="J12" s="5">
        <f t="shared" si="7"/>
        <v>95.729271926752361</v>
      </c>
      <c r="K12" s="5"/>
      <c r="L12" s="5"/>
      <c r="M12" s="5"/>
      <c r="N12" s="5">
        <f t="shared" si="12"/>
        <v>0</v>
      </c>
      <c r="O12" s="5">
        <f t="shared" si="13"/>
        <v>0</v>
      </c>
      <c r="P12" s="5" t="e">
        <f t="shared" si="1"/>
        <v>#DIV/0!</v>
      </c>
      <c r="Q12" s="5" t="e">
        <f t="shared" si="2"/>
        <v>#DIV/0!</v>
      </c>
      <c r="R12" s="5" t="e">
        <f t="shared" si="3"/>
        <v>#DIV/0!</v>
      </c>
      <c r="S12" s="5"/>
      <c r="T12" s="5"/>
      <c r="U12" s="5"/>
      <c r="V12" s="5"/>
      <c r="W12" s="5"/>
      <c r="X12" s="5"/>
      <c r="Y12" s="5"/>
      <c r="Z12" s="5">
        <f t="shared" si="8"/>
        <v>0</v>
      </c>
      <c r="AA12" s="5"/>
      <c r="AB12" s="5">
        <f t="shared" si="10"/>
        <v>1.5001</v>
      </c>
      <c r="AC12" s="5">
        <f t="shared" si="11"/>
        <v>100</v>
      </c>
      <c r="AG12" s="79"/>
      <c r="AH12">
        <v>1</v>
      </c>
      <c r="AI12">
        <f>_xlfn.AGGREGATE(7,6,J4:J10)</f>
        <v>0.44917649450107827</v>
      </c>
    </row>
    <row r="13" spans="1:35" ht="21" x14ac:dyDescent="0.35">
      <c r="A13" s="5">
        <v>10</v>
      </c>
      <c r="B13" s="5"/>
      <c r="C13" s="5">
        <v>1.5001</v>
      </c>
      <c r="D13" s="5">
        <v>1.476</v>
      </c>
      <c r="E13" s="6">
        <f t="shared" si="4"/>
        <v>2.410000000000001E-2</v>
      </c>
      <c r="F13" s="5">
        <f t="shared" si="0"/>
        <v>1.6065595626958209</v>
      </c>
      <c r="G13" s="5">
        <v>0.60770000000000002</v>
      </c>
      <c r="H13" s="5">
        <f t="shared" si="5"/>
        <v>0.86829999999999996</v>
      </c>
      <c r="I13" s="5">
        <f t="shared" si="6"/>
        <v>1.410894852009674</v>
      </c>
      <c r="J13" s="5">
        <f t="shared" si="7"/>
        <v>96.000139622888923</v>
      </c>
      <c r="K13" s="5"/>
      <c r="L13" s="5"/>
      <c r="M13" s="5"/>
      <c r="N13" s="5">
        <f t="shared" si="12"/>
        <v>0</v>
      </c>
      <c r="O13" s="5">
        <f t="shared" si="13"/>
        <v>0</v>
      </c>
      <c r="P13" s="5" t="e">
        <f t="shared" si="1"/>
        <v>#DIV/0!</v>
      </c>
      <c r="Q13" s="5" t="e">
        <f t="shared" si="2"/>
        <v>#DIV/0!</v>
      </c>
      <c r="R13" s="5" t="e">
        <f t="shared" si="3"/>
        <v>#DIV/0!</v>
      </c>
      <c r="S13" s="5"/>
      <c r="T13" s="5"/>
      <c r="U13" s="5"/>
      <c r="V13" s="5"/>
      <c r="W13" s="5"/>
      <c r="X13" s="5"/>
      <c r="Y13" s="5"/>
      <c r="Z13" s="5">
        <f t="shared" si="8"/>
        <v>0</v>
      </c>
      <c r="AA13" s="5" t="e">
        <f t="shared" si="9"/>
        <v>#DIV/0!</v>
      </c>
      <c r="AB13" s="5">
        <f t="shared" si="10"/>
        <v>1.5001</v>
      </c>
      <c r="AC13" s="5">
        <f t="shared" si="11"/>
        <v>100</v>
      </c>
      <c r="AG13" s="79"/>
      <c r="AH13">
        <v>5</v>
      </c>
      <c r="AI13">
        <f>_xlfn.AGGREGATE(7,6,J11:J17)</f>
        <v>0.2158675992837</v>
      </c>
    </row>
    <row r="14" spans="1:35" ht="21" x14ac:dyDescent="0.35">
      <c r="A14" s="5">
        <v>11</v>
      </c>
      <c r="B14" s="5"/>
      <c r="C14" s="5">
        <v>1.5002</v>
      </c>
      <c r="D14" s="5">
        <v>1.4802999999999999</v>
      </c>
      <c r="E14" s="6">
        <f t="shared" si="4"/>
        <v>1.9900000000000029E-2</v>
      </c>
      <c r="F14" s="5">
        <f t="shared" si="0"/>
        <v>1.3264898013598208</v>
      </c>
      <c r="G14" s="5">
        <v>0.61029999999999995</v>
      </c>
      <c r="H14" s="5">
        <f t="shared" si="5"/>
        <v>0.87</v>
      </c>
      <c r="I14" s="5">
        <f t="shared" si="6"/>
        <v>1.4122402298850574</v>
      </c>
      <c r="J14" s="5">
        <f t="shared" si="7"/>
        <v>96.091681854897487</v>
      </c>
      <c r="K14" s="5"/>
      <c r="L14" s="5"/>
      <c r="M14" s="5"/>
      <c r="N14" s="5">
        <f t="shared" si="12"/>
        <v>0</v>
      </c>
      <c r="O14" s="5">
        <f t="shared" si="13"/>
        <v>0</v>
      </c>
      <c r="P14" s="5" t="e">
        <f t="shared" si="1"/>
        <v>#DIV/0!</v>
      </c>
      <c r="Q14" s="5" t="e">
        <f t="shared" si="2"/>
        <v>#DIV/0!</v>
      </c>
      <c r="R14" s="5" t="e">
        <f t="shared" si="3"/>
        <v>#DIV/0!</v>
      </c>
      <c r="S14" s="5"/>
      <c r="T14" s="5"/>
      <c r="U14" s="5"/>
      <c r="V14" s="5"/>
      <c r="W14" s="5"/>
      <c r="X14" s="5"/>
      <c r="Y14" s="5"/>
      <c r="Z14" s="5">
        <f t="shared" si="8"/>
        <v>0</v>
      </c>
      <c r="AA14" s="5" t="e">
        <f t="shared" si="9"/>
        <v>#DIV/0!</v>
      </c>
      <c r="AB14" s="5">
        <f t="shared" si="10"/>
        <v>1.5002</v>
      </c>
      <c r="AC14" s="5">
        <f t="shared" si="11"/>
        <v>100</v>
      </c>
      <c r="AG14" s="79"/>
      <c r="AH14">
        <v>10</v>
      </c>
      <c r="AI14">
        <f>_xlfn.AGGREGATE(7,6,J25:J31)</f>
        <v>0.66524510406554616</v>
      </c>
    </row>
    <row r="15" spans="1:35" ht="21" x14ac:dyDescent="0.35">
      <c r="A15" s="5">
        <v>12</v>
      </c>
      <c r="B15" s="6"/>
      <c r="C15" s="6">
        <v>1.4999</v>
      </c>
      <c r="D15" s="5">
        <v>1.4611000000000001</v>
      </c>
      <c r="E15" s="6">
        <f t="shared" si="4"/>
        <v>3.8799999999999946E-2</v>
      </c>
      <c r="F15" s="5">
        <f t="shared" si="0"/>
        <v>2.5868391226081702</v>
      </c>
      <c r="G15" s="5">
        <v>0.60350000000000004</v>
      </c>
      <c r="H15" s="5">
        <f t="shared" si="5"/>
        <v>0.85760000000000003</v>
      </c>
      <c r="I15" s="5">
        <f t="shared" si="6"/>
        <v>1.4140776585820893</v>
      </c>
      <c r="J15" s="5">
        <f t="shared" si="7"/>
        <v>96.216704220108412</v>
      </c>
      <c r="K15" s="5"/>
      <c r="L15" s="5"/>
      <c r="M15" s="5"/>
      <c r="N15" s="5">
        <f t="shared" si="12"/>
        <v>0</v>
      </c>
      <c r="O15" s="5">
        <f t="shared" si="13"/>
        <v>0</v>
      </c>
      <c r="P15" s="5" t="e">
        <f t="shared" si="1"/>
        <v>#DIV/0!</v>
      </c>
      <c r="Q15" s="5" t="e">
        <f t="shared" si="2"/>
        <v>#DIV/0!</v>
      </c>
      <c r="R15" s="5" t="e">
        <f t="shared" si="3"/>
        <v>#DIV/0!</v>
      </c>
      <c r="X15" s="5"/>
      <c r="Y15" s="5"/>
      <c r="Z15" s="5">
        <f t="shared" si="8"/>
        <v>0</v>
      </c>
      <c r="AA15" s="5" t="e">
        <f t="shared" si="9"/>
        <v>#DIV/0!</v>
      </c>
      <c r="AB15" s="5">
        <f t="shared" si="10"/>
        <v>1.4999</v>
      </c>
      <c r="AC15" s="5">
        <f t="shared" si="11"/>
        <v>100</v>
      </c>
      <c r="AG15" s="79"/>
      <c r="AH15">
        <v>25</v>
      </c>
    </row>
    <row r="16" spans="1:35" ht="21" x14ac:dyDescent="0.35">
      <c r="A16" s="5">
        <v>13</v>
      </c>
      <c r="B16" s="5"/>
      <c r="C16" s="5">
        <v>1.5004</v>
      </c>
      <c r="D16" s="5"/>
      <c r="E16" s="6">
        <f t="shared" si="4"/>
        <v>1.5004</v>
      </c>
      <c r="F16" s="5">
        <f t="shared" si="0"/>
        <v>100</v>
      </c>
      <c r="G16" s="5"/>
      <c r="H16" s="5">
        <f t="shared" si="5"/>
        <v>0</v>
      </c>
      <c r="I16" s="5" t="e">
        <f>D16*$I$2/H16</f>
        <v>#DIV/0!</v>
      </c>
      <c r="J16" s="5" t="e">
        <f t="shared" si="7"/>
        <v>#DIV/0!</v>
      </c>
      <c r="K16" s="5"/>
      <c r="L16" s="5"/>
      <c r="M16" s="5"/>
      <c r="N16" s="5">
        <f t="shared" si="12"/>
        <v>0</v>
      </c>
      <c r="O16" s="5">
        <f t="shared" si="13"/>
        <v>0</v>
      </c>
      <c r="P16" s="5" t="e">
        <f t="shared" si="1"/>
        <v>#DIV/0!</v>
      </c>
      <c r="Q16" s="5" t="e">
        <f t="shared" si="2"/>
        <v>#DIV/0!</v>
      </c>
      <c r="R16" s="5" t="e">
        <f t="shared" si="3"/>
        <v>#DIV/0!</v>
      </c>
      <c r="X16" s="5"/>
      <c r="Y16" s="5"/>
      <c r="Z16" s="5">
        <f t="shared" si="8"/>
        <v>0</v>
      </c>
      <c r="AA16" s="5" t="e">
        <f t="shared" si="9"/>
        <v>#DIV/0!</v>
      </c>
      <c r="AB16" s="5">
        <f t="shared" si="10"/>
        <v>1.5004</v>
      </c>
      <c r="AC16" s="5">
        <f t="shared" si="11"/>
        <v>100</v>
      </c>
    </row>
    <row r="17" spans="1:29" ht="21" x14ac:dyDescent="0.35">
      <c r="A17" s="1">
        <v>14</v>
      </c>
      <c r="B17" s="1"/>
      <c r="C17" s="1">
        <v>1.5005999999999999</v>
      </c>
      <c r="D17" s="1"/>
      <c r="E17" s="10">
        <f t="shared" si="4"/>
        <v>1.5005999999999999</v>
      </c>
      <c r="F17" s="1">
        <f t="shared" si="0"/>
        <v>100</v>
      </c>
      <c r="G17" s="1"/>
      <c r="H17" s="1">
        <f t="shared" si="5"/>
        <v>0</v>
      </c>
      <c r="I17" s="1" t="e">
        <f t="shared" si="6"/>
        <v>#DIV/0!</v>
      </c>
      <c r="J17" s="5" t="e">
        <f t="shared" si="7"/>
        <v>#DIV/0!</v>
      </c>
      <c r="K17" s="1"/>
      <c r="L17" s="1"/>
      <c r="M17" s="1"/>
      <c r="N17" s="1">
        <f t="shared" si="12"/>
        <v>0</v>
      </c>
      <c r="O17" s="1">
        <f t="shared" si="13"/>
        <v>0</v>
      </c>
      <c r="P17" s="1" t="e">
        <f t="shared" si="1"/>
        <v>#DIV/0!</v>
      </c>
      <c r="Q17" s="1" t="e">
        <f t="shared" si="2"/>
        <v>#DIV/0!</v>
      </c>
      <c r="R17" s="1" t="e">
        <f t="shared" si="3"/>
        <v>#DIV/0!</v>
      </c>
      <c r="S17" s="4"/>
      <c r="T17" s="4"/>
      <c r="U17" s="4"/>
      <c r="V17" s="4"/>
      <c r="W17" s="4"/>
      <c r="X17" s="1"/>
      <c r="Y17" s="1"/>
      <c r="Z17" s="1">
        <f t="shared" si="8"/>
        <v>0</v>
      </c>
      <c r="AA17" s="1" t="e">
        <f t="shared" si="9"/>
        <v>#DIV/0!</v>
      </c>
      <c r="AB17" s="1">
        <f t="shared" si="10"/>
        <v>1.5005999999999999</v>
      </c>
      <c r="AC17" s="1">
        <f t="shared" si="11"/>
        <v>100</v>
      </c>
    </row>
    <row r="18" spans="1:29" ht="21" x14ac:dyDescent="0.35">
      <c r="A18" s="5">
        <v>15</v>
      </c>
      <c r="B18" s="5" t="s">
        <v>103</v>
      </c>
      <c r="C18" s="5">
        <v>1.5003</v>
      </c>
      <c r="D18" s="5"/>
      <c r="E18" s="6">
        <f t="shared" si="4"/>
        <v>1.5003</v>
      </c>
      <c r="F18" s="5">
        <f t="shared" si="0"/>
        <v>100</v>
      </c>
      <c r="G18" s="5"/>
      <c r="H18" s="5">
        <f t="shared" si="5"/>
        <v>0</v>
      </c>
      <c r="I18" s="5" t="e">
        <f t="shared" si="6"/>
        <v>#DIV/0!</v>
      </c>
      <c r="J18" s="5" t="e">
        <f t="shared" si="7"/>
        <v>#DIV/0!</v>
      </c>
      <c r="K18" s="5"/>
      <c r="L18" s="5"/>
      <c r="M18" s="5"/>
      <c r="N18" s="5">
        <f t="shared" si="12"/>
        <v>0</v>
      </c>
      <c r="O18" s="5">
        <f t="shared" si="13"/>
        <v>0</v>
      </c>
      <c r="P18" s="5" t="e">
        <f t="shared" si="1"/>
        <v>#DIV/0!</v>
      </c>
      <c r="Q18" s="5" t="e">
        <f t="shared" si="2"/>
        <v>#DIV/0!</v>
      </c>
      <c r="R18" s="5" t="e">
        <f t="shared" si="3"/>
        <v>#DIV/0!</v>
      </c>
      <c r="X18" s="5"/>
      <c r="Y18" s="5"/>
      <c r="Z18" s="5">
        <f t="shared" si="8"/>
        <v>0</v>
      </c>
      <c r="AA18" s="5" t="e">
        <f t="shared" si="9"/>
        <v>#DIV/0!</v>
      </c>
      <c r="AB18" s="5">
        <f t="shared" si="10"/>
        <v>1.5003</v>
      </c>
      <c r="AC18" s="5">
        <f t="shared" si="11"/>
        <v>100</v>
      </c>
    </row>
    <row r="19" spans="1:29" ht="21" x14ac:dyDescent="0.35">
      <c r="A19" s="5">
        <v>16</v>
      </c>
      <c r="B19" s="5"/>
      <c r="C19" s="5">
        <v>1.5003</v>
      </c>
      <c r="D19" s="5"/>
      <c r="E19" s="6">
        <f t="shared" si="4"/>
        <v>1.5003</v>
      </c>
      <c r="F19" s="5">
        <f t="shared" si="0"/>
        <v>100</v>
      </c>
      <c r="G19" s="5"/>
      <c r="H19" s="5">
        <f t="shared" si="5"/>
        <v>0</v>
      </c>
      <c r="I19" s="5" t="e">
        <f t="shared" si="6"/>
        <v>#DIV/0!</v>
      </c>
      <c r="J19" s="5" t="e">
        <f t="shared" si="7"/>
        <v>#DIV/0!</v>
      </c>
      <c r="K19" s="5"/>
      <c r="L19" s="5"/>
      <c r="M19" s="5"/>
      <c r="N19" s="5">
        <f t="shared" si="12"/>
        <v>0</v>
      </c>
      <c r="O19" s="5">
        <f t="shared" si="13"/>
        <v>0</v>
      </c>
      <c r="P19" s="5" t="e">
        <f t="shared" si="1"/>
        <v>#DIV/0!</v>
      </c>
      <c r="Q19" s="5" t="e">
        <f t="shared" si="2"/>
        <v>#DIV/0!</v>
      </c>
      <c r="R19" s="5" t="e">
        <f t="shared" si="3"/>
        <v>#DIV/0!</v>
      </c>
      <c r="X19" s="5"/>
      <c r="Y19" s="5"/>
      <c r="Z19" s="5">
        <f t="shared" si="8"/>
        <v>0</v>
      </c>
      <c r="AA19" s="5" t="e">
        <f t="shared" si="9"/>
        <v>#DIV/0!</v>
      </c>
      <c r="AB19" s="5">
        <f t="shared" si="10"/>
        <v>1.5003</v>
      </c>
      <c r="AC19" s="5">
        <f t="shared" si="11"/>
        <v>100</v>
      </c>
    </row>
    <row r="20" spans="1:29" ht="21" x14ac:dyDescent="0.35">
      <c r="A20" s="5">
        <v>17</v>
      </c>
      <c r="B20" s="5"/>
      <c r="C20" s="5">
        <v>1.5003</v>
      </c>
      <c r="D20" s="5"/>
      <c r="E20" s="6">
        <f t="shared" si="4"/>
        <v>1.5003</v>
      </c>
      <c r="F20" s="5">
        <f t="shared" si="0"/>
        <v>100</v>
      </c>
      <c r="G20" s="5"/>
      <c r="H20" s="5">
        <f t="shared" si="5"/>
        <v>0</v>
      </c>
      <c r="I20" s="5" t="e">
        <f t="shared" si="6"/>
        <v>#DIV/0!</v>
      </c>
      <c r="J20" s="5" t="e">
        <f t="shared" si="7"/>
        <v>#DIV/0!</v>
      </c>
      <c r="K20" s="5"/>
      <c r="L20" s="5"/>
      <c r="M20" s="5"/>
      <c r="N20" s="5">
        <f t="shared" si="12"/>
        <v>0</v>
      </c>
      <c r="O20" s="5">
        <f t="shared" si="13"/>
        <v>0</v>
      </c>
      <c r="P20" s="5" t="e">
        <f t="shared" si="1"/>
        <v>#DIV/0!</v>
      </c>
      <c r="Q20" s="5" t="e">
        <f t="shared" si="2"/>
        <v>#DIV/0!</v>
      </c>
      <c r="R20" s="5" t="e">
        <f t="shared" si="3"/>
        <v>#DIV/0!</v>
      </c>
      <c r="X20" s="5"/>
      <c r="Y20" s="5"/>
      <c r="Z20" s="5">
        <f t="shared" si="8"/>
        <v>0</v>
      </c>
      <c r="AA20" s="5"/>
      <c r="AB20" s="5">
        <f t="shared" si="10"/>
        <v>1.5003</v>
      </c>
      <c r="AC20" s="5">
        <f t="shared" si="11"/>
        <v>100</v>
      </c>
    </row>
    <row r="21" spans="1:29" ht="21" x14ac:dyDescent="0.35">
      <c r="A21" s="5">
        <v>18</v>
      </c>
      <c r="B21" s="5"/>
      <c r="C21" s="5">
        <v>1.5002</v>
      </c>
      <c r="D21" s="5"/>
      <c r="E21" s="6">
        <f t="shared" si="4"/>
        <v>1.5002</v>
      </c>
      <c r="F21" s="5">
        <f t="shared" si="0"/>
        <v>100</v>
      </c>
      <c r="G21" s="5"/>
      <c r="H21" s="5">
        <f t="shared" si="5"/>
        <v>0</v>
      </c>
      <c r="I21" s="5" t="e">
        <f t="shared" si="6"/>
        <v>#DIV/0!</v>
      </c>
      <c r="J21" s="5" t="e">
        <f t="shared" si="7"/>
        <v>#DIV/0!</v>
      </c>
      <c r="K21" s="5"/>
      <c r="L21" s="5"/>
      <c r="M21" s="5"/>
      <c r="N21" s="5">
        <f t="shared" si="12"/>
        <v>0</v>
      </c>
      <c r="O21" s="5">
        <f t="shared" si="13"/>
        <v>0</v>
      </c>
      <c r="P21" s="5" t="e">
        <f t="shared" si="1"/>
        <v>#DIV/0!</v>
      </c>
      <c r="Q21" s="5" t="e">
        <f t="shared" si="2"/>
        <v>#DIV/0!</v>
      </c>
      <c r="R21" s="5" t="e">
        <f t="shared" si="3"/>
        <v>#DIV/0!</v>
      </c>
      <c r="X21" s="5"/>
      <c r="Y21" s="5"/>
      <c r="Z21" s="5">
        <f>Y21+X21</f>
        <v>0</v>
      </c>
      <c r="AA21" s="5" t="e">
        <f t="shared" si="9"/>
        <v>#DIV/0!</v>
      </c>
      <c r="AB21" s="5">
        <f t="shared" si="10"/>
        <v>1.5002</v>
      </c>
      <c r="AC21" s="5">
        <f t="shared" si="11"/>
        <v>100</v>
      </c>
    </row>
    <row r="22" spans="1:29" ht="21" x14ac:dyDescent="0.35">
      <c r="A22" s="5">
        <v>19</v>
      </c>
      <c r="B22" s="5"/>
      <c r="C22" s="5">
        <v>1.4997</v>
      </c>
      <c r="D22" s="5"/>
      <c r="E22" s="6">
        <f t="shared" si="4"/>
        <v>1.4997</v>
      </c>
      <c r="F22" s="5">
        <f t="shared" si="0"/>
        <v>100</v>
      </c>
      <c r="G22" s="5"/>
      <c r="H22" s="5">
        <f t="shared" si="5"/>
        <v>0</v>
      </c>
      <c r="I22" s="5" t="e">
        <f t="shared" si="6"/>
        <v>#DIV/0!</v>
      </c>
      <c r="J22" s="5" t="e">
        <f t="shared" si="7"/>
        <v>#DIV/0!</v>
      </c>
      <c r="K22" s="5"/>
      <c r="L22" s="5"/>
      <c r="M22" s="5"/>
      <c r="N22" s="5">
        <f t="shared" si="12"/>
        <v>0</v>
      </c>
      <c r="O22" s="5">
        <f t="shared" si="13"/>
        <v>0</v>
      </c>
      <c r="P22" s="5" t="e">
        <f t="shared" si="1"/>
        <v>#DIV/0!</v>
      </c>
      <c r="Q22" s="5" t="e">
        <f t="shared" si="2"/>
        <v>#DIV/0!</v>
      </c>
      <c r="R22" s="5" t="e">
        <f t="shared" si="3"/>
        <v>#DIV/0!</v>
      </c>
      <c r="X22" s="5"/>
      <c r="Y22" s="5"/>
      <c r="Z22" s="5">
        <f t="shared" si="8"/>
        <v>0</v>
      </c>
      <c r="AA22" s="5" t="e">
        <f t="shared" si="9"/>
        <v>#DIV/0!</v>
      </c>
      <c r="AB22" s="5">
        <f t="shared" si="10"/>
        <v>1.4997</v>
      </c>
      <c r="AC22" s="5">
        <f t="shared" si="11"/>
        <v>100</v>
      </c>
    </row>
    <row r="23" spans="1:29" ht="21" x14ac:dyDescent="0.35">
      <c r="A23" s="5">
        <v>20</v>
      </c>
      <c r="B23" s="5"/>
      <c r="C23" s="5">
        <v>1.5</v>
      </c>
      <c r="D23" s="5"/>
      <c r="E23" s="6">
        <f t="shared" si="4"/>
        <v>1.5</v>
      </c>
      <c r="F23" s="5">
        <f t="shared" si="0"/>
        <v>100</v>
      </c>
      <c r="G23" s="5"/>
      <c r="H23" s="5">
        <f t="shared" si="5"/>
        <v>0</v>
      </c>
      <c r="I23" s="5" t="e">
        <f t="shared" si="6"/>
        <v>#DIV/0!</v>
      </c>
      <c r="J23" s="5" t="e">
        <f t="shared" si="7"/>
        <v>#DIV/0!</v>
      </c>
      <c r="K23" s="5"/>
      <c r="L23" s="5"/>
      <c r="M23" s="5"/>
      <c r="N23" s="5">
        <f t="shared" si="12"/>
        <v>0</v>
      </c>
      <c r="O23" s="5">
        <f t="shared" si="13"/>
        <v>0</v>
      </c>
      <c r="P23" s="5" t="e">
        <f t="shared" si="1"/>
        <v>#DIV/0!</v>
      </c>
      <c r="Q23" s="5" t="e">
        <f t="shared" si="2"/>
        <v>#DIV/0!</v>
      </c>
      <c r="R23" s="5" t="e">
        <f t="shared" si="3"/>
        <v>#DIV/0!</v>
      </c>
      <c r="X23" s="5"/>
      <c r="Y23" s="5"/>
      <c r="Z23" s="5">
        <f t="shared" si="8"/>
        <v>0</v>
      </c>
      <c r="AA23" s="5" t="e">
        <f t="shared" si="9"/>
        <v>#DIV/0!</v>
      </c>
      <c r="AB23" s="5">
        <f t="shared" si="10"/>
        <v>1.5</v>
      </c>
      <c r="AC23" s="5">
        <f t="shared" si="11"/>
        <v>100</v>
      </c>
    </row>
    <row r="24" spans="1:29" ht="21" x14ac:dyDescent="0.35">
      <c r="A24" s="1">
        <v>21</v>
      </c>
      <c r="B24" s="1"/>
      <c r="C24" s="10">
        <v>1.5002</v>
      </c>
      <c r="D24" s="1"/>
      <c r="E24" s="10">
        <f t="shared" si="4"/>
        <v>1.5002</v>
      </c>
      <c r="F24" s="1">
        <f t="shared" si="0"/>
        <v>100</v>
      </c>
      <c r="G24" s="1"/>
      <c r="H24" s="1">
        <f t="shared" si="5"/>
        <v>0</v>
      </c>
      <c r="I24" s="1" t="e">
        <f t="shared" si="6"/>
        <v>#DIV/0!</v>
      </c>
      <c r="J24" s="5" t="e">
        <f t="shared" si="7"/>
        <v>#DIV/0!</v>
      </c>
      <c r="K24" s="1"/>
      <c r="L24" s="1"/>
      <c r="M24" s="1"/>
      <c r="N24" s="1">
        <f t="shared" si="12"/>
        <v>0</v>
      </c>
      <c r="O24" s="1">
        <f t="shared" si="13"/>
        <v>0</v>
      </c>
      <c r="P24" s="1" t="e">
        <f t="shared" si="1"/>
        <v>#DIV/0!</v>
      </c>
      <c r="Q24" s="1" t="e">
        <f t="shared" si="2"/>
        <v>#DIV/0!</v>
      </c>
      <c r="R24" s="1" t="e">
        <f t="shared" si="3"/>
        <v>#DIV/0!</v>
      </c>
      <c r="S24" s="4"/>
      <c r="T24" s="4"/>
      <c r="U24" s="4"/>
      <c r="V24" s="4"/>
      <c r="W24" s="4"/>
      <c r="X24" s="1"/>
      <c r="Y24" s="1"/>
      <c r="Z24" s="1">
        <f t="shared" si="8"/>
        <v>0</v>
      </c>
      <c r="AA24" s="1" t="e">
        <f t="shared" si="9"/>
        <v>#DIV/0!</v>
      </c>
      <c r="AB24" s="1">
        <f t="shared" si="10"/>
        <v>1.5002</v>
      </c>
      <c r="AC24" s="1">
        <f t="shared" si="11"/>
        <v>100</v>
      </c>
    </row>
    <row r="25" spans="1:29" ht="21" x14ac:dyDescent="0.35">
      <c r="A25" s="5">
        <v>22</v>
      </c>
      <c r="B25" s="5" t="s">
        <v>104</v>
      </c>
      <c r="C25" s="6">
        <v>1.5002</v>
      </c>
      <c r="D25" s="5">
        <v>1.4674</v>
      </c>
      <c r="E25" s="6">
        <f t="shared" si="4"/>
        <v>3.279999999999994E-2</v>
      </c>
      <c r="F25" s="5">
        <f t="shared" si="0"/>
        <v>2.1863751499799986</v>
      </c>
      <c r="G25" s="5">
        <v>0.59279999999999999</v>
      </c>
      <c r="H25" s="5">
        <f t="shared" si="5"/>
        <v>0.87460000000000004</v>
      </c>
      <c r="I25" s="5">
        <f t="shared" si="6"/>
        <v>1.392570317859593</v>
      </c>
      <c r="J25" s="5">
        <f t="shared" si="7"/>
        <v>94.753301253306361</v>
      </c>
      <c r="K25" s="5"/>
      <c r="L25" s="5"/>
      <c r="M25" s="5"/>
      <c r="N25" s="5">
        <f t="shared" si="12"/>
        <v>0</v>
      </c>
      <c r="O25" s="5">
        <f t="shared" si="13"/>
        <v>0</v>
      </c>
      <c r="P25" s="5" t="e">
        <f t="shared" si="1"/>
        <v>#DIV/0!</v>
      </c>
      <c r="Q25" s="5" t="e">
        <f t="shared" si="2"/>
        <v>#DIV/0!</v>
      </c>
      <c r="R25" s="5" t="e">
        <f t="shared" si="3"/>
        <v>#DIV/0!</v>
      </c>
      <c r="X25" s="5"/>
      <c r="Y25" s="5"/>
      <c r="Z25" s="5">
        <f t="shared" si="8"/>
        <v>0</v>
      </c>
      <c r="AA25" s="5" t="e">
        <f t="shared" si="9"/>
        <v>#DIV/0!</v>
      </c>
      <c r="AB25" s="5">
        <f t="shared" si="10"/>
        <v>1.5002</v>
      </c>
      <c r="AC25" s="5">
        <f t="shared" si="11"/>
        <v>100</v>
      </c>
    </row>
    <row r="26" spans="1:29" ht="21" x14ac:dyDescent="0.35">
      <c r="A26" s="5">
        <v>23</v>
      </c>
      <c r="B26" s="5"/>
      <c r="C26" s="5">
        <v>1.4999</v>
      </c>
      <c r="D26" s="5">
        <v>1.468</v>
      </c>
      <c r="E26" s="6">
        <f t="shared" si="4"/>
        <v>3.1900000000000039E-2</v>
      </c>
      <c r="F26" s="5">
        <f t="shared" si="0"/>
        <v>2.1268084538969294</v>
      </c>
      <c r="G26" s="5">
        <v>0.5887</v>
      </c>
      <c r="H26" s="5">
        <f t="shared" si="5"/>
        <v>0.87929999999999997</v>
      </c>
      <c r="I26" s="5">
        <f t="shared" si="6"/>
        <v>1.3856931650176276</v>
      </c>
      <c r="J26" s="5">
        <f t="shared" si="7"/>
        <v>94.285365863155761</v>
      </c>
      <c r="K26" s="5"/>
      <c r="L26" s="5"/>
      <c r="M26" s="5"/>
      <c r="N26" s="5">
        <f t="shared" si="12"/>
        <v>0</v>
      </c>
      <c r="O26" s="5">
        <f t="shared" si="13"/>
        <v>0</v>
      </c>
      <c r="P26" s="5" t="e">
        <f t="shared" si="1"/>
        <v>#DIV/0!</v>
      </c>
      <c r="Q26" s="5" t="e">
        <f t="shared" si="2"/>
        <v>#DIV/0!</v>
      </c>
      <c r="R26" s="5" t="e">
        <f t="shared" si="3"/>
        <v>#DIV/0!</v>
      </c>
      <c r="X26" s="5"/>
      <c r="Y26" s="5"/>
      <c r="Z26" s="5">
        <f t="shared" si="8"/>
        <v>0</v>
      </c>
      <c r="AA26" s="5" t="e">
        <f t="shared" si="9"/>
        <v>#DIV/0!</v>
      </c>
      <c r="AB26" s="5">
        <f t="shared" si="10"/>
        <v>1.4999</v>
      </c>
      <c r="AC26" s="5">
        <f>AB26/C26*100</f>
        <v>100</v>
      </c>
    </row>
    <row r="27" spans="1:29" ht="21" x14ac:dyDescent="0.35">
      <c r="A27" s="5">
        <v>24</v>
      </c>
      <c r="B27" s="5"/>
      <c r="C27" s="5">
        <v>1.5003</v>
      </c>
      <c r="D27" s="5">
        <v>1.4934000000000001</v>
      </c>
      <c r="E27" s="6">
        <f t="shared" si="4"/>
        <v>6.8999999999999062E-3</v>
      </c>
      <c r="F27" s="5">
        <f t="shared" si="0"/>
        <v>0.45990801839631451</v>
      </c>
      <c r="G27" s="5">
        <v>0.59079999999999999</v>
      </c>
      <c r="H27" s="5">
        <f t="shared" si="5"/>
        <v>0.90260000000000007</v>
      </c>
      <c r="I27" s="5">
        <f t="shared" si="6"/>
        <v>1.3732794150232661</v>
      </c>
      <c r="J27" s="5">
        <f t="shared" si="7"/>
        <v>93.440709203586223</v>
      </c>
      <c r="K27" s="5"/>
      <c r="L27" s="5"/>
      <c r="M27" s="5"/>
      <c r="N27" s="5">
        <f t="shared" si="12"/>
        <v>0</v>
      </c>
      <c r="O27" s="5">
        <f t="shared" si="13"/>
        <v>0</v>
      </c>
      <c r="P27" s="5" t="e">
        <f t="shared" si="1"/>
        <v>#DIV/0!</v>
      </c>
      <c r="Q27" s="5" t="e">
        <f t="shared" si="2"/>
        <v>#DIV/0!</v>
      </c>
      <c r="R27" s="5" t="e">
        <f t="shared" si="3"/>
        <v>#DIV/0!</v>
      </c>
      <c r="X27" s="5"/>
      <c r="Y27" s="5"/>
      <c r="Z27" s="5">
        <f t="shared" si="8"/>
        <v>0</v>
      </c>
      <c r="AA27" s="5" t="e">
        <f t="shared" si="9"/>
        <v>#DIV/0!</v>
      </c>
      <c r="AB27" s="5">
        <f t="shared" si="10"/>
        <v>1.5003</v>
      </c>
      <c r="AC27" s="5">
        <f t="shared" si="11"/>
        <v>100</v>
      </c>
    </row>
    <row r="28" spans="1:29" ht="21" x14ac:dyDescent="0.35">
      <c r="A28" s="5">
        <v>25</v>
      </c>
      <c r="B28" s="5"/>
      <c r="C28" s="5">
        <v>1.4999</v>
      </c>
      <c r="D28" s="5"/>
      <c r="E28" s="6">
        <f t="shared" si="4"/>
        <v>1.4999</v>
      </c>
      <c r="F28" s="5">
        <f t="shared" si="0"/>
        <v>100</v>
      </c>
      <c r="G28" s="5"/>
      <c r="H28" s="5">
        <f t="shared" si="5"/>
        <v>0</v>
      </c>
      <c r="I28" s="5" t="e">
        <f t="shared" si="6"/>
        <v>#DIV/0!</v>
      </c>
      <c r="J28" s="5" t="e">
        <f t="shared" si="7"/>
        <v>#DIV/0!</v>
      </c>
      <c r="K28" s="5"/>
      <c r="L28" s="5"/>
      <c r="M28" s="5"/>
      <c r="N28" s="5">
        <f t="shared" si="12"/>
        <v>0</v>
      </c>
      <c r="O28" s="5">
        <f t="shared" si="13"/>
        <v>0</v>
      </c>
      <c r="P28" s="5" t="e">
        <f t="shared" si="1"/>
        <v>#DIV/0!</v>
      </c>
      <c r="Q28" s="5" t="e">
        <f t="shared" si="2"/>
        <v>#DIV/0!</v>
      </c>
      <c r="R28" s="5" t="e">
        <f t="shared" si="3"/>
        <v>#DIV/0!</v>
      </c>
      <c r="X28" s="5"/>
      <c r="Y28" s="5"/>
      <c r="Z28" s="5">
        <f t="shared" si="8"/>
        <v>0</v>
      </c>
      <c r="AA28" s="5"/>
      <c r="AB28" s="5">
        <f t="shared" si="10"/>
        <v>1.4999</v>
      </c>
      <c r="AC28" s="5">
        <f t="shared" si="11"/>
        <v>100</v>
      </c>
    </row>
    <row r="29" spans="1:29" ht="21" x14ac:dyDescent="0.35">
      <c r="A29" s="5">
        <v>26</v>
      </c>
      <c r="B29" s="5"/>
      <c r="C29" s="5">
        <v>1.5</v>
      </c>
      <c r="D29" s="5"/>
      <c r="E29" s="6">
        <f t="shared" si="4"/>
        <v>1.5</v>
      </c>
      <c r="F29" s="5">
        <f t="shared" si="0"/>
        <v>100</v>
      </c>
      <c r="G29" s="5"/>
      <c r="H29" s="5">
        <f t="shared" si="5"/>
        <v>0</v>
      </c>
      <c r="I29" s="5" t="e">
        <f t="shared" si="6"/>
        <v>#DIV/0!</v>
      </c>
      <c r="J29" s="5" t="e">
        <f t="shared" si="7"/>
        <v>#DIV/0!</v>
      </c>
      <c r="K29" s="5"/>
      <c r="L29" s="5"/>
      <c r="M29" s="5"/>
      <c r="N29" s="5">
        <f t="shared" si="12"/>
        <v>0</v>
      </c>
      <c r="O29" s="5">
        <f t="shared" si="13"/>
        <v>0</v>
      </c>
      <c r="P29" s="5" t="e">
        <f t="shared" si="1"/>
        <v>#DIV/0!</v>
      </c>
      <c r="Q29" s="5" t="e">
        <f t="shared" si="2"/>
        <v>#DIV/0!</v>
      </c>
      <c r="R29" s="5" t="e">
        <f t="shared" si="3"/>
        <v>#DIV/0!</v>
      </c>
      <c r="X29" s="5"/>
      <c r="Y29" s="5"/>
      <c r="Z29" s="5">
        <f t="shared" si="8"/>
        <v>0</v>
      </c>
      <c r="AA29" s="5" t="e">
        <f t="shared" si="9"/>
        <v>#DIV/0!</v>
      </c>
      <c r="AB29" s="5">
        <f t="shared" si="10"/>
        <v>1.5</v>
      </c>
      <c r="AC29" s="5">
        <f t="shared" si="11"/>
        <v>100</v>
      </c>
    </row>
    <row r="30" spans="1:29" ht="21" x14ac:dyDescent="0.35">
      <c r="A30" s="5">
        <v>27</v>
      </c>
      <c r="B30" s="5"/>
      <c r="C30" s="5">
        <v>1.5003</v>
      </c>
      <c r="D30" s="5"/>
      <c r="E30" s="6">
        <f t="shared" si="4"/>
        <v>1.5003</v>
      </c>
      <c r="F30" s="5">
        <f t="shared" si="0"/>
        <v>100</v>
      </c>
      <c r="G30" s="5"/>
      <c r="H30" s="5">
        <f t="shared" si="5"/>
        <v>0</v>
      </c>
      <c r="I30" s="5" t="e">
        <f t="shared" si="6"/>
        <v>#DIV/0!</v>
      </c>
      <c r="J30" s="5" t="e">
        <f t="shared" si="7"/>
        <v>#DIV/0!</v>
      </c>
      <c r="N30" s="5">
        <f t="shared" si="12"/>
        <v>0</v>
      </c>
      <c r="O30" s="5">
        <f>K32*L32</f>
        <v>0</v>
      </c>
      <c r="P30" s="5" t="e">
        <f t="shared" si="1"/>
        <v>#DIV/0!</v>
      </c>
      <c r="Q30" s="5" t="e">
        <f t="shared" si="2"/>
        <v>#DIV/0!</v>
      </c>
      <c r="R30" s="5" t="e">
        <f t="shared" si="3"/>
        <v>#DIV/0!</v>
      </c>
      <c r="X30" s="5"/>
      <c r="Y30" s="5"/>
      <c r="Z30" s="5">
        <f t="shared" si="8"/>
        <v>0</v>
      </c>
      <c r="AA30" s="5" t="e">
        <f t="shared" si="9"/>
        <v>#DIV/0!</v>
      </c>
      <c r="AB30" s="5">
        <f t="shared" si="10"/>
        <v>1.5003</v>
      </c>
      <c r="AC30" s="5">
        <f t="shared" si="11"/>
        <v>100</v>
      </c>
    </row>
    <row r="31" spans="1:29" ht="21" x14ac:dyDescent="0.35">
      <c r="A31" s="17">
        <v>28</v>
      </c>
      <c r="B31" s="17"/>
      <c r="C31" s="17">
        <v>1.5002</v>
      </c>
      <c r="D31" s="17"/>
      <c r="E31" s="18">
        <f t="shared" si="4"/>
        <v>1.5002</v>
      </c>
      <c r="F31" s="17">
        <f t="shared" si="0"/>
        <v>100</v>
      </c>
      <c r="G31" s="17"/>
      <c r="H31" s="17">
        <f t="shared" si="5"/>
        <v>0</v>
      </c>
      <c r="I31" s="17" t="e">
        <f t="shared" si="6"/>
        <v>#DIV/0!</v>
      </c>
      <c r="J31" s="5" t="e">
        <f t="shared" si="7"/>
        <v>#DIV/0!</v>
      </c>
      <c r="K31" s="17"/>
      <c r="L31" s="17"/>
      <c r="M31" s="17"/>
      <c r="N31" s="17">
        <f t="shared" si="12"/>
        <v>0</v>
      </c>
      <c r="O31" s="17">
        <f t="shared" si="13"/>
        <v>0</v>
      </c>
      <c r="P31" s="17" t="e">
        <f t="shared" si="1"/>
        <v>#DIV/0!</v>
      </c>
      <c r="Q31" s="17" t="e">
        <f t="shared" si="2"/>
        <v>#DIV/0!</v>
      </c>
      <c r="R31" s="17" t="e">
        <f t="shared" si="3"/>
        <v>#DIV/0!</v>
      </c>
      <c r="S31" s="68"/>
      <c r="T31" s="68"/>
      <c r="U31" s="68"/>
      <c r="V31" s="68"/>
      <c r="W31" s="68"/>
      <c r="X31" s="17"/>
      <c r="Y31" s="17"/>
      <c r="Z31" s="17">
        <f t="shared" si="8"/>
        <v>0</v>
      </c>
      <c r="AA31" s="17" t="e">
        <f t="shared" si="9"/>
        <v>#DIV/0!</v>
      </c>
      <c r="AB31" s="17">
        <f t="shared" si="10"/>
        <v>1.5002</v>
      </c>
      <c r="AC31" s="17">
        <f t="shared" si="11"/>
        <v>100</v>
      </c>
    </row>
    <row r="32" spans="1:29" ht="21" x14ac:dyDescent="0.35">
      <c r="A32" s="5">
        <v>29</v>
      </c>
      <c r="B32" s="5" t="s">
        <v>105</v>
      </c>
      <c r="C32" s="5">
        <v>1.5</v>
      </c>
      <c r="D32" s="5">
        <v>1.4152</v>
      </c>
      <c r="E32" s="6">
        <f t="shared" si="4"/>
        <v>8.4799999999999986E-2</v>
      </c>
      <c r="F32" s="5">
        <f t="shared" si="0"/>
        <v>5.6533333333333324</v>
      </c>
      <c r="G32" s="5">
        <v>0.58750000000000002</v>
      </c>
      <c r="H32" s="5">
        <f t="shared" si="5"/>
        <v>0.82769999999999999</v>
      </c>
      <c r="I32" s="5">
        <f t="shared" si="6"/>
        <v>1.4191325359429743</v>
      </c>
      <c r="J32" s="5">
        <f t="shared" si="7"/>
        <v>96.560648300512639</v>
      </c>
      <c r="K32" s="5"/>
      <c r="L32" s="5"/>
      <c r="M32" s="5"/>
      <c r="N32" s="5">
        <f t="shared" si="12"/>
        <v>0</v>
      </c>
      <c r="O32" s="5" t="e">
        <f>#REF!*#REF!</f>
        <v>#REF!</v>
      </c>
      <c r="P32" s="5" t="e">
        <f t="shared" si="1"/>
        <v>#DIV/0!</v>
      </c>
      <c r="Q32" s="5" t="e">
        <f t="shared" si="2"/>
        <v>#DIV/0!</v>
      </c>
      <c r="R32" s="5" t="e">
        <f t="shared" si="3"/>
        <v>#DIV/0!</v>
      </c>
      <c r="X32" s="5"/>
      <c r="Y32" s="5"/>
      <c r="Z32" s="5">
        <f t="shared" si="8"/>
        <v>0</v>
      </c>
      <c r="AA32" s="5" t="e">
        <f t="shared" si="9"/>
        <v>#DIV/0!</v>
      </c>
      <c r="AB32" s="5">
        <f t="shared" si="10"/>
        <v>1.5</v>
      </c>
      <c r="AC32" s="5">
        <f t="shared" si="11"/>
        <v>100</v>
      </c>
    </row>
    <row r="33" spans="1:29" ht="21" x14ac:dyDescent="0.35">
      <c r="A33" s="5">
        <v>30</v>
      </c>
      <c r="B33" s="5"/>
      <c r="C33" s="5">
        <v>1.5004</v>
      </c>
      <c r="D33" s="5">
        <v>1.3823000000000001</v>
      </c>
      <c r="E33" s="6">
        <f t="shared" si="4"/>
        <v>0.11809999999999987</v>
      </c>
      <c r="F33" s="5">
        <f t="shared" si="0"/>
        <v>7.8712343375099882</v>
      </c>
      <c r="G33" s="5">
        <v>0.58140000000000003</v>
      </c>
      <c r="H33" s="5">
        <f t="shared" si="5"/>
        <v>0.80090000000000006</v>
      </c>
      <c r="I33" s="5">
        <f t="shared" si="6"/>
        <v>1.4325246597577723</v>
      </c>
      <c r="J33" s="5">
        <f>I33/$L$2*100</f>
        <v>97.471875493833508</v>
      </c>
      <c r="K33" s="5"/>
      <c r="L33" s="5"/>
      <c r="M33" s="5"/>
      <c r="N33" s="5">
        <f t="shared" si="12"/>
        <v>0</v>
      </c>
      <c r="O33" s="5">
        <f t="shared" si="13"/>
        <v>0</v>
      </c>
      <c r="P33" s="5" t="e">
        <f t="shared" si="1"/>
        <v>#DIV/0!</v>
      </c>
      <c r="Q33" s="5" t="e">
        <f t="shared" si="2"/>
        <v>#DIV/0!</v>
      </c>
      <c r="R33" s="5" t="e">
        <f t="shared" si="3"/>
        <v>#DIV/0!</v>
      </c>
      <c r="X33" s="5"/>
      <c r="Y33" s="5"/>
      <c r="Z33" s="5">
        <f t="shared" si="8"/>
        <v>0</v>
      </c>
      <c r="AA33" s="5" t="e">
        <f t="shared" si="9"/>
        <v>#DIV/0!</v>
      </c>
      <c r="AB33" s="5">
        <f t="shared" si="10"/>
        <v>1.5004</v>
      </c>
      <c r="AC33" s="5">
        <f t="shared" si="11"/>
        <v>100</v>
      </c>
    </row>
    <row r="34" spans="1:29" ht="21" x14ac:dyDescent="0.35">
      <c r="A34" s="5">
        <v>31</v>
      </c>
      <c r="B34" s="5"/>
      <c r="C34" s="6">
        <v>1.5002</v>
      </c>
      <c r="D34" s="5">
        <v>1.4222999999999999</v>
      </c>
      <c r="E34" s="6">
        <f t="shared" si="4"/>
        <v>7.790000000000008E-2</v>
      </c>
      <c r="F34" s="5">
        <f t="shared" si="0"/>
        <v>5.1926409812025121</v>
      </c>
      <c r="G34" s="5">
        <v>0.59930000000000005</v>
      </c>
      <c r="H34" s="5">
        <f t="shared" si="5"/>
        <v>0.82299999999999984</v>
      </c>
      <c r="I34" s="5">
        <f t="shared" si="6"/>
        <v>1.4343973268529771</v>
      </c>
      <c r="J34" s="5">
        <f t="shared" si="7"/>
        <v>97.599295550934698</v>
      </c>
      <c r="K34" s="5"/>
      <c r="L34" s="5"/>
      <c r="M34" s="5"/>
      <c r="N34" s="5">
        <f t="shared" si="12"/>
        <v>0</v>
      </c>
      <c r="O34" s="5">
        <f t="shared" si="13"/>
        <v>0</v>
      </c>
      <c r="P34" s="5" t="e">
        <f t="shared" si="1"/>
        <v>#DIV/0!</v>
      </c>
      <c r="Q34" s="5" t="e">
        <f t="shared" si="2"/>
        <v>#DIV/0!</v>
      </c>
      <c r="R34" s="5" t="e">
        <f t="shared" si="3"/>
        <v>#DIV/0!</v>
      </c>
      <c r="X34" s="5"/>
      <c r="Y34" s="5"/>
      <c r="Z34" s="5">
        <f t="shared" si="8"/>
        <v>0</v>
      </c>
      <c r="AA34" s="5" t="e">
        <f t="shared" si="9"/>
        <v>#DIV/0!</v>
      </c>
      <c r="AB34" s="5">
        <f t="shared" si="10"/>
        <v>1.5002</v>
      </c>
      <c r="AC34" s="5">
        <f t="shared" si="11"/>
        <v>100</v>
      </c>
    </row>
    <row r="35" spans="1:29" ht="21" x14ac:dyDescent="0.35">
      <c r="A35" s="5">
        <v>32</v>
      </c>
      <c r="B35" s="5"/>
      <c r="C35" s="6">
        <v>1.5003</v>
      </c>
      <c r="D35" s="5">
        <v>1.4162999999999999</v>
      </c>
      <c r="E35" s="6">
        <f t="shared" si="4"/>
        <v>8.4000000000000075E-2</v>
      </c>
      <c r="F35" s="5">
        <f t="shared" si="0"/>
        <v>5.5988802239552138</v>
      </c>
      <c r="G35" s="5">
        <v>0.58850000000000002</v>
      </c>
      <c r="H35" s="5">
        <f t="shared" si="5"/>
        <v>0.82779999999999987</v>
      </c>
      <c r="I35" s="5">
        <f t="shared" si="6"/>
        <v>1.4200640251268422</v>
      </c>
      <c r="J35" s="5">
        <f t="shared" si="7"/>
        <v>96.624028708755787</v>
      </c>
      <c r="K35" s="5"/>
      <c r="L35" s="5"/>
      <c r="M35" s="5"/>
      <c r="N35" s="5">
        <f t="shared" si="12"/>
        <v>0</v>
      </c>
      <c r="O35" s="5">
        <f t="shared" si="13"/>
        <v>0</v>
      </c>
      <c r="P35" s="5" t="e">
        <f t="shared" si="1"/>
        <v>#DIV/0!</v>
      </c>
      <c r="Q35" s="5" t="e">
        <f t="shared" si="2"/>
        <v>#DIV/0!</v>
      </c>
      <c r="R35" s="5" t="e">
        <f t="shared" si="3"/>
        <v>#DIV/0!</v>
      </c>
      <c r="X35" s="5"/>
      <c r="Y35" s="5"/>
      <c r="Z35" s="5">
        <f t="shared" si="8"/>
        <v>0</v>
      </c>
      <c r="AA35" s="5" t="e">
        <f t="shared" si="9"/>
        <v>#DIV/0!</v>
      </c>
      <c r="AB35" s="5">
        <f t="shared" si="10"/>
        <v>1.5003</v>
      </c>
      <c r="AC35" s="5">
        <f t="shared" si="11"/>
        <v>100</v>
      </c>
    </row>
    <row r="36" spans="1:29" ht="21" x14ac:dyDescent="0.35">
      <c r="A36" s="5">
        <v>33</v>
      </c>
      <c r="B36" s="5"/>
      <c r="C36" s="5"/>
      <c r="D36" s="5"/>
      <c r="E36" s="6"/>
      <c r="F36" s="5"/>
      <c r="G36" s="5"/>
      <c r="H36" s="5"/>
      <c r="I36" s="5"/>
      <c r="J36" s="5"/>
      <c r="K36" s="5"/>
      <c r="L36" s="5"/>
      <c r="M36" s="5"/>
      <c r="N36" s="5">
        <f t="shared" si="12"/>
        <v>0</v>
      </c>
      <c r="O36" s="5">
        <f t="shared" si="13"/>
        <v>0</v>
      </c>
      <c r="P36" s="5" t="e">
        <f t="shared" si="1"/>
        <v>#DIV/0!</v>
      </c>
      <c r="Q36" s="5" t="e">
        <f t="shared" si="2"/>
        <v>#DIV/0!</v>
      </c>
      <c r="R36" s="5" t="e">
        <f t="shared" si="3"/>
        <v>#DIV/0!</v>
      </c>
      <c r="X36" s="5"/>
      <c r="Y36" s="5"/>
      <c r="Z36" s="5">
        <f>Y36+X36</f>
        <v>0</v>
      </c>
      <c r="AA36" s="5"/>
      <c r="AB36" s="5">
        <f t="shared" si="10"/>
        <v>0</v>
      </c>
      <c r="AC36" s="5" t="e">
        <f>AB36/C36*100</f>
        <v>#DIV/0!</v>
      </c>
    </row>
    <row r="37" spans="1:29" ht="21" x14ac:dyDescent="0.35">
      <c r="A37" s="5">
        <v>34</v>
      </c>
      <c r="B37" s="5"/>
      <c r="C37" s="5">
        <v>1.4996</v>
      </c>
      <c r="D37" s="5">
        <v>1.3102</v>
      </c>
      <c r="E37" s="6">
        <f t="shared" si="4"/>
        <v>0.18940000000000001</v>
      </c>
      <c r="F37" s="5">
        <f t="shared" si="0"/>
        <v>12.630034675913576</v>
      </c>
      <c r="G37" s="5">
        <v>0.54779999999999995</v>
      </c>
      <c r="H37" s="5">
        <f t="shared" si="5"/>
        <v>0.76240000000000008</v>
      </c>
      <c r="I37" s="5">
        <f t="shared" si="6"/>
        <v>1.4263719832109127</v>
      </c>
      <c r="J37" s="5">
        <f t="shared" si="7"/>
        <v>97.053234936238681</v>
      </c>
      <c r="K37" s="5"/>
      <c r="L37" s="5"/>
      <c r="M37" s="5"/>
      <c r="N37" s="5">
        <f t="shared" si="12"/>
        <v>0</v>
      </c>
      <c r="O37" s="5">
        <f t="shared" si="13"/>
        <v>0</v>
      </c>
      <c r="P37" s="5" t="e">
        <f t="shared" si="1"/>
        <v>#DIV/0!</v>
      </c>
      <c r="Q37" s="5" t="e">
        <f t="shared" si="2"/>
        <v>#DIV/0!</v>
      </c>
      <c r="R37" s="5" t="e">
        <f t="shared" si="3"/>
        <v>#DIV/0!</v>
      </c>
      <c r="X37" s="5"/>
      <c r="Y37" s="5"/>
      <c r="Z37" s="5">
        <f>Y37+X37</f>
        <v>0</v>
      </c>
      <c r="AA37" s="5"/>
      <c r="AB37" s="5">
        <f t="shared" si="10"/>
        <v>1.4996</v>
      </c>
      <c r="AC37" s="5">
        <f>AB37/C37*100</f>
        <v>100</v>
      </c>
    </row>
    <row r="38" spans="1:29" ht="21" x14ac:dyDescent="0.35">
      <c r="A38" s="5">
        <v>35</v>
      </c>
      <c r="B38" s="5"/>
      <c r="C38" s="5"/>
      <c r="D38" s="5"/>
      <c r="E38" s="6"/>
      <c r="F38" s="5"/>
      <c r="G38" s="5"/>
      <c r="H38" s="5"/>
      <c r="I38" s="5"/>
      <c r="J38" s="5"/>
      <c r="K38" s="5"/>
      <c r="L38" s="5"/>
      <c r="M38" s="5"/>
      <c r="N38" s="5">
        <f t="shared" si="12"/>
        <v>0</v>
      </c>
      <c r="O38" s="5">
        <f t="shared" si="13"/>
        <v>0</v>
      </c>
      <c r="P38" s="5" t="e">
        <f t="shared" si="1"/>
        <v>#DIV/0!</v>
      </c>
      <c r="Q38" s="5" t="e">
        <f t="shared" si="2"/>
        <v>#DIV/0!</v>
      </c>
      <c r="R38" s="5" t="e">
        <f t="shared" si="3"/>
        <v>#DIV/0!</v>
      </c>
      <c r="X38" s="5"/>
      <c r="Y38" s="5"/>
      <c r="Z38" s="5">
        <f>Y38+X38</f>
        <v>0</v>
      </c>
      <c r="AA38" s="5"/>
      <c r="AB38" s="5">
        <f t="shared" si="10"/>
        <v>0</v>
      </c>
      <c r="AC38" s="5" t="e">
        <f>AB38/C38*100</f>
        <v>#DIV/0!</v>
      </c>
    </row>
    <row r="39" spans="1:29" x14ac:dyDescent="0.25">
      <c r="I39">
        <f>_xlfn.STDEV.S(I32:I37)</f>
        <v>6.9710466607361705E-3</v>
      </c>
      <c r="J39">
        <f>_xlfn.STDEV.S(J32:J37)</f>
        <v>0.47432411550379877</v>
      </c>
    </row>
    <row r="40" spans="1:29" x14ac:dyDescent="0.25">
      <c r="I40">
        <f>I39/L2</f>
        <v>4.7432411550379474E-3</v>
      </c>
      <c r="J40">
        <f>I40*100</f>
        <v>0.47432411550379472</v>
      </c>
    </row>
    <row r="45" spans="1:29" ht="15.75" thickBot="1" x14ac:dyDescent="0.3"/>
    <row r="46" spans="1:29" ht="16.5" thickBot="1" x14ac:dyDescent="0.3">
      <c r="J46" s="90">
        <v>2.9000000000000001E-2</v>
      </c>
      <c r="K46">
        <f>J46/$L$2*100</f>
        <v>1.9732186598443198</v>
      </c>
    </row>
    <row r="47" spans="1:29" ht="17.25" thickTop="1" thickBot="1" x14ac:dyDescent="0.3">
      <c r="J47" s="91">
        <v>1.2999999999999999E-2</v>
      </c>
      <c r="K47">
        <f t="shared" ref="K47:K49" si="14">J47/$L$2*100</f>
        <v>0.88454629579228128</v>
      </c>
    </row>
    <row r="48" spans="1:29" ht="16.5" thickBot="1" x14ac:dyDescent="0.3">
      <c r="J48" s="92">
        <v>2.9000000000000001E-2</v>
      </c>
      <c r="K48">
        <f t="shared" si="14"/>
        <v>1.9732186598443198</v>
      </c>
    </row>
    <row r="49" spans="10:11" ht="16.5" thickBot="1" x14ac:dyDescent="0.3">
      <c r="J49" s="92">
        <v>1.0999999999999999E-2</v>
      </c>
      <c r="K49">
        <f t="shared" si="14"/>
        <v>0.7484622502857764</v>
      </c>
    </row>
  </sheetData>
  <mergeCells count="2">
    <mergeCell ref="AG5:AG9"/>
    <mergeCell ref="AG11:AG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052179-c3df-45ba-bb98-3ea7f9bb8e3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9547B0813C244696EECB4C0A7F4FB2" ma:contentTypeVersion="17" ma:contentTypeDescription="Create a new document." ma:contentTypeScope="" ma:versionID="3978cd19efb15160f1f2ef3c12d7713b">
  <xsd:schema xmlns:xsd="http://www.w3.org/2001/XMLSchema" xmlns:xs="http://www.w3.org/2001/XMLSchema" xmlns:p="http://schemas.microsoft.com/office/2006/metadata/properties" xmlns:ns3="8d052179-c3df-45ba-bb98-3ea7f9bb8e39" xmlns:ns4="5b285672-1c8d-4555-836a-bc8d16f0f72c" targetNamespace="http://schemas.microsoft.com/office/2006/metadata/properties" ma:root="true" ma:fieldsID="e89de19eaa0b1852719c4b92eb25dae8" ns3:_="" ns4:_="">
    <xsd:import namespace="8d052179-c3df-45ba-bb98-3ea7f9bb8e39"/>
    <xsd:import namespace="5b285672-1c8d-4555-836a-bc8d16f0f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SearchProperties" minOccurs="0"/>
                <xsd:element ref="ns3:MediaLengthInSeconds" minOccurs="0"/>
                <xsd:element ref="ns3:MediaServiceLocation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52179-c3df-45ba-bb98-3ea7f9bb8e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285672-1c8d-4555-836a-bc8d16f0f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DFE90B-2BB8-4EB6-959F-EFC14517CE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7D2538-A6F2-4470-B9A1-9A79A9F804BA}">
  <ds:schemaRefs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d052179-c3df-45ba-bb98-3ea7f9bb8e39"/>
    <ds:schemaRef ds:uri="http://www.w3.org/XML/1998/namespace"/>
    <ds:schemaRef ds:uri="5b285672-1c8d-4555-836a-bc8d16f0f72c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599EDB4-1458-4767-9847-9EF68185C9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052179-c3df-45ba-bb98-3ea7f9bb8e39"/>
    <ds:schemaRef ds:uri="5b285672-1c8d-4555-836a-bc8d16f0f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AllPaper1Data</vt:lpstr>
      <vt:lpstr>Paper1</vt:lpstr>
      <vt:lpstr>Pressing Batch 2</vt:lpstr>
      <vt:lpstr>Pressing Batch 3</vt:lpstr>
      <vt:lpstr>Pressing Batch 4</vt:lpstr>
      <vt:lpstr>Pressing Batch 6</vt:lpstr>
      <vt:lpstr>Pressing Batch 9</vt:lpstr>
      <vt:lpstr>Paper2</vt:lpstr>
      <vt:lpstr>Pressing UV5</vt:lpstr>
      <vt:lpstr>Pressing UV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Ismar Leonel Chew Jr</dc:creator>
  <cp:lastModifiedBy>Ismar Leonel Chew</cp:lastModifiedBy>
  <dcterms:created xsi:type="dcterms:W3CDTF">2025-05-20T18:49:06Z</dcterms:created>
  <dcterms:modified xsi:type="dcterms:W3CDTF">2025-08-20T13:32:01Z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2025-05-21T04:10:26Z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a2656b69-ec09-47a0-9b8d-52fc4a300ede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  <property fmtid="{D5CDD505-2E9C-101B-9397-08002B2CF9AE}" pid="10" name="ContentTypeId">
    <vt:lpwstr>0x0101002C9547B0813C244696EECB4C0A7F4FB2</vt:lpwstr>
  </property>
</Properties>
</file>