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CKJAM\Downloads\"/>
    </mc:Choice>
  </mc:AlternateContent>
  <xr:revisionPtr revIDLastSave="0" documentId="13_ncr:1_{5B1242BE-170B-4527-8935-1E0F00C040D0}" xr6:coauthVersionLast="47" xr6:coauthVersionMax="47" xr10:uidLastSave="{00000000-0000-0000-0000-000000000000}"/>
  <bookViews>
    <workbookView xWindow="-80" yWindow="-80" windowWidth="19360" windowHeight="1024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" i="2" l="1"/>
  <c r="J59" i="2"/>
  <c r="F20" i="2"/>
  <c r="F18" i="2"/>
  <c r="F14" i="2"/>
  <c r="F16" i="2"/>
  <c r="F11" i="2"/>
  <c r="F10" i="2"/>
  <c r="F9" i="2"/>
  <c r="F8" i="2"/>
  <c r="F6" i="2"/>
  <c r="F4" i="2"/>
  <c r="F3" i="2"/>
  <c r="F5" i="2" s="1"/>
  <c r="C5" i="2"/>
  <c r="C7" i="2" s="1"/>
  <c r="C54" i="2"/>
  <c r="C49" i="2"/>
  <c r="C43" i="2"/>
  <c r="C36" i="2"/>
  <c r="C29" i="2"/>
  <c r="C12" i="2"/>
  <c r="D54" i="2"/>
  <c r="D49" i="2"/>
  <c r="D43" i="2"/>
  <c r="D36" i="2"/>
  <c r="D29" i="2"/>
  <c r="D12" i="2"/>
  <c r="D5" i="2"/>
  <c r="D7" i="2" s="1"/>
  <c r="E54" i="2"/>
  <c r="E49" i="2"/>
  <c r="E43" i="2"/>
  <c r="E36" i="2"/>
  <c r="E29" i="2"/>
  <c r="E12" i="2"/>
  <c r="E5" i="2"/>
  <c r="E7" i="2" s="1"/>
  <c r="F54" i="2"/>
  <c r="F49" i="2"/>
  <c r="F43" i="2"/>
  <c r="F36" i="2"/>
  <c r="F29" i="2"/>
  <c r="C6" i="1"/>
  <c r="G7" i="2"/>
  <c r="G54" i="2"/>
  <c r="G49" i="2"/>
  <c r="G43" i="2"/>
  <c r="G36" i="2"/>
  <c r="G29" i="2"/>
  <c r="G12" i="2"/>
  <c r="G5" i="2"/>
  <c r="H54" i="2"/>
  <c r="H49" i="2"/>
  <c r="H43" i="2"/>
  <c r="H36" i="2"/>
  <c r="H29" i="2"/>
  <c r="H12" i="2"/>
  <c r="H5" i="2"/>
  <c r="H7" i="2" s="1"/>
  <c r="C8" i="1"/>
  <c r="C5" i="1"/>
  <c r="F12" i="2" l="1"/>
  <c r="C13" i="2"/>
  <c r="C15" i="2" s="1"/>
  <c r="C17" i="2" s="1"/>
  <c r="C19" i="2" s="1"/>
  <c r="D13" i="2"/>
  <c r="D15" i="2" s="1"/>
  <c r="D17" i="2" s="1"/>
  <c r="D19" i="2" s="1"/>
  <c r="D50" i="2"/>
  <c r="C50" i="2"/>
  <c r="D37" i="2"/>
  <c r="C37" i="2"/>
  <c r="E37" i="2"/>
  <c r="E13" i="2"/>
  <c r="E15" i="2" s="1"/>
  <c r="E17" i="2" s="1"/>
  <c r="E19" i="2" s="1"/>
  <c r="E50" i="2"/>
  <c r="F50" i="2"/>
  <c r="F37" i="2"/>
  <c r="G50" i="2"/>
  <c r="G13" i="2"/>
  <c r="G15" i="2" s="1"/>
  <c r="G17" i="2" s="1"/>
  <c r="G19" i="2" s="1"/>
  <c r="H50" i="2"/>
  <c r="G37" i="2"/>
  <c r="H13" i="2"/>
  <c r="H15" i="2" s="1"/>
  <c r="H17" i="2" s="1"/>
  <c r="H19" i="2" s="1"/>
  <c r="H37" i="2"/>
  <c r="F7" i="2"/>
  <c r="F13" i="2" l="1"/>
  <c r="F15" i="2" s="1"/>
  <c r="F17" i="2" s="1"/>
  <c r="F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McKay, James</author>
  </authors>
  <commentList>
    <comment ref="G7" authorId="0" shapeId="0" xr:uid="{6667B653-4E4C-4D68-976C-6361DA8F81CB}">
      <text>
        <r>
          <rPr>
            <b/>
            <sz val="9"/>
            <color indexed="81"/>
            <rFont val="Tahoma"/>
            <family val="2"/>
          </rPr>
          <t>McKay, James:</t>
        </r>
        <r>
          <rPr>
            <sz val="9"/>
            <color indexed="81"/>
            <rFont val="Tahoma"/>
            <family val="2"/>
          </rPr>
          <t xml:space="preserve">
+ 500M Payment for the purchase of ARRW pharma
</t>
        </r>
      </text>
    </comment>
  </commentList>
</comments>
</file>

<file path=xl/sharedStrings.xml><?xml version="1.0" encoding="utf-8"?>
<sst xmlns="http://schemas.openxmlformats.org/spreadsheetml/2006/main" count="71" uniqueCount="70">
  <si>
    <t>Ticker</t>
  </si>
  <si>
    <t>Price</t>
  </si>
  <si>
    <t>S/O</t>
  </si>
  <si>
    <t>Mkt Cap</t>
  </si>
  <si>
    <t>Cash</t>
  </si>
  <si>
    <t>Debt</t>
  </si>
  <si>
    <t>EV</t>
  </si>
  <si>
    <t>SRPT</t>
  </si>
  <si>
    <t>In thousands</t>
  </si>
  <si>
    <t>Q2 2025</t>
  </si>
  <si>
    <t>In Thousands</t>
  </si>
  <si>
    <t>PMO Product Revenue</t>
  </si>
  <si>
    <t>ELEVIDYS Product Revenue</t>
  </si>
  <si>
    <t>Total Product Revenue</t>
  </si>
  <si>
    <t>Collaboration Revenue</t>
  </si>
  <si>
    <t>Total Revenue</t>
  </si>
  <si>
    <t>COGS</t>
  </si>
  <si>
    <t>R&amp;D</t>
  </si>
  <si>
    <t>SG&amp;A</t>
  </si>
  <si>
    <t>Ammortization</t>
  </si>
  <si>
    <t>Total Expenses</t>
  </si>
  <si>
    <t>Operating Income</t>
  </si>
  <si>
    <t>Other Income</t>
  </si>
  <si>
    <t>Income Before Tax</t>
  </si>
  <si>
    <t>Tax</t>
  </si>
  <si>
    <t>Net Income</t>
  </si>
  <si>
    <t>Other Comp Income</t>
  </si>
  <si>
    <t>Comprehensive Income</t>
  </si>
  <si>
    <t>Basic EPS</t>
  </si>
  <si>
    <t>Basic Share</t>
  </si>
  <si>
    <t>Cash &amp; Equivalents</t>
  </si>
  <si>
    <t>STI</t>
  </si>
  <si>
    <t>Accounts Recievable</t>
  </si>
  <si>
    <t>Inventory</t>
  </si>
  <si>
    <t>Manufacturing Related Deposits &amp; Prepaids</t>
  </si>
  <si>
    <t>Other Current Assets</t>
  </si>
  <si>
    <t>Total Current Assets</t>
  </si>
  <si>
    <t>ROU Assets</t>
  </si>
  <si>
    <t>Non-Current Inventory</t>
  </si>
  <si>
    <t>Strategic Investments</t>
  </si>
  <si>
    <t>Non-Current Investments</t>
  </si>
  <si>
    <t>Other Non-Current Investments</t>
  </si>
  <si>
    <t>Total Non-Current Assets</t>
  </si>
  <si>
    <t>Total Assets</t>
  </si>
  <si>
    <t>Accounts Payable</t>
  </si>
  <si>
    <t>Accrued Expenses</t>
  </si>
  <si>
    <t>Deferred Revenue</t>
  </si>
  <si>
    <t>Other Current Liabilities</t>
  </si>
  <si>
    <t>Total Current Liabilities</t>
  </si>
  <si>
    <t>Lease Liabilities</t>
  </si>
  <si>
    <t>Contingent Consideration</t>
  </si>
  <si>
    <t>Other Non-Current Liabilities</t>
  </si>
  <si>
    <t>Total Non-Current Liabilities</t>
  </si>
  <si>
    <t>Total Liabilities</t>
  </si>
  <si>
    <t>Cash Income</t>
  </si>
  <si>
    <t>CAPEX</t>
  </si>
  <si>
    <t>FCF</t>
  </si>
  <si>
    <t>PP&amp;E</t>
  </si>
  <si>
    <t>Long Term Debt</t>
  </si>
  <si>
    <t>Q1 2025</t>
  </si>
  <si>
    <t>Q3 2025E</t>
  </si>
  <si>
    <t>Q4 2025E</t>
  </si>
  <si>
    <t>Q4 2024</t>
  </si>
  <si>
    <t>Q3 2024</t>
  </si>
  <si>
    <t>Q2 2024</t>
  </si>
  <si>
    <t>Q1 2024</t>
  </si>
  <si>
    <t>Current Portion Long Term Debt</t>
  </si>
  <si>
    <t>DR</t>
  </si>
  <si>
    <t>NPV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</si>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</sst>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#,##0,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Serif"/>
      <family val="1"/>
    </font>
    <font>
      <b/>
      <sz val="11"/>
      <color theme="1"/>
      <name val="Aptos Serif"/>
      <family val="1"/>
    </font>
    <font>
      <b/>
      <u/>
      <sz val="11"/>
      <color theme="1"/>
      <name val="Aptos Serif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3" fillId="0" borderId="0" xfId="0" applyFont="1"/>
    <xf numFmtId="3" fontId="2" fillId="0" borderId="0" xfId="0" applyNumberFormat="1" applyFont="1"/>
    <xf numFmtId="0" fontId="4" fillId="0" borderId="0" xfId="0" applyFont="1"/>
    <xf numFmtId="0" fontId="4" fillId="2" borderId="0" xfId="0" applyFont="1" applyFill="1"/>
    <xf numFmtId="3" fontId="3" fillId="0" borderId="0" xfId="0" applyNumberFormat="1" applyFont="1"/>
    <xf numFmtId="3" fontId="2" fillId="0" borderId="0" xfId="1" applyNumberFormat="1" applyFont="1"/>
    <xf numFmtId="3" fontId="4" fillId="2" borderId="0" xfId="0" applyNumberFormat="1" applyFont="1" applyFill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0" xfId="0" applyFont="1" applyBorder="1"/>
    <xf numFmtId="0" fontId="3" fillId="2" borderId="0" xfId="0" applyFont="1" applyFill="1"/>
    <xf numFmtId="3" fontId="2" fillId="2" borderId="0" xfId="0" applyNumberFormat="1" applyFont="1" applyFill="1"/>
    <xf numFmtId="8" fontId="2" fillId="0" borderId="0" xfId="0" applyNumberFormat="1" applyFont="1"/>
    <xf numFmtId="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showGridLines="0" workbookViewId="0">
      <selection activeCell="C4" sqref="C4"/>
    </sheetView>
  </sheetViews>
  <sheetFormatPr defaultRowHeight="15" x14ac:dyDescent="0.25"/>
  <cols>
    <col min="1" max="2" width="9.140625" style="1"/>
    <col min="3" max="3" width="14.28515625" style="1" bestFit="1" customWidth="1"/>
    <col min="4" max="16384" width="9.140625" style="1"/>
  </cols>
  <sheetData>
    <row r="2" spans="2:3" x14ac:dyDescent="0.25">
      <c r="B2" s="1" t="s">
        <v>0</v>
      </c>
      <c r="C2" s="2" t="s">
        <v>7</v>
      </c>
    </row>
    <row r="3" spans="2:3" x14ac:dyDescent="0.25">
      <c r="B3" s="1" t="s">
        <v>1</v>
      </c>
      <c r="C3" s="1">
        <v>17.59</v>
      </c>
    </row>
    <row r="4" spans="2:3" x14ac:dyDescent="0.25">
      <c r="B4" s="1" t="s">
        <v>2</v>
      </c>
      <c r="C4" s="3">
        <v>97713438</v>
      </c>
    </row>
    <row r="5" spans="2:3" x14ac:dyDescent="0.25">
      <c r="B5" s="1" t="s">
        <v>3</v>
      </c>
      <c r="C5" s="3">
        <f>C4*C3</f>
        <v>1718779374.4200001</v>
      </c>
    </row>
    <row r="6" spans="2:3" x14ac:dyDescent="0.25">
      <c r="B6" s="1" t="s">
        <v>4</v>
      </c>
      <c r="C6" s="5">
        <f>510598+289541+527295</f>
        <v>1327434</v>
      </c>
    </row>
    <row r="7" spans="2:3" x14ac:dyDescent="0.25">
      <c r="B7" s="1" t="s">
        <v>5</v>
      </c>
      <c r="C7" s="5">
        <v>2322429</v>
      </c>
    </row>
    <row r="8" spans="2:3" x14ac:dyDescent="0.25">
      <c r="B8" s="1" t="s">
        <v>6</v>
      </c>
      <c r="C8" s="3">
        <f>C5+C7-C6</f>
        <v>1719774369.4200001</v>
      </c>
    </row>
    <row r="10" spans="2:3" x14ac:dyDescent="0.25">
      <c r="B10" s="4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476D-9EC7-4696-B37D-95DCDDE0B898}">
  <dimension ref="A1:J59"/>
  <sheetViews>
    <sheetView showGridLines="0" tabSelected="1" workbookViewId="0">
      <selection activeCell="J58" sqref="J58"/>
    </sheetView>
  </sheetViews>
  <sheetFormatPr defaultRowHeight="15" x14ac:dyDescent="0.25"/>
  <cols>
    <col min="1" max="1" width="9.140625" style="1"/>
    <col min="2" max="2" width="44" style="1" bestFit="1" customWidth="1"/>
    <col min="3" max="6" width="13.140625" style="1" bestFit="1" customWidth="1"/>
    <col min="7" max="7" width="10" style="1" bestFit="1" customWidth="1"/>
    <col min="8" max="8" width="10" style="13" bestFit="1" customWidth="1"/>
    <col min="9" max="10" width="12" style="1" bestFit="1" customWidth="1"/>
    <col min="11" max="16384" width="9.140625" style="1"/>
  </cols>
  <sheetData>
    <row r="1" spans="1:10" x14ac:dyDescent="0.25">
      <c r="A1" s="6" t="s">
        <v>10</v>
      </c>
      <c r="G1" s="13"/>
      <c r="H1" s="1"/>
    </row>
    <row r="2" spans="1:10" x14ac:dyDescent="0.25">
      <c r="C2" s="2" t="s">
        <v>65</v>
      </c>
      <c r="D2" s="2" t="s">
        <v>64</v>
      </c>
      <c r="E2" s="2" t="s">
        <v>63</v>
      </c>
      <c r="F2" s="2" t="s">
        <v>62</v>
      </c>
      <c r="G2" s="2" t="s">
        <v>59</v>
      </c>
      <c r="H2" s="2" t="s">
        <v>9</v>
      </c>
      <c r="I2" s="12" t="s">
        <v>60</v>
      </c>
      <c r="J2" s="2" t="s">
        <v>61</v>
      </c>
    </row>
    <row r="3" spans="1:10" x14ac:dyDescent="0.25">
      <c r="B3" s="1" t="s">
        <v>11</v>
      </c>
      <c r="C3" s="5">
        <v>225548</v>
      </c>
      <c r="D3" s="5">
        <v>238827</v>
      </c>
      <c r="E3" s="5">
        <v>248788</v>
      </c>
      <c r="F3" s="5">
        <f>967169-SUM(C3:E3)</f>
        <v>254006</v>
      </c>
      <c r="G3" s="5">
        <v>236538</v>
      </c>
      <c r="H3" s="5">
        <v>231272</v>
      </c>
      <c r="I3" s="11"/>
    </row>
    <row r="4" spans="1:10" x14ac:dyDescent="0.25">
      <c r="B4" s="1" t="s">
        <v>12</v>
      </c>
      <c r="C4" s="5">
        <v>133936</v>
      </c>
      <c r="D4" s="5">
        <v>121721</v>
      </c>
      <c r="E4" s="5">
        <v>180983</v>
      </c>
      <c r="F4" s="5">
        <f>820791-SUM(C4:E4)</f>
        <v>384151</v>
      </c>
      <c r="G4" s="5">
        <v>374985</v>
      </c>
      <c r="H4" s="5">
        <v>281851</v>
      </c>
      <c r="I4" s="11"/>
    </row>
    <row r="5" spans="1:10" x14ac:dyDescent="0.25">
      <c r="B5" s="4" t="s">
        <v>13</v>
      </c>
      <c r="C5" s="5">
        <f>SUM(C3:C4)</f>
        <v>359484</v>
      </c>
      <c r="D5" s="5">
        <f>SUM(D3:D4)</f>
        <v>360548</v>
      </c>
      <c r="E5" s="5">
        <f>SUM(E3:E4)</f>
        <v>429771</v>
      </c>
      <c r="F5" s="5">
        <f>SUM(F3:F4)</f>
        <v>638157</v>
      </c>
      <c r="G5" s="5">
        <f>SUM(G3:G4)</f>
        <v>611523</v>
      </c>
      <c r="H5" s="5">
        <f>SUM(H3:H4)</f>
        <v>513123</v>
      </c>
      <c r="I5" s="11"/>
    </row>
    <row r="6" spans="1:10" x14ac:dyDescent="0.25">
      <c r="B6" s="1" t="s">
        <v>14</v>
      </c>
      <c r="C6" s="5">
        <v>53980</v>
      </c>
      <c r="D6" s="5">
        <v>2383</v>
      </c>
      <c r="E6" s="5">
        <v>37401</v>
      </c>
      <c r="F6" s="5">
        <f>114019-SUM(C6:E6)</f>
        <v>20255</v>
      </c>
      <c r="G6" s="5">
        <v>133333</v>
      </c>
      <c r="H6" s="5">
        <v>97968</v>
      </c>
      <c r="I6" s="11"/>
    </row>
    <row r="7" spans="1:10" x14ac:dyDescent="0.25">
      <c r="B7" s="14" t="s">
        <v>15</v>
      </c>
      <c r="C7" s="15">
        <f>SUM(C5:C6)</f>
        <v>413464</v>
      </c>
      <c r="D7" s="15">
        <f>SUM(D5:D6)</f>
        <v>362931</v>
      </c>
      <c r="E7" s="15">
        <f>SUM(E5:E6)</f>
        <v>467172</v>
      </c>
      <c r="F7" s="15">
        <f>SUM(F5:F6)</f>
        <v>658412</v>
      </c>
      <c r="G7" s="15">
        <f>SUM(G5:G6)</f>
        <v>744856</v>
      </c>
      <c r="H7" s="15">
        <f>SUM(H5:H6)</f>
        <v>611091</v>
      </c>
      <c r="I7" s="11"/>
    </row>
    <row r="8" spans="1:10" x14ac:dyDescent="0.25">
      <c r="B8" s="1" t="s">
        <v>16</v>
      </c>
      <c r="C8" s="5">
        <v>50559</v>
      </c>
      <c r="D8" s="5">
        <v>44545</v>
      </c>
      <c r="E8" s="5">
        <v>91691</v>
      </c>
      <c r="F8" s="5">
        <f>319099-SUM(C8:E8)</f>
        <v>132304</v>
      </c>
      <c r="G8" s="5">
        <v>137564</v>
      </c>
      <c r="H8" s="5">
        <v>152558</v>
      </c>
      <c r="I8" s="11"/>
    </row>
    <row r="9" spans="1:10" x14ac:dyDescent="0.25">
      <c r="B9" s="1" t="s">
        <v>17</v>
      </c>
      <c r="C9" s="5">
        <v>200396</v>
      </c>
      <c r="D9" s="5">
        <v>179690</v>
      </c>
      <c r="E9" s="5">
        <v>224483</v>
      </c>
      <c r="F9" s="5">
        <f>804522-SUM(C9:E9)</f>
        <v>199953</v>
      </c>
      <c r="G9" s="5">
        <v>773448</v>
      </c>
      <c r="H9" s="5">
        <v>204392</v>
      </c>
      <c r="I9" s="11"/>
    </row>
    <row r="10" spans="1:10" x14ac:dyDescent="0.25">
      <c r="B10" s="1" t="s">
        <v>18</v>
      </c>
      <c r="C10" s="5">
        <v>127003</v>
      </c>
      <c r="D10" s="5">
        <v>138796</v>
      </c>
      <c r="E10" s="5">
        <v>128200</v>
      </c>
      <c r="F10" s="5">
        <f>557872-SUM(C10:E10)</f>
        <v>163873</v>
      </c>
      <c r="G10" s="5">
        <v>133629</v>
      </c>
      <c r="H10" s="5">
        <v>137897</v>
      </c>
      <c r="I10" s="11"/>
    </row>
    <row r="11" spans="1:10" x14ac:dyDescent="0.25">
      <c r="B11" s="1" t="s">
        <v>19</v>
      </c>
      <c r="C11" s="5">
        <v>601</v>
      </c>
      <c r="D11" s="5">
        <v>601</v>
      </c>
      <c r="E11" s="5">
        <v>602</v>
      </c>
      <c r="F11" s="5">
        <f>2405-SUM(C11:E11)</f>
        <v>601</v>
      </c>
      <c r="G11" s="5">
        <v>601</v>
      </c>
      <c r="H11" s="5">
        <v>667</v>
      </c>
      <c r="I11" s="11"/>
    </row>
    <row r="12" spans="1:10" x14ac:dyDescent="0.25">
      <c r="B12" s="4" t="s">
        <v>20</v>
      </c>
      <c r="C12" s="5">
        <f>SUM(C8:C11)</f>
        <v>378559</v>
      </c>
      <c r="D12" s="5">
        <f>SUM(D8:D11)</f>
        <v>363632</v>
      </c>
      <c r="E12" s="5">
        <f>SUM(E8:E11)</f>
        <v>444976</v>
      </c>
      <c r="F12" s="5">
        <f>SUM(F8:F11)</f>
        <v>496731</v>
      </c>
      <c r="G12" s="5">
        <f>SUM(G8:G11)</f>
        <v>1045242</v>
      </c>
      <c r="H12" s="5">
        <f>SUM(H8:H11)</f>
        <v>495514</v>
      </c>
      <c r="I12" s="11"/>
    </row>
    <row r="13" spans="1:10" x14ac:dyDescent="0.25">
      <c r="B13" s="4" t="s">
        <v>21</v>
      </c>
      <c r="C13" s="8">
        <f>C7-C12</f>
        <v>34905</v>
      </c>
      <c r="D13" s="8">
        <f>D7-D12</f>
        <v>-701</v>
      </c>
      <c r="E13" s="8">
        <f>E7-E12</f>
        <v>22196</v>
      </c>
      <c r="F13" s="8">
        <f>F7-F12</f>
        <v>161681</v>
      </c>
      <c r="G13" s="8">
        <f>G7-G12</f>
        <v>-300386</v>
      </c>
      <c r="H13" s="8">
        <f>H7-H12</f>
        <v>115577</v>
      </c>
      <c r="I13" s="11"/>
    </row>
    <row r="14" spans="1:10" x14ac:dyDescent="0.25">
      <c r="B14" s="1" t="s">
        <v>22</v>
      </c>
      <c r="C14" s="5">
        <v>6543</v>
      </c>
      <c r="D14" s="5">
        <v>14278</v>
      </c>
      <c r="E14" s="5">
        <v>11810</v>
      </c>
      <c r="F14" s="5">
        <f>42693-SUM(C14:E14)</f>
        <v>10062</v>
      </c>
      <c r="G14" s="5">
        <v>-83132</v>
      </c>
      <c r="H14" s="5">
        <v>38061</v>
      </c>
      <c r="I14" s="11"/>
    </row>
    <row r="15" spans="1:10" x14ac:dyDescent="0.25">
      <c r="B15" s="4" t="s">
        <v>23</v>
      </c>
      <c r="C15" s="5">
        <f>SUM(C13:C14)</f>
        <v>41448</v>
      </c>
      <c r="D15" s="5">
        <f>SUM(D13:D14)</f>
        <v>13577</v>
      </c>
      <c r="E15" s="5">
        <f>SUM(E13:E14)</f>
        <v>34006</v>
      </c>
      <c r="F15" s="5">
        <f>SUM(F13:F14)</f>
        <v>171743</v>
      </c>
      <c r="G15" s="5">
        <f>SUM(G13:G14)</f>
        <v>-383518</v>
      </c>
      <c r="H15" s="5">
        <f>SUM(H13:H14)</f>
        <v>153638</v>
      </c>
      <c r="I15" s="11"/>
    </row>
    <row r="16" spans="1:10" x14ac:dyDescent="0.25">
      <c r="B16" s="1" t="s">
        <v>24</v>
      </c>
      <c r="C16" s="5">
        <v>5329</v>
      </c>
      <c r="D16" s="5">
        <v>7117</v>
      </c>
      <c r="E16" s="5">
        <v>395</v>
      </c>
      <c r="F16" s="5">
        <f>25535-SUM(C16:E16)</f>
        <v>12694</v>
      </c>
      <c r="G16" s="5">
        <v>63990</v>
      </c>
      <c r="H16" s="5">
        <v>-43254</v>
      </c>
      <c r="I16" s="11"/>
    </row>
    <row r="17" spans="2:9" x14ac:dyDescent="0.25">
      <c r="B17" s="7" t="s">
        <v>25</v>
      </c>
      <c r="C17" s="10">
        <f>C15-C16</f>
        <v>36119</v>
      </c>
      <c r="D17" s="10">
        <f>D15-D16</f>
        <v>6460</v>
      </c>
      <c r="E17" s="10">
        <f>E15-E16</f>
        <v>33611</v>
      </c>
      <c r="F17" s="10">
        <f>F15-F16</f>
        <v>159049</v>
      </c>
      <c r="G17" s="10">
        <f>G15-G16</f>
        <v>-447508</v>
      </c>
      <c r="H17" s="10">
        <f>H15-H16</f>
        <v>196892</v>
      </c>
      <c r="I17" s="11"/>
    </row>
    <row r="18" spans="2:9" x14ac:dyDescent="0.25">
      <c r="B18" s="1" t="s">
        <v>26</v>
      </c>
      <c r="C18" s="5">
        <v>-1609</v>
      </c>
      <c r="D18" s="5">
        <v>-339</v>
      </c>
      <c r="E18" s="5">
        <v>3275</v>
      </c>
      <c r="F18" s="5">
        <f>-1136-SUM(C18:E18)</f>
        <v>-2463</v>
      </c>
      <c r="G18" s="5">
        <v>252</v>
      </c>
      <c r="H18" s="5">
        <v>-85</v>
      </c>
      <c r="I18" s="11"/>
    </row>
    <row r="19" spans="2:9" x14ac:dyDescent="0.25">
      <c r="B19" s="4" t="s">
        <v>27</v>
      </c>
      <c r="C19" s="8">
        <f>SUM(C17:C18)</f>
        <v>34510</v>
      </c>
      <c r="D19" s="8">
        <f>SUM(D17:D18)</f>
        <v>6121</v>
      </c>
      <c r="E19" s="8">
        <f>SUM(E17:E18)</f>
        <v>36886</v>
      </c>
      <c r="F19" s="8">
        <f>SUM(F17:F18)</f>
        <v>156586</v>
      </c>
      <c r="G19" s="8">
        <f>SUM(G17:G18)</f>
        <v>-447256</v>
      </c>
      <c r="H19" s="8">
        <f>SUM(H17:H18)</f>
        <v>196807</v>
      </c>
      <c r="I19" s="11"/>
    </row>
    <row r="20" spans="2:9" x14ac:dyDescent="0.25">
      <c r="B20" s="1" t="s">
        <v>28</v>
      </c>
      <c r="C20" s="1">
        <v>0.38</v>
      </c>
      <c r="D20" s="1">
        <v>7.0000000000000007E-2</v>
      </c>
      <c r="E20" s="1">
        <v>0.35</v>
      </c>
      <c r="F20" s="1">
        <f>2.47-SUM(C20:E20)</f>
        <v>1.6700000000000002</v>
      </c>
      <c r="G20" s="1">
        <v>-4.5999999999999996</v>
      </c>
      <c r="H20" s="1">
        <v>2.0099999999999998</v>
      </c>
      <c r="I20" s="11"/>
    </row>
    <row r="21" spans="2:9" x14ac:dyDescent="0.25">
      <c r="B21" s="1" t="s">
        <v>29</v>
      </c>
      <c r="C21" s="5">
        <v>93991</v>
      </c>
      <c r="D21" s="5">
        <v>94618</v>
      </c>
      <c r="E21" s="5">
        <v>95390</v>
      </c>
      <c r="F21" s="5">
        <v>95075</v>
      </c>
      <c r="G21" s="5">
        <v>97362</v>
      </c>
      <c r="H21" s="5">
        <v>98005</v>
      </c>
      <c r="I21" s="11"/>
    </row>
    <row r="22" spans="2:9" x14ac:dyDescent="0.25">
      <c r="H22" s="1"/>
      <c r="I22" s="11"/>
    </row>
    <row r="23" spans="2:9" x14ac:dyDescent="0.25">
      <c r="B23" s="1" t="s">
        <v>30</v>
      </c>
      <c r="C23" s="5">
        <v>427290</v>
      </c>
      <c r="D23" s="5">
        <v>383622</v>
      </c>
      <c r="E23" s="5">
        <v>197855</v>
      </c>
      <c r="F23" s="5">
        <v>1103010</v>
      </c>
      <c r="G23" s="5">
        <v>240867</v>
      </c>
      <c r="H23" s="5">
        <v>510598</v>
      </c>
      <c r="I23" s="11"/>
    </row>
    <row r="24" spans="2:9" x14ac:dyDescent="0.25">
      <c r="B24" s="1" t="s">
        <v>31</v>
      </c>
      <c r="C24" s="5">
        <v>963453</v>
      </c>
      <c r="D24" s="5">
        <v>1076852</v>
      </c>
      <c r="E24" s="5">
        <v>1000534</v>
      </c>
      <c r="F24" s="5">
        <v>251782</v>
      </c>
      <c r="G24" s="5">
        <v>281895</v>
      </c>
      <c r="H24" s="5">
        <v>289541</v>
      </c>
      <c r="I24" s="11"/>
    </row>
    <row r="25" spans="2:9" x14ac:dyDescent="0.25">
      <c r="B25" s="1" t="s">
        <v>32</v>
      </c>
      <c r="C25" s="5">
        <v>378806</v>
      </c>
      <c r="D25" s="5">
        <v>359997</v>
      </c>
      <c r="E25" s="5">
        <v>434524</v>
      </c>
      <c r="F25" s="5">
        <v>601998</v>
      </c>
      <c r="G25" s="5">
        <v>659371</v>
      </c>
      <c r="H25" s="5">
        <v>527295</v>
      </c>
      <c r="I25" s="11"/>
    </row>
    <row r="26" spans="2:9" x14ac:dyDescent="0.25">
      <c r="B26" s="1" t="s">
        <v>33</v>
      </c>
      <c r="C26" s="5">
        <v>373530</v>
      </c>
      <c r="D26" s="5">
        <v>485795</v>
      </c>
      <c r="E26" s="5">
        <v>565924</v>
      </c>
      <c r="F26" s="5">
        <v>749960</v>
      </c>
      <c r="G26" s="5">
        <v>941432</v>
      </c>
      <c r="H26" s="5">
        <v>994036</v>
      </c>
      <c r="I26" s="11"/>
    </row>
    <row r="27" spans="2:9" x14ac:dyDescent="0.25">
      <c r="B27" s="1" t="s">
        <v>34</v>
      </c>
      <c r="C27" s="5">
        <v>238821</v>
      </c>
      <c r="D27" s="5">
        <v>302627</v>
      </c>
      <c r="E27" s="5">
        <v>321055</v>
      </c>
      <c r="F27" s="5">
        <v>276262</v>
      </c>
      <c r="G27" s="5">
        <v>203490</v>
      </c>
      <c r="H27" s="5">
        <v>207921</v>
      </c>
      <c r="I27" s="11"/>
    </row>
    <row r="28" spans="2:9" x14ac:dyDescent="0.25">
      <c r="B28" s="1" t="s">
        <v>35</v>
      </c>
      <c r="C28" s="5">
        <v>82965</v>
      </c>
      <c r="D28" s="5">
        <v>74743</v>
      </c>
      <c r="E28" s="5">
        <v>165477</v>
      </c>
      <c r="F28" s="5">
        <v>90461</v>
      </c>
      <c r="G28" s="5">
        <v>105478</v>
      </c>
      <c r="H28" s="5">
        <v>127594</v>
      </c>
      <c r="I28" s="11"/>
    </row>
    <row r="29" spans="2:9" x14ac:dyDescent="0.25">
      <c r="B29" s="4" t="s">
        <v>36</v>
      </c>
      <c r="C29" s="9">
        <f>SUM(C23:C28)</f>
        <v>2464865</v>
      </c>
      <c r="D29" s="9">
        <f>SUM(D23:D28)</f>
        <v>2683636</v>
      </c>
      <c r="E29" s="9">
        <f>SUM(E23:E28)</f>
        <v>2685369</v>
      </c>
      <c r="F29" s="9">
        <f>SUM(F23:F28)</f>
        <v>3073473</v>
      </c>
      <c r="G29" s="9">
        <f>SUM(G23:G28)</f>
        <v>2432533</v>
      </c>
      <c r="H29" s="9">
        <f>SUM(H23:H28)</f>
        <v>2656985</v>
      </c>
      <c r="I29" s="11"/>
    </row>
    <row r="30" spans="2:9" x14ac:dyDescent="0.25">
      <c r="B30" s="1" t="s">
        <v>57</v>
      </c>
      <c r="C30" s="5">
        <v>249302</v>
      </c>
      <c r="D30" s="5">
        <v>276200</v>
      </c>
      <c r="E30" s="5">
        <v>305788</v>
      </c>
      <c r="F30" s="5">
        <v>340336</v>
      </c>
      <c r="G30" s="5">
        <v>360587</v>
      </c>
      <c r="H30" s="5">
        <v>371857</v>
      </c>
      <c r="I30" s="11"/>
    </row>
    <row r="31" spans="2:9" x14ac:dyDescent="0.25">
      <c r="B31" s="1" t="s">
        <v>37</v>
      </c>
      <c r="C31" s="5">
        <v>126269</v>
      </c>
      <c r="D31" s="5">
        <v>124001</v>
      </c>
      <c r="E31" s="5">
        <v>140898</v>
      </c>
      <c r="F31" s="5">
        <v>148310</v>
      </c>
      <c r="G31" s="5">
        <v>147063</v>
      </c>
      <c r="H31" s="5">
        <v>143041</v>
      </c>
      <c r="I31" s="11"/>
    </row>
    <row r="32" spans="2:9" x14ac:dyDescent="0.25">
      <c r="B32" s="1" t="s">
        <v>38</v>
      </c>
      <c r="C32" s="5">
        <v>207542</v>
      </c>
      <c r="D32" s="5">
        <v>204691</v>
      </c>
      <c r="E32" s="5">
        <v>202550</v>
      </c>
      <c r="F32" s="5">
        <v>187986</v>
      </c>
      <c r="G32" s="5">
        <v>181158</v>
      </c>
      <c r="H32" s="5">
        <v>194668</v>
      </c>
      <c r="I32" s="11"/>
    </row>
    <row r="33" spans="2:9" x14ac:dyDescent="0.25">
      <c r="B33" s="1" t="s">
        <v>39</v>
      </c>
      <c r="C33" s="5">
        <v>0</v>
      </c>
      <c r="D33" s="5">
        <v>0</v>
      </c>
      <c r="E33" s="5">
        <v>0</v>
      </c>
      <c r="F33" s="5">
        <v>0</v>
      </c>
      <c r="G33" s="5">
        <v>154370</v>
      </c>
      <c r="H33" s="5">
        <v>195522</v>
      </c>
      <c r="I33" s="11"/>
    </row>
    <row r="34" spans="2:9" x14ac:dyDescent="0.25">
      <c r="B34" s="1" t="s">
        <v>40</v>
      </c>
      <c r="C34" s="5">
        <v>0</v>
      </c>
      <c r="D34" s="5">
        <v>0</v>
      </c>
      <c r="E34" s="5">
        <v>181770</v>
      </c>
      <c r="F34" s="5">
        <v>133163</v>
      </c>
      <c r="G34" s="5">
        <v>109125</v>
      </c>
      <c r="H34" s="5">
        <v>34604</v>
      </c>
      <c r="I34" s="11"/>
    </row>
    <row r="35" spans="2:9" x14ac:dyDescent="0.25">
      <c r="B35" s="1" t="s">
        <v>41</v>
      </c>
      <c r="C35" s="5">
        <v>176407</v>
      </c>
      <c r="D35" s="5">
        <v>135729</v>
      </c>
      <c r="E35" s="5">
        <v>83559</v>
      </c>
      <c r="F35" s="5">
        <v>79915</v>
      </c>
      <c r="G35" s="5">
        <v>80551</v>
      </c>
      <c r="H35" s="5">
        <v>83137</v>
      </c>
      <c r="I35" s="11"/>
    </row>
    <row r="36" spans="2:9" x14ac:dyDescent="0.25">
      <c r="B36" s="1" t="s">
        <v>42</v>
      </c>
      <c r="C36" s="5">
        <f>SUM(C30:C35)</f>
        <v>759520</v>
      </c>
      <c r="D36" s="5">
        <f>SUM(D30:D35)</f>
        <v>740621</v>
      </c>
      <c r="E36" s="5">
        <f>SUM(E30:E35)</f>
        <v>914565</v>
      </c>
      <c r="F36" s="5">
        <f>SUM(F30:F35)</f>
        <v>889710</v>
      </c>
      <c r="G36" s="5">
        <f>SUM(G30:G35)</f>
        <v>1032854</v>
      </c>
      <c r="H36" s="5">
        <f>SUM(H30:H35)</f>
        <v>1022829</v>
      </c>
      <c r="I36" s="11"/>
    </row>
    <row r="37" spans="2:9" x14ac:dyDescent="0.25">
      <c r="B37" s="6" t="s">
        <v>43</v>
      </c>
      <c r="C37" s="5">
        <f>C36+C29</f>
        <v>3224385</v>
      </c>
      <c r="D37" s="5">
        <f>D36+D29</f>
        <v>3424257</v>
      </c>
      <c r="E37" s="5">
        <f>E36+E29</f>
        <v>3599934</v>
      </c>
      <c r="F37" s="5">
        <f>F36+F29</f>
        <v>3963183</v>
      </c>
      <c r="G37" s="5">
        <f>G36+G29</f>
        <v>3465387</v>
      </c>
      <c r="H37" s="5">
        <f>H36+H29</f>
        <v>3679814</v>
      </c>
      <c r="I37" s="11"/>
    </row>
    <row r="38" spans="2:9" x14ac:dyDescent="0.25">
      <c r="B38" s="1" t="s">
        <v>44</v>
      </c>
      <c r="C38" s="5">
        <v>91536</v>
      </c>
      <c r="D38" s="5">
        <v>107417</v>
      </c>
      <c r="E38" s="5">
        <v>118774</v>
      </c>
      <c r="F38" s="5">
        <v>214442</v>
      </c>
      <c r="G38" s="5">
        <v>156105</v>
      </c>
      <c r="H38" s="5">
        <v>136702</v>
      </c>
      <c r="I38" s="11"/>
    </row>
    <row r="39" spans="2:9" x14ac:dyDescent="0.25">
      <c r="B39" s="1" t="s">
        <v>45</v>
      </c>
      <c r="C39" s="5">
        <v>283317</v>
      </c>
      <c r="D39" s="5">
        <v>350404</v>
      </c>
      <c r="E39" s="5">
        <v>344830</v>
      </c>
      <c r="F39" s="5">
        <v>373513</v>
      </c>
      <c r="G39" s="5">
        <v>391650</v>
      </c>
      <c r="H39" s="5">
        <v>377399</v>
      </c>
      <c r="I39" s="11"/>
    </row>
    <row r="40" spans="2:9" x14ac:dyDescent="0.25">
      <c r="B40" s="1" t="s">
        <v>46</v>
      </c>
      <c r="C40" s="5">
        <v>112000</v>
      </c>
      <c r="D40" s="5">
        <v>122036</v>
      </c>
      <c r="E40" s="5">
        <v>127001</v>
      </c>
      <c r="F40" s="5">
        <v>130256</v>
      </c>
      <c r="G40" s="5">
        <v>44859</v>
      </c>
      <c r="H40" s="5">
        <v>395431</v>
      </c>
      <c r="I40" s="11"/>
    </row>
    <row r="41" spans="2:9" x14ac:dyDescent="0.25">
      <c r="B41" s="1" t="s">
        <v>66</v>
      </c>
      <c r="C41" s="5">
        <v>105586</v>
      </c>
      <c r="D41" s="5">
        <v>91505</v>
      </c>
      <c r="E41" s="5">
        <v>91595</v>
      </c>
      <c r="F41" s="5">
        <v>0</v>
      </c>
      <c r="G41" s="5">
        <v>0</v>
      </c>
      <c r="H41" s="5">
        <v>0</v>
      </c>
      <c r="I41" s="11"/>
    </row>
    <row r="42" spans="2:9" x14ac:dyDescent="0.25">
      <c r="B42" s="1" t="s">
        <v>47</v>
      </c>
      <c r="C42" s="5">
        <v>16270</v>
      </c>
      <c r="D42" s="5">
        <v>17128</v>
      </c>
      <c r="E42" s="5">
        <v>17289</v>
      </c>
      <c r="F42" s="5">
        <v>13473</v>
      </c>
      <c r="G42" s="5">
        <v>12974</v>
      </c>
      <c r="H42" s="5">
        <v>10416</v>
      </c>
      <c r="I42" s="11"/>
    </row>
    <row r="43" spans="2:9" x14ac:dyDescent="0.25">
      <c r="B43" s="4" t="s">
        <v>48</v>
      </c>
      <c r="C43" s="5">
        <f>SUM(C38:C42)</f>
        <v>608709</v>
      </c>
      <c r="D43" s="5">
        <f>SUM(D38:D42)</f>
        <v>688490</v>
      </c>
      <c r="E43" s="5">
        <f>SUM(E38:E42)</f>
        <v>699489</v>
      </c>
      <c r="F43" s="5">
        <f>SUM(F38:F42)</f>
        <v>731684</v>
      </c>
      <c r="G43" s="5">
        <f>SUM(G38:G42)</f>
        <v>605588</v>
      </c>
      <c r="H43" s="5">
        <f>SUM(H38:H42)</f>
        <v>919948</v>
      </c>
      <c r="I43" s="11"/>
    </row>
    <row r="44" spans="2:9" x14ac:dyDescent="0.25">
      <c r="B44" s="1" t="s">
        <v>58</v>
      </c>
      <c r="C44" s="5">
        <v>1133660</v>
      </c>
      <c r="D44" s="5">
        <v>1134810</v>
      </c>
      <c r="E44" s="5">
        <v>1135965</v>
      </c>
      <c r="F44" s="5">
        <v>1137124</v>
      </c>
      <c r="G44" s="5">
        <v>1138289</v>
      </c>
      <c r="H44" s="5">
        <v>1139458</v>
      </c>
      <c r="I44" s="11"/>
    </row>
    <row r="45" spans="2:9" x14ac:dyDescent="0.25">
      <c r="B45" s="1" t="s">
        <v>49</v>
      </c>
      <c r="C45" s="5">
        <v>140102</v>
      </c>
      <c r="D45" s="5">
        <v>143601</v>
      </c>
      <c r="E45" s="5">
        <v>170009</v>
      </c>
      <c r="F45" s="5">
        <v>192473</v>
      </c>
      <c r="G45" s="5">
        <v>205460</v>
      </c>
      <c r="H45" s="5">
        <v>214419</v>
      </c>
      <c r="I45" s="11"/>
    </row>
    <row r="46" spans="2:9" x14ac:dyDescent="0.25">
      <c r="B46" s="1" t="s">
        <v>46</v>
      </c>
      <c r="C46" s="5">
        <v>325000</v>
      </c>
      <c r="D46" s="5">
        <v>325000</v>
      </c>
      <c r="E46" s="5">
        <v>325000</v>
      </c>
      <c r="F46" s="5">
        <v>325000</v>
      </c>
      <c r="G46" s="5">
        <v>325000</v>
      </c>
      <c r="H46" s="5">
        <v>0</v>
      </c>
      <c r="I46" s="11"/>
    </row>
    <row r="47" spans="2:9" x14ac:dyDescent="0.25">
      <c r="B47" s="1" t="s">
        <v>50</v>
      </c>
      <c r="C47" s="5">
        <v>48200</v>
      </c>
      <c r="D47" s="5">
        <v>48200</v>
      </c>
      <c r="E47" s="5">
        <v>47400</v>
      </c>
      <c r="F47" s="5">
        <v>47400</v>
      </c>
      <c r="G47" s="5">
        <v>47400</v>
      </c>
      <c r="H47" s="5">
        <v>47400</v>
      </c>
      <c r="I47" s="11"/>
    </row>
    <row r="48" spans="2:9" x14ac:dyDescent="0.25">
      <c r="B48" s="1" t="s">
        <v>51</v>
      </c>
      <c r="C48" s="5">
        <v>7522</v>
      </c>
      <c r="D48" s="5">
        <v>7087</v>
      </c>
      <c r="E48" s="5">
        <v>1000</v>
      </c>
      <c r="F48" s="5">
        <v>1750</v>
      </c>
      <c r="G48" s="5">
        <v>927</v>
      </c>
      <c r="H48" s="5">
        <v>1204</v>
      </c>
      <c r="I48" s="11"/>
    </row>
    <row r="49" spans="2:10" x14ac:dyDescent="0.25">
      <c r="B49" s="4" t="s">
        <v>52</v>
      </c>
      <c r="C49" s="5">
        <f>SUM(C44:C48)</f>
        <v>1654484</v>
      </c>
      <c r="D49" s="5">
        <f>SUM(D44:D48)</f>
        <v>1658698</v>
      </c>
      <c r="E49" s="5">
        <f>SUM(E44:E48)</f>
        <v>1679374</v>
      </c>
      <c r="F49" s="5">
        <f>SUM(F44:F48)</f>
        <v>1703747</v>
      </c>
      <c r="G49" s="5">
        <f>SUM(G44:G48)</f>
        <v>1717076</v>
      </c>
      <c r="H49" s="5">
        <f>SUM(H44:H48)</f>
        <v>1402481</v>
      </c>
      <c r="I49" s="11"/>
    </row>
    <row r="50" spans="2:10" x14ac:dyDescent="0.25">
      <c r="B50" s="6" t="s">
        <v>53</v>
      </c>
      <c r="C50" s="5">
        <f>C49+C43</f>
        <v>2263193</v>
      </c>
      <c r="D50" s="5">
        <f>D49+D43</f>
        <v>2347188</v>
      </c>
      <c r="E50" s="5">
        <f>E49+E43</f>
        <v>2378863</v>
      </c>
      <c r="F50" s="5">
        <f>F49+F43</f>
        <v>2435431</v>
      </c>
      <c r="G50" s="5">
        <f>G49+G43</f>
        <v>2322664</v>
      </c>
      <c r="H50" s="5">
        <f>H49+H43</f>
        <v>2322429</v>
      </c>
      <c r="I50" s="11"/>
    </row>
    <row r="51" spans="2:10" x14ac:dyDescent="0.25">
      <c r="C51" s="5"/>
      <c r="D51" s="5"/>
      <c r="E51" s="5"/>
      <c r="F51" s="5"/>
      <c r="G51" s="5"/>
      <c r="H51" s="5"/>
      <c r="I51" s="11"/>
    </row>
    <row r="52" spans="2:10" x14ac:dyDescent="0.25">
      <c r="B52" s="1" t="s">
        <v>54</v>
      </c>
      <c r="C52" s="5">
        <v>-242076</v>
      </c>
      <c r="D52" s="5">
        <v>-227134</v>
      </c>
      <c r="E52" s="5">
        <v>-297833</v>
      </c>
      <c r="F52" s="5">
        <v>-205787</v>
      </c>
      <c r="G52" s="5">
        <v>-447508</v>
      </c>
      <c r="H52" s="5">
        <v>-250616</v>
      </c>
      <c r="I52" s="11"/>
    </row>
    <row r="53" spans="2:10" x14ac:dyDescent="0.25">
      <c r="B53" s="1" t="s">
        <v>55</v>
      </c>
      <c r="C53" s="5">
        <v>32444</v>
      </c>
      <c r="D53" s="5">
        <v>61611</v>
      </c>
      <c r="E53" s="5">
        <v>98874</v>
      </c>
      <c r="F53" s="5">
        <v>136956</v>
      </c>
      <c r="G53" s="5">
        <v>43651</v>
      </c>
      <c r="H53" s="5">
        <v>75447</v>
      </c>
      <c r="I53" s="11"/>
    </row>
    <row r="54" spans="2:10" x14ac:dyDescent="0.25">
      <c r="B54" s="1" t="s">
        <v>56</v>
      </c>
      <c r="C54" s="5">
        <f>C52-C53</f>
        <v>-274520</v>
      </c>
      <c r="D54" s="5">
        <f>D52-D53</f>
        <v>-288745</v>
      </c>
      <c r="E54" s="5">
        <f>E52-E53</f>
        <v>-396707</v>
      </c>
      <c r="F54" s="5">
        <f>F52-F53</f>
        <v>-342743</v>
      </c>
      <c r="G54" s="5">
        <f>G52-G53</f>
        <v>-491159</v>
      </c>
      <c r="H54" s="5">
        <f>H52-H53</f>
        <v>-326063</v>
      </c>
      <c r="I54" s="11"/>
    </row>
    <row r="57" spans="2:10" x14ac:dyDescent="0.25">
      <c r="I57" s="1" t="s">
        <v>67</v>
      </c>
      <c r="J57" s="1">
        <v>10</v>
      </c>
    </row>
    <row r="58" spans="2:10" x14ac:dyDescent="0.25">
      <c r="I58" s="16" t="s">
        <v>68</v>
      </c>
      <c r="J58" s="16">
        <f>NPV(J57,C54:H54)</f>
        <v>-27667.381364231886</v>
      </c>
    </row>
    <row r="59" spans="2:10" x14ac:dyDescent="0.25">
      <c r="I59" s="1" t="s">
        <v>69</v>
      </c>
      <c r="J59" s="17">
        <f>J58/97713</f>
        <v>-0.28314944136636766</v>
      </c>
    </row>
  </sheetData>
  <pageMargins left="0.7" right="0.7" top="0.75" bottom="0.75" header="0.3" footer="0.3"/>
  <pageSetup paperSize="9" orientation="portrait" r:id="rId1"/>
  <ignoredErrors>
    <ignoredError sqref="F6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McKay, James</dc:creator>
  <cp:lastModifiedBy>McKay, James</cp:lastModifiedBy>
  <dcterms:created xsi:type="dcterms:W3CDTF">2015-06-05T18:17:20Z</dcterms:created>
  <dcterms:modified xsi:type="dcterms:W3CDTF">2025-09-29T08:40:25Z</dcterms:modified>
</cp:coreProperties>
</file>