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4.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5.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6.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7.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8.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I:\Dyetech Data\McMenon\WinForms\DP Engineering Tool\Configuration Data\PurgeMaster\"/>
    </mc:Choice>
  </mc:AlternateContent>
  <bookViews>
    <workbookView xWindow="0" yWindow="0" windowWidth="15330" windowHeight="8895" tabRatio="869"/>
  </bookViews>
  <sheets>
    <sheet name="VA Sizing" sheetId="1" r:id="rId1"/>
    <sheet name="10A61 Liquid 1.5&quot;" sheetId="3" r:id="rId2"/>
    <sheet name="10A61 Liquid 3&quot;" sheetId="5" r:id="rId3"/>
    <sheet name="10A61 Liquid 3&quot; ViscosityLINEST" sheetId="7" r:id="rId4"/>
    <sheet name="10A61 3&quot; Density LINEST" sheetId="6" r:id="rId5"/>
    <sheet name="10A61 3&quot; Results Interpol." sheetId="8" r:id="rId6"/>
    <sheet name="Sheet2" sheetId="11" r:id="rId7"/>
    <sheet name="5&quot; Theoretical Test" sheetId="14" r:id="rId8"/>
    <sheet name="10A61 3&quot; Gas+liquid Curves" sheetId="22" r:id="rId9"/>
    <sheet name="10A61 3&quot; Gas+liquid Calcs" sheetId="21" r:id="rId10"/>
    <sheet name="10A61 Water" sheetId="2" r:id="rId11"/>
    <sheet name="10A61 5&quot; Curves" sheetId="15" r:id="rId12"/>
    <sheet name="10A61 3&quot; Gas+liquid Results" sheetId="24" r:id="rId13"/>
    <sheet name="10A61 3" sheetId="57" r:id="rId14"/>
    <sheet name="10A61 5&quot; + 6&quot; Results" sheetId="20" r:id="rId15"/>
    <sheet name="10A61 10&quot;+6&quot; Curves" sheetId="23" r:id="rId16"/>
    <sheet name="10A61 10&quot;+6&quot; Calcs" sheetId="25" r:id="rId17"/>
    <sheet name="10A61 10&quot; Results" sheetId="26" r:id="rId18"/>
    <sheet name="Sheet1" sheetId="54" r:id="rId19"/>
    <sheet name="10A61 5" sheetId="58" r:id="rId20"/>
    <sheet name="10A61 10" sheetId="59" r:id="rId21"/>
    <sheet name="Log" sheetId="62" r:id="rId22"/>
    <sheet name="10A61 5&quot; Calcs" sheetId="16" r:id="rId23"/>
    <sheet name="10A61 N Number" sheetId="63" r:id="rId24"/>
    <sheet name="IX Preview" sheetId="55" r:id="rId25"/>
    <sheet name="Temp-Press Limits" sheetId="53" r:id="rId26"/>
    <sheet name="SizingSummary" sheetId="44" r:id="rId27"/>
    <sheet name="Steam" sheetId="43" r:id="rId28"/>
    <sheet name="MixedGas" sheetId="42" r:id="rId29"/>
    <sheet name="10A61 Naming" sheetId="45" r:id="rId30"/>
    <sheet name="Photos" sheetId="35" r:id="rId31"/>
    <sheet name="Modified Inputs" sheetId="9" r:id="rId32"/>
    <sheet name="Assistant" sheetId="41" r:id="rId33"/>
    <sheet name="Descriptions" sheetId="36" r:id="rId34"/>
    <sheet name="Viscosity Limits" sheetId="27" r:id="rId35"/>
  </sheets>
  <definedNames>
    <definedName name="Composition">'Modified Inputs'!$D$30:$D$31</definedName>
    <definedName name="cP">'Modified Inputs'!$G$2</definedName>
    <definedName name="Gas">'Modified Inputs'!$C$2:$C$26</definedName>
    <definedName name="IMAGE" comment="=INDIRECT(&quot;Sheet1!$A$&quot;&amp;VLOOKUP(Sheet1!$A$3,Sheet1!$D$5:$E$9,2,FALSE))">INDIRECT("Photos!$A$"&amp;VLOOKUP(Photos!$A$3,Photos!$D$5:$E$10,2,FALSE))</definedName>
    <definedName name="Mixed_Gas" comment="=INDIRECT(&quot;Photos!$H$&quot;&amp;VLOOKUP(Photos!$H$16,Photos!$K$18:$L$19,2,FALSE))">INDIRECT("Photos!$H$"&amp;VLOOKUP(Photos!$H$16,Photos!$K$18:$L$22,2,FALSE))</definedName>
    <definedName name="Pressure">'Modified Inputs'!$F$9:$F$14</definedName>
    <definedName name="Steam" comment="=INDIRECT(&quot;Photos!$H$&quot;&amp;VLOOKUP(Photos!$H$30,Photos!$K$32:$L$36,2,FALSE))">INDIRECT("Photos!$H$"&amp;VLOOKUP(Photos!$H$30,Photos!$K$32:$L$36,2,FALSE))</definedName>
    <definedName name="Temperature">'Modified Inputs'!$G$16:$G$17</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12" i="63" l="1"/>
  <c r="B213" i="63"/>
  <c r="B214" i="63"/>
  <c r="B215" i="63"/>
  <c r="B216" i="63"/>
  <c r="B217" i="63"/>
  <c r="B200" i="63"/>
  <c r="B201" i="63"/>
  <c r="B202" i="63"/>
  <c r="B203" i="63"/>
  <c r="B204" i="63"/>
  <c r="B205" i="63"/>
  <c r="B206" i="63"/>
  <c r="B207" i="63"/>
  <c r="B208" i="63"/>
  <c r="B209" i="63"/>
  <c r="B210" i="63"/>
  <c r="B211" i="63"/>
  <c r="B191" i="63"/>
  <c r="B192" i="63"/>
  <c r="B193" i="63"/>
  <c r="B194" i="63"/>
  <c r="B195" i="63"/>
  <c r="B196" i="63"/>
  <c r="B197" i="63"/>
  <c r="B198" i="63"/>
  <c r="B199" i="63"/>
  <c r="B182" i="63"/>
  <c r="B183" i="63"/>
  <c r="B184" i="63"/>
  <c r="B185" i="63"/>
  <c r="B186" i="63"/>
  <c r="B187" i="63"/>
  <c r="B188" i="63"/>
  <c r="B189" i="63"/>
  <c r="B190" i="63"/>
  <c r="B166" i="63"/>
  <c r="B167" i="63"/>
  <c r="B168" i="63"/>
  <c r="B169" i="63"/>
  <c r="B170" i="63"/>
  <c r="B171" i="63"/>
  <c r="B172" i="63"/>
  <c r="B173" i="63"/>
  <c r="B174" i="63"/>
  <c r="B175" i="63"/>
  <c r="B176" i="63"/>
  <c r="B177" i="63"/>
  <c r="B178" i="63"/>
  <c r="B179" i="63"/>
  <c r="B180" i="63"/>
  <c r="B181" i="63"/>
  <c r="B147" i="63"/>
  <c r="B148" i="63"/>
  <c r="B149" i="63"/>
  <c r="B150" i="63"/>
  <c r="B151" i="63"/>
  <c r="B152" i="63"/>
  <c r="B153" i="63"/>
  <c r="B154" i="63"/>
  <c r="B155" i="63"/>
  <c r="B156" i="63"/>
  <c r="B157" i="63"/>
  <c r="B158" i="63"/>
  <c r="B159" i="63"/>
  <c r="B160" i="63"/>
  <c r="B161" i="63"/>
  <c r="B162" i="63"/>
  <c r="B163" i="63"/>
  <c r="B164" i="63"/>
  <c r="B165" i="63"/>
  <c r="B146" i="63"/>
  <c r="B75" i="63"/>
  <c r="B76" i="63"/>
  <c r="B77" i="63"/>
  <c r="B78" i="63"/>
  <c r="B79" i="63"/>
  <c r="B80" i="63"/>
  <c r="B81" i="63"/>
  <c r="B82" i="63"/>
  <c r="B83" i="63"/>
  <c r="B84" i="63"/>
  <c r="B85" i="63"/>
  <c r="B86" i="63"/>
  <c r="B87" i="63"/>
  <c r="B88" i="63"/>
  <c r="B89" i="63"/>
  <c r="B90" i="63"/>
  <c r="B91" i="63"/>
  <c r="B92" i="63"/>
  <c r="B93" i="63"/>
  <c r="B94" i="63"/>
  <c r="B95" i="63"/>
  <c r="B96" i="63"/>
  <c r="B97" i="63"/>
  <c r="B98" i="63"/>
  <c r="B99" i="63"/>
  <c r="B100" i="63"/>
  <c r="B101" i="63"/>
  <c r="B102" i="63"/>
  <c r="B103" i="63"/>
  <c r="B104" i="63"/>
  <c r="B105" i="63"/>
  <c r="B106" i="63"/>
  <c r="B107" i="63"/>
  <c r="B108" i="63"/>
  <c r="B109" i="63"/>
  <c r="B110" i="63"/>
  <c r="B111" i="63"/>
  <c r="B112" i="63"/>
  <c r="B113" i="63"/>
  <c r="B114" i="63"/>
  <c r="B115" i="63"/>
  <c r="B116" i="63"/>
  <c r="B117" i="63"/>
  <c r="B118" i="63"/>
  <c r="B119" i="63"/>
  <c r="B120" i="63"/>
  <c r="B121" i="63"/>
  <c r="B122" i="63"/>
  <c r="B123" i="63"/>
  <c r="B124" i="63"/>
  <c r="B125" i="63"/>
  <c r="B126" i="63"/>
  <c r="B127" i="63"/>
  <c r="B128" i="63"/>
  <c r="B129" i="63"/>
  <c r="B130" i="63"/>
  <c r="B131" i="63"/>
  <c r="B132" i="63"/>
  <c r="B133" i="63"/>
  <c r="B134" i="63"/>
  <c r="B135" i="63"/>
  <c r="B136" i="63"/>
  <c r="B137" i="63"/>
  <c r="B138" i="63"/>
  <c r="B139" i="63"/>
  <c r="B140" i="63"/>
  <c r="B141" i="63"/>
  <c r="B142" i="63"/>
  <c r="B143" i="63"/>
  <c r="B144" i="63"/>
  <c r="B145" i="63"/>
  <c r="B74" i="63"/>
  <c r="G108" i="44" l="1"/>
  <c r="F108" i="44"/>
  <c r="G99" i="44"/>
  <c r="F99" i="44"/>
  <c r="G90" i="44"/>
  <c r="F90" i="44"/>
  <c r="G81" i="44"/>
  <c r="F81" i="44"/>
  <c r="G72" i="44"/>
  <c r="F72" i="44"/>
  <c r="G63" i="44"/>
  <c r="F63" i="44"/>
  <c r="G54" i="44"/>
  <c r="F54" i="44"/>
  <c r="G45" i="44"/>
  <c r="F45" i="44"/>
  <c r="G36" i="44"/>
  <c r="F36" i="44"/>
  <c r="G27" i="44"/>
  <c r="F27" i="44"/>
  <c r="G18" i="44"/>
  <c r="F18" i="44"/>
  <c r="G9" i="44"/>
  <c r="F9" i="44"/>
  <c r="F104" i="44"/>
  <c r="F95" i="44"/>
  <c r="F86" i="44"/>
  <c r="F77" i="44"/>
  <c r="F68" i="44"/>
  <c r="F59" i="44"/>
  <c r="F50" i="44"/>
  <c r="F41" i="44"/>
  <c r="F32" i="44"/>
  <c r="F23" i="44"/>
  <c r="F14" i="44"/>
  <c r="F5" i="44"/>
  <c r="L135" i="45" l="1"/>
  <c r="M135" i="45"/>
  <c r="K135" i="45" s="1"/>
  <c r="M134" i="45"/>
  <c r="K134" i="45" s="1"/>
  <c r="L134" i="45"/>
  <c r="M133" i="45"/>
  <c r="K133" i="45" s="1"/>
  <c r="L133" i="45"/>
  <c r="M132" i="45"/>
  <c r="K132" i="45" s="1"/>
  <c r="L132" i="45"/>
  <c r="M131" i="45"/>
  <c r="L131" i="45"/>
  <c r="K131" i="45"/>
  <c r="M130" i="45"/>
  <c r="L130" i="45"/>
  <c r="K130" i="45"/>
  <c r="M29" i="45"/>
  <c r="M30" i="45"/>
  <c r="M31" i="45"/>
  <c r="M32" i="45"/>
  <c r="L29" i="45"/>
  <c r="L30" i="45"/>
  <c r="L31" i="45"/>
  <c r="L32" i="45"/>
  <c r="K29" i="45"/>
  <c r="K30" i="45"/>
  <c r="K31" i="45"/>
  <c r="K32" i="45"/>
  <c r="E35" i="57"/>
  <c r="E36" i="57"/>
  <c r="E37" i="57"/>
  <c r="E35" i="24"/>
  <c r="E36" i="24"/>
  <c r="E37" i="24"/>
  <c r="F39" i="26"/>
  <c r="F39" i="59"/>
  <c r="R43" i="25"/>
  <c r="H51" i="25"/>
  <c r="J51" i="25"/>
  <c r="R43" i="21"/>
  <c r="R37" i="21"/>
  <c r="R31" i="21"/>
  <c r="R25" i="21"/>
  <c r="G102" i="44" l="1"/>
  <c r="G93" i="44"/>
  <c r="G84" i="44"/>
  <c r="G75" i="44"/>
  <c r="G66" i="44"/>
  <c r="G57" i="44"/>
  <c r="G48" i="44"/>
  <c r="G39" i="44"/>
  <c r="G30" i="44"/>
  <c r="G21" i="44"/>
  <c r="G12" i="44"/>
  <c r="G3" i="44"/>
  <c r="G31" i="9"/>
  <c r="D11" i="44" l="1"/>
  <c r="C22" i="44"/>
  <c r="D14" i="44"/>
  <c r="C21" i="44"/>
  <c r="L2" i="9"/>
  <c r="I19" i="9" l="1"/>
  <c r="D3" i="55"/>
  <c r="I18" i="9"/>
  <c r="I8" i="9"/>
  <c r="I17" i="9"/>
  <c r="H8" i="9" l="1"/>
  <c r="J19" i="1" l="1"/>
  <c r="U14" i="1"/>
  <c r="P14" i="1"/>
  <c r="P7" i="1"/>
  <c r="G35" i="9" l="1"/>
  <c r="G34" i="9"/>
  <c r="G33" i="9"/>
  <c r="G32" i="9"/>
  <c r="J22" i="1" l="1"/>
  <c r="L7" i="9" l="1"/>
  <c r="L8" i="9" s="1"/>
  <c r="C26" i="9" l="1"/>
  <c r="C25" i="9"/>
  <c r="C24" i="9"/>
  <c r="C23" i="9"/>
  <c r="C22" i="9"/>
  <c r="C21" i="9"/>
  <c r="C17" i="9"/>
  <c r="C15" i="9"/>
  <c r="C5" i="9"/>
  <c r="C20" i="9"/>
  <c r="C18" i="9"/>
  <c r="C16" i="9"/>
  <c r="C8" i="9"/>
  <c r="C14" i="9"/>
  <c r="C13" i="9"/>
  <c r="C27" i="9"/>
  <c r="C9" i="9"/>
  <c r="C6" i="9"/>
  <c r="C12" i="9"/>
  <c r="C11" i="9"/>
  <c r="C10" i="9"/>
  <c r="C7" i="9"/>
  <c r="C4" i="9"/>
  <c r="C3" i="9"/>
  <c r="R8" i="25" l="1"/>
  <c r="R9" i="25"/>
  <c r="R10" i="25"/>
  <c r="R11" i="25"/>
  <c r="R12" i="25"/>
  <c r="B102" i="55" l="1"/>
  <c r="B66" i="55"/>
  <c r="E75" i="55"/>
  <c r="E83" i="55"/>
  <c r="E91" i="55"/>
  <c r="E99" i="55"/>
  <c r="C70" i="55"/>
  <c r="E70" i="55" s="1"/>
  <c r="C71" i="55"/>
  <c r="E71" i="55" s="1"/>
  <c r="C72" i="55"/>
  <c r="E72" i="55" s="1"/>
  <c r="C73" i="55"/>
  <c r="E73" i="55" s="1"/>
  <c r="C74" i="55"/>
  <c r="E74" i="55" s="1"/>
  <c r="C75" i="55"/>
  <c r="C76" i="55"/>
  <c r="E76" i="55" s="1"/>
  <c r="C77" i="55"/>
  <c r="E77" i="55" s="1"/>
  <c r="C78" i="55"/>
  <c r="E78" i="55" s="1"/>
  <c r="C79" i="55"/>
  <c r="E79" i="55" s="1"/>
  <c r="C80" i="55"/>
  <c r="E80" i="55" s="1"/>
  <c r="C81" i="55"/>
  <c r="E81" i="55" s="1"/>
  <c r="C82" i="55"/>
  <c r="E82" i="55" s="1"/>
  <c r="C83" i="55"/>
  <c r="C84" i="55"/>
  <c r="E84" i="55" s="1"/>
  <c r="C85" i="55"/>
  <c r="E85" i="55" s="1"/>
  <c r="C86" i="55"/>
  <c r="E86" i="55" s="1"/>
  <c r="C87" i="55"/>
  <c r="E87" i="55" s="1"/>
  <c r="C88" i="55"/>
  <c r="E88" i="55" s="1"/>
  <c r="C89" i="55"/>
  <c r="E89" i="55" s="1"/>
  <c r="C90" i="55"/>
  <c r="E90" i="55" s="1"/>
  <c r="C91" i="55"/>
  <c r="C92" i="55"/>
  <c r="E92" i="55" s="1"/>
  <c r="C93" i="55"/>
  <c r="E93" i="55" s="1"/>
  <c r="C94" i="55"/>
  <c r="E94" i="55" s="1"/>
  <c r="C95" i="55"/>
  <c r="E95" i="55" s="1"/>
  <c r="C96" i="55"/>
  <c r="E96" i="55" s="1"/>
  <c r="C97" i="55"/>
  <c r="E97" i="55" s="1"/>
  <c r="C98" i="55"/>
  <c r="E98" i="55" s="1"/>
  <c r="C99" i="55"/>
  <c r="C100" i="55"/>
  <c r="E100" i="55" s="1"/>
  <c r="C101" i="55"/>
  <c r="E101" i="55" s="1"/>
  <c r="C69" i="55"/>
  <c r="E69" i="55" s="1"/>
  <c r="E41" i="55"/>
  <c r="C56" i="55"/>
  <c r="C54" i="55"/>
  <c r="C55" i="55"/>
  <c r="C53" i="55"/>
  <c r="C52" i="55"/>
  <c r="C51" i="55"/>
  <c r="C50" i="55"/>
  <c r="C49" i="55"/>
  <c r="C48" i="55"/>
  <c r="C47" i="55"/>
  <c r="C41" i="55"/>
  <c r="C42" i="55"/>
  <c r="C43" i="55"/>
  <c r="C44" i="55"/>
  <c r="C45" i="55"/>
  <c r="C46" i="55"/>
  <c r="C40" i="55"/>
  <c r="B56" i="55"/>
  <c r="B55" i="55"/>
  <c r="B54" i="55"/>
  <c r="B53" i="55"/>
  <c r="B52" i="55"/>
  <c r="B51" i="55"/>
  <c r="B50" i="55"/>
  <c r="B49" i="55"/>
  <c r="B48" i="55"/>
  <c r="B47" i="55"/>
  <c r="B46" i="55"/>
  <c r="B45" i="55"/>
  <c r="B44" i="55"/>
  <c r="B43" i="55"/>
  <c r="B42" i="55"/>
  <c r="B41" i="55"/>
  <c r="B40" i="55"/>
  <c r="F40" i="55" l="1"/>
  <c r="F34" i="55"/>
  <c r="H34" i="55"/>
  <c r="E3" i="55" l="1"/>
  <c r="E4" i="55" s="1"/>
  <c r="A8" i="55"/>
  <c r="D4" i="55" s="1"/>
  <c r="A7" i="55"/>
  <c r="C4" i="55" s="1"/>
  <c r="D5" i="55"/>
  <c r="C5" i="55"/>
  <c r="C2" i="55"/>
  <c r="C1" i="55"/>
  <c r="C3" i="55" l="1"/>
  <c r="B14" i="44"/>
  <c r="C8" i="44" l="1"/>
  <c r="F4" i="54" l="1"/>
  <c r="E4" i="54"/>
  <c r="D4" i="54"/>
  <c r="C4" i="54"/>
  <c r="I32" i="9" l="1"/>
  <c r="I31" i="9"/>
  <c r="I30" i="9"/>
  <c r="I29" i="9"/>
  <c r="I28" i="9"/>
  <c r="I27" i="9"/>
  <c r="F25" i="16" l="1"/>
  <c r="E25" i="16"/>
  <c r="C25" i="16"/>
  <c r="N11" i="16"/>
  <c r="N12" i="16"/>
  <c r="N10" i="16"/>
  <c r="V22" i="1" l="1"/>
  <c r="P22" i="1"/>
  <c r="G103" i="44" l="1"/>
  <c r="G94" i="44"/>
  <c r="G85" i="44"/>
  <c r="G76" i="44"/>
  <c r="D42" i="9"/>
  <c r="D41" i="9"/>
  <c r="D40" i="9"/>
  <c r="D39" i="9"/>
  <c r="C19" i="44" l="1"/>
  <c r="C7" i="44" l="1"/>
  <c r="D7" i="44" s="1"/>
  <c r="C6" i="44"/>
  <c r="D6" i="44" s="1"/>
  <c r="C5" i="44"/>
  <c r="D5" i="44" s="1"/>
  <c r="G67" i="44" l="1"/>
  <c r="G58" i="44"/>
  <c r="G49" i="44"/>
  <c r="G40" i="44"/>
  <c r="G31" i="44"/>
  <c r="G22" i="44"/>
  <c r="G13" i="44"/>
  <c r="B8" i="44"/>
  <c r="D8" i="44" s="1"/>
  <c r="D4" i="44"/>
  <c r="G4" i="44"/>
  <c r="H4" i="44" s="1"/>
  <c r="D10" i="44"/>
  <c r="D7" i="55" s="1"/>
  <c r="D9" i="44"/>
  <c r="A9" i="55" s="1"/>
  <c r="D6" i="55" s="1"/>
  <c r="C4" i="44"/>
  <c r="C3" i="44"/>
  <c r="D12" i="44"/>
  <c r="H3" i="1" l="1"/>
  <c r="E3" i="1"/>
  <c r="H30" i="35" l="1"/>
  <c r="C5" i="43" l="1"/>
  <c r="B5" i="43"/>
  <c r="E6" i="43" l="1"/>
  <c r="B9" i="43" l="1"/>
  <c r="H70" i="43" a="1"/>
  <c r="H70" i="43" s="1"/>
  <c r="H51" i="43" a="1"/>
  <c r="M51" i="43" s="1"/>
  <c r="H49" i="43" a="1"/>
  <c r="K49" i="43" s="1"/>
  <c r="C13" i="43"/>
  <c r="B13" i="43" s="1"/>
  <c r="D13" i="43" s="1"/>
  <c r="H19" i="43" a="1"/>
  <c r="H19" i="43" s="1"/>
  <c r="N51" i="43" l="1"/>
  <c r="L51" i="43"/>
  <c r="K51" i="43"/>
  <c r="J51" i="43"/>
  <c r="I51" i="43"/>
  <c r="H51" i="43"/>
  <c r="C9" i="43"/>
  <c r="K70" i="43"/>
  <c r="N70" i="43"/>
  <c r="J70" i="43"/>
  <c r="M70" i="43"/>
  <c r="I70" i="43"/>
  <c r="L70" i="43"/>
  <c r="N49" i="43"/>
  <c r="J49" i="43"/>
  <c r="M49" i="43"/>
  <c r="I49" i="43"/>
  <c r="L49" i="43"/>
  <c r="H49" i="43"/>
  <c r="D9" i="43"/>
  <c r="B17" i="43"/>
  <c r="C10" i="44" s="1"/>
  <c r="C7" i="55" s="1"/>
  <c r="C17" i="43"/>
  <c r="K19" i="43"/>
  <c r="J19" i="43"/>
  <c r="I19" i="43"/>
  <c r="L19" i="43"/>
  <c r="C9" i="44" l="1"/>
  <c r="C6" i="55" s="1"/>
  <c r="E11" i="43"/>
  <c r="E9" i="43"/>
  <c r="E17" i="43"/>
  <c r="E14" i="43"/>
  <c r="B20" i="43"/>
  <c r="C20" i="43" s="1"/>
  <c r="F15" i="42"/>
  <c r="N20" i="16" s="1"/>
  <c r="E15" i="42"/>
  <c r="M20" i="16" s="1"/>
  <c r="F12" i="42"/>
  <c r="E20" i="43" l="1"/>
  <c r="H16" i="35" l="1"/>
  <c r="G10" i="42"/>
  <c r="H10" i="42"/>
  <c r="I10" i="42"/>
  <c r="F10" i="42"/>
  <c r="G8" i="42"/>
  <c r="H8" i="42"/>
  <c r="I8" i="42"/>
  <c r="F8" i="42"/>
  <c r="H6" i="42"/>
  <c r="G6" i="42"/>
  <c r="I6" i="42"/>
  <c r="F6" i="42"/>
  <c r="E3" i="42"/>
  <c r="J8" i="42" l="1"/>
  <c r="J10" i="42"/>
  <c r="E4" i="42"/>
  <c r="F4" i="42" s="1"/>
  <c r="F3" i="42"/>
  <c r="G3" i="42" l="1"/>
  <c r="C28" i="9"/>
  <c r="C19" i="9"/>
  <c r="J6" i="42" l="1"/>
  <c r="L8" i="42" s="1"/>
  <c r="B16" i="1"/>
  <c r="L9" i="42" l="1"/>
  <c r="A3" i="35" l="1"/>
  <c r="N12" i="2" l="1" a="1"/>
  <c r="N12" i="2" s="1"/>
  <c r="M12" i="2" s="1"/>
  <c r="N13" i="2" a="1"/>
  <c r="N13" i="2" s="1"/>
  <c r="N14" i="2" s="1" a="1"/>
  <c r="N14" i="2" s="1"/>
  <c r="M14" i="2" l="1"/>
  <c r="N15" i="2" a="1"/>
  <c r="N15" i="2" s="1"/>
  <c r="M15" i="2" s="1"/>
  <c r="M13" i="2"/>
  <c r="J47" i="25"/>
  <c r="J48" i="25"/>
  <c r="J49" i="25"/>
  <c r="J50" i="25"/>
  <c r="J46" i="25"/>
  <c r="H47" i="25"/>
  <c r="H48" i="25"/>
  <c r="H49" i="25"/>
  <c r="H50" i="25"/>
  <c r="H46" i="25"/>
  <c r="L136" i="23" a="1"/>
  <c r="L136" i="23" s="1"/>
  <c r="C137" i="23" a="1"/>
  <c r="C137" i="23" s="1"/>
  <c r="M112" i="23" a="1"/>
  <c r="M112" i="23" s="1"/>
  <c r="O112" i="23"/>
  <c r="D112" i="23" a="1"/>
  <c r="D112" i="23" s="1"/>
  <c r="M86" i="23" a="1"/>
  <c r="M86" i="23" s="1"/>
  <c r="C86" i="23" a="1"/>
  <c r="D86" i="23" s="1"/>
  <c r="D87" i="23" s="1"/>
  <c r="C86" i="23"/>
  <c r="P59" i="23" a="1"/>
  <c r="P59" i="23" s="1"/>
  <c r="D59" i="23" a="1"/>
  <c r="D59" i="23" s="1"/>
  <c r="C31" i="23" a="1"/>
  <c r="C31" i="23" s="1"/>
  <c r="D31" i="23"/>
  <c r="D32" i="23" s="1"/>
  <c r="N31" i="23" a="1"/>
  <c r="R31" i="23" s="1"/>
  <c r="K7" i="23" a="1"/>
  <c r="K7" i="23" s="1"/>
  <c r="C6" i="23" a="1"/>
  <c r="C6" i="23" s="1"/>
  <c r="R42" i="25"/>
  <c r="R41" i="25"/>
  <c r="R40" i="25"/>
  <c r="R39" i="25"/>
  <c r="R38" i="25"/>
  <c r="R36" i="25"/>
  <c r="R35" i="25"/>
  <c r="R34" i="25"/>
  <c r="R33" i="25"/>
  <c r="R32" i="25"/>
  <c r="R30" i="25"/>
  <c r="R29" i="25"/>
  <c r="R28" i="25"/>
  <c r="R27" i="25"/>
  <c r="R26" i="25"/>
  <c r="R24" i="25"/>
  <c r="R23" i="25"/>
  <c r="R22" i="25"/>
  <c r="R21" i="25"/>
  <c r="R20" i="25"/>
  <c r="R18" i="25"/>
  <c r="R17" i="25"/>
  <c r="R16" i="25"/>
  <c r="R15" i="25"/>
  <c r="R14" i="25"/>
  <c r="I3" i="25"/>
  <c r="H3" i="25"/>
  <c r="R39" i="21"/>
  <c r="R40" i="21"/>
  <c r="R41" i="21"/>
  <c r="R42" i="21"/>
  <c r="R38" i="21"/>
  <c r="R33" i="21"/>
  <c r="R34" i="21"/>
  <c r="R35" i="21"/>
  <c r="R36" i="21"/>
  <c r="R32" i="21"/>
  <c r="R27" i="21"/>
  <c r="R28" i="21"/>
  <c r="R29" i="21"/>
  <c r="R30" i="21"/>
  <c r="R26" i="21"/>
  <c r="R21" i="21"/>
  <c r="R22" i="21"/>
  <c r="R23" i="21"/>
  <c r="R24" i="21"/>
  <c r="R20" i="21"/>
  <c r="R15" i="21"/>
  <c r="R16" i="21"/>
  <c r="R17" i="21"/>
  <c r="R18" i="21"/>
  <c r="R14" i="21"/>
  <c r="R9" i="21"/>
  <c r="R10" i="21"/>
  <c r="R11" i="21"/>
  <c r="R12" i="21"/>
  <c r="R8" i="21"/>
  <c r="L127" i="22" a="1"/>
  <c r="L127" i="22" s="1"/>
  <c r="C127" i="22" a="1"/>
  <c r="D127" i="22" s="1"/>
  <c r="D128" i="22" s="1"/>
  <c r="L104" i="22" a="1"/>
  <c r="M104" i="22" s="1"/>
  <c r="C104" i="22" a="1"/>
  <c r="D104" i="22" s="1"/>
  <c r="D105" i="22" s="1"/>
  <c r="K80" i="22" a="1"/>
  <c r="K80" i="22" s="1"/>
  <c r="C80" i="22" a="1"/>
  <c r="C80" i="22" s="1"/>
  <c r="J54" i="22" a="1"/>
  <c r="J54" i="22" s="1"/>
  <c r="C54" i="22" a="1"/>
  <c r="C54" i="22" s="1"/>
  <c r="J31" i="22" a="1"/>
  <c r="L31" i="22" s="1"/>
  <c r="C30" i="22" a="1"/>
  <c r="C30" i="22" s="1"/>
  <c r="K8" i="22" a="1"/>
  <c r="K8" i="22" s="1"/>
  <c r="C8" i="22" a="1"/>
  <c r="D8" i="22" s="1"/>
  <c r="Q112" i="23" l="1"/>
  <c r="P31" i="23"/>
  <c r="P112" i="23"/>
  <c r="D6" i="23"/>
  <c r="D7" i="23" s="1"/>
  <c r="Q31" i="23"/>
  <c r="O31" i="23"/>
  <c r="N31" i="23"/>
  <c r="T59" i="23"/>
  <c r="N112" i="23"/>
  <c r="S59" i="23"/>
  <c r="Q59" i="23"/>
  <c r="D137" i="23"/>
  <c r="D138" i="23" s="1"/>
  <c r="R59" i="23"/>
  <c r="N80" i="22"/>
  <c r="M80" i="22"/>
  <c r="C8" i="22"/>
  <c r="N31" i="22"/>
  <c r="C104" i="22"/>
  <c r="M31" i="22"/>
  <c r="K31" i="22"/>
  <c r="J31" i="22"/>
  <c r="N8" i="22"/>
  <c r="M8" i="22"/>
  <c r="L80" i="22"/>
  <c r="L8" i="22"/>
  <c r="O80" i="22"/>
  <c r="O8" i="22"/>
  <c r="O136" i="23"/>
  <c r="N136" i="23"/>
  <c r="M136" i="23"/>
  <c r="P136" i="23"/>
  <c r="E112" i="23"/>
  <c r="E113" i="23" s="1"/>
  <c r="O86" i="23"/>
  <c r="P86" i="23"/>
  <c r="N86" i="23"/>
  <c r="Q86" i="23"/>
  <c r="E59" i="23"/>
  <c r="E60" i="23" s="1"/>
  <c r="N7" i="23"/>
  <c r="M7" i="23"/>
  <c r="L7" i="23"/>
  <c r="O7" i="23"/>
  <c r="N127" i="22"/>
  <c r="M127" i="22"/>
  <c r="O127" i="22"/>
  <c r="P127" i="22"/>
  <c r="C127" i="22"/>
  <c r="P104" i="22"/>
  <c r="L104" i="22"/>
  <c r="O104" i="22"/>
  <c r="N104" i="22"/>
  <c r="D80" i="22"/>
  <c r="D81" i="22" s="1"/>
  <c r="M54" i="22"/>
  <c r="L54" i="22"/>
  <c r="K54" i="22"/>
  <c r="N54" i="22"/>
  <c r="D54" i="22"/>
  <c r="D55" i="22" s="1"/>
  <c r="D30" i="22"/>
  <c r="D31" i="22" s="1"/>
  <c r="D9" i="22"/>
  <c r="Q8" i="22" l="1"/>
  <c r="I3" i="21"/>
  <c r="H3" i="21"/>
  <c r="AE103" i="16" l="1"/>
  <c r="AE104" i="16"/>
  <c r="AE105" i="16"/>
  <c r="AE106" i="16"/>
  <c r="AE107" i="16"/>
  <c r="AE102" i="16"/>
  <c r="Q102" i="16"/>
  <c r="Q103" i="16"/>
  <c r="Q104" i="16"/>
  <c r="Q105" i="16"/>
  <c r="Q106" i="16"/>
  <c r="Q107" i="16"/>
  <c r="P102" i="16"/>
  <c r="P103" i="16"/>
  <c r="P104" i="16"/>
  <c r="P105" i="16"/>
  <c r="P106" i="16"/>
  <c r="P107" i="16"/>
  <c r="F102" i="16" a="1"/>
  <c r="F102" i="16" s="1"/>
  <c r="B102" i="16" a="1"/>
  <c r="B102" i="16" s="1"/>
  <c r="D102" i="16" a="1"/>
  <c r="D102" i="16" s="1"/>
  <c r="AE96" i="16"/>
  <c r="AE97" i="16"/>
  <c r="AE98" i="16"/>
  <c r="AE99" i="16"/>
  <c r="AE100" i="16"/>
  <c r="AE95" i="16"/>
  <c r="F95" i="16" a="1"/>
  <c r="F95" i="16" s="1"/>
  <c r="Q95" i="16"/>
  <c r="Q96" i="16"/>
  <c r="Q97" i="16"/>
  <c r="Q98" i="16"/>
  <c r="Q99" i="16"/>
  <c r="Q100" i="16"/>
  <c r="P95" i="16"/>
  <c r="P96" i="16"/>
  <c r="P97" i="16"/>
  <c r="P98" i="16"/>
  <c r="P99" i="16"/>
  <c r="P100" i="16"/>
  <c r="B95" i="16" a="1"/>
  <c r="B95" i="16" s="1"/>
  <c r="D95" i="16" a="1"/>
  <c r="D95" i="16" s="1"/>
  <c r="AE89" i="16"/>
  <c r="AE90" i="16"/>
  <c r="AE91" i="16"/>
  <c r="AE92" i="16"/>
  <c r="AE93" i="16"/>
  <c r="AE88" i="16"/>
  <c r="Q88" i="16"/>
  <c r="Q89" i="16"/>
  <c r="Q90" i="16"/>
  <c r="Q91" i="16"/>
  <c r="Q92" i="16"/>
  <c r="Q93" i="16"/>
  <c r="P88" i="16"/>
  <c r="P89" i="16"/>
  <c r="P90" i="16"/>
  <c r="P91" i="16"/>
  <c r="P92" i="16"/>
  <c r="P93" i="16"/>
  <c r="F88" i="16" a="1"/>
  <c r="G88" i="16" s="1"/>
  <c r="B88" i="16" a="1"/>
  <c r="C88" i="16" s="1"/>
  <c r="D88" i="16" a="1"/>
  <c r="D88" i="16" s="1"/>
  <c r="F88" i="16" l="1"/>
  <c r="G102" i="16"/>
  <c r="C102" i="16"/>
  <c r="E102" i="16"/>
  <c r="G95" i="16"/>
  <c r="C95" i="16"/>
  <c r="E95" i="16"/>
  <c r="B88" i="16"/>
  <c r="E88" i="16"/>
  <c r="AE82" i="16" l="1"/>
  <c r="AE83" i="16"/>
  <c r="AE84" i="16"/>
  <c r="AE85" i="16"/>
  <c r="AE86" i="16"/>
  <c r="AE81" i="16"/>
  <c r="B74" i="16" a="1"/>
  <c r="B74" i="16" s="1"/>
  <c r="F81" i="16" a="1"/>
  <c r="F81" i="16" s="1"/>
  <c r="D81" i="16" a="1"/>
  <c r="E81" i="16" s="1"/>
  <c r="Q81" i="16"/>
  <c r="Q82" i="16"/>
  <c r="Q83" i="16"/>
  <c r="Q84" i="16"/>
  <c r="Q85" i="16"/>
  <c r="Q86" i="16"/>
  <c r="P81" i="16"/>
  <c r="P82" i="16"/>
  <c r="P83" i="16"/>
  <c r="P84" i="16"/>
  <c r="P85" i="16"/>
  <c r="P86" i="16"/>
  <c r="B81" i="16" a="1"/>
  <c r="B81" i="16" s="1"/>
  <c r="AE75" i="16"/>
  <c r="AE76" i="16"/>
  <c r="AE77" i="16"/>
  <c r="AE78" i="16"/>
  <c r="AE79" i="16"/>
  <c r="AE74" i="16"/>
  <c r="Q74" i="16"/>
  <c r="Q75" i="16"/>
  <c r="Q76" i="16"/>
  <c r="Q77" i="16"/>
  <c r="Q78" i="16"/>
  <c r="Q79" i="16"/>
  <c r="P74" i="16"/>
  <c r="P75" i="16"/>
  <c r="P76" i="16"/>
  <c r="P77" i="16"/>
  <c r="P78" i="16"/>
  <c r="P79" i="16"/>
  <c r="F74" i="16" a="1"/>
  <c r="F74" i="16" s="1"/>
  <c r="D74" i="16" a="1"/>
  <c r="E74" i="16" s="1"/>
  <c r="AE68" i="16"/>
  <c r="AE69" i="16"/>
  <c r="AE70" i="16"/>
  <c r="AE71" i="16"/>
  <c r="AE72" i="16"/>
  <c r="AE67" i="16"/>
  <c r="AE61" i="16"/>
  <c r="AE62" i="16"/>
  <c r="AE63" i="16"/>
  <c r="AE64" i="16"/>
  <c r="AE65" i="16"/>
  <c r="AE60" i="16"/>
  <c r="AE54" i="16"/>
  <c r="AE55" i="16"/>
  <c r="AE56" i="16"/>
  <c r="AE57" i="16"/>
  <c r="AE58" i="16"/>
  <c r="AE53" i="16"/>
  <c r="AE47" i="16"/>
  <c r="AE48" i="16"/>
  <c r="AE49" i="16"/>
  <c r="AE50" i="16"/>
  <c r="AE51" i="16"/>
  <c r="AE46" i="16"/>
  <c r="C81" i="16" l="1"/>
  <c r="D74" i="16"/>
  <c r="D81" i="16"/>
  <c r="C74" i="16"/>
  <c r="G81" i="16"/>
  <c r="G74" i="16"/>
  <c r="Q67" i="16"/>
  <c r="Q68" i="16"/>
  <c r="Q69" i="16"/>
  <c r="Q70" i="16"/>
  <c r="Q71" i="16"/>
  <c r="Q72" i="16"/>
  <c r="P67" i="16"/>
  <c r="P68" i="16"/>
  <c r="P69" i="16"/>
  <c r="P70" i="16"/>
  <c r="P71" i="16"/>
  <c r="P72" i="16"/>
  <c r="B67" i="16" a="1"/>
  <c r="B67" i="16" s="1"/>
  <c r="D67" i="16" a="1"/>
  <c r="D67" i="16" s="1"/>
  <c r="F67" i="16" a="1"/>
  <c r="G67" i="16" s="1"/>
  <c r="D60" i="16" a="1"/>
  <c r="D60" i="16" s="1"/>
  <c r="Q60" i="16"/>
  <c r="Q61" i="16"/>
  <c r="Q62" i="16"/>
  <c r="Q63" i="16"/>
  <c r="Q64" i="16"/>
  <c r="Q65" i="16"/>
  <c r="P60" i="16"/>
  <c r="P61" i="16"/>
  <c r="P62" i="16"/>
  <c r="P63" i="16"/>
  <c r="P64" i="16"/>
  <c r="P65" i="16"/>
  <c r="B60" i="16" a="1"/>
  <c r="B60" i="16" s="1"/>
  <c r="F60" i="16" a="1"/>
  <c r="G60" i="16" s="1"/>
  <c r="Q53" i="16"/>
  <c r="Q54" i="16"/>
  <c r="Q55" i="16"/>
  <c r="Q56" i="16"/>
  <c r="Q57" i="16"/>
  <c r="Q58" i="16"/>
  <c r="P53" i="16"/>
  <c r="P54" i="16"/>
  <c r="P55" i="16"/>
  <c r="P56" i="16"/>
  <c r="P57" i="16"/>
  <c r="P58" i="16"/>
  <c r="B53" i="16" a="1"/>
  <c r="B53" i="16" s="1"/>
  <c r="D53" i="16" a="1"/>
  <c r="E53" i="16" s="1"/>
  <c r="F53" i="16" a="1"/>
  <c r="F53" i="16" s="1"/>
  <c r="C67" i="16" l="1"/>
  <c r="F67" i="16"/>
  <c r="E67" i="16"/>
  <c r="D53" i="16"/>
  <c r="E60" i="16"/>
  <c r="F60" i="16"/>
  <c r="C60" i="16"/>
  <c r="C53" i="16"/>
  <c r="G53" i="16"/>
  <c r="Q51" i="16" l="1"/>
  <c r="P51" i="16"/>
  <c r="P46" i="16" l="1"/>
  <c r="L4" i="9"/>
  <c r="M4" i="9" s="1"/>
  <c r="J11" i="9"/>
  <c r="J2" i="9"/>
  <c r="K2" i="9" s="1"/>
  <c r="H2" i="9"/>
  <c r="K3" i="9" l="1"/>
  <c r="M2" i="9"/>
  <c r="I3" i="9"/>
  <c r="I2" i="9" s="1"/>
  <c r="J3" i="9" s="1"/>
  <c r="B25" i="16"/>
  <c r="A27" i="16" s="1"/>
  <c r="B3" i="25"/>
  <c r="B3" i="21"/>
  <c r="J102" i="16"/>
  <c r="J106" i="16"/>
  <c r="J97" i="16"/>
  <c r="J90" i="16"/>
  <c r="J104" i="16"/>
  <c r="J88" i="16"/>
  <c r="J92" i="16"/>
  <c r="J89" i="16"/>
  <c r="J93" i="16"/>
  <c r="J103" i="16"/>
  <c r="J107" i="16"/>
  <c r="J98" i="16"/>
  <c r="J91" i="16"/>
  <c r="J95" i="16"/>
  <c r="J99" i="16"/>
  <c r="J105" i="16"/>
  <c r="J96" i="16"/>
  <c r="J100" i="16"/>
  <c r="J81" i="16"/>
  <c r="J85" i="16"/>
  <c r="J82" i="16"/>
  <c r="J86" i="16"/>
  <c r="J83" i="16"/>
  <c r="J84" i="16"/>
  <c r="J74" i="16"/>
  <c r="J78" i="16"/>
  <c r="J77" i="16"/>
  <c r="J75" i="16"/>
  <c r="J79" i="16"/>
  <c r="J76" i="16"/>
  <c r="J70" i="16"/>
  <c r="J67" i="16"/>
  <c r="J71" i="16"/>
  <c r="J68" i="16"/>
  <c r="J72" i="16"/>
  <c r="J69" i="16"/>
  <c r="J62" i="16"/>
  <c r="J55" i="16"/>
  <c r="J60" i="16"/>
  <c r="J64" i="16"/>
  <c r="J63" i="16"/>
  <c r="J56" i="16"/>
  <c r="J61" i="16"/>
  <c r="J65" i="16"/>
  <c r="J53" i="16"/>
  <c r="J57" i="16"/>
  <c r="J54" i="16"/>
  <c r="J58" i="16"/>
  <c r="J47" i="16"/>
  <c r="J51" i="16"/>
  <c r="J50" i="16"/>
  <c r="J49" i="16"/>
  <c r="J48" i="16"/>
  <c r="J46" i="16"/>
  <c r="R51" i="25" l="1"/>
  <c r="O66" i="16"/>
  <c r="O94" i="16"/>
  <c r="O52" i="16"/>
  <c r="O80" i="16"/>
  <c r="O59" i="16"/>
  <c r="O87" i="16"/>
  <c r="O73" i="16"/>
  <c r="O101" i="16"/>
  <c r="G2" i="9"/>
  <c r="R49" i="25"/>
  <c r="B3" i="6"/>
  <c r="R46" i="25"/>
  <c r="R50" i="25"/>
  <c r="R47" i="25"/>
  <c r="R48" i="25"/>
  <c r="K76" i="16"/>
  <c r="M76" i="16" s="1"/>
  <c r="K69" i="16"/>
  <c r="N69" i="16" s="1"/>
  <c r="K90" i="16"/>
  <c r="M90" i="16" s="1"/>
  <c r="K48" i="16"/>
  <c r="N48" i="16" s="1"/>
  <c r="K53" i="16"/>
  <c r="N53" i="16" s="1"/>
  <c r="K67" i="16"/>
  <c r="N67" i="16" s="1"/>
  <c r="K74" i="16"/>
  <c r="N74" i="16" s="1"/>
  <c r="K95" i="16"/>
  <c r="M95" i="16" s="1"/>
  <c r="K47" i="16"/>
  <c r="N47" i="16" s="1"/>
  <c r="K55" i="16"/>
  <c r="N55" i="16" s="1"/>
  <c r="K85" i="16"/>
  <c r="M85" i="16" s="1"/>
  <c r="K104" i="16"/>
  <c r="M104" i="16" s="1"/>
  <c r="L15" i="16"/>
  <c r="K60" i="16"/>
  <c r="M60" i="16" s="1"/>
  <c r="K89" i="16"/>
  <c r="M89" i="16" s="1"/>
  <c r="K102" i="16"/>
  <c r="N102" i="16" s="1"/>
  <c r="K49" i="16"/>
  <c r="N49" i="16" s="1"/>
  <c r="K56" i="16"/>
  <c r="M56" i="16" s="1"/>
  <c r="K65" i="16"/>
  <c r="N65" i="16" s="1"/>
  <c r="K63" i="16"/>
  <c r="N63" i="16" s="1"/>
  <c r="K72" i="16"/>
  <c r="M72" i="16" s="1"/>
  <c r="K79" i="16"/>
  <c r="M79" i="16" s="1"/>
  <c r="K83" i="16"/>
  <c r="M83" i="16" s="1"/>
  <c r="K81" i="16"/>
  <c r="M81" i="16" s="1"/>
  <c r="K92" i="16"/>
  <c r="N92" i="16" s="1"/>
  <c r="K97" i="16"/>
  <c r="N97" i="16" s="1"/>
  <c r="K100" i="16"/>
  <c r="N100" i="16" s="1"/>
  <c r="K107" i="16"/>
  <c r="N107" i="16" s="1"/>
  <c r="C3" i="21"/>
  <c r="F3" i="21" s="1"/>
  <c r="K15" i="16"/>
  <c r="K50" i="16"/>
  <c r="N50" i="16" s="1"/>
  <c r="K58" i="16"/>
  <c r="M58" i="16" s="1"/>
  <c r="K61" i="16"/>
  <c r="N61" i="16" s="1"/>
  <c r="K62" i="16"/>
  <c r="N62" i="16" s="1"/>
  <c r="K68" i="16"/>
  <c r="M68" i="16" s="1"/>
  <c r="K75" i="16"/>
  <c r="M75" i="16" s="1"/>
  <c r="K86" i="16"/>
  <c r="M86" i="16" s="1"/>
  <c r="K84" i="16"/>
  <c r="M84" i="16" s="1"/>
  <c r="K88" i="16"/>
  <c r="N88" i="16" s="1"/>
  <c r="K96" i="16"/>
  <c r="M96" i="16" s="1"/>
  <c r="K98" i="16"/>
  <c r="M98" i="16" s="1"/>
  <c r="K103" i="16"/>
  <c r="N103" i="16" s="1"/>
  <c r="C3" i="25"/>
  <c r="F3" i="25" s="1"/>
  <c r="A25" i="16"/>
  <c r="K46" i="16"/>
  <c r="N46" i="16" s="1"/>
  <c r="K51" i="16"/>
  <c r="N51" i="16" s="1"/>
  <c r="K57" i="16"/>
  <c r="N57" i="16" s="1"/>
  <c r="K54" i="16"/>
  <c r="M54" i="16" s="1"/>
  <c r="K64" i="16"/>
  <c r="M64" i="16" s="1"/>
  <c r="K70" i="16"/>
  <c r="M70" i="16" s="1"/>
  <c r="K71" i="16"/>
  <c r="M71" i="16" s="1"/>
  <c r="K77" i="16"/>
  <c r="M77" i="16" s="1"/>
  <c r="K78" i="16"/>
  <c r="N78" i="16" s="1"/>
  <c r="K82" i="16"/>
  <c r="N82" i="16" s="1"/>
  <c r="K93" i="16"/>
  <c r="N93" i="16" s="1"/>
  <c r="K91" i="16"/>
  <c r="N91" i="16" s="1"/>
  <c r="K99" i="16"/>
  <c r="M99" i="16" s="1"/>
  <c r="K105" i="16"/>
  <c r="N105" i="16" s="1"/>
  <c r="K106" i="16"/>
  <c r="M106" i="16" s="1"/>
  <c r="B27" i="16"/>
  <c r="C27" i="16" s="1"/>
  <c r="D27" i="16" s="1"/>
  <c r="E27" i="16" s="1"/>
  <c r="F27" i="16" s="1"/>
  <c r="G27" i="16" s="1"/>
  <c r="S85" i="16"/>
  <c r="R85" i="16"/>
  <c r="S95" i="16"/>
  <c r="R95" i="16"/>
  <c r="S103" i="16"/>
  <c r="R103" i="16"/>
  <c r="S88" i="16"/>
  <c r="R88" i="16"/>
  <c r="R106" i="16"/>
  <c r="S106" i="16"/>
  <c r="R83" i="16"/>
  <c r="S83" i="16"/>
  <c r="R91" i="16"/>
  <c r="S91" i="16"/>
  <c r="S93" i="16"/>
  <c r="R93" i="16"/>
  <c r="S104" i="16"/>
  <c r="R104" i="16"/>
  <c r="R102" i="16"/>
  <c r="S102" i="16"/>
  <c r="R86" i="16"/>
  <c r="S86" i="16"/>
  <c r="R105" i="16"/>
  <c r="S105" i="16"/>
  <c r="R98" i="16"/>
  <c r="S98" i="16"/>
  <c r="S89" i="16"/>
  <c r="R89" i="16"/>
  <c r="R90" i="16"/>
  <c r="S90" i="16"/>
  <c r="J3" i="21"/>
  <c r="K3" i="21"/>
  <c r="S84" i="16"/>
  <c r="R84" i="16"/>
  <c r="S100" i="16"/>
  <c r="R100" i="16"/>
  <c r="S81" i="16"/>
  <c r="R81" i="16"/>
  <c r="R96" i="16"/>
  <c r="S96" i="16"/>
  <c r="R82" i="16"/>
  <c r="S82" i="16"/>
  <c r="S99" i="16"/>
  <c r="R99" i="16"/>
  <c r="S107" i="16"/>
  <c r="R107" i="16"/>
  <c r="S92" i="16"/>
  <c r="R92" i="16"/>
  <c r="R97" i="16"/>
  <c r="S97" i="16"/>
  <c r="J3" i="25"/>
  <c r="K3" i="25"/>
  <c r="S75" i="16"/>
  <c r="R75" i="16"/>
  <c r="R77" i="16"/>
  <c r="S77" i="16"/>
  <c r="R76" i="16"/>
  <c r="S76" i="16"/>
  <c r="S78" i="16"/>
  <c r="R78" i="16"/>
  <c r="S79" i="16"/>
  <c r="R79" i="16"/>
  <c r="S74" i="16"/>
  <c r="R74" i="16"/>
  <c r="R71" i="16"/>
  <c r="S71" i="16"/>
  <c r="S69" i="16"/>
  <c r="R69" i="16"/>
  <c r="R67" i="16"/>
  <c r="S67" i="16"/>
  <c r="S68" i="16"/>
  <c r="R68" i="16"/>
  <c r="S72" i="16"/>
  <c r="R72" i="16"/>
  <c r="R70" i="16"/>
  <c r="S70" i="16"/>
  <c r="S64" i="16"/>
  <c r="R64" i="16"/>
  <c r="S54" i="16"/>
  <c r="R54" i="16"/>
  <c r="S61" i="16"/>
  <c r="R61" i="16"/>
  <c r="S60" i="16"/>
  <c r="R60" i="16"/>
  <c r="S58" i="16"/>
  <c r="R58" i="16"/>
  <c r="R57" i="16"/>
  <c r="S57" i="16"/>
  <c r="R56" i="16"/>
  <c r="S56" i="16"/>
  <c r="S55" i="16"/>
  <c r="R55" i="16"/>
  <c r="S65" i="16"/>
  <c r="R65" i="16"/>
  <c r="R53" i="16"/>
  <c r="S53" i="16"/>
  <c r="R63" i="16"/>
  <c r="S63" i="16"/>
  <c r="S62" i="16"/>
  <c r="R62" i="16"/>
  <c r="S51" i="16"/>
  <c r="R51" i="16"/>
  <c r="L37" i="21" l="1"/>
  <c r="M37" i="21" s="1"/>
  <c r="N37" i="21" s="1"/>
  <c r="O37" i="21" s="1"/>
  <c r="L43" i="25"/>
  <c r="M43" i="25" s="1"/>
  <c r="N43" i="25" s="1"/>
  <c r="O43" i="25" s="1"/>
  <c r="L43" i="21"/>
  <c r="L31" i="21"/>
  <c r="M31" i="21" s="1"/>
  <c r="N31" i="21" s="1"/>
  <c r="O31" i="21" s="1"/>
  <c r="S51" i="25"/>
  <c r="T51" i="25" s="1"/>
  <c r="U51" i="25" s="1"/>
  <c r="V51" i="25" s="1"/>
  <c r="W51" i="25" s="1"/>
  <c r="L25" i="21"/>
  <c r="M25" i="21" s="1"/>
  <c r="N25" i="21" s="1"/>
  <c r="O25" i="21" s="1"/>
  <c r="T63" i="16"/>
  <c r="T56" i="16"/>
  <c r="T67" i="16"/>
  <c r="T71" i="16"/>
  <c r="T76" i="16"/>
  <c r="T97" i="16"/>
  <c r="T82" i="16"/>
  <c r="T90" i="16"/>
  <c r="T98" i="16"/>
  <c r="T86" i="16"/>
  <c r="T91" i="16"/>
  <c r="T106" i="16"/>
  <c r="T52" i="16"/>
  <c r="T80" i="16"/>
  <c r="T94" i="16"/>
  <c r="T73" i="16"/>
  <c r="T59" i="16"/>
  <c r="T87" i="16"/>
  <c r="T66" i="16"/>
  <c r="T101" i="16"/>
  <c r="T62" i="16"/>
  <c r="T55" i="16"/>
  <c r="T60" i="16"/>
  <c r="T54" i="16"/>
  <c r="T68" i="16"/>
  <c r="T69" i="16"/>
  <c r="T74" i="16"/>
  <c r="T78" i="16"/>
  <c r="T92" i="16"/>
  <c r="T99" i="16"/>
  <c r="T100" i="16"/>
  <c r="T89" i="16"/>
  <c r="T93" i="16"/>
  <c r="T88" i="16"/>
  <c r="T95" i="16"/>
  <c r="T53" i="16"/>
  <c r="T57" i="16"/>
  <c r="T70" i="16"/>
  <c r="T77" i="16"/>
  <c r="T96" i="16"/>
  <c r="T105" i="16"/>
  <c r="T102" i="16"/>
  <c r="T83" i="16"/>
  <c r="T51" i="16"/>
  <c r="T65" i="16"/>
  <c r="T58" i="16"/>
  <c r="T61" i="16"/>
  <c r="T64" i="16"/>
  <c r="T72" i="16"/>
  <c r="T79" i="16"/>
  <c r="T75" i="16"/>
  <c r="T107" i="16"/>
  <c r="T81" i="16"/>
  <c r="T84" i="16"/>
  <c r="T104" i="16"/>
  <c r="T103" i="16"/>
  <c r="T85" i="16"/>
  <c r="S46" i="25"/>
  <c r="T46" i="25" s="1"/>
  <c r="U46" i="25" s="1"/>
  <c r="V46" i="25" s="1"/>
  <c r="W46" i="25" s="1"/>
  <c r="L22" i="25"/>
  <c r="M22" i="25" s="1"/>
  <c r="N22" i="25" s="1"/>
  <c r="O22" i="25" s="1"/>
  <c r="AK58" i="16"/>
  <c r="Y100" i="16"/>
  <c r="Y49" i="16"/>
  <c r="AK61" i="16"/>
  <c r="Y107" i="16"/>
  <c r="Y61" i="16"/>
  <c r="Y75" i="16"/>
  <c r="L21" i="25"/>
  <c r="M21" i="25" s="1"/>
  <c r="N21" i="25" s="1"/>
  <c r="O21" i="25" s="1"/>
  <c r="Y67" i="16"/>
  <c r="Y81" i="16"/>
  <c r="L41" i="21"/>
  <c r="E32" i="24" s="1"/>
  <c r="F35" i="45" s="1"/>
  <c r="L17" i="21"/>
  <c r="E12" i="24" s="1"/>
  <c r="F11" i="45" s="1"/>
  <c r="L11" i="21"/>
  <c r="L35" i="21"/>
  <c r="E27" i="57" s="1"/>
  <c r="L42" i="25"/>
  <c r="M42" i="25" s="1"/>
  <c r="N42" i="25" s="1"/>
  <c r="O42" i="25" s="1"/>
  <c r="Y54" i="16"/>
  <c r="Y65" i="16"/>
  <c r="AK48" i="16"/>
  <c r="Y76" i="16"/>
  <c r="Y98" i="16"/>
  <c r="L16" i="25"/>
  <c r="M16" i="25" s="1"/>
  <c r="N16" i="25" s="1"/>
  <c r="O16" i="25" s="1"/>
  <c r="L38" i="21"/>
  <c r="E29" i="24" s="1"/>
  <c r="F28" i="45" s="1"/>
  <c r="L12" i="25"/>
  <c r="F8" i="59" s="1"/>
  <c r="L27" i="21"/>
  <c r="E20" i="24" s="1"/>
  <c r="F19" i="45" s="1"/>
  <c r="Y47" i="16"/>
  <c r="AK55" i="16"/>
  <c r="AK64" i="16"/>
  <c r="Y92" i="16"/>
  <c r="L29" i="21"/>
  <c r="E22" i="24" s="1"/>
  <c r="F21" i="45" s="1"/>
  <c r="L16" i="21"/>
  <c r="E11" i="24" s="1"/>
  <c r="F10" i="45" s="1"/>
  <c r="L14" i="21"/>
  <c r="M14" i="21" s="1"/>
  <c r="N14" i="21" s="1"/>
  <c r="O14" i="21" s="1"/>
  <c r="L32" i="25"/>
  <c r="M32" i="25" s="1"/>
  <c r="N32" i="25" s="1"/>
  <c r="O32" i="25" s="1"/>
  <c r="Y57" i="16"/>
  <c r="Y63" i="16"/>
  <c r="Y68" i="16"/>
  <c r="AK46" i="16"/>
  <c r="AK53" i="16"/>
  <c r="Y74" i="16"/>
  <c r="Y78" i="16"/>
  <c r="Y93" i="16"/>
  <c r="Y105" i="16"/>
  <c r="L11" i="25"/>
  <c r="L35" i="25"/>
  <c r="M35" i="25" s="1"/>
  <c r="N35" i="25" s="1"/>
  <c r="O35" i="25" s="1"/>
  <c r="L36" i="21"/>
  <c r="M36" i="21" s="1"/>
  <c r="N36" i="21" s="1"/>
  <c r="O36" i="21" s="1"/>
  <c r="L23" i="25"/>
  <c r="M23" i="25" s="1"/>
  <c r="N23" i="25" s="1"/>
  <c r="O23" i="25" s="1"/>
  <c r="L22" i="21"/>
  <c r="E16" i="24" s="1"/>
  <c r="F15" i="45" s="1"/>
  <c r="L17" i="25"/>
  <c r="M17" i="25" s="1"/>
  <c r="N17" i="25" s="1"/>
  <c r="O17" i="25" s="1"/>
  <c r="L36" i="25"/>
  <c r="M36" i="25" s="1"/>
  <c r="N36" i="25" s="1"/>
  <c r="O36" i="25" s="1"/>
  <c r="L39" i="21"/>
  <c r="E30" i="24" s="1"/>
  <c r="F33" i="45" s="1"/>
  <c r="Y50" i="16"/>
  <c r="Y60" i="16"/>
  <c r="AK50" i="16"/>
  <c r="AK62" i="16"/>
  <c r="AK47" i="16"/>
  <c r="Y82" i="16"/>
  <c r="Y90" i="16"/>
  <c r="Y99" i="16"/>
  <c r="Y106" i="16"/>
  <c r="L9" i="25"/>
  <c r="L18" i="25"/>
  <c r="M18" i="25" s="1"/>
  <c r="N18" i="25" s="1"/>
  <c r="O18" i="25" s="1"/>
  <c r="L30" i="21"/>
  <c r="E23" i="24" s="1"/>
  <c r="F22" i="45" s="1"/>
  <c r="L8" i="21"/>
  <c r="M8" i="21" s="1"/>
  <c r="N8" i="21" s="1"/>
  <c r="O8" i="21" s="1"/>
  <c r="L8" i="25"/>
  <c r="L27" i="25"/>
  <c r="M27" i="25" s="1"/>
  <c r="N27" i="25" s="1"/>
  <c r="O27" i="25" s="1"/>
  <c r="L18" i="21"/>
  <c r="E13" i="24" s="1"/>
  <c r="F12" i="45" s="1"/>
  <c r="S47" i="25"/>
  <c r="T47" i="25" s="1"/>
  <c r="U47" i="25" s="1"/>
  <c r="V47" i="25" s="1"/>
  <c r="W47" i="25" s="1"/>
  <c r="Y48" i="16"/>
  <c r="Y56" i="16"/>
  <c r="Y51" i="16"/>
  <c r="Y64" i="16"/>
  <c r="Y69" i="16"/>
  <c r="Y46" i="16"/>
  <c r="AK63" i="16"/>
  <c r="AK54" i="16"/>
  <c r="AK57" i="16"/>
  <c r="AK51" i="16"/>
  <c r="Y77" i="16"/>
  <c r="Y86" i="16"/>
  <c r="Y83" i="16"/>
  <c r="Y84" i="16"/>
  <c r="Y88" i="16"/>
  <c r="Y96" i="16"/>
  <c r="Y97" i="16"/>
  <c r="Y103" i="16"/>
  <c r="L32" i="21"/>
  <c r="M32" i="21" s="1"/>
  <c r="N32" i="21" s="1"/>
  <c r="O32" i="21" s="1"/>
  <c r="L26" i="21"/>
  <c r="M26" i="21" s="1"/>
  <c r="N26" i="21" s="1"/>
  <c r="O26" i="21" s="1"/>
  <c r="L26" i="25"/>
  <c r="M26" i="25" s="1"/>
  <c r="N26" i="25" s="1"/>
  <c r="O26" i="25" s="1"/>
  <c r="L24" i="21"/>
  <c r="E18" i="24" s="1"/>
  <c r="F17" i="45" s="1"/>
  <c r="L23" i="21"/>
  <c r="E17" i="57" s="1"/>
  <c r="L20" i="21"/>
  <c r="L14" i="25"/>
  <c r="M14" i="25" s="1"/>
  <c r="N14" i="25" s="1"/>
  <c r="O14" i="25" s="1"/>
  <c r="L40" i="25"/>
  <c r="M40" i="25" s="1"/>
  <c r="N40" i="25" s="1"/>
  <c r="O40" i="25" s="1"/>
  <c r="L15" i="21"/>
  <c r="M15" i="21" s="1"/>
  <c r="N15" i="21" s="1"/>
  <c r="O15" i="21" s="1"/>
  <c r="L40" i="21"/>
  <c r="E31" i="24" s="1"/>
  <c r="F34" i="45" s="1"/>
  <c r="L15" i="25"/>
  <c r="M15" i="25" s="1"/>
  <c r="N15" i="25" s="1"/>
  <c r="O15" i="25" s="1"/>
  <c r="L24" i="25"/>
  <c r="M24" i="25" s="1"/>
  <c r="N24" i="25" s="1"/>
  <c r="O24" i="25" s="1"/>
  <c r="L34" i="25"/>
  <c r="M34" i="25" s="1"/>
  <c r="N34" i="25" s="1"/>
  <c r="O34" i="25" s="1"/>
  <c r="L12" i="21"/>
  <c r="L34" i="21"/>
  <c r="E26" i="57" s="1"/>
  <c r="S50" i="25"/>
  <c r="T50" i="25" s="1"/>
  <c r="U50" i="25" s="1"/>
  <c r="V50" i="25" s="1"/>
  <c r="W50" i="25" s="1"/>
  <c r="Y58" i="16"/>
  <c r="Y53" i="16"/>
  <c r="Y55" i="16"/>
  <c r="Y62" i="16"/>
  <c r="Y70" i="16"/>
  <c r="Y71" i="16"/>
  <c r="C3" i="6"/>
  <c r="AK49" i="16"/>
  <c r="AK60" i="16"/>
  <c r="AK65" i="16"/>
  <c r="AK56" i="16"/>
  <c r="Y79" i="16"/>
  <c r="Y72" i="16"/>
  <c r="Y85" i="16"/>
  <c r="Y89" i="16"/>
  <c r="Y91" i="16"/>
  <c r="Y95" i="16"/>
  <c r="Y104" i="16"/>
  <c r="Y102" i="16"/>
  <c r="L30" i="25"/>
  <c r="M30" i="25" s="1"/>
  <c r="N30" i="25" s="1"/>
  <c r="O30" i="25" s="1"/>
  <c r="L38" i="25"/>
  <c r="M38" i="25" s="1"/>
  <c r="N38" i="25" s="1"/>
  <c r="O38" i="25" s="1"/>
  <c r="L10" i="21"/>
  <c r="E6" i="24" s="1"/>
  <c r="F5" i="45" s="1"/>
  <c r="L28" i="25"/>
  <c r="M28" i="25" s="1"/>
  <c r="N28" i="25" s="1"/>
  <c r="O28" i="25" s="1"/>
  <c r="L42" i="21"/>
  <c r="M42" i="21" s="1"/>
  <c r="N42" i="21" s="1"/>
  <c r="O42" i="21" s="1"/>
  <c r="L33" i="21"/>
  <c r="E25" i="57" s="1"/>
  <c r="L33" i="25"/>
  <c r="M33" i="25" s="1"/>
  <c r="N33" i="25" s="1"/>
  <c r="O33" i="25" s="1"/>
  <c r="L9" i="21"/>
  <c r="M9" i="21" s="1"/>
  <c r="N9" i="21" s="1"/>
  <c r="O9" i="21" s="1"/>
  <c r="L28" i="21"/>
  <c r="E21" i="24" s="1"/>
  <c r="F20" i="45" s="1"/>
  <c r="L10" i="25"/>
  <c r="L20" i="25"/>
  <c r="M20" i="25" s="1"/>
  <c r="N20" i="25" s="1"/>
  <c r="O20" i="25" s="1"/>
  <c r="L29" i="25"/>
  <c r="M29" i="25" s="1"/>
  <c r="N29" i="25" s="1"/>
  <c r="O29" i="25" s="1"/>
  <c r="L39" i="25"/>
  <c r="M39" i="25" s="1"/>
  <c r="N39" i="25" s="1"/>
  <c r="O39" i="25" s="1"/>
  <c r="L21" i="21"/>
  <c r="L41" i="25"/>
  <c r="M41" i="25" s="1"/>
  <c r="N41" i="25" s="1"/>
  <c r="O41" i="25" s="1"/>
  <c r="S48" i="25"/>
  <c r="T48" i="25" s="1"/>
  <c r="U48" i="25" s="1"/>
  <c r="V48" i="25" s="1"/>
  <c r="W48" i="25" s="1"/>
  <c r="S49" i="25"/>
  <c r="T49" i="25" s="1"/>
  <c r="U49" i="25" s="1"/>
  <c r="V49" i="25" s="1"/>
  <c r="W49" i="25" s="1"/>
  <c r="A5" i="42"/>
  <c r="A15" i="42"/>
  <c r="K20" i="16" s="1"/>
  <c r="B5" i="42"/>
  <c r="C15" i="42"/>
  <c r="L20" i="16" s="1"/>
  <c r="M97" i="16"/>
  <c r="N106" i="16"/>
  <c r="M69" i="16"/>
  <c r="N76" i="16"/>
  <c r="M88" i="16"/>
  <c r="N56" i="16"/>
  <c r="M55" i="16"/>
  <c r="N72" i="16"/>
  <c r="N90" i="16"/>
  <c r="M53" i="16"/>
  <c r="M57" i="16"/>
  <c r="M67" i="16"/>
  <c r="M92" i="16"/>
  <c r="N104" i="16"/>
  <c r="N54" i="16"/>
  <c r="N71" i="16"/>
  <c r="N83" i="16"/>
  <c r="E3" i="25"/>
  <c r="N96" i="16"/>
  <c r="N60" i="16"/>
  <c r="N75" i="16"/>
  <c r="M74" i="16"/>
  <c r="N85" i="16"/>
  <c r="M91" i="16"/>
  <c r="N58" i="16"/>
  <c r="N68" i="16"/>
  <c r="N79" i="16"/>
  <c r="M93" i="16"/>
  <c r="E3" i="21"/>
  <c r="N77" i="16"/>
  <c r="N89" i="16"/>
  <c r="M102" i="16"/>
  <c r="N95" i="16"/>
  <c r="M65" i="16"/>
  <c r="N86" i="16"/>
  <c r="N98" i="16"/>
  <c r="N70" i="16"/>
  <c r="M51" i="16"/>
  <c r="M61" i="16"/>
  <c r="M100" i="16"/>
  <c r="N99" i="16"/>
  <c r="M62" i="16"/>
  <c r="M105" i="16"/>
  <c r="M63" i="16"/>
  <c r="N64" i="16"/>
  <c r="M103" i="16"/>
  <c r="M107" i="16"/>
  <c r="M78" i="16"/>
  <c r="N81" i="16"/>
  <c r="M82" i="16"/>
  <c r="N84" i="16"/>
  <c r="E26" i="20" l="1"/>
  <c r="F60" i="45" s="1"/>
  <c r="L60" i="45" s="1"/>
  <c r="AL60" i="16"/>
  <c r="AM60" i="16" s="1"/>
  <c r="AN60" i="16" s="1"/>
  <c r="E24" i="58"/>
  <c r="E14" i="20"/>
  <c r="F48" i="45" s="1"/>
  <c r="L48" i="45" s="1"/>
  <c r="E43" i="20"/>
  <c r="F77" i="45" s="1"/>
  <c r="L77" i="45" s="1"/>
  <c r="E60" i="20"/>
  <c r="F94" i="45" s="1"/>
  <c r="L94" i="45" s="1"/>
  <c r="E5" i="58"/>
  <c r="Z74" i="16"/>
  <c r="AA74" i="16" s="1"/>
  <c r="AB74" i="16" s="1"/>
  <c r="E18" i="20"/>
  <c r="F52" i="45" s="1"/>
  <c r="M52" i="45" s="1"/>
  <c r="K52" i="45" s="1"/>
  <c r="E39" i="58"/>
  <c r="E54" i="20"/>
  <c r="F88" i="45" s="1"/>
  <c r="L88" i="45" s="1"/>
  <c r="E36" i="20"/>
  <c r="F70" i="45" s="1"/>
  <c r="L70" i="45" s="1"/>
  <c r="E57" i="20"/>
  <c r="F91" i="45" s="1"/>
  <c r="L91" i="45" s="1"/>
  <c r="E19" i="20"/>
  <c r="F53" i="45" s="1"/>
  <c r="L53" i="45" s="1"/>
  <c r="Z106" i="16"/>
  <c r="AA106" i="16" s="1"/>
  <c r="AB106" i="16" s="1"/>
  <c r="E52" i="58"/>
  <c r="E7" i="58"/>
  <c r="E49" i="20"/>
  <c r="F83" i="45" s="1"/>
  <c r="L83" i="45" s="1"/>
  <c r="AL53" i="16"/>
  <c r="AM53" i="16" s="1"/>
  <c r="AN53" i="16" s="1"/>
  <c r="E13" i="20"/>
  <c r="F47" i="45" s="1"/>
  <c r="L47" i="45" s="1"/>
  <c r="E65" i="58"/>
  <c r="E20" i="58"/>
  <c r="AL58" i="16"/>
  <c r="AM58" i="16" s="1"/>
  <c r="AN58" i="16" s="1"/>
  <c r="Z102" i="16"/>
  <c r="AA102" i="16" s="1"/>
  <c r="AB102" i="16" s="1"/>
  <c r="E37" i="58"/>
  <c r="E59" i="20"/>
  <c r="F93" i="45" s="1"/>
  <c r="L93" i="45" s="1"/>
  <c r="E11" i="20"/>
  <c r="F45" i="45" s="1"/>
  <c r="L45" i="45" s="1"/>
  <c r="Z88" i="16"/>
  <c r="AA88" i="16" s="1"/>
  <c r="AB88" i="16" s="1"/>
  <c r="E29" i="20"/>
  <c r="F63" i="45" s="1"/>
  <c r="L63" i="45" s="1"/>
  <c r="E64" i="58"/>
  <c r="E8" i="20"/>
  <c r="F42" i="45" s="1"/>
  <c r="M42" i="45" s="1"/>
  <c r="K42" i="45" s="1"/>
  <c r="E45" i="20"/>
  <c r="F79" i="45" s="1"/>
  <c r="L79" i="45" s="1"/>
  <c r="E63" i="20"/>
  <c r="F97" i="45" s="1"/>
  <c r="L97" i="45" s="1"/>
  <c r="E41" i="58"/>
  <c r="E44" i="58"/>
  <c r="E10" i="58"/>
  <c r="Z81" i="16"/>
  <c r="AA81" i="16" s="1"/>
  <c r="AB81" i="16" s="1"/>
  <c r="E27" i="58"/>
  <c r="E62" i="20"/>
  <c r="F96" i="45" s="1"/>
  <c r="M96" i="45" s="1"/>
  <c r="K96" i="45" s="1"/>
  <c r="Z95" i="16"/>
  <c r="AA95" i="16" s="1"/>
  <c r="AB95" i="16" s="1"/>
  <c r="E33" i="58"/>
  <c r="E23" i="20"/>
  <c r="F57" i="45" s="1"/>
  <c r="L57" i="45" s="1"/>
  <c r="E32" i="58"/>
  <c r="E15" i="20"/>
  <c r="F49" i="45" s="1"/>
  <c r="L49" i="45" s="1"/>
  <c r="E40" i="20"/>
  <c r="F74" i="45" s="1"/>
  <c r="M74" i="45" s="1"/>
  <c r="K74" i="45" s="1"/>
  <c r="E53" i="58"/>
  <c r="E46" i="20"/>
  <c r="F80" i="45" s="1"/>
  <c r="L80" i="45" s="1"/>
  <c r="E31" i="58"/>
  <c r="E17" i="58"/>
  <c r="Z96" i="16"/>
  <c r="AA96" i="16" s="1"/>
  <c r="AB96" i="16" s="1"/>
  <c r="E51" i="20"/>
  <c r="F85" i="45" s="1"/>
  <c r="L85" i="45" s="1"/>
  <c r="E48" i="58"/>
  <c r="E35" i="58"/>
  <c r="E66" i="58"/>
  <c r="E25" i="58"/>
  <c r="E9" i="20"/>
  <c r="F43" i="45" s="1"/>
  <c r="L43" i="45" s="1"/>
  <c r="E47" i="20"/>
  <c r="F81" i="45" s="1"/>
  <c r="M81" i="45" s="1"/>
  <c r="K81" i="45" s="1"/>
  <c r="E34" i="20"/>
  <c r="F68" i="45" s="1"/>
  <c r="L68" i="45" s="1"/>
  <c r="E56" i="20"/>
  <c r="F90" i="45" s="1"/>
  <c r="M90" i="45" s="1"/>
  <c r="K90" i="45" s="1"/>
  <c r="E3" i="20"/>
  <c r="F37" i="45" s="1"/>
  <c r="L37" i="45" s="1"/>
  <c r="E12" i="20"/>
  <c r="F46" i="45" s="1"/>
  <c r="M46" i="45" s="1"/>
  <c r="K46" i="45" s="1"/>
  <c r="E38" i="58"/>
  <c r="E55" i="58"/>
  <c r="E30" i="58"/>
  <c r="E22" i="58"/>
  <c r="E4" i="58"/>
  <c r="E28" i="20"/>
  <c r="F62" i="45" s="1"/>
  <c r="M62" i="45" s="1"/>
  <c r="K62" i="45" s="1"/>
  <c r="Z67" i="16"/>
  <c r="AA67" i="16" s="1"/>
  <c r="AB67" i="16" s="1"/>
  <c r="E16" i="20"/>
  <c r="F50" i="45" s="1"/>
  <c r="L50" i="45" s="1"/>
  <c r="E6" i="58"/>
  <c r="M20" i="21"/>
  <c r="N20" i="21" s="1"/>
  <c r="O20" i="21" s="1"/>
  <c r="E15" i="57"/>
  <c r="M21" i="21"/>
  <c r="N21" i="21" s="1"/>
  <c r="O21" i="21" s="1"/>
  <c r="E8" i="24"/>
  <c r="F7" i="45" s="1"/>
  <c r="L7" i="45" s="1"/>
  <c r="M12" i="21"/>
  <c r="N12" i="21" s="1"/>
  <c r="O12" i="21" s="1"/>
  <c r="E7" i="24"/>
  <c r="F6" i="45" s="1"/>
  <c r="L6" i="45" s="1"/>
  <c r="M11" i="21"/>
  <c r="N11" i="21" s="1"/>
  <c r="O11" i="21" s="1"/>
  <c r="F4" i="59"/>
  <c r="E72" i="58"/>
  <c r="F9" i="59"/>
  <c r="E72" i="20"/>
  <c r="F15" i="59"/>
  <c r="F5" i="59"/>
  <c r="F27" i="59"/>
  <c r="F7" i="59"/>
  <c r="E34" i="57"/>
  <c r="E34" i="24"/>
  <c r="M43" i="21"/>
  <c r="N43" i="21" s="1"/>
  <c r="O43" i="21" s="1"/>
  <c r="F11" i="59"/>
  <c r="F6" i="59"/>
  <c r="L22" i="45"/>
  <c r="M22" i="45"/>
  <c r="K22" i="45" s="1"/>
  <c r="L19" i="45"/>
  <c r="M19" i="45"/>
  <c r="K19" i="45" s="1"/>
  <c r="L5" i="45"/>
  <c r="M5" i="45"/>
  <c r="K5" i="45" s="1"/>
  <c r="L17" i="45"/>
  <c r="M17" i="45"/>
  <c r="K17" i="45" s="1"/>
  <c r="L21" i="45"/>
  <c r="M21" i="45"/>
  <c r="K21" i="45" s="1"/>
  <c r="L15" i="45"/>
  <c r="M15" i="45"/>
  <c r="K15" i="45" s="1"/>
  <c r="L28" i="45"/>
  <c r="M28" i="45"/>
  <c r="K28" i="45" s="1"/>
  <c r="L11" i="45"/>
  <c r="M11" i="45"/>
  <c r="K11" i="45" s="1"/>
  <c r="L12" i="45"/>
  <c r="M12" i="45"/>
  <c r="K12" i="45" s="1"/>
  <c r="L10" i="45"/>
  <c r="M10" i="45"/>
  <c r="K10" i="45" s="1"/>
  <c r="L20" i="45"/>
  <c r="M20" i="45"/>
  <c r="K20" i="45" s="1"/>
  <c r="L34" i="45"/>
  <c r="M34" i="45"/>
  <c r="K34" i="45" s="1"/>
  <c r="L33" i="45"/>
  <c r="M33" i="45"/>
  <c r="K33" i="45" s="1"/>
  <c r="L35" i="45"/>
  <c r="M35" i="45"/>
  <c r="K35" i="45" s="1"/>
  <c r="E58" i="58"/>
  <c r="AL55" i="16"/>
  <c r="AM55" i="16" s="1"/>
  <c r="AN55" i="16" s="1"/>
  <c r="M34" i="21"/>
  <c r="N34" i="21" s="1"/>
  <c r="O34" i="21" s="1"/>
  <c r="E63" i="58"/>
  <c r="AL64" i="16"/>
  <c r="AM64" i="16" s="1"/>
  <c r="AN64" i="16" s="1"/>
  <c r="E27" i="20"/>
  <c r="F61" i="45" s="1"/>
  <c r="F21" i="26"/>
  <c r="F123" i="45" s="1"/>
  <c r="E29" i="57"/>
  <c r="E53" i="20"/>
  <c r="F87" i="45" s="1"/>
  <c r="E21" i="58"/>
  <c r="Z100" i="16"/>
  <c r="AA100" i="16" s="1"/>
  <c r="AB100" i="16" s="1"/>
  <c r="E18" i="57"/>
  <c r="E46" i="58"/>
  <c r="E15" i="24"/>
  <c r="F14" i="45" s="1"/>
  <c r="M16" i="21"/>
  <c r="N16" i="21" s="1"/>
  <c r="O16" i="21" s="1"/>
  <c r="E56" i="58"/>
  <c r="E20" i="20"/>
  <c r="F54" i="45" s="1"/>
  <c r="Z65" i="16"/>
  <c r="AA65" i="16" s="1"/>
  <c r="AB65" i="16" s="1"/>
  <c r="F12" i="26"/>
  <c r="F114" i="45" s="1"/>
  <c r="E23" i="57"/>
  <c r="E10" i="20"/>
  <c r="F44" i="45" s="1"/>
  <c r="AL65" i="16"/>
  <c r="AM65" i="16" s="1"/>
  <c r="AN65" i="16" s="1"/>
  <c r="E12" i="57"/>
  <c r="E45" i="58"/>
  <c r="E44" i="20"/>
  <c r="F78" i="45" s="1"/>
  <c r="Z61" i="16"/>
  <c r="AA61" i="16" s="1"/>
  <c r="AB61" i="16" s="1"/>
  <c r="Z99" i="16"/>
  <c r="AA99" i="16" s="1"/>
  <c r="AB99" i="16" s="1"/>
  <c r="E27" i="24"/>
  <c r="F26" i="45" s="1"/>
  <c r="E16" i="58"/>
  <c r="M12" i="25"/>
  <c r="N12" i="25" s="1"/>
  <c r="O12" i="25" s="1"/>
  <c r="Z56" i="16"/>
  <c r="AA56" i="16" s="1"/>
  <c r="AB56" i="16" s="1"/>
  <c r="M24" i="21"/>
  <c r="N24" i="21" s="1"/>
  <c r="O24" i="21" s="1"/>
  <c r="F30" i="59"/>
  <c r="E22" i="20"/>
  <c r="F56" i="45" s="1"/>
  <c r="M35" i="21"/>
  <c r="N35" i="21" s="1"/>
  <c r="O35" i="21" s="1"/>
  <c r="Z92" i="16"/>
  <c r="AA92" i="16" s="1"/>
  <c r="AB92" i="16" s="1"/>
  <c r="F33" i="26"/>
  <c r="F141" i="45" s="1"/>
  <c r="F13" i="59"/>
  <c r="E61" i="58"/>
  <c r="M39" i="21"/>
  <c r="N39" i="21" s="1"/>
  <c r="O39" i="21" s="1"/>
  <c r="F23" i="26"/>
  <c r="F125" i="45" s="1"/>
  <c r="F23" i="59"/>
  <c r="E28" i="58"/>
  <c r="E61" i="20"/>
  <c r="F95" i="45" s="1"/>
  <c r="Z78" i="16"/>
  <c r="AA78" i="16" s="1"/>
  <c r="AB78" i="16" s="1"/>
  <c r="M17" i="21"/>
  <c r="N17" i="21" s="1"/>
  <c r="O17" i="21" s="1"/>
  <c r="M30" i="21"/>
  <c r="N30" i="21" s="1"/>
  <c r="O30" i="21" s="1"/>
  <c r="Z84" i="16"/>
  <c r="AA84" i="16" s="1"/>
  <c r="AB84" i="16" s="1"/>
  <c r="F5" i="26"/>
  <c r="F107" i="45" s="1"/>
  <c r="E30" i="20"/>
  <c r="F64" i="45" s="1"/>
  <c r="E3" i="58"/>
  <c r="E58" i="20"/>
  <c r="F92" i="45" s="1"/>
  <c r="E6" i="20"/>
  <c r="F40" i="45" s="1"/>
  <c r="E65" i="20"/>
  <c r="F99" i="45" s="1"/>
  <c r="AL62" i="16"/>
  <c r="AM62" i="16" s="1"/>
  <c r="AN62" i="16" s="1"/>
  <c r="E11" i="57"/>
  <c r="E13" i="57"/>
  <c r="E6" i="57"/>
  <c r="E28" i="24"/>
  <c r="F27" i="45" s="1"/>
  <c r="E41" i="20"/>
  <c r="F75" i="45" s="1"/>
  <c r="E47" i="58"/>
  <c r="E12" i="58"/>
  <c r="E62" i="58"/>
  <c r="E21" i="20"/>
  <c r="F55" i="45" s="1"/>
  <c r="E48" i="20"/>
  <c r="F82" i="45" s="1"/>
  <c r="AL61" i="16"/>
  <c r="AM61" i="16" s="1"/>
  <c r="AN61" i="16" s="1"/>
  <c r="E7" i="57"/>
  <c r="E7" i="20"/>
  <c r="F41" i="45" s="1"/>
  <c r="Z68" i="16"/>
  <c r="AA68" i="16" s="1"/>
  <c r="AB68" i="16" s="1"/>
  <c r="Z75" i="16"/>
  <c r="AA75" i="16" s="1"/>
  <c r="AB75" i="16" s="1"/>
  <c r="M18" i="21"/>
  <c r="N18" i="21" s="1"/>
  <c r="O18" i="21" s="1"/>
  <c r="E9" i="57"/>
  <c r="E4" i="24"/>
  <c r="F3" i="45" s="1"/>
  <c r="E34" i="58"/>
  <c r="E9" i="58"/>
  <c r="E66" i="20"/>
  <c r="F100" i="45" s="1"/>
  <c r="Z63" i="16"/>
  <c r="AA63" i="16" s="1"/>
  <c r="AB63" i="16" s="1"/>
  <c r="F32" i="26"/>
  <c r="F140" i="45" s="1"/>
  <c r="E16" i="57"/>
  <c r="F12" i="59"/>
  <c r="E43" i="58"/>
  <c r="E60" i="58"/>
  <c r="F16" i="59"/>
  <c r="E24" i="20"/>
  <c r="F58" i="45" s="1"/>
  <c r="M41" i="21"/>
  <c r="N41" i="21" s="1"/>
  <c r="O41" i="21" s="1"/>
  <c r="Z107" i="16"/>
  <c r="AA107" i="16" s="1"/>
  <c r="AB107" i="16" s="1"/>
  <c r="Z97" i="16"/>
  <c r="AA97" i="16" s="1"/>
  <c r="AB97" i="16" s="1"/>
  <c r="M22" i="21"/>
  <c r="N22" i="21" s="1"/>
  <c r="O22" i="21" s="1"/>
  <c r="F8" i="26"/>
  <c r="F110" i="45" s="1"/>
  <c r="F38" i="26"/>
  <c r="F17" i="26"/>
  <c r="F119" i="45" s="1"/>
  <c r="F22" i="26"/>
  <c r="F124" i="45" s="1"/>
  <c r="E20" i="57"/>
  <c r="E32" i="57"/>
  <c r="E22" i="57"/>
  <c r="E26" i="24"/>
  <c r="F25" i="45" s="1"/>
  <c r="F37" i="59"/>
  <c r="E18" i="58"/>
  <c r="F28" i="59"/>
  <c r="E51" i="58"/>
  <c r="F31" i="59"/>
  <c r="Z54" i="16"/>
  <c r="AA54" i="16" s="1"/>
  <c r="AB54" i="16" s="1"/>
  <c r="Z90" i="16"/>
  <c r="AA90" i="16" s="1"/>
  <c r="AB90" i="16" s="1"/>
  <c r="F16" i="26"/>
  <c r="F118" i="45" s="1"/>
  <c r="F27" i="26"/>
  <c r="F129" i="45" s="1"/>
  <c r="E25" i="24"/>
  <c r="F24" i="45" s="1"/>
  <c r="E4" i="20"/>
  <c r="F38" i="45" s="1"/>
  <c r="Z69" i="16"/>
  <c r="AA69" i="16" s="1"/>
  <c r="AB69" i="16" s="1"/>
  <c r="Z70" i="16"/>
  <c r="AA70" i="16" s="1"/>
  <c r="AB70" i="16" s="1"/>
  <c r="Z76" i="16"/>
  <c r="AA76" i="16" s="1"/>
  <c r="AB76" i="16" s="1"/>
  <c r="M27" i="21"/>
  <c r="N27" i="21" s="1"/>
  <c r="O27" i="21" s="1"/>
  <c r="Z98" i="16"/>
  <c r="AA98" i="16" s="1"/>
  <c r="AB98" i="16" s="1"/>
  <c r="M10" i="25"/>
  <c r="N10" i="25" s="1"/>
  <c r="O10" i="25" s="1"/>
  <c r="Z83" i="16"/>
  <c r="AA83" i="16" s="1"/>
  <c r="AB83" i="16" s="1"/>
  <c r="Z58" i="16"/>
  <c r="AA58" i="16" s="1"/>
  <c r="AB58" i="16" s="1"/>
  <c r="AL57" i="16"/>
  <c r="AM57" i="16" s="1"/>
  <c r="AN57" i="16" s="1"/>
  <c r="F13" i="26"/>
  <c r="F115" i="45" s="1"/>
  <c r="E67" i="20"/>
  <c r="F101" i="45" s="1"/>
  <c r="F37" i="26"/>
  <c r="F29" i="59"/>
  <c r="F17" i="59"/>
  <c r="E38" i="20"/>
  <c r="F72" i="45" s="1"/>
  <c r="E33" i="20"/>
  <c r="F67" i="45" s="1"/>
  <c r="F38" i="59"/>
  <c r="E40" i="58"/>
  <c r="Z104" i="16"/>
  <c r="AA104" i="16" s="1"/>
  <c r="AB104" i="16" s="1"/>
  <c r="Z53" i="16"/>
  <c r="AA53" i="16" s="1"/>
  <c r="AB53" i="16" s="1"/>
  <c r="Z103" i="16"/>
  <c r="AA103" i="16" s="1"/>
  <c r="AB103" i="16" s="1"/>
  <c r="E71" i="20"/>
  <c r="F105" i="45" s="1"/>
  <c r="F30" i="26"/>
  <c r="F138" i="45" s="1"/>
  <c r="F14" i="59"/>
  <c r="F35" i="59"/>
  <c r="E49" i="58"/>
  <c r="F33" i="59"/>
  <c r="F18" i="59"/>
  <c r="E25" i="20"/>
  <c r="F59" i="45" s="1"/>
  <c r="Z71" i="16"/>
  <c r="AA71" i="16" s="1"/>
  <c r="AB71" i="16" s="1"/>
  <c r="F28" i="26"/>
  <c r="F136" i="45" s="1"/>
  <c r="F18" i="26"/>
  <c r="F120" i="45" s="1"/>
  <c r="F14" i="26"/>
  <c r="F116" i="45" s="1"/>
  <c r="E33" i="57"/>
  <c r="F19" i="59"/>
  <c r="E35" i="20"/>
  <c r="F69" i="45" s="1"/>
  <c r="AL63" i="16"/>
  <c r="AM63" i="16" s="1"/>
  <c r="AN63" i="16" s="1"/>
  <c r="E17" i="24"/>
  <c r="F16" i="45" s="1"/>
  <c r="Z72" i="16"/>
  <c r="AA72" i="16" s="1"/>
  <c r="AB72" i="16" s="1"/>
  <c r="M38" i="21"/>
  <c r="N38" i="21" s="1"/>
  <c r="O38" i="21" s="1"/>
  <c r="M29" i="21"/>
  <c r="N29" i="21" s="1"/>
  <c r="O29" i="21" s="1"/>
  <c r="M33" i="21"/>
  <c r="N33" i="21" s="1"/>
  <c r="O33" i="21" s="1"/>
  <c r="M23" i="21"/>
  <c r="N23" i="21" s="1"/>
  <c r="O23" i="21" s="1"/>
  <c r="M11" i="25"/>
  <c r="N11" i="25" s="1"/>
  <c r="O11" i="25" s="1"/>
  <c r="F11" i="26"/>
  <c r="F113" i="45" s="1"/>
  <c r="F26" i="26"/>
  <c r="F128" i="45" s="1"/>
  <c r="F7" i="26"/>
  <c r="F109" i="45" s="1"/>
  <c r="E9" i="24"/>
  <c r="F8" i="45" s="1"/>
  <c r="E5" i="57"/>
  <c r="E4" i="57"/>
  <c r="E28" i="57"/>
  <c r="E55" i="20"/>
  <c r="F89" i="45" s="1"/>
  <c r="E23" i="58"/>
  <c r="F26" i="59"/>
  <c r="E26" i="58"/>
  <c r="E14" i="58"/>
  <c r="F31" i="26"/>
  <c r="F139" i="45" s="1"/>
  <c r="F32" i="59"/>
  <c r="E5" i="20"/>
  <c r="F39" i="45" s="1"/>
  <c r="Z79" i="16"/>
  <c r="AA79" i="16" s="1"/>
  <c r="AB79" i="16" s="1"/>
  <c r="Z105" i="16"/>
  <c r="AA105" i="16" s="1"/>
  <c r="AB105" i="16" s="1"/>
  <c r="Z82" i="16"/>
  <c r="AA82" i="16" s="1"/>
  <c r="AB82" i="16" s="1"/>
  <c r="Z57" i="16"/>
  <c r="AA57" i="16" s="1"/>
  <c r="AB57" i="16" s="1"/>
  <c r="E70" i="20"/>
  <c r="F104" i="45" s="1"/>
  <c r="F34" i="26"/>
  <c r="F34" i="59"/>
  <c r="E15" i="58"/>
  <c r="Z60" i="16"/>
  <c r="AA60" i="16" s="1"/>
  <c r="AB60" i="16" s="1"/>
  <c r="Z89" i="16"/>
  <c r="AA89" i="16" s="1"/>
  <c r="AB89" i="16" s="1"/>
  <c r="M8" i="25"/>
  <c r="N8" i="25" s="1"/>
  <c r="O8" i="25" s="1"/>
  <c r="E68" i="20"/>
  <c r="F102" i="45" s="1"/>
  <c r="F9" i="26"/>
  <c r="F111" i="45" s="1"/>
  <c r="F24" i="26"/>
  <c r="F126" i="45" s="1"/>
  <c r="F35" i="26"/>
  <c r="F15" i="26"/>
  <c r="F117" i="45" s="1"/>
  <c r="E10" i="57"/>
  <c r="E24" i="57"/>
  <c r="E5" i="24"/>
  <c r="F4" i="45" s="1"/>
  <c r="E30" i="57"/>
  <c r="E8" i="57"/>
  <c r="E67" i="58"/>
  <c r="E69" i="58"/>
  <c r="E71" i="58"/>
  <c r="F20" i="59"/>
  <c r="F10" i="59"/>
  <c r="E50" i="58"/>
  <c r="E32" i="20"/>
  <c r="F66" i="45" s="1"/>
  <c r="E13" i="58"/>
  <c r="E8" i="58"/>
  <c r="E39" i="20"/>
  <c r="F73" i="45" s="1"/>
  <c r="E31" i="20"/>
  <c r="F65" i="45" s="1"/>
  <c r="E17" i="20"/>
  <c r="F51" i="45" s="1"/>
  <c r="F4" i="26"/>
  <c r="F106" i="45" s="1"/>
  <c r="F25" i="26"/>
  <c r="F127" i="45" s="1"/>
  <c r="E19" i="57"/>
  <c r="E68" i="58"/>
  <c r="E70" i="58"/>
  <c r="Z77" i="16"/>
  <c r="AA77" i="16" s="1"/>
  <c r="AB77" i="16" s="1"/>
  <c r="M9" i="25"/>
  <c r="N9" i="25" s="1"/>
  <c r="O9" i="25" s="1"/>
  <c r="Z93" i="16"/>
  <c r="AA93" i="16" s="1"/>
  <c r="AB93" i="16" s="1"/>
  <c r="Z55" i="16"/>
  <c r="AA55" i="16" s="1"/>
  <c r="AB55" i="16" s="1"/>
  <c r="F19" i="26"/>
  <c r="F121" i="45" s="1"/>
  <c r="F29" i="26"/>
  <c r="F137" i="45" s="1"/>
  <c r="E69" i="20"/>
  <c r="F103" i="45" s="1"/>
  <c r="F20" i="26"/>
  <c r="F122" i="45" s="1"/>
  <c r="F10" i="26"/>
  <c r="F112" i="45" s="1"/>
  <c r="E10" i="24"/>
  <c r="F9" i="45" s="1"/>
  <c r="E24" i="24"/>
  <c r="F23" i="45" s="1"/>
  <c r="E14" i="57"/>
  <c r="F24" i="59"/>
  <c r="F25" i="59"/>
  <c r="E50" i="20"/>
  <c r="F84" i="45" s="1"/>
  <c r="E52" i="20"/>
  <c r="F86" i="45" s="1"/>
  <c r="E42" i="58"/>
  <c r="E29" i="58"/>
  <c r="E64" i="20"/>
  <c r="F98" i="45" s="1"/>
  <c r="E37" i="20"/>
  <c r="F71" i="45" s="1"/>
  <c r="E11" i="58"/>
  <c r="AL56" i="16"/>
  <c r="AM56" i="16" s="1"/>
  <c r="AN56" i="16" s="1"/>
  <c r="F36" i="26"/>
  <c r="F6" i="26"/>
  <c r="F108" i="45" s="1"/>
  <c r="F22" i="59"/>
  <c r="F21" i="59"/>
  <c r="E59" i="58"/>
  <c r="F36" i="59"/>
  <c r="E19" i="24"/>
  <c r="F18" i="45" s="1"/>
  <c r="E33" i="24"/>
  <c r="F36" i="45" s="1"/>
  <c r="E14" i="24"/>
  <c r="F13" i="45" s="1"/>
  <c r="E42" i="20"/>
  <c r="F76" i="45" s="1"/>
  <c r="E54" i="58"/>
  <c r="Z91" i="16"/>
  <c r="AA91" i="16" s="1"/>
  <c r="AB91" i="16" s="1"/>
  <c r="M40" i="21"/>
  <c r="N40" i="21" s="1"/>
  <c r="O40" i="21" s="1"/>
  <c r="Z62" i="16"/>
  <c r="AA62" i="16" s="1"/>
  <c r="AB62" i="16" s="1"/>
  <c r="Z64" i="16"/>
  <c r="AA64" i="16" s="1"/>
  <c r="AB64" i="16" s="1"/>
  <c r="Z86" i="16"/>
  <c r="AA86" i="16" s="1"/>
  <c r="AB86" i="16" s="1"/>
  <c r="E21" i="57"/>
  <c r="E31" i="57"/>
  <c r="E36" i="58"/>
  <c r="E57" i="58"/>
  <c r="E19" i="58"/>
  <c r="M28" i="21"/>
  <c r="N28" i="21" s="1"/>
  <c r="O28" i="21" s="1"/>
  <c r="M10" i="21"/>
  <c r="N10" i="21" s="1"/>
  <c r="O10" i="21" s="1"/>
  <c r="Z85" i="16"/>
  <c r="AA85" i="16" s="1"/>
  <c r="AB85" i="16" s="1"/>
  <c r="AL54" i="16"/>
  <c r="AM54" i="16" s="1"/>
  <c r="AN54" i="16" s="1"/>
  <c r="B11" i="42"/>
  <c r="C11" i="42"/>
  <c r="A11" i="42"/>
  <c r="D11" i="42"/>
  <c r="A8" i="42"/>
  <c r="D8" i="42"/>
  <c r="C8" i="42"/>
  <c r="B8" i="42"/>
  <c r="M48" i="16"/>
  <c r="P48" i="16"/>
  <c r="Q48" i="16"/>
  <c r="R48" i="16"/>
  <c r="S48" i="16"/>
  <c r="M49" i="16"/>
  <c r="P49" i="16"/>
  <c r="Q49" i="16"/>
  <c r="R49" i="16"/>
  <c r="S49" i="16"/>
  <c r="M50" i="16"/>
  <c r="P50" i="16"/>
  <c r="Q50" i="16"/>
  <c r="R50" i="16"/>
  <c r="S50" i="16"/>
  <c r="M47" i="16"/>
  <c r="P47" i="16"/>
  <c r="Q47" i="16"/>
  <c r="R47" i="16"/>
  <c r="S47" i="16"/>
  <c r="Q46" i="16"/>
  <c r="M46" i="16"/>
  <c r="S46" i="16"/>
  <c r="R46" i="16"/>
  <c r="C2" i="9"/>
  <c r="L42" i="45" l="1"/>
  <c r="M63" i="45"/>
  <c r="K63" i="45" s="1"/>
  <c r="M60" i="45"/>
  <c r="K60" i="45" s="1"/>
  <c r="L52" i="45"/>
  <c r="M91" i="45"/>
  <c r="K91" i="45" s="1"/>
  <c r="L46" i="45"/>
  <c r="M88" i="45"/>
  <c r="K88" i="45" s="1"/>
  <c r="M97" i="45"/>
  <c r="K97" i="45" s="1"/>
  <c r="M80" i="45"/>
  <c r="K80" i="45" s="1"/>
  <c r="M77" i="45"/>
  <c r="K77" i="45" s="1"/>
  <c r="L96" i="45"/>
  <c r="M49" i="45"/>
  <c r="K49" i="45" s="1"/>
  <c r="M85" i="45"/>
  <c r="K85" i="45" s="1"/>
  <c r="M45" i="45"/>
  <c r="K45" i="45" s="1"/>
  <c r="L74" i="45"/>
  <c r="M50" i="45"/>
  <c r="K50" i="45" s="1"/>
  <c r="L81" i="45"/>
  <c r="M83" i="45"/>
  <c r="K83" i="45" s="1"/>
  <c r="M53" i="45"/>
  <c r="K53" i="45" s="1"/>
  <c r="M70" i="45"/>
  <c r="K70" i="45" s="1"/>
  <c r="L90" i="45"/>
  <c r="M68" i="45"/>
  <c r="K68" i="45" s="1"/>
  <c r="M94" i="45"/>
  <c r="K94" i="45" s="1"/>
  <c r="M48" i="45"/>
  <c r="K48" i="45" s="1"/>
  <c r="L62" i="45"/>
  <c r="M37" i="45"/>
  <c r="K37" i="45" s="1"/>
  <c r="M47" i="45"/>
  <c r="K47" i="45" s="1"/>
  <c r="M57" i="45"/>
  <c r="K57" i="45" s="1"/>
  <c r="M79" i="45"/>
  <c r="K79" i="45" s="1"/>
  <c r="M43" i="45"/>
  <c r="K43" i="45" s="1"/>
  <c r="M93" i="45"/>
  <c r="K93" i="45" s="1"/>
  <c r="M6" i="45"/>
  <c r="K6" i="45" s="1"/>
  <c r="M7" i="45"/>
  <c r="K7" i="45" s="1"/>
  <c r="L76" i="45"/>
  <c r="M76" i="45"/>
  <c r="K76" i="45" s="1"/>
  <c r="L71" i="45"/>
  <c r="M71" i="45"/>
  <c r="K71" i="45" s="1"/>
  <c r="L66" i="45"/>
  <c r="M66" i="45"/>
  <c r="K66" i="45" s="1"/>
  <c r="L117" i="45"/>
  <c r="M117" i="45"/>
  <c r="K117" i="45" s="1"/>
  <c r="L75" i="45"/>
  <c r="M75" i="45"/>
  <c r="K75" i="45" s="1"/>
  <c r="L13" i="45"/>
  <c r="M13" i="45"/>
  <c r="K13" i="45" s="1"/>
  <c r="L98" i="45"/>
  <c r="M98" i="45"/>
  <c r="K98" i="45" s="1"/>
  <c r="L84" i="45"/>
  <c r="M84" i="45"/>
  <c r="K84" i="45" s="1"/>
  <c r="L122" i="45"/>
  <c r="M122" i="45"/>
  <c r="K122" i="45" s="1"/>
  <c r="L127" i="45"/>
  <c r="M127" i="45"/>
  <c r="K127" i="45" s="1"/>
  <c r="L73" i="45"/>
  <c r="M73" i="45"/>
  <c r="K73" i="45" s="1"/>
  <c r="L4" i="45"/>
  <c r="M4" i="45"/>
  <c r="K4" i="45" s="1"/>
  <c r="L128" i="45"/>
  <c r="M128" i="45"/>
  <c r="K128" i="45" s="1"/>
  <c r="L16" i="45"/>
  <c r="M16" i="45"/>
  <c r="K16" i="45" s="1"/>
  <c r="L105" i="45"/>
  <c r="M105" i="45"/>
  <c r="K105" i="45" s="1"/>
  <c r="L115" i="45"/>
  <c r="M115" i="45"/>
  <c r="K115" i="45" s="1"/>
  <c r="L129" i="45"/>
  <c r="M129" i="45"/>
  <c r="K129" i="45" s="1"/>
  <c r="L110" i="45"/>
  <c r="M110" i="45"/>
  <c r="K110" i="45" s="1"/>
  <c r="L3" i="45"/>
  <c r="M3" i="45"/>
  <c r="K3" i="45" s="1"/>
  <c r="L27" i="45"/>
  <c r="M27" i="45"/>
  <c r="K27" i="45" s="1"/>
  <c r="L114" i="45"/>
  <c r="M114" i="45"/>
  <c r="K114" i="45" s="1"/>
  <c r="L123" i="45"/>
  <c r="M123" i="45"/>
  <c r="K123" i="45" s="1"/>
  <c r="L108" i="45"/>
  <c r="M108" i="45"/>
  <c r="K108" i="45" s="1"/>
  <c r="L112" i="45"/>
  <c r="M112" i="45"/>
  <c r="K112" i="45" s="1"/>
  <c r="L65" i="45"/>
  <c r="M65" i="45"/>
  <c r="K65" i="45" s="1"/>
  <c r="L139" i="45"/>
  <c r="M139" i="45"/>
  <c r="K139" i="45" s="1"/>
  <c r="L138" i="45"/>
  <c r="M138" i="45"/>
  <c r="K138" i="45" s="1"/>
  <c r="L55" i="45"/>
  <c r="M55" i="45"/>
  <c r="K55" i="45" s="1"/>
  <c r="L95" i="45"/>
  <c r="M95" i="45"/>
  <c r="K95" i="45" s="1"/>
  <c r="L36" i="45"/>
  <c r="M36" i="45"/>
  <c r="K36" i="45" s="1"/>
  <c r="L23" i="45"/>
  <c r="M23" i="45"/>
  <c r="K23" i="45" s="1"/>
  <c r="L103" i="45"/>
  <c r="M103" i="45"/>
  <c r="K103" i="45" s="1"/>
  <c r="L106" i="45"/>
  <c r="M106" i="45"/>
  <c r="K106" i="45" s="1"/>
  <c r="L126" i="45"/>
  <c r="M126" i="45"/>
  <c r="K126" i="45" s="1"/>
  <c r="L39" i="45"/>
  <c r="M39" i="45"/>
  <c r="K39" i="45" s="1"/>
  <c r="L89" i="45"/>
  <c r="M89" i="45"/>
  <c r="K89" i="45" s="1"/>
  <c r="L113" i="45"/>
  <c r="M113" i="45"/>
  <c r="K113" i="45" s="1"/>
  <c r="L116" i="45"/>
  <c r="M116" i="45"/>
  <c r="K116" i="45" s="1"/>
  <c r="L59" i="45"/>
  <c r="M59" i="45"/>
  <c r="K59" i="45" s="1"/>
  <c r="L118" i="45"/>
  <c r="M118" i="45"/>
  <c r="K118" i="45" s="1"/>
  <c r="L25" i="45"/>
  <c r="M25" i="45"/>
  <c r="K25" i="45" s="1"/>
  <c r="L124" i="45"/>
  <c r="M124" i="45"/>
  <c r="K124" i="45" s="1"/>
  <c r="L58" i="45"/>
  <c r="M58" i="45"/>
  <c r="K58" i="45" s="1"/>
  <c r="L100" i="45"/>
  <c r="M100" i="45"/>
  <c r="K100" i="45" s="1"/>
  <c r="L99" i="45"/>
  <c r="M99" i="45"/>
  <c r="K99" i="45" s="1"/>
  <c r="L64" i="45"/>
  <c r="M64" i="45"/>
  <c r="K64" i="45" s="1"/>
  <c r="L56" i="45"/>
  <c r="M56" i="45"/>
  <c r="K56" i="45" s="1"/>
  <c r="L14" i="45"/>
  <c r="M14" i="45"/>
  <c r="K14" i="45" s="1"/>
  <c r="L61" i="45"/>
  <c r="M61" i="45"/>
  <c r="K61" i="45" s="1"/>
  <c r="L86" i="45"/>
  <c r="M86" i="45"/>
  <c r="K86" i="45" s="1"/>
  <c r="L121" i="45"/>
  <c r="M121" i="45"/>
  <c r="K121" i="45" s="1"/>
  <c r="L102" i="45"/>
  <c r="M102" i="45"/>
  <c r="K102" i="45" s="1"/>
  <c r="L104" i="45"/>
  <c r="M104" i="45"/>
  <c r="K104" i="45" s="1"/>
  <c r="L109" i="45"/>
  <c r="M109" i="45"/>
  <c r="K109" i="45" s="1"/>
  <c r="L136" i="45"/>
  <c r="M136" i="45"/>
  <c r="K136" i="45" s="1"/>
  <c r="L72" i="45"/>
  <c r="M72" i="45"/>
  <c r="K72" i="45" s="1"/>
  <c r="L101" i="45"/>
  <c r="M101" i="45"/>
  <c r="K101" i="45" s="1"/>
  <c r="L24" i="45"/>
  <c r="M24" i="45"/>
  <c r="K24" i="45" s="1"/>
  <c r="L140" i="45"/>
  <c r="M140" i="45"/>
  <c r="K140" i="45" s="1"/>
  <c r="L41" i="45"/>
  <c r="M41" i="45"/>
  <c r="K41" i="45" s="1"/>
  <c r="L92" i="45"/>
  <c r="M92" i="45"/>
  <c r="K92" i="45" s="1"/>
  <c r="L26" i="45"/>
  <c r="M26" i="45"/>
  <c r="K26" i="45" s="1"/>
  <c r="L18" i="45"/>
  <c r="M18" i="45"/>
  <c r="K18" i="45" s="1"/>
  <c r="L9" i="45"/>
  <c r="M9" i="45"/>
  <c r="K9" i="45" s="1"/>
  <c r="L137" i="45"/>
  <c r="M137" i="45"/>
  <c r="K137" i="45" s="1"/>
  <c r="L51" i="45"/>
  <c r="M51" i="45"/>
  <c r="K51" i="45" s="1"/>
  <c r="L111" i="45"/>
  <c r="M111" i="45"/>
  <c r="K111" i="45" s="1"/>
  <c r="L8" i="45"/>
  <c r="M8" i="45"/>
  <c r="K8" i="45" s="1"/>
  <c r="L69" i="45"/>
  <c r="M69" i="45"/>
  <c r="K69" i="45" s="1"/>
  <c r="L120" i="45"/>
  <c r="M120" i="45"/>
  <c r="K120" i="45" s="1"/>
  <c r="L67" i="45"/>
  <c r="M67" i="45"/>
  <c r="K67" i="45" s="1"/>
  <c r="L38" i="45"/>
  <c r="M38" i="45"/>
  <c r="K38" i="45" s="1"/>
  <c r="L119" i="45"/>
  <c r="M119" i="45"/>
  <c r="K119" i="45" s="1"/>
  <c r="L82" i="45"/>
  <c r="M82" i="45"/>
  <c r="K82" i="45" s="1"/>
  <c r="L40" i="45"/>
  <c r="M40" i="45"/>
  <c r="K40" i="45" s="1"/>
  <c r="L107" i="45"/>
  <c r="M107" i="45"/>
  <c r="K107" i="45" s="1"/>
  <c r="L125" i="45"/>
  <c r="M125" i="45"/>
  <c r="K125" i="45" s="1"/>
  <c r="L141" i="45"/>
  <c r="M141" i="45"/>
  <c r="K141" i="45" s="1"/>
  <c r="L78" i="45"/>
  <c r="M78" i="45"/>
  <c r="K78" i="45" s="1"/>
  <c r="L44" i="45"/>
  <c r="M44" i="45"/>
  <c r="K44" i="45" s="1"/>
  <c r="L54" i="45"/>
  <c r="M54" i="45"/>
  <c r="K54" i="45" s="1"/>
  <c r="L87" i="45"/>
  <c r="M87" i="45"/>
  <c r="K87" i="45" s="1"/>
  <c r="T46" i="16"/>
  <c r="T48" i="16"/>
  <c r="T50" i="16"/>
  <c r="T47" i="16"/>
  <c r="T49" i="16"/>
  <c r="D9" i="42"/>
  <c r="C12" i="42"/>
  <c r="B9" i="42"/>
  <c r="D12" i="42"/>
  <c r="C9" i="42"/>
  <c r="A12" i="42"/>
  <c r="A9" i="42"/>
  <c r="B12" i="42"/>
  <c r="L3" i="21"/>
  <c r="L3" i="25"/>
  <c r="C4" i="15" a="1"/>
  <c r="C4" i="15" s="1"/>
  <c r="C3" i="15" a="1"/>
  <c r="C3" i="15" s="1"/>
  <c r="O7" i="14"/>
  <c r="O6" i="14"/>
  <c r="O5" i="14"/>
  <c r="Q15" i="14"/>
  <c r="O19" i="14" s="1"/>
  <c r="P13" i="14"/>
  <c r="O20" i="14" s="1"/>
  <c r="N13" i="14"/>
  <c r="D32" i="14" a="1"/>
  <c r="D32" i="14" s="1"/>
  <c r="D17" i="14" a="1"/>
  <c r="E17" i="14" s="1"/>
  <c r="D3" i="14" a="1"/>
  <c r="D3" i="14" s="1"/>
  <c r="O18" i="14" l="1"/>
  <c r="E32" i="14"/>
  <c r="P19" i="14" s="1"/>
  <c r="Q19" i="14" s="1"/>
  <c r="S19" i="14" s="1"/>
  <c r="B15" i="42"/>
  <c r="D15" i="42"/>
  <c r="H3" i="15"/>
  <c r="N4" i="15"/>
  <c r="J4" i="15"/>
  <c r="F4" i="15"/>
  <c r="P4" i="15"/>
  <c r="L4" i="15"/>
  <c r="H4" i="15"/>
  <c r="D4" i="15"/>
  <c r="Q3" i="15"/>
  <c r="Q4" i="15"/>
  <c r="M4" i="15"/>
  <c r="I4" i="15"/>
  <c r="E4" i="15"/>
  <c r="N3" i="15"/>
  <c r="O4" i="15"/>
  <c r="K4" i="15"/>
  <c r="G4" i="15"/>
  <c r="L3" i="15"/>
  <c r="G3" i="15"/>
  <c r="P3" i="15"/>
  <c r="K3" i="15"/>
  <c r="F3" i="15"/>
  <c r="O3" i="15"/>
  <c r="J3" i="15"/>
  <c r="D3" i="15"/>
  <c r="M3" i="15"/>
  <c r="I3" i="15"/>
  <c r="E3" i="15"/>
  <c r="D17" i="14"/>
  <c r="E3" i="14"/>
  <c r="P5" i="14" l="1"/>
  <c r="Q5" i="14" s="1"/>
  <c r="S5" i="14" s="1"/>
  <c r="P6" i="14"/>
  <c r="Q6" i="14" s="1"/>
  <c r="S6" i="14" s="1"/>
  <c r="P7" i="14"/>
  <c r="Q7" i="14" s="1"/>
  <c r="S7" i="14" s="1"/>
  <c r="P18" i="14"/>
  <c r="Q18" i="14" s="1"/>
  <c r="S18" i="14" s="1"/>
  <c r="P20" i="14"/>
  <c r="Q20" i="14" s="1"/>
  <c r="S20" i="14" s="1"/>
  <c r="C59" i="11" a="1"/>
  <c r="D59" i="11" s="1"/>
  <c r="C60" i="11" a="1"/>
  <c r="C60" i="11" s="1"/>
  <c r="C65" i="11" s="1" a="1"/>
  <c r="C61" i="11" a="1"/>
  <c r="D61" i="11" s="1"/>
  <c r="C62" i="11" a="1"/>
  <c r="E62" i="11" s="1"/>
  <c r="C58" i="11" a="1"/>
  <c r="H58" i="11" s="1"/>
  <c r="C59" i="11" l="1"/>
  <c r="C64" i="11" s="1" a="1"/>
  <c r="G64" i="11" s="1"/>
  <c r="F58" i="11"/>
  <c r="F62" i="11"/>
  <c r="F60" i="11"/>
  <c r="E58" i="11"/>
  <c r="D62" i="11"/>
  <c r="D58" i="11"/>
  <c r="C62" i="11"/>
  <c r="C67" i="11" s="1" a="1"/>
  <c r="F67" i="11" s="1"/>
  <c r="H59" i="11"/>
  <c r="G59" i="11"/>
  <c r="G61" i="11"/>
  <c r="F59" i="11"/>
  <c r="F61" i="11"/>
  <c r="E59" i="11"/>
  <c r="G58" i="11"/>
  <c r="G62" i="11"/>
  <c r="C58" i="11"/>
  <c r="C63" i="11" s="1" a="1"/>
  <c r="H62" i="11"/>
  <c r="C61" i="11"/>
  <c r="C66" i="11" s="1" a="1"/>
  <c r="C66" i="11" s="1"/>
  <c r="D65" i="11"/>
  <c r="H65" i="11"/>
  <c r="E65" i="11"/>
  <c r="F65" i="11"/>
  <c r="C65" i="11"/>
  <c r="G65" i="11"/>
  <c r="E66" i="11"/>
  <c r="F66" i="11"/>
  <c r="E60" i="11"/>
  <c r="H64" i="11"/>
  <c r="D64" i="11"/>
  <c r="E61" i="11"/>
  <c r="H60" i="11"/>
  <c r="D60" i="11"/>
  <c r="H61" i="11"/>
  <c r="G60" i="11"/>
  <c r="H13" i="11" a="1"/>
  <c r="H13" i="11"/>
  <c r="Q47" i="11" a="1"/>
  <c r="Q47" i="11"/>
  <c r="Q48" i="11"/>
  <c r="Q49" i="11"/>
  <c r="E36" i="11" a="1"/>
  <c r="G36" i="11" s="1"/>
  <c r="S41" i="11"/>
  <c r="O42" i="11" a="1"/>
  <c r="O43" i="11" s="1"/>
  <c r="O42" i="11"/>
  <c r="E46" i="11" a="1"/>
  <c r="E46" i="11" s="1"/>
  <c r="E44" i="11" a="1"/>
  <c r="G44" i="11" s="1"/>
  <c r="E44" i="11"/>
  <c r="F44" i="11"/>
  <c r="E45" i="11" a="1"/>
  <c r="E45" i="11" s="1"/>
  <c r="E47" i="11" a="1"/>
  <c r="G47" i="11" s="1"/>
  <c r="E48" i="11" a="1"/>
  <c r="H48" i="11" s="1"/>
  <c r="F48" i="11"/>
  <c r="G48" i="11"/>
  <c r="E43" i="11" a="1"/>
  <c r="H43" i="11" s="1"/>
  <c r="E42" i="11" a="1"/>
  <c r="I42" i="11" s="1"/>
  <c r="I39" i="11" a="1"/>
  <c r="N39" i="11" s="1"/>
  <c r="H38" i="11" a="1"/>
  <c r="M38" i="11" s="1"/>
  <c r="I37" i="11"/>
  <c r="G37" i="11" a="1"/>
  <c r="L37" i="11" s="1"/>
  <c r="E35" i="11" a="1"/>
  <c r="E35" i="11" s="1"/>
  <c r="C67" i="6"/>
  <c r="D67" i="6"/>
  <c r="C83" i="6"/>
  <c r="D83" i="6"/>
  <c r="F7" i="11"/>
  <c r="H42" i="11" l="1"/>
  <c r="G43" i="11"/>
  <c r="G42" i="11"/>
  <c r="F43" i="11"/>
  <c r="E48" i="11"/>
  <c r="H45" i="11"/>
  <c r="O48" i="11"/>
  <c r="E36" i="11"/>
  <c r="E67" i="11"/>
  <c r="E64" i="11"/>
  <c r="H67" i="11"/>
  <c r="J47" i="11"/>
  <c r="J44" i="11"/>
  <c r="I46" i="11"/>
  <c r="O46" i="11"/>
  <c r="H66" i="11"/>
  <c r="D67" i="11"/>
  <c r="J48" i="11"/>
  <c r="I47" i="11"/>
  <c r="I44" i="11"/>
  <c r="H46" i="11"/>
  <c r="O45" i="11"/>
  <c r="J36" i="11"/>
  <c r="D66" i="11"/>
  <c r="G67" i="11"/>
  <c r="E42" i="11"/>
  <c r="H35" i="11"/>
  <c r="F36" i="11"/>
  <c r="J35" i="11"/>
  <c r="F42" i="11"/>
  <c r="E43" i="11"/>
  <c r="J46" i="11"/>
  <c r="O47" i="11"/>
  <c r="I35" i="11"/>
  <c r="G35" i="11"/>
  <c r="K39" i="11"/>
  <c r="J43" i="11"/>
  <c r="I48" i="11"/>
  <c r="H47" i="11"/>
  <c r="H44" i="11"/>
  <c r="G46" i="11"/>
  <c r="O44" i="11"/>
  <c r="I36" i="11"/>
  <c r="G66" i="11"/>
  <c r="C67" i="11"/>
  <c r="F35" i="11"/>
  <c r="R41" i="11" s="1" a="1"/>
  <c r="R41" i="11" s="1"/>
  <c r="J42" i="11"/>
  <c r="I43" i="11"/>
  <c r="F47" i="11"/>
  <c r="F46" i="11"/>
  <c r="H36" i="11"/>
  <c r="E47" i="11"/>
  <c r="D63" i="11"/>
  <c r="H63" i="11"/>
  <c r="C63" i="11"/>
  <c r="E63" i="11"/>
  <c r="F63" i="11"/>
  <c r="G63" i="11"/>
  <c r="C64" i="11"/>
  <c r="F64" i="11"/>
  <c r="G45" i="11"/>
  <c r="J45" i="11"/>
  <c r="F45" i="11"/>
  <c r="I45" i="11"/>
  <c r="L39" i="11"/>
  <c r="I39" i="11"/>
  <c r="M39" i="11"/>
  <c r="J39" i="11"/>
  <c r="H38" i="11"/>
  <c r="L38" i="11"/>
  <c r="J38" i="11"/>
  <c r="K38" i="11"/>
  <c r="I38" i="11"/>
  <c r="J37" i="11"/>
  <c r="G37" i="11"/>
  <c r="K37" i="11"/>
  <c r="H37" i="11"/>
  <c r="D4" i="9"/>
  <c r="D3" i="9"/>
  <c r="D2" i="9"/>
  <c r="R46" i="11" l="1"/>
  <c r="R45" i="11"/>
  <c r="R43" i="11"/>
  <c r="R44" i="11"/>
  <c r="R42" i="11"/>
  <c r="Q41" i="11" a="1"/>
  <c r="D451" i="6"/>
  <c r="C451" i="6"/>
  <c r="D435" i="6"/>
  <c r="C435" i="6"/>
  <c r="B452" i="7" a="1"/>
  <c r="B452" i="7" s="1"/>
  <c r="B451" i="7" a="1"/>
  <c r="B451" i="7" s="1"/>
  <c r="G451" i="7"/>
  <c r="B450" i="7" a="1"/>
  <c r="H450" i="7" s="1"/>
  <c r="B450" i="7"/>
  <c r="G450" i="7"/>
  <c r="B449" i="7" a="1"/>
  <c r="H449" i="7" s="1"/>
  <c r="G449" i="7"/>
  <c r="B448" i="7" a="1"/>
  <c r="B448" i="7" s="1"/>
  <c r="B447" i="7" a="1"/>
  <c r="B447" i="7" s="1"/>
  <c r="B446" i="7" a="1"/>
  <c r="B446" i="7" s="1"/>
  <c r="B445" i="7" a="1"/>
  <c r="C445" i="7" s="1"/>
  <c r="B444" i="7" a="1"/>
  <c r="C444" i="7" s="1"/>
  <c r="B443" i="7" a="1"/>
  <c r="B443" i="7" s="1"/>
  <c r="B442" i="7" a="1"/>
  <c r="C442" i="7" s="1"/>
  <c r="B441" i="7" a="1"/>
  <c r="G441" i="7" s="1"/>
  <c r="F441" i="7"/>
  <c r="H441" i="7"/>
  <c r="B440" i="7" a="1"/>
  <c r="B440" i="7" s="1"/>
  <c r="B439" i="7" a="1"/>
  <c r="B439" i="7" s="1"/>
  <c r="I438" i="7"/>
  <c r="B436" i="7" a="1"/>
  <c r="B436" i="7" s="1"/>
  <c r="E436" i="7"/>
  <c r="B435" i="7" a="1"/>
  <c r="C435" i="7" s="1"/>
  <c r="B434" i="7" a="1"/>
  <c r="H434" i="7" s="1"/>
  <c r="G434" i="7"/>
  <c r="B433" i="7" a="1"/>
  <c r="C433" i="7" s="1"/>
  <c r="B432" i="7" a="1"/>
  <c r="B432" i="7" s="1"/>
  <c r="B431" i="7" a="1"/>
  <c r="B431" i="7" s="1"/>
  <c r="B430" i="7" a="1"/>
  <c r="E430" i="7" s="1"/>
  <c r="C430" i="7"/>
  <c r="D430" i="7"/>
  <c r="F430" i="7"/>
  <c r="G430" i="7"/>
  <c r="H430" i="7"/>
  <c r="B429" i="7" a="1"/>
  <c r="E429" i="7" s="1"/>
  <c r="D429" i="7"/>
  <c r="F429" i="7"/>
  <c r="G429" i="7"/>
  <c r="B428" i="7" a="1"/>
  <c r="C428" i="7" s="1"/>
  <c r="B427" i="7" a="1"/>
  <c r="B427" i="7" s="1"/>
  <c r="B426" i="7" a="1"/>
  <c r="C426" i="7" s="1"/>
  <c r="B426" i="7"/>
  <c r="D426" i="7"/>
  <c r="E426" i="7"/>
  <c r="G426" i="7"/>
  <c r="B425" i="7" a="1"/>
  <c r="B425" i="7" s="1"/>
  <c r="E425" i="7"/>
  <c r="B424" i="7" a="1"/>
  <c r="B424" i="7" s="1"/>
  <c r="B423" i="7" a="1"/>
  <c r="B423" i="7" s="1"/>
  <c r="I422" i="7"/>
  <c r="D419" i="6"/>
  <c r="C419" i="6"/>
  <c r="D403" i="6"/>
  <c r="C403" i="6"/>
  <c r="D387" i="6"/>
  <c r="C387" i="6"/>
  <c r="D371" i="6"/>
  <c r="C371" i="6"/>
  <c r="B420" i="7" a="1"/>
  <c r="B420" i="7" s="1"/>
  <c r="E420" i="7"/>
  <c r="B419" i="7" a="1"/>
  <c r="D419" i="7" s="1"/>
  <c r="B419" i="7"/>
  <c r="C419" i="7"/>
  <c r="E419" i="7"/>
  <c r="F419" i="7"/>
  <c r="G419" i="7"/>
  <c r="H419" i="7"/>
  <c r="B418" i="7" a="1"/>
  <c r="D418" i="7" s="1"/>
  <c r="B418" i="7"/>
  <c r="C418" i="7"/>
  <c r="E418" i="7"/>
  <c r="F418" i="7"/>
  <c r="G418" i="7"/>
  <c r="H418" i="7"/>
  <c r="B417" i="7" a="1"/>
  <c r="C417" i="7" s="1"/>
  <c r="B416" i="7" a="1"/>
  <c r="C416" i="7" s="1"/>
  <c r="B416" i="7"/>
  <c r="D416" i="7"/>
  <c r="B415" i="7" a="1"/>
  <c r="B415" i="7" s="1"/>
  <c r="E415" i="7"/>
  <c r="B414" i="7" a="1"/>
  <c r="B414" i="7" s="1"/>
  <c r="B413" i="7" a="1"/>
  <c r="H413" i="7" s="1"/>
  <c r="G413" i="7"/>
  <c r="B412" i="7" a="1"/>
  <c r="B412" i="7" s="1"/>
  <c r="B411" i="7" a="1"/>
  <c r="F411" i="7" s="1"/>
  <c r="D411" i="7"/>
  <c r="E411" i="7"/>
  <c r="G411" i="7"/>
  <c r="H411" i="7"/>
  <c r="B410" i="7" a="1"/>
  <c r="F410" i="7" s="1"/>
  <c r="D410" i="7"/>
  <c r="E410" i="7"/>
  <c r="G410" i="7"/>
  <c r="B409" i="7" a="1"/>
  <c r="B409" i="7" s="1"/>
  <c r="B408" i="7" a="1"/>
  <c r="B408" i="7" s="1"/>
  <c r="B407" i="7" a="1"/>
  <c r="B407" i="7" s="1"/>
  <c r="I406" i="7"/>
  <c r="B404" i="7" a="1"/>
  <c r="B404" i="7"/>
  <c r="C404" i="7"/>
  <c r="D404" i="7"/>
  <c r="E404" i="7"/>
  <c r="F404" i="7"/>
  <c r="G404" i="7"/>
  <c r="H404" i="7"/>
  <c r="B403" i="7" a="1"/>
  <c r="B403" i="7" s="1"/>
  <c r="E403" i="7"/>
  <c r="B402" i="7" a="1"/>
  <c r="B402" i="7" s="1"/>
  <c r="B401" i="7" a="1"/>
  <c r="B401" i="7" s="1"/>
  <c r="B400" i="7" a="1"/>
  <c r="E400" i="7" s="1"/>
  <c r="B400" i="7"/>
  <c r="C400" i="7"/>
  <c r="D400" i="7"/>
  <c r="F400" i="7"/>
  <c r="G400" i="7"/>
  <c r="H400" i="7"/>
  <c r="B399" i="7" a="1"/>
  <c r="B399" i="7" s="1"/>
  <c r="B398" i="7" a="1"/>
  <c r="D398" i="7" s="1"/>
  <c r="B398" i="7"/>
  <c r="C398" i="7"/>
  <c r="E398" i="7"/>
  <c r="G398" i="7"/>
  <c r="B397" i="7" a="1"/>
  <c r="B397" i="7" s="1"/>
  <c r="B396" i="7" a="1"/>
  <c r="C396" i="7" s="1"/>
  <c r="B396" i="7"/>
  <c r="B395" i="7" a="1"/>
  <c r="B395" i="7" s="1"/>
  <c r="B394" i="7" a="1"/>
  <c r="B394" i="7" s="1"/>
  <c r="B393" i="7" a="1"/>
  <c r="B393" i="7" s="1"/>
  <c r="B392" i="7" a="1"/>
  <c r="B392" i="7"/>
  <c r="C392" i="7"/>
  <c r="D392" i="7"/>
  <c r="E392" i="7"/>
  <c r="F392" i="7"/>
  <c r="G392" i="7"/>
  <c r="H392" i="7"/>
  <c r="B391" i="7" a="1"/>
  <c r="C391" i="7" s="1"/>
  <c r="I390" i="7"/>
  <c r="B388" i="7" a="1"/>
  <c r="G388" i="7" s="1"/>
  <c r="D388" i="7"/>
  <c r="E388" i="7"/>
  <c r="F388" i="7"/>
  <c r="H388" i="7"/>
  <c r="B387" i="7" a="1"/>
  <c r="B387" i="7" s="1"/>
  <c r="B386" i="7" a="1"/>
  <c r="F386" i="7" s="1"/>
  <c r="D386" i="7"/>
  <c r="E386" i="7"/>
  <c r="H386" i="7"/>
  <c r="B385" i="7" a="1"/>
  <c r="F385" i="7" s="1"/>
  <c r="E385" i="7"/>
  <c r="B384" i="7" a="1"/>
  <c r="B384" i="7" s="1"/>
  <c r="B383" i="7" a="1"/>
  <c r="E383" i="7" s="1"/>
  <c r="B383" i="7"/>
  <c r="C383" i="7"/>
  <c r="D383" i="7"/>
  <c r="F383" i="7"/>
  <c r="G383" i="7"/>
  <c r="H383" i="7"/>
  <c r="B382" i="7" a="1"/>
  <c r="B382" i="7" s="1"/>
  <c r="B381" i="7" a="1"/>
  <c r="D381" i="7" s="1"/>
  <c r="B381" i="7"/>
  <c r="C381" i="7"/>
  <c r="G381" i="7"/>
  <c r="B380" i="7" a="1"/>
  <c r="B380" i="7" s="1"/>
  <c r="B379" i="7" a="1"/>
  <c r="B379" i="7" s="1"/>
  <c r="B378" i="7" a="1"/>
  <c r="C378" i="7" s="1"/>
  <c r="B377" i="7" a="1"/>
  <c r="B377" i="7" s="1"/>
  <c r="B376" i="7" a="1"/>
  <c r="H376" i="7" s="1"/>
  <c r="C376" i="7"/>
  <c r="E376" i="7"/>
  <c r="F376" i="7"/>
  <c r="G376" i="7"/>
  <c r="B375" i="7" a="1"/>
  <c r="H375" i="7" s="1"/>
  <c r="C375" i="7"/>
  <c r="E375" i="7"/>
  <c r="F375" i="7"/>
  <c r="G375" i="7"/>
  <c r="I374" i="7"/>
  <c r="B372" i="7" a="1"/>
  <c r="G372" i="7" s="1"/>
  <c r="B372" i="7"/>
  <c r="E372" i="7"/>
  <c r="F372" i="7"/>
  <c r="B371" i="7" a="1"/>
  <c r="G371" i="7" s="1"/>
  <c r="B371" i="7"/>
  <c r="F371" i="7"/>
  <c r="B370" i="7" a="1"/>
  <c r="G370" i="7" s="1"/>
  <c r="F370" i="7"/>
  <c r="B369" i="7" a="1"/>
  <c r="B369" i="7" s="1"/>
  <c r="B368" i="7" a="1"/>
  <c r="B368" i="7" s="1"/>
  <c r="B367" i="7" a="1"/>
  <c r="E367" i="7" s="1"/>
  <c r="B367" i="7"/>
  <c r="C367" i="7"/>
  <c r="D367" i="7"/>
  <c r="G367" i="7"/>
  <c r="H367" i="7"/>
  <c r="B366" i="7" a="1"/>
  <c r="C366" i="7" s="1"/>
  <c r="B365" i="7" a="1"/>
  <c r="D365" i="7" s="1"/>
  <c r="C365" i="7"/>
  <c r="B364" i="7" a="1"/>
  <c r="D364" i="7" s="1"/>
  <c r="B363" i="7" a="1"/>
  <c r="C363" i="7" s="1"/>
  <c r="B362" i="7" a="1"/>
  <c r="C362" i="7" s="1"/>
  <c r="B362" i="7"/>
  <c r="B361" i="7" a="1"/>
  <c r="C361" i="7" s="1"/>
  <c r="B361" i="7"/>
  <c r="B359" i="7" a="1"/>
  <c r="B359" i="7" s="1"/>
  <c r="B360" i="7" a="1"/>
  <c r="B360" i="7" s="1"/>
  <c r="I358" i="7"/>
  <c r="B364" i="7" l="1"/>
  <c r="B365" i="7"/>
  <c r="E370" i="7"/>
  <c r="E371" i="7"/>
  <c r="D385" i="7"/>
  <c r="H394" i="7"/>
  <c r="F413" i="7"/>
  <c r="C429" i="7"/>
  <c r="F434" i="7"/>
  <c r="E441" i="7"/>
  <c r="F449" i="7"/>
  <c r="F450" i="7"/>
  <c r="E451" i="7"/>
  <c r="D370" i="7"/>
  <c r="D371" i="7"/>
  <c r="D372" i="7"/>
  <c r="C385" i="7"/>
  <c r="C386" i="7"/>
  <c r="G394" i="7"/>
  <c r="H396" i="7"/>
  <c r="C410" i="7"/>
  <c r="C411" i="7"/>
  <c r="E413" i="7"/>
  <c r="H416" i="7"/>
  <c r="H426" i="7"/>
  <c r="B429" i="7"/>
  <c r="B430" i="7"/>
  <c r="E434" i="7"/>
  <c r="D441" i="7"/>
  <c r="E449" i="7"/>
  <c r="E450" i="7"/>
  <c r="D451" i="7"/>
  <c r="Q42" i="11"/>
  <c r="Q45" i="11"/>
  <c r="Q43" i="11"/>
  <c r="Q41" i="11"/>
  <c r="Q44" i="11"/>
  <c r="Q46" i="11"/>
  <c r="C370" i="7"/>
  <c r="C371" i="7"/>
  <c r="C372" i="7"/>
  <c r="D375" i="7"/>
  <c r="D376" i="7"/>
  <c r="H381" i="7"/>
  <c r="B385" i="7"/>
  <c r="B386" i="7"/>
  <c r="C388" i="7"/>
  <c r="F394" i="7"/>
  <c r="G396" i="7"/>
  <c r="H398" i="7"/>
  <c r="E409" i="7"/>
  <c r="B410" i="7"/>
  <c r="B411" i="7"/>
  <c r="D413" i="7"/>
  <c r="G416" i="7"/>
  <c r="D434" i="7"/>
  <c r="E439" i="7"/>
  <c r="C441" i="7"/>
  <c r="D449" i="7"/>
  <c r="D450" i="7"/>
  <c r="C451" i="7"/>
  <c r="I451" i="7" s="1"/>
  <c r="G361" i="7"/>
  <c r="G362" i="7"/>
  <c r="H364" i="7"/>
  <c r="H365" i="7"/>
  <c r="F361" i="7"/>
  <c r="F362" i="7"/>
  <c r="G364" i="7"/>
  <c r="G365" i="7"/>
  <c r="B388" i="7"/>
  <c r="E394" i="7"/>
  <c r="F396" i="7"/>
  <c r="C413" i="7"/>
  <c r="F416" i="7"/>
  <c r="F426" i="7"/>
  <c r="H429" i="7"/>
  <c r="C434" i="7"/>
  <c r="B441" i="7"/>
  <c r="I441" i="7" s="1"/>
  <c r="E447" i="7"/>
  <c r="C449" i="7"/>
  <c r="I449" i="7" s="1"/>
  <c r="C450" i="7"/>
  <c r="B375" i="7"/>
  <c r="B376" i="7"/>
  <c r="F381" i="7"/>
  <c r="H385" i="7"/>
  <c r="D394" i="7"/>
  <c r="E396" i="7"/>
  <c r="F398" i="7"/>
  <c r="H410" i="7"/>
  <c r="E412" i="7"/>
  <c r="B413" i="7"/>
  <c r="E416" i="7"/>
  <c r="B434" i="7"/>
  <c r="B449" i="7"/>
  <c r="C364" i="7"/>
  <c r="H361" i="7"/>
  <c r="H362" i="7"/>
  <c r="B370" i="7"/>
  <c r="E361" i="7"/>
  <c r="E362" i="7"/>
  <c r="F364" i="7"/>
  <c r="F365" i="7"/>
  <c r="D361" i="7"/>
  <c r="D362" i="7"/>
  <c r="E364" i="7"/>
  <c r="E365" i="7"/>
  <c r="F367" i="7"/>
  <c r="H370" i="7"/>
  <c r="H371" i="7"/>
  <c r="H372" i="7"/>
  <c r="E381" i="7"/>
  <c r="G385" i="7"/>
  <c r="G386" i="7"/>
  <c r="C394" i="7"/>
  <c r="D396" i="7"/>
  <c r="E443" i="7"/>
  <c r="H451" i="7"/>
  <c r="E452" i="7"/>
  <c r="H452" i="7"/>
  <c r="D452" i="7"/>
  <c r="G452" i="7"/>
  <c r="C452" i="7"/>
  <c r="F452" i="7"/>
  <c r="F451" i="7"/>
  <c r="E448" i="7"/>
  <c r="H448" i="7"/>
  <c r="D448" i="7"/>
  <c r="G448" i="7"/>
  <c r="C448" i="7"/>
  <c r="F448" i="7"/>
  <c r="H447" i="7"/>
  <c r="D447" i="7"/>
  <c r="G447" i="7"/>
  <c r="C447" i="7"/>
  <c r="F447" i="7"/>
  <c r="E446" i="7"/>
  <c r="H446" i="7"/>
  <c r="D446" i="7"/>
  <c r="G446" i="7"/>
  <c r="C446" i="7"/>
  <c r="F446" i="7"/>
  <c r="F445" i="7"/>
  <c r="B445" i="7"/>
  <c r="I445" i="7" s="1"/>
  <c r="E445" i="7"/>
  <c r="H445" i="7"/>
  <c r="D445" i="7"/>
  <c r="G445" i="7"/>
  <c r="F444" i="7"/>
  <c r="B444" i="7"/>
  <c r="E444" i="7"/>
  <c r="H444" i="7"/>
  <c r="D444" i="7"/>
  <c r="G444" i="7"/>
  <c r="H443" i="7"/>
  <c r="D443" i="7"/>
  <c r="G443" i="7"/>
  <c r="C443" i="7"/>
  <c r="F443" i="7"/>
  <c r="F442" i="7"/>
  <c r="B442" i="7"/>
  <c r="E442" i="7"/>
  <c r="H442" i="7"/>
  <c r="D442" i="7"/>
  <c r="G442" i="7"/>
  <c r="E440" i="7"/>
  <c r="H440" i="7"/>
  <c r="D440" i="7"/>
  <c r="G440" i="7"/>
  <c r="C440" i="7"/>
  <c r="F440" i="7"/>
  <c r="H439" i="7"/>
  <c r="D439" i="7"/>
  <c r="G439" i="7"/>
  <c r="C439" i="7"/>
  <c r="F439" i="7"/>
  <c r="I447" i="7"/>
  <c r="H436" i="7"/>
  <c r="D436" i="7"/>
  <c r="G436" i="7"/>
  <c r="C436" i="7"/>
  <c r="F436" i="7"/>
  <c r="F435" i="7"/>
  <c r="B435" i="7"/>
  <c r="E435" i="7"/>
  <c r="H435" i="7"/>
  <c r="D435" i="7"/>
  <c r="G435" i="7"/>
  <c r="F433" i="7"/>
  <c r="B433" i="7"/>
  <c r="E433" i="7"/>
  <c r="H433" i="7"/>
  <c r="D433" i="7"/>
  <c r="G433" i="7"/>
  <c r="E432" i="7"/>
  <c r="H432" i="7"/>
  <c r="D432" i="7"/>
  <c r="G432" i="7"/>
  <c r="C432" i="7"/>
  <c r="F432" i="7"/>
  <c r="E431" i="7"/>
  <c r="H431" i="7"/>
  <c r="D431" i="7"/>
  <c r="G431" i="7"/>
  <c r="C431" i="7"/>
  <c r="F431" i="7"/>
  <c r="F428" i="7"/>
  <c r="B428" i="7"/>
  <c r="E428" i="7"/>
  <c r="H428" i="7"/>
  <c r="D428" i="7"/>
  <c r="G428" i="7"/>
  <c r="E427" i="7"/>
  <c r="D427" i="7"/>
  <c r="G427" i="7"/>
  <c r="C427" i="7"/>
  <c r="H427" i="7"/>
  <c r="F427" i="7"/>
  <c r="H425" i="7"/>
  <c r="D425" i="7"/>
  <c r="G425" i="7"/>
  <c r="C425" i="7"/>
  <c r="F425" i="7"/>
  <c r="E424" i="7"/>
  <c r="H424" i="7"/>
  <c r="D424" i="7"/>
  <c r="G424" i="7"/>
  <c r="C424" i="7"/>
  <c r="F424" i="7"/>
  <c r="E423" i="7"/>
  <c r="H423" i="7"/>
  <c r="D423" i="7"/>
  <c r="G423" i="7"/>
  <c r="C423" i="7"/>
  <c r="F423" i="7"/>
  <c r="H420" i="7"/>
  <c r="D420" i="7"/>
  <c r="G420" i="7"/>
  <c r="C420" i="7"/>
  <c r="F420" i="7"/>
  <c r="F417" i="7"/>
  <c r="B417" i="7"/>
  <c r="E417" i="7"/>
  <c r="H417" i="7"/>
  <c r="D417" i="7"/>
  <c r="G417" i="7"/>
  <c r="H415" i="7"/>
  <c r="D415" i="7"/>
  <c r="G415" i="7"/>
  <c r="C415" i="7"/>
  <c r="F415" i="7"/>
  <c r="E414" i="7"/>
  <c r="D414" i="7"/>
  <c r="G414" i="7"/>
  <c r="C414" i="7"/>
  <c r="H414" i="7"/>
  <c r="F414" i="7"/>
  <c r="H412" i="7"/>
  <c r="D412" i="7"/>
  <c r="G412" i="7"/>
  <c r="C412" i="7"/>
  <c r="F412" i="7"/>
  <c r="H409" i="7"/>
  <c r="D409" i="7"/>
  <c r="G409" i="7"/>
  <c r="C409" i="7"/>
  <c r="F409" i="7"/>
  <c r="E408" i="7"/>
  <c r="D408" i="7"/>
  <c r="G408" i="7"/>
  <c r="C408" i="7"/>
  <c r="H408" i="7"/>
  <c r="F408" i="7"/>
  <c r="E407" i="7"/>
  <c r="H407" i="7"/>
  <c r="D407" i="7"/>
  <c r="G407" i="7"/>
  <c r="C407" i="7"/>
  <c r="F407" i="7"/>
  <c r="H403" i="7"/>
  <c r="D403" i="7"/>
  <c r="G403" i="7"/>
  <c r="C403" i="7"/>
  <c r="F403" i="7"/>
  <c r="E402" i="7"/>
  <c r="H402" i="7"/>
  <c r="D402" i="7"/>
  <c r="G402" i="7"/>
  <c r="C402" i="7"/>
  <c r="F402" i="7"/>
  <c r="E401" i="7"/>
  <c r="H401" i="7"/>
  <c r="D401" i="7"/>
  <c r="G401" i="7"/>
  <c r="C401" i="7"/>
  <c r="F401" i="7"/>
  <c r="E399" i="7"/>
  <c r="H399" i="7"/>
  <c r="D399" i="7"/>
  <c r="G399" i="7"/>
  <c r="C399" i="7"/>
  <c r="F399" i="7"/>
  <c r="H397" i="7"/>
  <c r="D397" i="7"/>
  <c r="E397" i="7"/>
  <c r="G397" i="7"/>
  <c r="C397" i="7"/>
  <c r="F397" i="7"/>
  <c r="E395" i="7"/>
  <c r="H395" i="7"/>
  <c r="D395" i="7"/>
  <c r="G395" i="7"/>
  <c r="C395" i="7"/>
  <c r="F395" i="7"/>
  <c r="E393" i="7"/>
  <c r="H393" i="7"/>
  <c r="D393" i="7"/>
  <c r="G393" i="7"/>
  <c r="C393" i="7"/>
  <c r="F393" i="7"/>
  <c r="F391" i="7"/>
  <c r="B391" i="7"/>
  <c r="E391" i="7"/>
  <c r="H391" i="7"/>
  <c r="D391" i="7"/>
  <c r="G391" i="7"/>
  <c r="E387" i="7"/>
  <c r="H387" i="7"/>
  <c r="D387" i="7"/>
  <c r="G387" i="7"/>
  <c r="C387" i="7"/>
  <c r="F387" i="7"/>
  <c r="E384" i="7"/>
  <c r="H384" i="7"/>
  <c r="D384" i="7"/>
  <c r="G384" i="7"/>
  <c r="C384" i="7"/>
  <c r="F384" i="7"/>
  <c r="E382" i="7"/>
  <c r="H382" i="7"/>
  <c r="D382" i="7"/>
  <c r="G382" i="7"/>
  <c r="C382" i="7"/>
  <c r="F382" i="7"/>
  <c r="E380" i="7"/>
  <c r="H380" i="7"/>
  <c r="D380" i="7"/>
  <c r="G380" i="7"/>
  <c r="C380" i="7"/>
  <c r="F380" i="7"/>
  <c r="E379" i="7"/>
  <c r="H379" i="7"/>
  <c r="D379" i="7"/>
  <c r="G379" i="7"/>
  <c r="C379" i="7"/>
  <c r="I379" i="7" s="1"/>
  <c r="F379" i="7"/>
  <c r="F378" i="7"/>
  <c r="B378" i="7"/>
  <c r="E378" i="7"/>
  <c r="H378" i="7"/>
  <c r="D378" i="7"/>
  <c r="G378" i="7"/>
  <c r="E377" i="7"/>
  <c r="H377" i="7"/>
  <c r="D377" i="7"/>
  <c r="I377" i="7" s="1"/>
  <c r="G377" i="7"/>
  <c r="C377" i="7"/>
  <c r="F377" i="7"/>
  <c r="I381" i="7"/>
  <c r="I385" i="7"/>
  <c r="I387" i="7"/>
  <c r="I375" i="7"/>
  <c r="I383" i="7"/>
  <c r="E369" i="7"/>
  <c r="H369" i="7"/>
  <c r="D369" i="7"/>
  <c r="G369" i="7"/>
  <c r="C369" i="7"/>
  <c r="F369" i="7"/>
  <c r="E368" i="7"/>
  <c r="H368" i="7"/>
  <c r="D368" i="7"/>
  <c r="G368" i="7"/>
  <c r="C368" i="7"/>
  <c r="F368" i="7"/>
  <c r="F366" i="7"/>
  <c r="B366" i="7"/>
  <c r="E366" i="7"/>
  <c r="H366" i="7"/>
  <c r="D366" i="7"/>
  <c r="G366" i="7"/>
  <c r="F363" i="7"/>
  <c r="B363" i="7"/>
  <c r="E363" i="7"/>
  <c r="H363" i="7"/>
  <c r="D363" i="7"/>
  <c r="G363" i="7"/>
  <c r="E359" i="7"/>
  <c r="H359" i="7"/>
  <c r="D359" i="7"/>
  <c r="G359" i="7"/>
  <c r="C359" i="7"/>
  <c r="F359" i="7"/>
  <c r="E360" i="7"/>
  <c r="H360" i="7"/>
  <c r="D360" i="7"/>
  <c r="G360" i="7"/>
  <c r="C360" i="7"/>
  <c r="F360" i="7"/>
  <c r="I439" i="7" l="1"/>
  <c r="I443" i="7"/>
  <c r="I452" i="7"/>
  <c r="I448" i="7"/>
  <c r="I444" i="7"/>
  <c r="I440" i="7"/>
  <c r="I450" i="7"/>
  <c r="I446" i="7"/>
  <c r="I442" i="7"/>
  <c r="I436" i="7"/>
  <c r="I424" i="7"/>
  <c r="I433" i="7"/>
  <c r="I423" i="7"/>
  <c r="I434" i="7"/>
  <c r="I430" i="7"/>
  <c r="I426" i="7"/>
  <c r="I435" i="7"/>
  <c r="I431" i="7"/>
  <c r="I432" i="7"/>
  <c r="I428" i="7"/>
  <c r="I427" i="7"/>
  <c r="I425" i="7"/>
  <c r="I429" i="7"/>
  <c r="I418" i="7"/>
  <c r="I419" i="7"/>
  <c r="I415" i="7"/>
  <c r="I413" i="7"/>
  <c r="I411" i="7"/>
  <c r="I407" i="7"/>
  <c r="I420" i="7"/>
  <c r="I416" i="7"/>
  <c r="I412" i="7"/>
  <c r="I408" i="7"/>
  <c r="I414" i="7"/>
  <c r="I410" i="7"/>
  <c r="I417" i="7"/>
  <c r="I409" i="7"/>
  <c r="I404" i="7"/>
  <c r="I400" i="7"/>
  <c r="I396" i="7"/>
  <c r="I392" i="7"/>
  <c r="I403" i="7"/>
  <c r="I399" i="7"/>
  <c r="I395" i="7"/>
  <c r="I393" i="7"/>
  <c r="I391" i="7"/>
  <c r="I402" i="7"/>
  <c r="I398" i="7"/>
  <c r="I394" i="7"/>
  <c r="I401" i="7"/>
  <c r="I397" i="7"/>
  <c r="I386" i="7"/>
  <c r="I382" i="7"/>
  <c r="I378" i="7"/>
  <c r="I388" i="7"/>
  <c r="I384" i="7"/>
  <c r="I380" i="7"/>
  <c r="I376" i="7"/>
  <c r="I369" i="7"/>
  <c r="I365" i="7"/>
  <c r="I361" i="7"/>
  <c r="I359" i="7"/>
  <c r="I370" i="7"/>
  <c r="I366" i="7"/>
  <c r="I362" i="7"/>
  <c r="I371" i="7"/>
  <c r="I367" i="7"/>
  <c r="I363" i="7"/>
  <c r="I372" i="7"/>
  <c r="I368" i="7"/>
  <c r="I364" i="7"/>
  <c r="I360" i="7"/>
  <c r="D355" i="6" l="1"/>
  <c r="C355" i="6"/>
  <c r="D339" i="6"/>
  <c r="C339" i="6"/>
  <c r="D323" i="6"/>
  <c r="C323" i="6"/>
  <c r="D307" i="6"/>
  <c r="C307" i="6"/>
  <c r="B356" i="7" a="1"/>
  <c r="B356" i="7" s="1"/>
  <c r="H356" i="7"/>
  <c r="B355" i="7" a="1"/>
  <c r="C355" i="7" s="1"/>
  <c r="B354" i="7" a="1"/>
  <c r="B354" i="7" s="1"/>
  <c r="G354" i="7"/>
  <c r="H354" i="7"/>
  <c r="B353" i="7" a="1"/>
  <c r="C353" i="7" s="1"/>
  <c r="B352" i="7" a="1"/>
  <c r="C352" i="7" s="1"/>
  <c r="B351" i="7" a="1"/>
  <c r="C351" i="7" s="1"/>
  <c r="E351" i="7"/>
  <c r="F351" i="7"/>
  <c r="B350" i="7" a="1"/>
  <c r="B350" i="7" s="1"/>
  <c r="B349" i="7" a="1"/>
  <c r="B349" i="7" s="1"/>
  <c r="C349" i="7"/>
  <c r="D349" i="7"/>
  <c r="F349" i="7"/>
  <c r="G349" i="7"/>
  <c r="H349" i="7"/>
  <c r="B348" i="7" a="1"/>
  <c r="E348" i="7" s="1"/>
  <c r="B347" i="7" a="1"/>
  <c r="C347" i="7" s="1"/>
  <c r="B347" i="7"/>
  <c r="E347" i="7"/>
  <c r="F347" i="7"/>
  <c r="G347" i="7"/>
  <c r="H347" i="7"/>
  <c r="B345" i="7" a="1"/>
  <c r="B345" i="7" s="1"/>
  <c r="E345" i="7"/>
  <c r="F345" i="7"/>
  <c r="G345" i="7"/>
  <c r="H345" i="7"/>
  <c r="B346" i="7" a="1"/>
  <c r="B346" i="7" s="1"/>
  <c r="B344" i="7" a="1"/>
  <c r="D344" i="7" s="1"/>
  <c r="C344" i="7"/>
  <c r="E344" i="7"/>
  <c r="G344" i="7"/>
  <c r="B343" i="7" a="1"/>
  <c r="D343" i="7" s="1"/>
  <c r="C343" i="7"/>
  <c r="E343" i="7"/>
  <c r="G343" i="7"/>
  <c r="B340" i="7" a="1"/>
  <c r="C340" i="7" s="1"/>
  <c r="B339" i="7" a="1"/>
  <c r="B339" i="7"/>
  <c r="C339" i="7"/>
  <c r="D339" i="7"/>
  <c r="E339" i="7"/>
  <c r="F339" i="7"/>
  <c r="G339" i="7"/>
  <c r="H339" i="7"/>
  <c r="B338" i="7" a="1"/>
  <c r="B338" i="7" s="1"/>
  <c r="B337" i="7" a="1"/>
  <c r="B336" i="7" a="1"/>
  <c r="B336" i="7" s="1"/>
  <c r="E336" i="7"/>
  <c r="B335" i="7" a="1"/>
  <c r="C335" i="7" s="1"/>
  <c r="F335" i="7"/>
  <c r="B334" i="7" a="1"/>
  <c r="B333" i="7" a="1"/>
  <c r="B332" i="7" a="1"/>
  <c r="B331" i="7" a="1"/>
  <c r="B330" i="7" a="1"/>
  <c r="B329" i="7" a="1"/>
  <c r="B328" i="7" a="1"/>
  <c r="B327" i="7" a="1"/>
  <c r="B324" i="7" a="1"/>
  <c r="F324" i="7" s="1"/>
  <c r="C324" i="7"/>
  <c r="E324" i="7"/>
  <c r="B323" i="7" a="1"/>
  <c r="F323" i="7" s="1"/>
  <c r="C323" i="7"/>
  <c r="E323" i="7"/>
  <c r="B322" i="7" a="1"/>
  <c r="C322" i="7" s="1"/>
  <c r="B321" i="7" a="1"/>
  <c r="C321" i="7" s="1"/>
  <c r="B321" i="7"/>
  <c r="D321" i="7"/>
  <c r="F321" i="7"/>
  <c r="H321" i="7"/>
  <c r="B320" i="7" a="1"/>
  <c r="C320" i="7" s="1"/>
  <c r="B320" i="7"/>
  <c r="F320" i="7"/>
  <c r="H320" i="7"/>
  <c r="B319" i="7" a="1"/>
  <c r="C319" i="7" s="1"/>
  <c r="B319" i="7"/>
  <c r="F319" i="7"/>
  <c r="H319" i="7"/>
  <c r="B318" i="7" a="1"/>
  <c r="C318" i="7" s="1"/>
  <c r="B318" i="7"/>
  <c r="B317" i="7" a="1"/>
  <c r="G317" i="7" s="1"/>
  <c r="B317" i="7"/>
  <c r="D317" i="7"/>
  <c r="E317" i="7"/>
  <c r="F317" i="7"/>
  <c r="H317" i="7"/>
  <c r="B316" i="7" a="1"/>
  <c r="G316" i="7" s="1"/>
  <c r="B316" i="7"/>
  <c r="D316" i="7"/>
  <c r="E316" i="7"/>
  <c r="F316" i="7"/>
  <c r="B315" i="7" a="1"/>
  <c r="B315" i="7" s="1"/>
  <c r="D315" i="7"/>
  <c r="H315" i="7"/>
  <c r="B314" i="7" a="1"/>
  <c r="C314" i="7" s="1"/>
  <c r="B314" i="7"/>
  <c r="B313" i="7" a="1"/>
  <c r="C313" i="7" s="1"/>
  <c r="B313" i="7"/>
  <c r="B312" i="7" a="1"/>
  <c r="B312" i="7" s="1"/>
  <c r="C312" i="7"/>
  <c r="B311" i="7" a="1"/>
  <c r="B311" i="7" s="1"/>
  <c r="D311" i="7"/>
  <c r="E311" i="7"/>
  <c r="H311" i="7"/>
  <c r="B308" i="7" a="1"/>
  <c r="B308" i="7" s="1"/>
  <c r="C308" i="7"/>
  <c r="D308" i="7"/>
  <c r="E308" i="7"/>
  <c r="H308" i="7"/>
  <c r="B307" i="7" a="1"/>
  <c r="C307" i="7" s="1"/>
  <c r="B307" i="7"/>
  <c r="B306" i="7" a="1"/>
  <c r="B306" i="7" s="1"/>
  <c r="B305" i="7" a="1"/>
  <c r="C305" i="7" s="1"/>
  <c r="F305" i="7"/>
  <c r="B304" i="7" a="1"/>
  <c r="B304" i="7" s="1"/>
  <c r="B303" i="7" a="1"/>
  <c r="B303" i="7" s="1"/>
  <c r="B302" i="7" a="1"/>
  <c r="H302" i="7" s="1"/>
  <c r="B302" i="7"/>
  <c r="C302" i="7"/>
  <c r="E302" i="7"/>
  <c r="F302" i="7"/>
  <c r="G302" i="7"/>
  <c r="B301" i="7" a="1"/>
  <c r="B301" i="7" s="1"/>
  <c r="C301" i="7"/>
  <c r="D301" i="7"/>
  <c r="H301" i="7"/>
  <c r="B300" i="7" a="1"/>
  <c r="B299" i="7" a="1"/>
  <c r="B298" i="7" a="1"/>
  <c r="B297" i="7" a="1"/>
  <c r="B297" i="7" s="1"/>
  <c r="B296" i="7" a="1"/>
  <c r="C296" i="7" s="1"/>
  <c r="B295" i="7" a="1"/>
  <c r="D295" i="7" s="1"/>
  <c r="B295" i="7"/>
  <c r="C295" i="7"/>
  <c r="F295" i="7"/>
  <c r="G295" i="7"/>
  <c r="I342" i="7"/>
  <c r="I326" i="7"/>
  <c r="I310" i="7"/>
  <c r="I294" i="7"/>
  <c r="D291" i="6"/>
  <c r="C291" i="6"/>
  <c r="D275" i="6"/>
  <c r="C275" i="6"/>
  <c r="D259" i="6"/>
  <c r="C259" i="6"/>
  <c r="D243" i="6"/>
  <c r="C243" i="6"/>
  <c r="B292" i="7" a="1"/>
  <c r="B292" i="7" s="1"/>
  <c r="B291" i="7" a="1"/>
  <c r="G291" i="7" s="1"/>
  <c r="E291" i="7"/>
  <c r="F291" i="7"/>
  <c r="B290" i="7" a="1"/>
  <c r="B290" i="7" s="1"/>
  <c r="B289" i="7" a="1"/>
  <c r="B289" i="7" s="1"/>
  <c r="B288" i="7" a="1"/>
  <c r="D288" i="7" s="1"/>
  <c r="B288" i="7"/>
  <c r="C288" i="7"/>
  <c r="F288" i="7"/>
  <c r="G288" i="7"/>
  <c r="B287" i="7" a="1"/>
  <c r="B287" i="7" s="1"/>
  <c r="B286" i="7" a="1"/>
  <c r="B286" i="7" s="1"/>
  <c r="B285" i="7" a="1"/>
  <c r="C285" i="7" s="1"/>
  <c r="B284" i="7" a="1"/>
  <c r="C284" i="7" s="1"/>
  <c r="B283" i="7" a="1"/>
  <c r="B283" i="7" s="1"/>
  <c r="B282" i="7" a="1"/>
  <c r="C282" i="7" s="1"/>
  <c r="B281" i="7" a="1"/>
  <c r="F281" i="7" s="1"/>
  <c r="D281" i="7"/>
  <c r="E281" i="7"/>
  <c r="H281" i="7"/>
  <c r="B280" i="7" a="1"/>
  <c r="F280" i="7" s="1"/>
  <c r="D280" i="7"/>
  <c r="E280" i="7"/>
  <c r="H280" i="7"/>
  <c r="B279" i="7" a="1"/>
  <c r="C279" i="7" s="1"/>
  <c r="F279" i="7"/>
  <c r="B276" i="7" a="1"/>
  <c r="B275" i="7" a="1"/>
  <c r="B275" i="7" s="1"/>
  <c r="E275" i="7"/>
  <c r="B274" i="7" a="1"/>
  <c r="B273" i="7" a="1"/>
  <c r="H273" i="7" s="1"/>
  <c r="B273" i="7"/>
  <c r="C273" i="7"/>
  <c r="E273" i="7"/>
  <c r="F273" i="7"/>
  <c r="G273" i="7"/>
  <c r="B272" i="7" a="1"/>
  <c r="H272" i="7" s="1"/>
  <c r="B272" i="7"/>
  <c r="C272" i="7"/>
  <c r="F272" i="7"/>
  <c r="G272" i="7"/>
  <c r="B271" i="7" a="1"/>
  <c r="B271" i="7" s="1"/>
  <c r="B270" i="7" a="1"/>
  <c r="C270" i="7" s="1"/>
  <c r="F270" i="7"/>
  <c r="H270" i="7"/>
  <c r="B269" i="7" a="1"/>
  <c r="E269" i="7" s="1"/>
  <c r="B269" i="7"/>
  <c r="C269" i="7"/>
  <c r="D269" i="7"/>
  <c r="F269" i="7"/>
  <c r="G269" i="7"/>
  <c r="H269" i="7"/>
  <c r="B268" i="7" a="1"/>
  <c r="E268" i="7" s="1"/>
  <c r="B268" i="7"/>
  <c r="C268" i="7"/>
  <c r="D268" i="7"/>
  <c r="G268" i="7"/>
  <c r="H268" i="7"/>
  <c r="B267" i="7" a="1"/>
  <c r="B267" i="7" s="1"/>
  <c r="B266" i="7" a="1"/>
  <c r="C266" i="7" s="1"/>
  <c r="B265" i="7" a="1"/>
  <c r="F265" i="7" s="1"/>
  <c r="E265" i="7"/>
  <c r="B264" i="7" a="1"/>
  <c r="F264" i="7" s="1"/>
  <c r="H264" i="7"/>
  <c r="B263" i="7" a="1"/>
  <c r="B263" i="7" s="1"/>
  <c r="E263" i="7"/>
  <c r="B260" i="7" a="1"/>
  <c r="C260" i="7" s="1"/>
  <c r="B259" i="7" a="1"/>
  <c r="F259" i="7" s="1"/>
  <c r="D259" i="7"/>
  <c r="E259" i="7"/>
  <c r="G259" i="7"/>
  <c r="H259" i="7"/>
  <c r="B258" i="7" a="1"/>
  <c r="B257" i="7" a="1"/>
  <c r="B257" i="7" s="1"/>
  <c r="B256" i="7" a="1"/>
  <c r="C256" i="7" s="1"/>
  <c r="B255" i="7" a="1"/>
  <c r="C255" i="7" s="1"/>
  <c r="E255" i="7"/>
  <c r="B254" i="7" a="1"/>
  <c r="C254" i="7" s="1"/>
  <c r="B253" i="7" a="1"/>
  <c r="B253" i="7" s="1"/>
  <c r="B252" i="7" a="1"/>
  <c r="C252" i="7" s="1"/>
  <c r="B251" i="7" a="1"/>
  <c r="C251" i="7" s="1"/>
  <c r="B250" i="7" a="1"/>
  <c r="B249" i="7" a="1"/>
  <c r="H249" i="7" s="1"/>
  <c r="B249" i="7"/>
  <c r="C249" i="7"/>
  <c r="D249" i="7"/>
  <c r="E249" i="7"/>
  <c r="F249" i="7"/>
  <c r="G249" i="7"/>
  <c r="B248" i="7" a="1"/>
  <c r="C248" i="7" s="1"/>
  <c r="B248" i="7"/>
  <c r="E248" i="7"/>
  <c r="F248" i="7"/>
  <c r="B247" i="7" a="1"/>
  <c r="B247" i="7" s="1"/>
  <c r="B244" i="7" a="1"/>
  <c r="B244" i="7" s="1"/>
  <c r="B243" i="7" a="1"/>
  <c r="B243" i="7" s="1"/>
  <c r="B242" i="7" a="1"/>
  <c r="C242" i="7" s="1"/>
  <c r="B242" i="7"/>
  <c r="B241" i="7" a="1"/>
  <c r="C241" i="7" s="1"/>
  <c r="B240" i="7" a="1"/>
  <c r="B240" i="7" s="1"/>
  <c r="C240" i="7"/>
  <c r="B239" i="7" a="1"/>
  <c r="C239" i="7" s="1"/>
  <c r="B238" i="7" a="1"/>
  <c r="B238" i="7" s="1"/>
  <c r="B237" i="7" a="1"/>
  <c r="D237" i="7" s="1"/>
  <c r="B236" i="7" a="1"/>
  <c r="F236" i="7" s="1"/>
  <c r="D236" i="7"/>
  <c r="E236" i="7"/>
  <c r="G236" i="7"/>
  <c r="B235" i="7" a="1"/>
  <c r="C235" i="7" s="1"/>
  <c r="B234" i="7" a="1"/>
  <c r="B234" i="7" s="1"/>
  <c r="B233" i="7" a="1"/>
  <c r="C233" i="7" s="1"/>
  <c r="B232" i="7" a="1"/>
  <c r="B232" i="7" s="1"/>
  <c r="B231" i="7" a="1"/>
  <c r="E231" i="7" s="1"/>
  <c r="B231" i="7"/>
  <c r="C231" i="7"/>
  <c r="D231" i="7"/>
  <c r="F231" i="7"/>
  <c r="I278" i="7"/>
  <c r="I262" i="7"/>
  <c r="I246" i="7"/>
  <c r="I230" i="7"/>
  <c r="D227" i="6"/>
  <c r="C227" i="6"/>
  <c r="D211" i="6"/>
  <c r="C211" i="6"/>
  <c r="D195" i="6"/>
  <c r="C195" i="6"/>
  <c r="D179" i="6"/>
  <c r="C179" i="6"/>
  <c r="B228" i="7" a="1"/>
  <c r="B228" i="7" s="1"/>
  <c r="B227" i="7" a="1"/>
  <c r="G227" i="7" s="1"/>
  <c r="B227" i="7"/>
  <c r="E227" i="7"/>
  <c r="F227" i="7"/>
  <c r="H227" i="7"/>
  <c r="B226" i="7" a="1"/>
  <c r="C226" i="7" s="1"/>
  <c r="B225" i="7" a="1"/>
  <c r="B225" i="7" s="1"/>
  <c r="C225" i="7"/>
  <c r="D225" i="7"/>
  <c r="E225" i="7"/>
  <c r="F225" i="7"/>
  <c r="H225" i="7"/>
  <c r="B224" i="7" a="1"/>
  <c r="C224" i="7" s="1"/>
  <c r="B223" i="7" a="1"/>
  <c r="B223" i="7" s="1"/>
  <c r="E223" i="7"/>
  <c r="B222" i="7" a="1"/>
  <c r="B222" i="7" s="1"/>
  <c r="C222" i="7"/>
  <c r="B221" i="7" a="1"/>
  <c r="B221" i="7"/>
  <c r="C221" i="7"/>
  <c r="D221" i="7"/>
  <c r="E221" i="7"/>
  <c r="F221" i="7"/>
  <c r="G221" i="7"/>
  <c r="H221" i="7"/>
  <c r="B220" i="7" a="1"/>
  <c r="B220" i="7" s="1"/>
  <c r="B219" i="7" a="1"/>
  <c r="B219" i="7" s="1"/>
  <c r="B218" i="7" a="1"/>
  <c r="G218" i="7" s="1"/>
  <c r="B218" i="7"/>
  <c r="B217" i="7" a="1"/>
  <c r="C217" i="7" s="1"/>
  <c r="B216" i="7" a="1"/>
  <c r="F216" i="7" s="1"/>
  <c r="B216" i="7"/>
  <c r="B215" i="7" a="1"/>
  <c r="F215" i="7" s="1"/>
  <c r="B215" i="7"/>
  <c r="C215" i="7"/>
  <c r="B212" i="7" a="1"/>
  <c r="C212" i="7" s="1"/>
  <c r="B211" i="7" a="1"/>
  <c r="C211" i="7" s="1"/>
  <c r="B210" i="7" a="1"/>
  <c r="D210" i="7" s="1"/>
  <c r="B210" i="7"/>
  <c r="B209" i="7" a="1"/>
  <c r="C209" i="7" s="1"/>
  <c r="B208" i="7" a="1"/>
  <c r="C208" i="7" s="1"/>
  <c r="B208" i="7"/>
  <c r="B207" i="7" a="1"/>
  <c r="C207" i="7" s="1"/>
  <c r="B207" i="7"/>
  <c r="D207" i="7"/>
  <c r="B206" i="7" a="1"/>
  <c r="C206" i="7" s="1"/>
  <c r="B206" i="7"/>
  <c r="D206" i="7"/>
  <c r="E206" i="7"/>
  <c r="F206" i="7"/>
  <c r="B205" i="7" a="1"/>
  <c r="C205" i="7" s="1"/>
  <c r="B204" i="7" a="1"/>
  <c r="C204" i="7" s="1"/>
  <c r="B203" i="7" a="1"/>
  <c r="B203" i="7" s="1"/>
  <c r="B202" i="7" a="1"/>
  <c r="H202" i="7" s="1"/>
  <c r="B201" i="7" a="1"/>
  <c r="B201" i="7" s="1"/>
  <c r="B200" i="7" a="1"/>
  <c r="G200" i="7" s="1"/>
  <c r="B199" i="7" a="1"/>
  <c r="C199" i="7" s="1"/>
  <c r="B196" i="7" a="1"/>
  <c r="B196" i="7" s="1"/>
  <c r="B195" i="7" a="1"/>
  <c r="E195" i="7" s="1"/>
  <c r="B194" i="7" a="1"/>
  <c r="B194" i="7" s="1"/>
  <c r="B193" i="7" a="1"/>
  <c r="D193" i="7" s="1"/>
  <c r="B192" i="7" a="1"/>
  <c r="C192" i="7" s="1"/>
  <c r="B191" i="7" a="1"/>
  <c r="C191" i="7" s="1"/>
  <c r="B190" i="7" a="1"/>
  <c r="C190" i="7" s="1"/>
  <c r="B189" i="7" a="1"/>
  <c r="C189" i="7" s="1"/>
  <c r="B188" i="7" a="1"/>
  <c r="C188" i="7" s="1"/>
  <c r="B187" i="7" a="1"/>
  <c r="B187" i="7"/>
  <c r="C187" i="7"/>
  <c r="D187" i="7"/>
  <c r="E187" i="7"/>
  <c r="F187" i="7"/>
  <c r="G187" i="7"/>
  <c r="H187" i="7"/>
  <c r="B186" i="7" a="1"/>
  <c r="C186" i="7" s="1"/>
  <c r="B185" i="7" a="1"/>
  <c r="H185" i="7" s="1"/>
  <c r="F185" i="7"/>
  <c r="G185" i="7"/>
  <c r="B184" i="7" a="1"/>
  <c r="B184" i="7" s="1"/>
  <c r="B183" i="7" a="1"/>
  <c r="G183" i="7" s="1"/>
  <c r="H183" i="7"/>
  <c r="B180" i="7" a="1"/>
  <c r="C180" i="7" s="1"/>
  <c r="B179" i="7" a="1"/>
  <c r="C179" i="7" s="1"/>
  <c r="B178" i="7" a="1"/>
  <c r="E178" i="7" s="1"/>
  <c r="B178" i="7"/>
  <c r="D178" i="7"/>
  <c r="F178" i="7"/>
  <c r="G178" i="7"/>
  <c r="H178" i="7"/>
  <c r="B177" i="7" a="1"/>
  <c r="B177" i="7" s="1"/>
  <c r="B176" i="7" a="1"/>
  <c r="C176" i="7" s="1"/>
  <c r="B175" i="7" a="1"/>
  <c r="B175" i="7" s="1"/>
  <c r="B174" i="7" a="1"/>
  <c r="B173" i="7" a="1"/>
  <c r="C173" i="7" s="1"/>
  <c r="B172" i="7" a="1"/>
  <c r="C172" i="7" s="1"/>
  <c r="B171" i="7" a="1"/>
  <c r="E171" i="7" s="1"/>
  <c r="B170" i="7" a="1"/>
  <c r="C170" i="7" s="1"/>
  <c r="B169" i="7" a="1"/>
  <c r="D169" i="7" s="1"/>
  <c r="B168" i="7" a="1"/>
  <c r="C168" i="7" s="1"/>
  <c r="B167" i="7" a="1"/>
  <c r="B167" i="7" s="1"/>
  <c r="I214" i="7"/>
  <c r="I198" i="7"/>
  <c r="I182" i="7"/>
  <c r="I166" i="7"/>
  <c r="E183" i="7" l="1"/>
  <c r="E185" i="7"/>
  <c r="H190" i="7"/>
  <c r="G191" i="7"/>
  <c r="G193" i="7"/>
  <c r="G195" i="7"/>
  <c r="H200" i="7"/>
  <c r="G202" i="7"/>
  <c r="H208" i="7"/>
  <c r="H210" i="7"/>
  <c r="E169" i="7"/>
  <c r="B174" i="7"/>
  <c r="E174" i="7"/>
  <c r="C178" i="7"/>
  <c r="I178" i="7" s="1"/>
  <c r="D183" i="7"/>
  <c r="D185" i="7"/>
  <c r="G190" i="7"/>
  <c r="F191" i="7"/>
  <c r="F193" i="7"/>
  <c r="F195" i="7"/>
  <c r="F200" i="7"/>
  <c r="F202" i="7"/>
  <c r="H207" i="7"/>
  <c r="G208" i="7"/>
  <c r="I208" i="7" s="1"/>
  <c r="G210" i="7"/>
  <c r="H215" i="7"/>
  <c r="G216" i="7"/>
  <c r="F218" i="7"/>
  <c r="H222" i="7"/>
  <c r="G228" i="7"/>
  <c r="E232" i="7"/>
  <c r="H236" i="7"/>
  <c r="F237" i="7"/>
  <c r="F240" i="7"/>
  <c r="H255" i="7"/>
  <c r="B333" i="7"/>
  <c r="C333" i="7"/>
  <c r="D333" i="7"/>
  <c r="E333" i="7"/>
  <c r="F333" i="7"/>
  <c r="G333" i="7"/>
  <c r="H333" i="7"/>
  <c r="F169" i="7"/>
  <c r="C169" i="7"/>
  <c r="C183" i="7"/>
  <c r="C185" i="7"/>
  <c r="F190" i="7"/>
  <c r="E191" i="7"/>
  <c r="E193" i="7"/>
  <c r="D195" i="7"/>
  <c r="E200" i="7"/>
  <c r="E202" i="7"/>
  <c r="H206" i="7"/>
  <c r="G207" i="7"/>
  <c r="F208" i="7"/>
  <c r="F210" i="7"/>
  <c r="G215" i="7"/>
  <c r="E216" i="7"/>
  <c r="E218" i="7"/>
  <c r="G222" i="7"/>
  <c r="F228" i="7"/>
  <c r="D232" i="7"/>
  <c r="E237" i="7"/>
  <c r="B256" i="7"/>
  <c r="F256" i="7"/>
  <c r="G256" i="7"/>
  <c r="B274" i="7"/>
  <c r="E274" i="7"/>
  <c r="B334" i="7"/>
  <c r="C334" i="7"/>
  <c r="D334" i="7"/>
  <c r="E334" i="7"/>
  <c r="F334" i="7"/>
  <c r="G334" i="7"/>
  <c r="H334" i="7"/>
  <c r="H169" i="7"/>
  <c r="F183" i="7"/>
  <c r="B169" i="7"/>
  <c r="B183" i="7"/>
  <c r="B185" i="7"/>
  <c r="E190" i="7"/>
  <c r="D191" i="7"/>
  <c r="C193" i="7"/>
  <c r="C195" i="7"/>
  <c r="D200" i="7"/>
  <c r="D202" i="7"/>
  <c r="G206" i="7"/>
  <c r="F207" i="7"/>
  <c r="I207" i="7" s="1"/>
  <c r="E208" i="7"/>
  <c r="E210" i="7"/>
  <c r="E215" i="7"/>
  <c r="D216" i="7"/>
  <c r="D218" i="7"/>
  <c r="E222" i="7"/>
  <c r="G225" i="7"/>
  <c r="E228" i="7"/>
  <c r="I228" i="7" s="1"/>
  <c r="C232" i="7"/>
  <c r="E242" i="7"/>
  <c r="F242" i="7"/>
  <c r="D255" i="7"/>
  <c r="G265" i="7"/>
  <c r="B265" i="7"/>
  <c r="C265" i="7"/>
  <c r="D265" i="7"/>
  <c r="B327" i="7"/>
  <c r="D327" i="7"/>
  <c r="E327" i="7"/>
  <c r="H327" i="7"/>
  <c r="D190" i="7"/>
  <c r="B191" i="7"/>
  <c r="B193" i="7"/>
  <c r="B195" i="7"/>
  <c r="C200" i="7"/>
  <c r="C202" i="7"/>
  <c r="E207" i="7"/>
  <c r="D208" i="7"/>
  <c r="C210" i="7"/>
  <c r="I210" i="7" s="1"/>
  <c r="D215" i="7"/>
  <c r="C216" i="7"/>
  <c r="C218" i="7"/>
  <c r="D222" i="7"/>
  <c r="B237" i="7"/>
  <c r="C237" i="7"/>
  <c r="D240" i="7"/>
  <c r="E240" i="7"/>
  <c r="E243" i="7"/>
  <c r="B250" i="7"/>
  <c r="E250" i="7"/>
  <c r="C258" i="7"/>
  <c r="B258" i="7"/>
  <c r="F258" i="7"/>
  <c r="C298" i="7"/>
  <c r="B298" i="7"/>
  <c r="F298" i="7"/>
  <c r="B328" i="7"/>
  <c r="C328" i="7"/>
  <c r="D328" i="7"/>
  <c r="E328" i="7"/>
  <c r="F328" i="7"/>
  <c r="G328" i="7"/>
  <c r="H328" i="7"/>
  <c r="B190" i="7"/>
  <c r="B200" i="7"/>
  <c r="B202" i="7"/>
  <c r="I202" i="7" s="1"/>
  <c r="C228" i="7"/>
  <c r="D228" i="7"/>
  <c r="G232" i="7"/>
  <c r="H232" i="7"/>
  <c r="B255" i="7"/>
  <c r="F255" i="7"/>
  <c r="G255" i="7"/>
  <c r="B276" i="7"/>
  <c r="C276" i="7"/>
  <c r="D276" i="7"/>
  <c r="E276" i="7"/>
  <c r="G276" i="7"/>
  <c r="H276" i="7"/>
  <c r="B299" i="7"/>
  <c r="C299" i="7"/>
  <c r="D299" i="7"/>
  <c r="E299" i="7"/>
  <c r="F299" i="7"/>
  <c r="G299" i="7"/>
  <c r="H299" i="7"/>
  <c r="B329" i="7"/>
  <c r="C329" i="7"/>
  <c r="D329" i="7"/>
  <c r="E329" i="7"/>
  <c r="F329" i="7"/>
  <c r="G329" i="7"/>
  <c r="H329" i="7"/>
  <c r="B236" i="7"/>
  <c r="C236" i="7"/>
  <c r="H242" i="7"/>
  <c r="H256" i="7"/>
  <c r="B300" i="7"/>
  <c r="C300" i="7"/>
  <c r="D300" i="7"/>
  <c r="E300" i="7"/>
  <c r="F300" i="7"/>
  <c r="G300" i="7"/>
  <c r="H300" i="7"/>
  <c r="B330" i="7"/>
  <c r="C330" i="7"/>
  <c r="D330" i="7"/>
  <c r="E330" i="7"/>
  <c r="F330" i="7"/>
  <c r="G330" i="7"/>
  <c r="H330" i="7"/>
  <c r="G169" i="7"/>
  <c r="C227" i="7"/>
  <c r="I227" i="7" s="1"/>
  <c r="D227" i="7"/>
  <c r="G231" i="7"/>
  <c r="H231" i="7"/>
  <c r="H237" i="7"/>
  <c r="H240" i="7"/>
  <c r="G242" i="7"/>
  <c r="C244" i="7"/>
  <c r="E244" i="7"/>
  <c r="F244" i="7"/>
  <c r="E256" i="7"/>
  <c r="C264" i="7"/>
  <c r="B264" i="7"/>
  <c r="D264" i="7"/>
  <c r="E264" i="7"/>
  <c r="B331" i="7"/>
  <c r="C331" i="7"/>
  <c r="D331" i="7"/>
  <c r="E331" i="7"/>
  <c r="F331" i="7"/>
  <c r="G331" i="7"/>
  <c r="H331" i="7"/>
  <c r="B337" i="7"/>
  <c r="C337" i="7"/>
  <c r="D337" i="7"/>
  <c r="E337" i="7"/>
  <c r="G337" i="7"/>
  <c r="H337" i="7"/>
  <c r="H191" i="7"/>
  <c r="H193" i="7"/>
  <c r="I193" i="7" s="1"/>
  <c r="H195" i="7"/>
  <c r="H216" i="7"/>
  <c r="H218" i="7"/>
  <c r="H228" i="7"/>
  <c r="F232" i="7"/>
  <c r="G237" i="7"/>
  <c r="G240" i="7"/>
  <c r="D242" i="7"/>
  <c r="D256" i="7"/>
  <c r="H265" i="7"/>
  <c r="B332" i="7"/>
  <c r="C332" i="7"/>
  <c r="D332" i="7"/>
  <c r="E332" i="7"/>
  <c r="F332" i="7"/>
  <c r="G332" i="7"/>
  <c r="H332" i="7"/>
  <c r="D323" i="7"/>
  <c r="D324" i="7"/>
  <c r="H335" i="7"/>
  <c r="D336" i="7"/>
  <c r="B343" i="7"/>
  <c r="B344" i="7"/>
  <c r="D345" i="7"/>
  <c r="D347" i="7"/>
  <c r="E349" i="7"/>
  <c r="B351" i="7"/>
  <c r="F354" i="7"/>
  <c r="G356" i="7"/>
  <c r="C259" i="7"/>
  <c r="F268" i="7"/>
  <c r="E270" i="7"/>
  <c r="E272" i="7"/>
  <c r="E279" i="7"/>
  <c r="C280" i="7"/>
  <c r="C281" i="7"/>
  <c r="D291" i="7"/>
  <c r="G301" i="7"/>
  <c r="E305" i="7"/>
  <c r="H313" i="7"/>
  <c r="H314" i="7"/>
  <c r="F322" i="7"/>
  <c r="C345" i="7"/>
  <c r="E354" i="7"/>
  <c r="F356" i="7"/>
  <c r="B259" i="7"/>
  <c r="D270" i="7"/>
  <c r="D272" i="7"/>
  <c r="D273" i="7"/>
  <c r="B279" i="7"/>
  <c r="B280" i="7"/>
  <c r="B281" i="7"/>
  <c r="H288" i="7"/>
  <c r="E289" i="7"/>
  <c r="C291" i="7"/>
  <c r="H295" i="7"/>
  <c r="E301" i="7"/>
  <c r="D302" i="7"/>
  <c r="B305" i="7"/>
  <c r="G308" i="7"/>
  <c r="G313" i="7"/>
  <c r="G314" i="7"/>
  <c r="E315" i="7"/>
  <c r="C316" i="7"/>
  <c r="C317" i="7"/>
  <c r="G319" i="7"/>
  <c r="G320" i="7"/>
  <c r="G321" i="7"/>
  <c r="B322" i="7"/>
  <c r="B323" i="7"/>
  <c r="B324" i="7"/>
  <c r="E335" i="7"/>
  <c r="H343" i="7"/>
  <c r="H344" i="7"/>
  <c r="E346" i="7"/>
  <c r="D354" i="7"/>
  <c r="E356" i="7"/>
  <c r="B270" i="7"/>
  <c r="B291" i="7"/>
  <c r="E297" i="7"/>
  <c r="H312" i="7"/>
  <c r="F313" i="7"/>
  <c r="F314" i="7"/>
  <c r="D335" i="7"/>
  <c r="F353" i="7"/>
  <c r="C354" i="7"/>
  <c r="D356" i="7"/>
  <c r="G312" i="7"/>
  <c r="E313" i="7"/>
  <c r="E314" i="7"/>
  <c r="E319" i="7"/>
  <c r="E320" i="7"/>
  <c r="E321" i="7"/>
  <c r="H323" i="7"/>
  <c r="H324" i="7"/>
  <c r="B335" i="7"/>
  <c r="F343" i="7"/>
  <c r="F344" i="7"/>
  <c r="I344" i="7" s="1"/>
  <c r="B353" i="7"/>
  <c r="C356" i="7"/>
  <c r="G280" i="7"/>
  <c r="G281" i="7"/>
  <c r="E288" i="7"/>
  <c r="H291" i="7"/>
  <c r="E295" i="7"/>
  <c r="F307" i="7"/>
  <c r="E312" i="7"/>
  <c r="D313" i="7"/>
  <c r="D314" i="7"/>
  <c r="H316" i="7"/>
  <c r="F318" i="7"/>
  <c r="D319" i="7"/>
  <c r="D320" i="7"/>
  <c r="G323" i="7"/>
  <c r="G324" i="7"/>
  <c r="E307" i="7"/>
  <c r="D312" i="7"/>
  <c r="E318" i="7"/>
  <c r="H336" i="7"/>
  <c r="F355" i="7"/>
  <c r="B355" i="7"/>
  <c r="E355" i="7"/>
  <c r="H355" i="7"/>
  <c r="D355" i="7"/>
  <c r="G355" i="7"/>
  <c r="E353" i="7"/>
  <c r="H353" i="7"/>
  <c r="D353" i="7"/>
  <c r="G353" i="7"/>
  <c r="F352" i="7"/>
  <c r="B352" i="7"/>
  <c r="I352" i="7" s="1"/>
  <c r="E352" i="7"/>
  <c r="H352" i="7"/>
  <c r="D352" i="7"/>
  <c r="G352" i="7"/>
  <c r="H351" i="7"/>
  <c r="D351" i="7"/>
  <c r="G351" i="7"/>
  <c r="E350" i="7"/>
  <c r="D350" i="7"/>
  <c r="G350" i="7"/>
  <c r="C350" i="7"/>
  <c r="H350" i="7"/>
  <c r="F350" i="7"/>
  <c r="H348" i="7"/>
  <c r="D348" i="7"/>
  <c r="G348" i="7"/>
  <c r="I348" i="7" s="1"/>
  <c r="C348" i="7"/>
  <c r="F348" i="7"/>
  <c r="B348" i="7"/>
  <c r="H346" i="7"/>
  <c r="D346" i="7"/>
  <c r="G346" i="7"/>
  <c r="C346" i="7"/>
  <c r="F346" i="7"/>
  <c r="F340" i="7"/>
  <c r="B340" i="7"/>
  <c r="E340" i="7"/>
  <c r="H340" i="7"/>
  <c r="D340" i="7"/>
  <c r="G340" i="7"/>
  <c r="E338" i="7"/>
  <c r="D338" i="7"/>
  <c r="G338" i="7"/>
  <c r="C338" i="7"/>
  <c r="H338" i="7"/>
  <c r="F338" i="7"/>
  <c r="F337" i="7"/>
  <c r="G336" i="7"/>
  <c r="C336" i="7"/>
  <c r="F336" i="7"/>
  <c r="G335" i="7"/>
  <c r="G327" i="7"/>
  <c r="C327" i="7"/>
  <c r="F327" i="7"/>
  <c r="E322" i="7"/>
  <c r="H322" i="7"/>
  <c r="D322" i="7"/>
  <c r="G322" i="7"/>
  <c r="H318" i="7"/>
  <c r="D318" i="7"/>
  <c r="G318" i="7"/>
  <c r="G315" i="7"/>
  <c r="C315" i="7"/>
  <c r="F315" i="7"/>
  <c r="F312" i="7"/>
  <c r="G311" i="7"/>
  <c r="C311" i="7"/>
  <c r="F311" i="7"/>
  <c r="F308" i="7"/>
  <c r="H307" i="7"/>
  <c r="D307" i="7"/>
  <c r="G307" i="7"/>
  <c r="E306" i="7"/>
  <c r="D306" i="7"/>
  <c r="G306" i="7"/>
  <c r="C306" i="7"/>
  <c r="H306" i="7"/>
  <c r="F306" i="7"/>
  <c r="H305" i="7"/>
  <c r="D305" i="7"/>
  <c r="G305" i="7"/>
  <c r="E304" i="7"/>
  <c r="H304" i="7"/>
  <c r="D304" i="7"/>
  <c r="G304" i="7"/>
  <c r="C304" i="7"/>
  <c r="F304" i="7"/>
  <c r="E303" i="7"/>
  <c r="H303" i="7"/>
  <c r="D303" i="7"/>
  <c r="G303" i="7"/>
  <c r="C303" i="7"/>
  <c r="F303" i="7"/>
  <c r="F301" i="7"/>
  <c r="E298" i="7"/>
  <c r="H298" i="7"/>
  <c r="D298" i="7"/>
  <c r="G298" i="7"/>
  <c r="H297" i="7"/>
  <c r="D297" i="7"/>
  <c r="G297" i="7"/>
  <c r="C297" i="7"/>
  <c r="F297" i="7"/>
  <c r="F296" i="7"/>
  <c r="B296" i="7"/>
  <c r="E296" i="7"/>
  <c r="H296" i="7"/>
  <c r="D296" i="7"/>
  <c r="G296" i="7"/>
  <c r="I356" i="7"/>
  <c r="E292" i="7"/>
  <c r="H292" i="7"/>
  <c r="D292" i="7"/>
  <c r="G292" i="7"/>
  <c r="C292" i="7"/>
  <c r="F292" i="7"/>
  <c r="E290" i="7"/>
  <c r="H290" i="7"/>
  <c r="D290" i="7"/>
  <c r="G290" i="7"/>
  <c r="C290" i="7"/>
  <c r="F290" i="7"/>
  <c r="H289" i="7"/>
  <c r="D289" i="7"/>
  <c r="G289" i="7"/>
  <c r="C289" i="7"/>
  <c r="F289" i="7"/>
  <c r="E287" i="7"/>
  <c r="H287" i="7"/>
  <c r="D287" i="7"/>
  <c r="G287" i="7"/>
  <c r="C287" i="7"/>
  <c r="F287" i="7"/>
  <c r="D286" i="7"/>
  <c r="G286" i="7"/>
  <c r="C286" i="7"/>
  <c r="E286" i="7"/>
  <c r="H286" i="7"/>
  <c r="F286" i="7"/>
  <c r="F285" i="7"/>
  <c r="B285" i="7"/>
  <c r="E285" i="7"/>
  <c r="H285" i="7"/>
  <c r="D285" i="7"/>
  <c r="G285" i="7"/>
  <c r="F284" i="7"/>
  <c r="B284" i="7"/>
  <c r="E284" i="7"/>
  <c r="H284" i="7"/>
  <c r="D284" i="7"/>
  <c r="G284" i="7"/>
  <c r="E283" i="7"/>
  <c r="H283" i="7"/>
  <c r="D283" i="7"/>
  <c r="G283" i="7"/>
  <c r="C283" i="7"/>
  <c r="F283" i="7"/>
  <c r="F282" i="7"/>
  <c r="B282" i="7"/>
  <c r="E282" i="7"/>
  <c r="H282" i="7"/>
  <c r="D282" i="7"/>
  <c r="G282" i="7"/>
  <c r="H279" i="7"/>
  <c r="D279" i="7"/>
  <c r="G279" i="7"/>
  <c r="F276" i="7"/>
  <c r="H275" i="7"/>
  <c r="D275" i="7"/>
  <c r="G275" i="7"/>
  <c r="C275" i="7"/>
  <c r="F275" i="7"/>
  <c r="H274" i="7"/>
  <c r="D274" i="7"/>
  <c r="G274" i="7"/>
  <c r="C274" i="7"/>
  <c r="F274" i="7"/>
  <c r="E271" i="7"/>
  <c r="H271" i="7"/>
  <c r="D271" i="7"/>
  <c r="G271" i="7"/>
  <c r="C271" i="7"/>
  <c r="F271" i="7"/>
  <c r="G270" i="7"/>
  <c r="E267" i="7"/>
  <c r="H267" i="7"/>
  <c r="D267" i="7"/>
  <c r="G267" i="7"/>
  <c r="C267" i="7"/>
  <c r="F267" i="7"/>
  <c r="F266" i="7"/>
  <c r="B266" i="7"/>
  <c r="E266" i="7"/>
  <c r="H266" i="7"/>
  <c r="D266" i="7"/>
  <c r="G266" i="7"/>
  <c r="G264" i="7"/>
  <c r="H263" i="7"/>
  <c r="D263" i="7"/>
  <c r="G263" i="7"/>
  <c r="C263" i="7"/>
  <c r="F263" i="7"/>
  <c r="F260" i="7"/>
  <c r="B260" i="7"/>
  <c r="E260" i="7"/>
  <c r="H260" i="7"/>
  <c r="D260" i="7"/>
  <c r="G260" i="7"/>
  <c r="E258" i="7"/>
  <c r="H258" i="7"/>
  <c r="D258" i="7"/>
  <c r="G258" i="7"/>
  <c r="E257" i="7"/>
  <c r="H257" i="7"/>
  <c r="D257" i="7"/>
  <c r="G257" i="7"/>
  <c r="C257" i="7"/>
  <c r="F257" i="7"/>
  <c r="F254" i="7"/>
  <c r="B254" i="7"/>
  <c r="E254" i="7"/>
  <c r="H254" i="7"/>
  <c r="D254" i="7"/>
  <c r="G254" i="7"/>
  <c r="E253" i="7"/>
  <c r="H253" i="7"/>
  <c r="D253" i="7"/>
  <c r="G253" i="7"/>
  <c r="C253" i="7"/>
  <c r="F253" i="7"/>
  <c r="F252" i="7"/>
  <c r="B252" i="7"/>
  <c r="E252" i="7"/>
  <c r="H252" i="7"/>
  <c r="D252" i="7"/>
  <c r="G252" i="7"/>
  <c r="F251" i="7"/>
  <c r="B251" i="7"/>
  <c r="E251" i="7"/>
  <c r="H251" i="7"/>
  <c r="D251" i="7"/>
  <c r="G251" i="7"/>
  <c r="H250" i="7"/>
  <c r="D250" i="7"/>
  <c r="G250" i="7"/>
  <c r="C250" i="7"/>
  <c r="F250" i="7"/>
  <c r="H248" i="7"/>
  <c r="D248" i="7"/>
  <c r="G248" i="7"/>
  <c r="E247" i="7"/>
  <c r="H247" i="7"/>
  <c r="D247" i="7"/>
  <c r="G247" i="7"/>
  <c r="C247" i="7"/>
  <c r="F247" i="7"/>
  <c r="H244" i="7"/>
  <c r="D244" i="7"/>
  <c r="G244" i="7"/>
  <c r="H243" i="7"/>
  <c r="D243" i="7"/>
  <c r="G243" i="7"/>
  <c r="C243" i="7"/>
  <c r="F243" i="7"/>
  <c r="F241" i="7"/>
  <c r="B241" i="7"/>
  <c r="E241" i="7"/>
  <c r="H241" i="7"/>
  <c r="D241" i="7"/>
  <c r="G241" i="7"/>
  <c r="F239" i="7"/>
  <c r="B239" i="7"/>
  <c r="E239" i="7"/>
  <c r="H239" i="7"/>
  <c r="D239" i="7"/>
  <c r="G239" i="7"/>
  <c r="H238" i="7"/>
  <c r="D238" i="7"/>
  <c r="E238" i="7"/>
  <c r="G238" i="7"/>
  <c r="C238" i="7"/>
  <c r="F238" i="7"/>
  <c r="F235" i="7"/>
  <c r="B235" i="7"/>
  <c r="E235" i="7"/>
  <c r="H235" i="7"/>
  <c r="D235" i="7"/>
  <c r="G235" i="7"/>
  <c r="E234" i="7"/>
  <c r="H234" i="7"/>
  <c r="D234" i="7"/>
  <c r="G234" i="7"/>
  <c r="C234" i="7"/>
  <c r="F234" i="7"/>
  <c r="F233" i="7"/>
  <c r="B233" i="7"/>
  <c r="E233" i="7"/>
  <c r="H233" i="7"/>
  <c r="D233" i="7"/>
  <c r="G233" i="7"/>
  <c r="F226" i="7"/>
  <c r="B226" i="7"/>
  <c r="E226" i="7"/>
  <c r="H226" i="7"/>
  <c r="D226" i="7"/>
  <c r="G226" i="7"/>
  <c r="F224" i="7"/>
  <c r="B224" i="7"/>
  <c r="E224" i="7"/>
  <c r="H224" i="7"/>
  <c r="D224" i="7"/>
  <c r="G224" i="7"/>
  <c r="H223" i="7"/>
  <c r="D223" i="7"/>
  <c r="G223" i="7"/>
  <c r="C223" i="7"/>
  <c r="I223" i="7" s="1"/>
  <c r="F223" i="7"/>
  <c r="F222" i="7"/>
  <c r="E220" i="7"/>
  <c r="I220" i="7" s="1"/>
  <c r="D220" i="7"/>
  <c r="G220" i="7"/>
  <c r="C220" i="7"/>
  <c r="H220" i="7"/>
  <c r="F220" i="7"/>
  <c r="E219" i="7"/>
  <c r="H219" i="7"/>
  <c r="D219" i="7"/>
  <c r="I219" i="7" s="1"/>
  <c r="G219" i="7"/>
  <c r="C219" i="7"/>
  <c r="F219" i="7"/>
  <c r="F217" i="7"/>
  <c r="B217" i="7"/>
  <c r="E217" i="7"/>
  <c r="H217" i="7"/>
  <c r="D217" i="7"/>
  <c r="G217" i="7"/>
  <c r="F212" i="7"/>
  <c r="B212" i="7"/>
  <c r="I212" i="7" s="1"/>
  <c r="E212" i="7"/>
  <c r="H212" i="7"/>
  <c r="D212" i="7"/>
  <c r="G212" i="7"/>
  <c r="F211" i="7"/>
  <c r="B211" i="7"/>
  <c r="E211" i="7"/>
  <c r="H211" i="7"/>
  <c r="D211" i="7"/>
  <c r="G211" i="7"/>
  <c r="F209" i="7"/>
  <c r="B209" i="7"/>
  <c r="E209" i="7"/>
  <c r="I209" i="7" s="1"/>
  <c r="H209" i="7"/>
  <c r="D209" i="7"/>
  <c r="G209" i="7"/>
  <c r="F205" i="7"/>
  <c r="B205" i="7"/>
  <c r="E205" i="7"/>
  <c r="H205" i="7"/>
  <c r="D205" i="7"/>
  <c r="G205" i="7"/>
  <c r="F204" i="7"/>
  <c r="B204" i="7"/>
  <c r="I204" i="7" s="1"/>
  <c r="E204" i="7"/>
  <c r="H204" i="7"/>
  <c r="D204" i="7"/>
  <c r="G204" i="7"/>
  <c r="E203" i="7"/>
  <c r="D203" i="7"/>
  <c r="G203" i="7"/>
  <c r="C203" i="7"/>
  <c r="H203" i="7"/>
  <c r="F203" i="7"/>
  <c r="D201" i="7"/>
  <c r="G201" i="7"/>
  <c r="C201" i="7"/>
  <c r="E201" i="7"/>
  <c r="H201" i="7"/>
  <c r="F201" i="7"/>
  <c r="F199" i="7"/>
  <c r="B199" i="7"/>
  <c r="E199" i="7"/>
  <c r="H199" i="7"/>
  <c r="D199" i="7"/>
  <c r="G199" i="7"/>
  <c r="E196" i="7"/>
  <c r="H196" i="7"/>
  <c r="D196" i="7"/>
  <c r="G196" i="7"/>
  <c r="C196" i="7"/>
  <c r="I196" i="7" s="1"/>
  <c r="F196" i="7"/>
  <c r="E194" i="7"/>
  <c r="H194" i="7"/>
  <c r="G194" i="7"/>
  <c r="C194" i="7"/>
  <c r="D194" i="7"/>
  <c r="F194" i="7"/>
  <c r="F192" i="7"/>
  <c r="B192" i="7"/>
  <c r="E192" i="7"/>
  <c r="H192" i="7"/>
  <c r="D192" i="7"/>
  <c r="G192" i="7"/>
  <c r="F189" i="7"/>
  <c r="B189" i="7"/>
  <c r="E189" i="7"/>
  <c r="H189" i="7"/>
  <c r="D189" i="7"/>
  <c r="G189" i="7"/>
  <c r="F188" i="7"/>
  <c r="B188" i="7"/>
  <c r="E188" i="7"/>
  <c r="H188" i="7"/>
  <c r="D188" i="7"/>
  <c r="G188" i="7"/>
  <c r="F186" i="7"/>
  <c r="B186" i="7"/>
  <c r="E186" i="7"/>
  <c r="H186" i="7"/>
  <c r="D186" i="7"/>
  <c r="G186" i="7"/>
  <c r="E184" i="7"/>
  <c r="H184" i="7"/>
  <c r="D184" i="7"/>
  <c r="G184" i="7"/>
  <c r="C184" i="7"/>
  <c r="F184" i="7"/>
  <c r="F180" i="7"/>
  <c r="B180" i="7"/>
  <c r="E180" i="7"/>
  <c r="H180" i="7"/>
  <c r="D180" i="7"/>
  <c r="G180" i="7"/>
  <c r="F179" i="7"/>
  <c r="B179" i="7"/>
  <c r="E179" i="7"/>
  <c r="H179" i="7"/>
  <c r="D179" i="7"/>
  <c r="G179" i="7"/>
  <c r="E177" i="7"/>
  <c r="H177" i="7"/>
  <c r="D177" i="7"/>
  <c r="G177" i="7"/>
  <c r="C177" i="7"/>
  <c r="F177" i="7"/>
  <c r="F176" i="7"/>
  <c r="B176" i="7"/>
  <c r="E176" i="7"/>
  <c r="H176" i="7"/>
  <c r="D176" i="7"/>
  <c r="G176" i="7"/>
  <c r="E175" i="7"/>
  <c r="H175" i="7"/>
  <c r="D175" i="7"/>
  <c r="G175" i="7"/>
  <c r="C175" i="7"/>
  <c r="F175" i="7"/>
  <c r="H174" i="7"/>
  <c r="D174" i="7"/>
  <c r="G174" i="7"/>
  <c r="C174" i="7"/>
  <c r="I174" i="7" s="1"/>
  <c r="F174" i="7"/>
  <c r="F173" i="7"/>
  <c r="B173" i="7"/>
  <c r="E173" i="7"/>
  <c r="H173" i="7"/>
  <c r="D173" i="7"/>
  <c r="G173" i="7"/>
  <c r="F172" i="7"/>
  <c r="B172" i="7"/>
  <c r="E172" i="7"/>
  <c r="H172" i="7"/>
  <c r="D172" i="7"/>
  <c r="G172" i="7"/>
  <c r="H171" i="7"/>
  <c r="D171" i="7"/>
  <c r="G171" i="7"/>
  <c r="C171" i="7"/>
  <c r="F171" i="7"/>
  <c r="B171" i="7"/>
  <c r="F170" i="7"/>
  <c r="B170" i="7"/>
  <c r="E170" i="7"/>
  <c r="H170" i="7"/>
  <c r="D170" i="7"/>
  <c r="G170" i="7"/>
  <c r="F168" i="7"/>
  <c r="B168" i="7"/>
  <c r="E168" i="7"/>
  <c r="H168" i="7"/>
  <c r="D168" i="7"/>
  <c r="G168" i="7"/>
  <c r="E167" i="7"/>
  <c r="H167" i="7"/>
  <c r="D167" i="7"/>
  <c r="G167" i="7"/>
  <c r="C167" i="7"/>
  <c r="F167" i="7"/>
  <c r="I215" i="7"/>
  <c r="I216" i="7"/>
  <c r="I200" i="7"/>
  <c r="I206" i="7"/>
  <c r="I185" i="7"/>
  <c r="I187" i="7"/>
  <c r="I188" i="7" l="1"/>
  <c r="I224" i="7"/>
  <c r="I190" i="7"/>
  <c r="I194" i="7"/>
  <c r="I350" i="7"/>
  <c r="I173" i="7"/>
  <c r="I177" i="7"/>
  <c r="I176" i="7"/>
  <c r="I354" i="7"/>
  <c r="I346" i="7"/>
  <c r="I355" i="7"/>
  <c r="I351" i="7"/>
  <c r="I347" i="7"/>
  <c r="I343" i="7"/>
  <c r="I353" i="7"/>
  <c r="I349" i="7"/>
  <c r="I345" i="7"/>
  <c r="I338" i="7"/>
  <c r="I330" i="7"/>
  <c r="I337" i="7"/>
  <c r="I333" i="7"/>
  <c r="I329" i="7"/>
  <c r="I340" i="7"/>
  <c r="I336" i="7"/>
  <c r="I332" i="7"/>
  <c r="I328" i="7"/>
  <c r="I334" i="7"/>
  <c r="I339" i="7"/>
  <c r="I335" i="7"/>
  <c r="I331" i="7"/>
  <c r="I327" i="7"/>
  <c r="I322" i="7"/>
  <c r="I314" i="7"/>
  <c r="I321" i="7"/>
  <c r="I317" i="7"/>
  <c r="I313" i="7"/>
  <c r="I324" i="7"/>
  <c r="I320" i="7"/>
  <c r="I316" i="7"/>
  <c r="I312" i="7"/>
  <c r="I318" i="7"/>
  <c r="I323" i="7"/>
  <c r="I319" i="7"/>
  <c r="I315" i="7"/>
  <c r="I311" i="7"/>
  <c r="I302" i="7"/>
  <c r="I305" i="7"/>
  <c r="I303" i="7"/>
  <c r="I299" i="7"/>
  <c r="I295" i="7"/>
  <c r="I308" i="7"/>
  <c r="I304" i="7"/>
  <c r="I300" i="7"/>
  <c r="I296" i="7"/>
  <c r="I306" i="7"/>
  <c r="I298" i="7"/>
  <c r="I307" i="7"/>
  <c r="I301" i="7"/>
  <c r="I297" i="7"/>
  <c r="I282" i="7"/>
  <c r="I289" i="7"/>
  <c r="I285" i="7"/>
  <c r="I279" i="7"/>
  <c r="I292" i="7"/>
  <c r="I288" i="7"/>
  <c r="I284" i="7"/>
  <c r="I280" i="7"/>
  <c r="I291" i="7"/>
  <c r="I287" i="7"/>
  <c r="I283" i="7"/>
  <c r="I290" i="7"/>
  <c r="I286" i="7"/>
  <c r="I281" i="7"/>
  <c r="I274" i="7"/>
  <c r="I270" i="7"/>
  <c r="I266" i="7"/>
  <c r="I276" i="7"/>
  <c r="I272" i="7"/>
  <c r="I268" i="7"/>
  <c r="I264" i="7"/>
  <c r="I275" i="7"/>
  <c r="I273" i="7"/>
  <c r="I271" i="7"/>
  <c r="I269" i="7"/>
  <c r="I267" i="7"/>
  <c r="I265" i="7"/>
  <c r="I263" i="7"/>
  <c r="I258" i="7"/>
  <c r="I254" i="7"/>
  <c r="I250" i="7"/>
  <c r="I259" i="7"/>
  <c r="I257" i="7"/>
  <c r="I255" i="7"/>
  <c r="I253" i="7"/>
  <c r="I251" i="7"/>
  <c r="I249" i="7"/>
  <c r="I247" i="7"/>
  <c r="I260" i="7"/>
  <c r="I256" i="7"/>
  <c r="I252" i="7"/>
  <c r="I248" i="7"/>
  <c r="I242" i="7"/>
  <c r="I234" i="7"/>
  <c r="I243" i="7"/>
  <c r="I239" i="7"/>
  <c r="I244" i="7"/>
  <c r="I240" i="7"/>
  <c r="I236" i="7"/>
  <c r="I232" i="7"/>
  <c r="I241" i="7"/>
  <c r="I237" i="7"/>
  <c r="I233" i="7"/>
  <c r="I231" i="7"/>
  <c r="I238" i="7"/>
  <c r="I235" i="7"/>
  <c r="I192" i="7"/>
  <c r="I186" i="7"/>
  <c r="I170" i="7"/>
  <c r="I225" i="7"/>
  <c r="I217" i="7"/>
  <c r="I218" i="7"/>
  <c r="I226" i="7"/>
  <c r="I222" i="7"/>
  <c r="I221" i="7"/>
  <c r="I211" i="7"/>
  <c r="I199" i="7"/>
  <c r="I201" i="7"/>
  <c r="I203" i="7"/>
  <c r="I205" i="7"/>
  <c r="I195" i="7"/>
  <c r="I189" i="7"/>
  <c r="I184" i="7"/>
  <c r="I183" i="7"/>
  <c r="I191" i="7"/>
  <c r="I167" i="7"/>
  <c r="I172" i="7"/>
  <c r="I171" i="7"/>
  <c r="I168" i="7"/>
  <c r="I175" i="7"/>
  <c r="I169" i="7"/>
  <c r="I180" i="7"/>
  <c r="I179" i="7"/>
  <c r="C131" i="6" l="1"/>
  <c r="D131" i="6"/>
  <c r="D163" i="6"/>
  <c r="C163" i="6"/>
  <c r="D147" i="6"/>
  <c r="C147" i="6"/>
  <c r="D115" i="6"/>
  <c r="C115" i="6"/>
  <c r="B164" i="7" a="1"/>
  <c r="B164" i="7" s="1"/>
  <c r="B163" i="7" a="1"/>
  <c r="C163" i="7" s="1"/>
  <c r="B162" i="7" a="1"/>
  <c r="G162" i="7" s="1"/>
  <c r="F162" i="7"/>
  <c r="B161" i="7" a="1"/>
  <c r="C161" i="7" s="1"/>
  <c r="B160" i="7" a="1"/>
  <c r="F160" i="7" s="1"/>
  <c r="E160" i="7"/>
  <c r="H160" i="7"/>
  <c r="B159" i="7" a="1"/>
  <c r="F159" i="7" s="1"/>
  <c r="E159" i="7"/>
  <c r="B158" i="7" a="1"/>
  <c r="F158" i="7" s="1"/>
  <c r="E158" i="7"/>
  <c r="B157" i="7" a="1"/>
  <c r="C157" i="7" s="1"/>
  <c r="F157" i="7"/>
  <c r="B156" i="7" a="1"/>
  <c r="C156" i="7" s="1"/>
  <c r="B155" i="7" a="1"/>
  <c r="G155" i="7" s="1"/>
  <c r="B155" i="7"/>
  <c r="F155" i="7"/>
  <c r="B154" i="7" a="1"/>
  <c r="E154" i="7" s="1"/>
  <c r="B153" i="7" a="1"/>
  <c r="B153" i="7" s="1"/>
  <c r="B152" i="7" a="1"/>
  <c r="C152" i="7" s="1"/>
  <c r="B151" i="7" a="1"/>
  <c r="C151" i="7" s="1"/>
  <c r="E151" i="7"/>
  <c r="F151" i="7"/>
  <c r="B148" i="7" a="1"/>
  <c r="H148" i="7" s="1"/>
  <c r="B148" i="7"/>
  <c r="C148" i="7"/>
  <c r="G148" i="7"/>
  <c r="B147" i="7" a="1"/>
  <c r="B147" i="7" s="1"/>
  <c r="B146" i="7" a="1"/>
  <c r="C146" i="7" s="1"/>
  <c r="B145" i="7" a="1"/>
  <c r="F145" i="7" s="1"/>
  <c r="B144" i="7" a="1"/>
  <c r="B144" i="7" s="1"/>
  <c r="B143" i="7" a="1"/>
  <c r="E143" i="7" s="1"/>
  <c r="D143" i="7"/>
  <c r="F143" i="7"/>
  <c r="G143" i="7"/>
  <c r="H143" i="7"/>
  <c r="B142" i="7" a="1"/>
  <c r="E142" i="7" s="1"/>
  <c r="D142" i="7"/>
  <c r="G142" i="7"/>
  <c r="H142" i="7"/>
  <c r="B141" i="7" a="1"/>
  <c r="E141" i="7" s="1"/>
  <c r="D141" i="7"/>
  <c r="H141" i="7"/>
  <c r="B140" i="7" a="1"/>
  <c r="B140" i="7" s="1"/>
  <c r="B139" i="7" a="1"/>
  <c r="B139" i="7" s="1"/>
  <c r="B138" i="7" a="1"/>
  <c r="C138" i="7" s="1"/>
  <c r="B138" i="7"/>
  <c r="D138" i="7"/>
  <c r="E138" i="7"/>
  <c r="F138" i="7"/>
  <c r="G138" i="7"/>
  <c r="H138" i="7"/>
  <c r="B137" i="7" a="1"/>
  <c r="C137" i="7" s="1"/>
  <c r="B137" i="7"/>
  <c r="F137" i="7"/>
  <c r="B136" i="7" a="1"/>
  <c r="C136" i="7" s="1"/>
  <c r="B135" i="7" a="1"/>
  <c r="C135" i="7" s="1"/>
  <c r="B132" i="7" a="1"/>
  <c r="C132" i="7" s="1"/>
  <c r="B131" i="7" a="1"/>
  <c r="D131" i="7" s="1"/>
  <c r="C131" i="7"/>
  <c r="E131" i="7"/>
  <c r="F131" i="7"/>
  <c r="G131" i="7"/>
  <c r="H131" i="7"/>
  <c r="B130" i="7" a="1"/>
  <c r="D130" i="7" s="1"/>
  <c r="C130" i="7"/>
  <c r="F130" i="7"/>
  <c r="G130" i="7"/>
  <c r="H130" i="7"/>
  <c r="B129" i="7" a="1"/>
  <c r="C129" i="7" s="1"/>
  <c r="B128" i="7" a="1"/>
  <c r="C128" i="7" s="1"/>
  <c r="B127" i="7" a="1"/>
  <c r="B127" i="7" s="1"/>
  <c r="F127" i="7"/>
  <c r="B126" i="7" a="1"/>
  <c r="C126" i="7" s="1"/>
  <c r="B125" i="7" a="1"/>
  <c r="B125" i="7" s="1"/>
  <c r="E125" i="7"/>
  <c r="B124" i="7" a="1"/>
  <c r="G124" i="7" s="1"/>
  <c r="B124" i="7"/>
  <c r="C124" i="7"/>
  <c r="F124" i="7"/>
  <c r="B123" i="7" a="1"/>
  <c r="C123" i="7" s="1"/>
  <c r="B122" i="7" a="1"/>
  <c r="F122" i="7" s="1"/>
  <c r="B121" i="7" a="1"/>
  <c r="F121" i="7" s="1"/>
  <c r="B120" i="7" a="1"/>
  <c r="F120" i="7" s="1"/>
  <c r="B119" i="7" a="1"/>
  <c r="F119" i="7" s="1"/>
  <c r="B116" i="7" a="1"/>
  <c r="C116" i="7" s="1"/>
  <c r="B115" i="7" a="1"/>
  <c r="C115" i="7" s="1"/>
  <c r="B114" i="7" a="1"/>
  <c r="C114" i="7" s="1"/>
  <c r="B113" i="7" a="1"/>
  <c r="B113" i="7" s="1"/>
  <c r="B112" i="7" a="1"/>
  <c r="C112" i="7" s="1"/>
  <c r="B111" i="7" a="1"/>
  <c r="C111" i="7" s="1"/>
  <c r="B110" i="7" a="1"/>
  <c r="C110" i="7" s="1"/>
  <c r="B109" i="7" a="1"/>
  <c r="B109" i="7" s="1"/>
  <c r="B108" i="7" a="1"/>
  <c r="C108" i="7" s="1"/>
  <c r="B107" i="7" a="1"/>
  <c r="E107" i="7" s="1"/>
  <c r="B106" i="7" a="1"/>
  <c r="C106" i="7" s="1"/>
  <c r="B105" i="7" a="1"/>
  <c r="B105" i="7" s="1"/>
  <c r="B104" i="7" a="1"/>
  <c r="C104" i="7" s="1"/>
  <c r="B104" i="7"/>
  <c r="E104" i="7"/>
  <c r="F104" i="7"/>
  <c r="G104" i="7"/>
  <c r="H104" i="7"/>
  <c r="I101" i="7"/>
  <c r="I102" i="7"/>
  <c r="I117" i="7"/>
  <c r="I118" i="7"/>
  <c r="I133" i="7"/>
  <c r="I134" i="7"/>
  <c r="I149" i="7"/>
  <c r="I150" i="7"/>
  <c r="B103" i="7" a="1"/>
  <c r="C103" i="7" s="1"/>
  <c r="B103" i="7"/>
  <c r="F103" i="7"/>
  <c r="G103" i="7"/>
  <c r="H103" i="7"/>
  <c r="E119" i="7" l="1"/>
  <c r="E120" i="7"/>
  <c r="E121" i="7"/>
  <c r="E122" i="7"/>
  <c r="I138" i="7"/>
  <c r="E145" i="7"/>
  <c r="C107" i="7"/>
  <c r="D119" i="7"/>
  <c r="D120" i="7"/>
  <c r="D121" i="7"/>
  <c r="D122" i="7"/>
  <c r="E124" i="7"/>
  <c r="H127" i="7"/>
  <c r="B130" i="7"/>
  <c r="B131" i="7"/>
  <c r="I131" i="7" s="1"/>
  <c r="C141" i="7"/>
  <c r="C142" i="7"/>
  <c r="C143" i="7"/>
  <c r="D145" i="7"/>
  <c r="F148" i="7"/>
  <c r="B151" i="7"/>
  <c r="I151" i="7" s="1"/>
  <c r="E155" i="7"/>
  <c r="E157" i="7"/>
  <c r="D158" i="7"/>
  <c r="D159" i="7"/>
  <c r="D160" i="7"/>
  <c r="E162" i="7"/>
  <c r="D107" i="7"/>
  <c r="B107" i="7"/>
  <c r="I107" i="7" s="1"/>
  <c r="C119" i="7"/>
  <c r="C120" i="7"/>
  <c r="C121" i="7"/>
  <c r="C122" i="7"/>
  <c r="D124" i="7"/>
  <c r="G127" i="7"/>
  <c r="B141" i="7"/>
  <c r="I141" i="7" s="1"/>
  <c r="B142" i="7"/>
  <c r="I142" i="7" s="1"/>
  <c r="B143" i="7"/>
  <c r="C145" i="7"/>
  <c r="E148" i="7"/>
  <c r="D155" i="7"/>
  <c r="D157" i="7"/>
  <c r="C158" i="7"/>
  <c r="I158" i="7" s="1"/>
  <c r="C159" i="7"/>
  <c r="C160" i="7"/>
  <c r="D162" i="7"/>
  <c r="B119" i="7"/>
  <c r="B120" i="7"/>
  <c r="B121" i="7"/>
  <c r="B122" i="7"/>
  <c r="B145" i="7"/>
  <c r="D148" i="7"/>
  <c r="I148" i="7" s="1"/>
  <c r="C155" i="7"/>
  <c r="I155" i="7" s="1"/>
  <c r="B157" i="7"/>
  <c r="B158" i="7"/>
  <c r="B159" i="7"/>
  <c r="B160" i="7"/>
  <c r="C162" i="7"/>
  <c r="B162" i="7"/>
  <c r="H119" i="7"/>
  <c r="H120" i="7"/>
  <c r="H121" i="7"/>
  <c r="H122" i="7"/>
  <c r="G141" i="7"/>
  <c r="H145" i="7"/>
  <c r="H158" i="7"/>
  <c r="H159" i="7"/>
  <c r="E103" i="7"/>
  <c r="G107" i="7"/>
  <c r="D127" i="7"/>
  <c r="G119" i="7"/>
  <c r="G120" i="7"/>
  <c r="G121" i="7"/>
  <c r="G122" i="7"/>
  <c r="H124" i="7"/>
  <c r="C127" i="7"/>
  <c r="I127" i="7" s="1"/>
  <c r="E130" i="7"/>
  <c r="F141" i="7"/>
  <c r="F142" i="7"/>
  <c r="G145" i="7"/>
  <c r="H155" i="7"/>
  <c r="G158" i="7"/>
  <c r="G159" i="7"/>
  <c r="G160" i="7"/>
  <c r="H162" i="7"/>
  <c r="H107" i="7"/>
  <c r="E127" i="7"/>
  <c r="D103" i="7"/>
  <c r="I103" i="7" s="1"/>
  <c r="D104" i="7"/>
  <c r="I104" i="7" s="1"/>
  <c r="F107" i="7"/>
  <c r="E137" i="7"/>
  <c r="H157" i="7"/>
  <c r="E164" i="7"/>
  <c r="H164" i="7"/>
  <c r="D164" i="7"/>
  <c r="G164" i="7"/>
  <c r="C164" i="7"/>
  <c r="F164" i="7"/>
  <c r="F163" i="7"/>
  <c r="B163" i="7"/>
  <c r="E163" i="7"/>
  <c r="H163" i="7"/>
  <c r="D163" i="7"/>
  <c r="G163" i="7"/>
  <c r="F161" i="7"/>
  <c r="B161" i="7"/>
  <c r="E161" i="7"/>
  <c r="H161" i="7"/>
  <c r="D161" i="7"/>
  <c r="G161" i="7"/>
  <c r="G157" i="7"/>
  <c r="F156" i="7"/>
  <c r="B156" i="7"/>
  <c r="E156" i="7"/>
  <c r="H156" i="7"/>
  <c r="D156" i="7"/>
  <c r="G156" i="7"/>
  <c r="H154" i="7"/>
  <c r="D154" i="7"/>
  <c r="G154" i="7"/>
  <c r="C154" i="7"/>
  <c r="F154" i="7"/>
  <c r="B154" i="7"/>
  <c r="E153" i="7"/>
  <c r="H153" i="7"/>
  <c r="D153" i="7"/>
  <c r="G153" i="7"/>
  <c r="C153" i="7"/>
  <c r="I153" i="7" s="1"/>
  <c r="F153" i="7"/>
  <c r="F152" i="7"/>
  <c r="B152" i="7"/>
  <c r="E152" i="7"/>
  <c r="H152" i="7"/>
  <c r="D152" i="7"/>
  <c r="G152" i="7"/>
  <c r="H151" i="7"/>
  <c r="D151" i="7"/>
  <c r="G151" i="7"/>
  <c r="E147" i="7"/>
  <c r="H147" i="7"/>
  <c r="D147" i="7"/>
  <c r="G147" i="7"/>
  <c r="C147" i="7"/>
  <c r="I147" i="7" s="1"/>
  <c r="F147" i="7"/>
  <c r="F146" i="7"/>
  <c r="B146" i="7"/>
  <c r="E146" i="7"/>
  <c r="H146" i="7"/>
  <c r="D146" i="7"/>
  <c r="G146" i="7"/>
  <c r="E144" i="7"/>
  <c r="H144" i="7"/>
  <c r="D144" i="7"/>
  <c r="I144" i="7" s="1"/>
  <c r="G144" i="7"/>
  <c r="C144" i="7"/>
  <c r="F144" i="7"/>
  <c r="E140" i="7"/>
  <c r="H140" i="7"/>
  <c r="D140" i="7"/>
  <c r="G140" i="7"/>
  <c r="C140" i="7"/>
  <c r="I140" i="7" s="1"/>
  <c r="F140" i="7"/>
  <c r="E139" i="7"/>
  <c r="H139" i="7"/>
  <c r="D139" i="7"/>
  <c r="G139" i="7"/>
  <c r="I139" i="7" s="1"/>
  <c r="C139" i="7"/>
  <c r="F139" i="7"/>
  <c r="I137" i="7"/>
  <c r="H137" i="7"/>
  <c r="D137" i="7"/>
  <c r="G137" i="7"/>
  <c r="F136" i="7"/>
  <c r="B136" i="7"/>
  <c r="E136" i="7"/>
  <c r="H136" i="7"/>
  <c r="D136" i="7"/>
  <c r="G136" i="7"/>
  <c r="F135" i="7"/>
  <c r="B135" i="7"/>
  <c r="E135" i="7"/>
  <c r="H135" i="7"/>
  <c r="D135" i="7"/>
  <c r="G135" i="7"/>
  <c r="F132" i="7"/>
  <c r="B132" i="7"/>
  <c r="E132" i="7"/>
  <c r="H132" i="7"/>
  <c r="D132" i="7"/>
  <c r="G132" i="7"/>
  <c r="F129" i="7"/>
  <c r="B129" i="7"/>
  <c r="E129" i="7"/>
  <c r="H129" i="7"/>
  <c r="D129" i="7"/>
  <c r="G129" i="7"/>
  <c r="F128" i="7"/>
  <c r="B128" i="7"/>
  <c r="E128" i="7"/>
  <c r="H128" i="7"/>
  <c r="D128" i="7"/>
  <c r="G128" i="7"/>
  <c r="F126" i="7"/>
  <c r="B126" i="7"/>
  <c r="E126" i="7"/>
  <c r="H126" i="7"/>
  <c r="D126" i="7"/>
  <c r="G126" i="7"/>
  <c r="H125" i="7"/>
  <c r="D125" i="7"/>
  <c r="G125" i="7"/>
  <c r="C125" i="7"/>
  <c r="F125" i="7"/>
  <c r="F123" i="7"/>
  <c r="B123" i="7"/>
  <c r="E123" i="7"/>
  <c r="H123" i="7"/>
  <c r="D123" i="7"/>
  <c r="G123" i="7"/>
  <c r="I120" i="7"/>
  <c r="F116" i="7"/>
  <c r="B116" i="7"/>
  <c r="E116" i="7"/>
  <c r="H116" i="7"/>
  <c r="D116" i="7"/>
  <c r="G116" i="7"/>
  <c r="F115" i="7"/>
  <c r="B115" i="7"/>
  <c r="E115" i="7"/>
  <c r="H115" i="7"/>
  <c r="D115" i="7"/>
  <c r="G115" i="7"/>
  <c r="F114" i="7"/>
  <c r="B114" i="7"/>
  <c r="E114" i="7"/>
  <c r="H114" i="7"/>
  <c r="D114" i="7"/>
  <c r="G114" i="7"/>
  <c r="E113" i="7"/>
  <c r="H113" i="7"/>
  <c r="D113" i="7"/>
  <c r="G113" i="7"/>
  <c r="C113" i="7"/>
  <c r="F113" i="7"/>
  <c r="F112" i="7"/>
  <c r="B112" i="7"/>
  <c r="E112" i="7"/>
  <c r="H112" i="7"/>
  <c r="D112" i="7"/>
  <c r="G112" i="7"/>
  <c r="F111" i="7"/>
  <c r="B111" i="7"/>
  <c r="E111" i="7"/>
  <c r="H111" i="7"/>
  <c r="D111" i="7"/>
  <c r="G111" i="7"/>
  <c r="F110" i="7"/>
  <c r="B110" i="7"/>
  <c r="E110" i="7"/>
  <c r="H110" i="7"/>
  <c r="D110" i="7"/>
  <c r="G110" i="7"/>
  <c r="E109" i="7"/>
  <c r="H109" i="7"/>
  <c r="D109" i="7"/>
  <c r="G109" i="7"/>
  <c r="C109" i="7"/>
  <c r="F109" i="7"/>
  <c r="F108" i="7"/>
  <c r="B108" i="7"/>
  <c r="E108" i="7"/>
  <c r="H108" i="7"/>
  <c r="D108" i="7"/>
  <c r="G108" i="7"/>
  <c r="F106" i="7"/>
  <c r="B106" i="7"/>
  <c r="E106" i="7"/>
  <c r="H106" i="7"/>
  <c r="D106" i="7"/>
  <c r="G106" i="7"/>
  <c r="E105" i="7"/>
  <c r="H105" i="7"/>
  <c r="D105" i="7"/>
  <c r="G105" i="7"/>
  <c r="C105" i="7"/>
  <c r="F105" i="7"/>
  <c r="I162" i="7" l="1"/>
  <c r="I145" i="7"/>
  <c r="I122" i="7"/>
  <c r="I124" i="7"/>
  <c r="I125" i="7"/>
  <c r="I157" i="7"/>
  <c r="I160" i="7"/>
  <c r="I121" i="7"/>
  <c r="I164" i="7"/>
  <c r="I159" i="7"/>
  <c r="I113" i="7"/>
  <c r="I109" i="7"/>
  <c r="I143" i="7"/>
  <c r="I119" i="7"/>
  <c r="I130" i="7"/>
  <c r="I163" i="7"/>
  <c r="I161" i="7"/>
  <c r="I156" i="7"/>
  <c r="I154" i="7"/>
  <c r="I152" i="7"/>
  <c r="I146" i="7"/>
  <c r="I136" i="7"/>
  <c r="I135" i="7"/>
  <c r="I132" i="7"/>
  <c r="I129" i="7"/>
  <c r="I128" i="7"/>
  <c r="I126" i="7"/>
  <c r="I123" i="7"/>
  <c r="I116" i="7"/>
  <c r="I115" i="7"/>
  <c r="I114" i="7"/>
  <c r="I112" i="7"/>
  <c r="I111" i="7"/>
  <c r="I110" i="7"/>
  <c r="I108" i="7"/>
  <c r="I106" i="7"/>
  <c r="I105" i="7"/>
  <c r="B100" i="7" l="1" a="1"/>
  <c r="H100" i="7" s="1"/>
  <c r="G100" i="7"/>
  <c r="B99" i="7" a="1"/>
  <c r="B99" i="7" s="1"/>
  <c r="B98" i="7" a="1"/>
  <c r="B98" i="7" s="1"/>
  <c r="B97" i="7" a="1"/>
  <c r="B97" i="7" s="1"/>
  <c r="B96" i="7" a="1"/>
  <c r="B96" i="7" s="1"/>
  <c r="B95" i="7" a="1"/>
  <c r="B95" i="7" s="1"/>
  <c r="B94" i="7" a="1"/>
  <c r="C94" i="7" s="1"/>
  <c r="B93" i="7" a="1"/>
  <c r="B93" i="7" s="1"/>
  <c r="B92" i="7" a="1"/>
  <c r="B92" i="7" s="1"/>
  <c r="B91" i="7" a="1"/>
  <c r="C91" i="7" s="1"/>
  <c r="B91" i="7"/>
  <c r="H91" i="7"/>
  <c r="B90" i="7" a="1"/>
  <c r="B90" i="7" s="1"/>
  <c r="H90" i="7"/>
  <c r="B89" i="7" a="1"/>
  <c r="B89" i="7" s="1"/>
  <c r="B88" i="7" a="1"/>
  <c r="H88" i="7" s="1"/>
  <c r="G88" i="7"/>
  <c r="B87" i="7" a="1"/>
  <c r="H87" i="7" s="1"/>
  <c r="G87" i="7"/>
  <c r="D99" i="6"/>
  <c r="C99" i="6"/>
  <c r="B84" i="7" a="1"/>
  <c r="F84" i="7" s="1"/>
  <c r="C84" i="7"/>
  <c r="D84" i="7"/>
  <c r="E84" i="7"/>
  <c r="B83" i="7" a="1"/>
  <c r="F83" i="7" s="1"/>
  <c r="C83" i="7"/>
  <c r="D83" i="7"/>
  <c r="E83" i="7"/>
  <c r="B82" i="7" a="1"/>
  <c r="D82" i="7" s="1"/>
  <c r="C82" i="7"/>
  <c r="E82" i="7"/>
  <c r="B81" i="7" a="1"/>
  <c r="B81" i="7" s="1"/>
  <c r="B80" i="7" a="1"/>
  <c r="E80" i="7" s="1"/>
  <c r="B80" i="7"/>
  <c r="C80" i="7"/>
  <c r="D80" i="7"/>
  <c r="H80" i="7"/>
  <c r="B79" i="7" a="1"/>
  <c r="E79" i="7" s="1"/>
  <c r="B79" i="7"/>
  <c r="C79" i="7"/>
  <c r="D79" i="7"/>
  <c r="H79" i="7"/>
  <c r="B78" i="7" a="1"/>
  <c r="C78" i="7" s="1"/>
  <c r="B78" i="7"/>
  <c r="D78" i="7"/>
  <c r="H78" i="7"/>
  <c r="B77" i="7" a="1"/>
  <c r="C77" i="7" s="1"/>
  <c r="B77" i="7"/>
  <c r="B76" i="7" a="1"/>
  <c r="E76" i="7" s="1"/>
  <c r="B75" i="7" a="1"/>
  <c r="B75" i="7" s="1"/>
  <c r="B74" i="7" a="1"/>
  <c r="B74" i="7" s="1"/>
  <c r="B73" i="7" a="1"/>
  <c r="B73" i="7" s="1"/>
  <c r="B72" i="7" a="1"/>
  <c r="B72" i="7" s="1"/>
  <c r="B71" i="7" a="1"/>
  <c r="C71" i="7" s="1"/>
  <c r="B71" i="7"/>
  <c r="F71" i="7"/>
  <c r="G71" i="7"/>
  <c r="H71" i="7"/>
  <c r="B68" i="7" a="1"/>
  <c r="B68" i="7" s="1"/>
  <c r="G68" i="7"/>
  <c r="H68" i="7"/>
  <c r="B67" i="7" a="1"/>
  <c r="B67" i="7" s="1"/>
  <c r="B66" i="7" a="1"/>
  <c r="E66" i="7" s="1"/>
  <c r="B65" i="7" a="1"/>
  <c r="B65" i="7" s="1"/>
  <c r="B64" i="7" a="1"/>
  <c r="H64" i="7" s="1"/>
  <c r="C64" i="7"/>
  <c r="D64" i="7"/>
  <c r="E64" i="7"/>
  <c r="F64" i="7"/>
  <c r="G64" i="7"/>
  <c r="B63" i="7" a="1"/>
  <c r="B63" i="7" s="1"/>
  <c r="B62" i="7" a="1"/>
  <c r="G62" i="7" s="1"/>
  <c r="B62" i="7"/>
  <c r="I62" i="7" s="1"/>
  <c r="C62" i="7"/>
  <c r="D62" i="7"/>
  <c r="E62" i="7"/>
  <c r="F62" i="7"/>
  <c r="H62" i="7"/>
  <c r="B61" i="7" a="1"/>
  <c r="G61" i="7" s="1"/>
  <c r="B61" i="7"/>
  <c r="C61" i="7"/>
  <c r="D61" i="7"/>
  <c r="E61" i="7"/>
  <c r="F61" i="7"/>
  <c r="H61" i="7"/>
  <c r="B60" i="7" a="1"/>
  <c r="G60" i="7" s="1"/>
  <c r="B60" i="7"/>
  <c r="C60" i="7"/>
  <c r="D60" i="7"/>
  <c r="E60" i="7"/>
  <c r="F60" i="7"/>
  <c r="B59" i="7" a="1"/>
  <c r="B59" i="7" s="1"/>
  <c r="B58" i="7" a="1"/>
  <c r="E58" i="7" s="1"/>
  <c r="B58" i="7"/>
  <c r="C58" i="7"/>
  <c r="D58" i="7"/>
  <c r="B57" i="7" a="1"/>
  <c r="D57" i="7" s="1"/>
  <c r="C57" i="7"/>
  <c r="B56" i="7" a="1"/>
  <c r="D56" i="7" s="1"/>
  <c r="C56" i="7"/>
  <c r="B55" i="7" a="1"/>
  <c r="B55" i="7" s="1"/>
  <c r="D51" i="6"/>
  <c r="C51" i="6"/>
  <c r="B52" i="7" a="1"/>
  <c r="H52" i="7" s="1"/>
  <c r="G52" i="7"/>
  <c r="B51" i="7" a="1"/>
  <c r="H51" i="7" s="1"/>
  <c r="G51" i="7"/>
  <c r="B50" i="7" a="1"/>
  <c r="B50" i="7" s="1"/>
  <c r="B49" i="7" a="1"/>
  <c r="B49" i="7"/>
  <c r="C49" i="7"/>
  <c r="D49" i="7"/>
  <c r="E49" i="7"/>
  <c r="F49" i="7"/>
  <c r="G49" i="7"/>
  <c r="H49" i="7"/>
  <c r="B48" i="7" a="1"/>
  <c r="B48" i="7" s="1"/>
  <c r="B47" i="7" a="1"/>
  <c r="E47" i="7" s="1"/>
  <c r="B46" i="7" a="1"/>
  <c r="B46" i="7" s="1"/>
  <c r="E46" i="7"/>
  <c r="B45" i="7" a="1"/>
  <c r="B45" i="7" s="1"/>
  <c r="B44" i="7" a="1"/>
  <c r="B44" i="7" s="1"/>
  <c r="B43" i="7" a="1"/>
  <c r="B43" i="7" s="1"/>
  <c r="B42" i="7" a="1"/>
  <c r="B42" i="7" s="1"/>
  <c r="B41" i="7" a="1"/>
  <c r="B41" i="7" s="1"/>
  <c r="B40" i="7" a="1"/>
  <c r="B40" i="7" s="1"/>
  <c r="B39" i="7" a="1"/>
  <c r="D39" i="7" s="1"/>
  <c r="C39" i="7"/>
  <c r="E39" i="7"/>
  <c r="C35" i="6"/>
  <c r="D35" i="6"/>
  <c r="C19" i="6"/>
  <c r="D19" i="6"/>
  <c r="B36" i="7" a="1"/>
  <c r="H36" i="7" s="1"/>
  <c r="B36" i="7"/>
  <c r="C36" i="7"/>
  <c r="D36" i="7"/>
  <c r="E36" i="7"/>
  <c r="F36" i="7"/>
  <c r="G36" i="7"/>
  <c r="B35" i="7" a="1"/>
  <c r="B35" i="7" s="1"/>
  <c r="B34" i="7" a="1"/>
  <c r="G34" i="7" s="1"/>
  <c r="B34" i="7"/>
  <c r="C34" i="7"/>
  <c r="D34" i="7"/>
  <c r="E34" i="7"/>
  <c r="F34" i="7"/>
  <c r="B33" i="7" a="1"/>
  <c r="E33" i="7" s="1"/>
  <c r="B33" i="7"/>
  <c r="C33" i="7"/>
  <c r="D33" i="7"/>
  <c r="F33" i="7"/>
  <c r="B32" i="7" a="1"/>
  <c r="B32" i="7" s="1"/>
  <c r="E32" i="7"/>
  <c r="B31" i="7" a="1"/>
  <c r="C31" i="7" s="1"/>
  <c r="B31" i="7"/>
  <c r="B30" i="7" a="1"/>
  <c r="C30" i="7" s="1"/>
  <c r="B30" i="7"/>
  <c r="B29" i="7" a="1"/>
  <c r="B29" i="7" s="1"/>
  <c r="E29" i="7"/>
  <c r="B28" i="7" a="1"/>
  <c r="B28" i="7" s="1"/>
  <c r="B27" i="7" a="1"/>
  <c r="H27" i="7" s="1"/>
  <c r="G27" i="7"/>
  <c r="B26" i="7" a="1"/>
  <c r="B26" i="7" s="1"/>
  <c r="B25" i="7" a="1"/>
  <c r="B25" i="7"/>
  <c r="C25" i="7"/>
  <c r="D25" i="7"/>
  <c r="E25" i="7"/>
  <c r="F25" i="7"/>
  <c r="G25" i="7"/>
  <c r="H25" i="7"/>
  <c r="B24" i="7" a="1"/>
  <c r="B24" i="7"/>
  <c r="C24" i="7"/>
  <c r="D24" i="7"/>
  <c r="E24" i="7"/>
  <c r="F24" i="7"/>
  <c r="G24" i="7"/>
  <c r="H24" i="7"/>
  <c r="B23" i="7" a="1"/>
  <c r="B23" i="7"/>
  <c r="C23" i="7"/>
  <c r="D23" i="7"/>
  <c r="E23" i="7"/>
  <c r="F23" i="7"/>
  <c r="G23" i="7"/>
  <c r="H23" i="7"/>
  <c r="I36" i="7" l="1"/>
  <c r="B39" i="7"/>
  <c r="H41" i="7"/>
  <c r="H42" i="7"/>
  <c r="H43" i="7"/>
  <c r="H44" i="7"/>
  <c r="F51" i="7"/>
  <c r="F52" i="7"/>
  <c r="E55" i="7"/>
  <c r="B56" i="7"/>
  <c r="B57" i="7"/>
  <c r="I57" i="7" s="1"/>
  <c r="H73" i="7"/>
  <c r="H74" i="7"/>
  <c r="H75" i="7"/>
  <c r="B82" i="7"/>
  <c r="B83" i="7"/>
  <c r="B84" i="7"/>
  <c r="I84" i="7" s="1"/>
  <c r="F87" i="7"/>
  <c r="F88" i="7"/>
  <c r="G90" i="7"/>
  <c r="G91" i="7"/>
  <c r="H93" i="7"/>
  <c r="F100" i="7"/>
  <c r="F27" i="7"/>
  <c r="I27" i="7" s="1"/>
  <c r="G41" i="7"/>
  <c r="G42" i="7"/>
  <c r="G43" i="7"/>
  <c r="G44" i="7"/>
  <c r="E51" i="7"/>
  <c r="E52" i="7"/>
  <c r="F68" i="7"/>
  <c r="G73" i="7"/>
  <c r="G74" i="7"/>
  <c r="G75" i="7"/>
  <c r="H77" i="7"/>
  <c r="E87" i="7"/>
  <c r="E88" i="7"/>
  <c r="F90" i="7"/>
  <c r="F91" i="7"/>
  <c r="G93" i="7"/>
  <c r="E100" i="7"/>
  <c r="D27" i="7"/>
  <c r="G30" i="7"/>
  <c r="G31" i="7"/>
  <c r="H39" i="7"/>
  <c r="H40" i="7"/>
  <c r="F41" i="7"/>
  <c r="F42" i="7"/>
  <c r="I42" i="7" s="1"/>
  <c r="F43" i="7"/>
  <c r="F44" i="7"/>
  <c r="D51" i="7"/>
  <c r="D52" i="7"/>
  <c r="H56" i="7"/>
  <c r="H57" i="7"/>
  <c r="H58" i="7"/>
  <c r="B64" i="7"/>
  <c r="I64" i="7" s="1"/>
  <c r="E68" i="7"/>
  <c r="E71" i="7"/>
  <c r="F73" i="7"/>
  <c r="F74" i="7"/>
  <c r="F75" i="7"/>
  <c r="G77" i="7"/>
  <c r="G78" i="7"/>
  <c r="G79" i="7"/>
  <c r="I79" i="7" s="1"/>
  <c r="G80" i="7"/>
  <c r="H82" i="7"/>
  <c r="H83" i="7"/>
  <c r="H84" i="7"/>
  <c r="D87" i="7"/>
  <c r="D88" i="7"/>
  <c r="E90" i="7"/>
  <c r="E91" i="7"/>
  <c r="E93" i="7"/>
  <c r="E98" i="7"/>
  <c r="D100" i="7"/>
  <c r="E27" i="7"/>
  <c r="H30" i="7"/>
  <c r="H31" i="7"/>
  <c r="G39" i="7"/>
  <c r="I39" i="7" s="1"/>
  <c r="G40" i="7"/>
  <c r="I40" i="7" s="1"/>
  <c r="E41" i="7"/>
  <c r="E42" i="7"/>
  <c r="E43" i="7"/>
  <c r="E44" i="7"/>
  <c r="I49" i="7"/>
  <c r="C51" i="7"/>
  <c r="C52" i="7"/>
  <c r="G56" i="7"/>
  <c r="I56" i="7" s="1"/>
  <c r="G57" i="7"/>
  <c r="G58" i="7"/>
  <c r="H60" i="7"/>
  <c r="I60" i="7" s="1"/>
  <c r="D68" i="7"/>
  <c r="D71" i="7"/>
  <c r="I71" i="7" s="1"/>
  <c r="E73" i="7"/>
  <c r="E74" i="7"/>
  <c r="E75" i="7"/>
  <c r="F77" i="7"/>
  <c r="F78" i="7"/>
  <c r="F79" i="7"/>
  <c r="F80" i="7"/>
  <c r="G82" i="7"/>
  <c r="G83" i="7"/>
  <c r="I83" i="7" s="1"/>
  <c r="G84" i="7"/>
  <c r="C87" i="7"/>
  <c r="C88" i="7"/>
  <c r="D90" i="7"/>
  <c r="D91" i="7"/>
  <c r="I91" i="7" s="1"/>
  <c r="D93" i="7"/>
  <c r="C100" i="7"/>
  <c r="I23" i="7"/>
  <c r="I24" i="7"/>
  <c r="I25" i="7"/>
  <c r="C27" i="7"/>
  <c r="F30" i="7"/>
  <c r="F31" i="7"/>
  <c r="H33" i="7"/>
  <c r="H34" i="7"/>
  <c r="I34" i="7" s="1"/>
  <c r="B27" i="7"/>
  <c r="E30" i="7"/>
  <c r="I30" i="7" s="1"/>
  <c r="E31" i="7"/>
  <c r="I31" i="7" s="1"/>
  <c r="G33" i="7"/>
  <c r="I33" i="7" s="1"/>
  <c r="F39" i="7"/>
  <c r="E40" i="7"/>
  <c r="D41" i="7"/>
  <c r="D42" i="7"/>
  <c r="D43" i="7"/>
  <c r="D44" i="7"/>
  <c r="B51" i="7"/>
  <c r="B52" i="7"/>
  <c r="F56" i="7"/>
  <c r="F57" i="7"/>
  <c r="F58" i="7"/>
  <c r="I58" i="7" s="1"/>
  <c r="C68" i="7"/>
  <c r="I68" i="7" s="1"/>
  <c r="D73" i="7"/>
  <c r="D74" i="7"/>
  <c r="D75" i="7"/>
  <c r="E77" i="7"/>
  <c r="E78" i="7"/>
  <c r="F82" i="7"/>
  <c r="B87" i="7"/>
  <c r="B88" i="7"/>
  <c r="I88" i="7" s="1"/>
  <c r="C90" i="7"/>
  <c r="C93" i="7"/>
  <c r="E99" i="7"/>
  <c r="B100" i="7"/>
  <c r="D30" i="7"/>
  <c r="D31" i="7"/>
  <c r="D40" i="7"/>
  <c r="C41" i="7"/>
  <c r="I41" i="7" s="1"/>
  <c r="C42" i="7"/>
  <c r="C43" i="7"/>
  <c r="I43" i="7" s="1"/>
  <c r="C44" i="7"/>
  <c r="I44" i="7" s="1"/>
  <c r="E56" i="7"/>
  <c r="E57" i="7"/>
  <c r="C73" i="7"/>
  <c r="I73" i="7" s="1"/>
  <c r="C74" i="7"/>
  <c r="C75" i="7"/>
  <c r="I75" i="7" s="1"/>
  <c r="D77" i="7"/>
  <c r="I77" i="7" s="1"/>
  <c r="I78" i="7"/>
  <c r="I80" i="7"/>
  <c r="C40" i="7"/>
  <c r="H99" i="7"/>
  <c r="D99" i="7"/>
  <c r="G99" i="7"/>
  <c r="C99" i="7"/>
  <c r="F99" i="7"/>
  <c r="H98" i="7"/>
  <c r="D98" i="7"/>
  <c r="G98" i="7"/>
  <c r="C98" i="7"/>
  <c r="F98" i="7"/>
  <c r="E97" i="7"/>
  <c r="D97" i="7"/>
  <c r="G97" i="7"/>
  <c r="C97" i="7"/>
  <c r="H97" i="7"/>
  <c r="F97" i="7"/>
  <c r="E96" i="7"/>
  <c r="H96" i="7"/>
  <c r="D96" i="7"/>
  <c r="I96" i="7" s="1"/>
  <c r="G96" i="7"/>
  <c r="C96" i="7"/>
  <c r="F96" i="7"/>
  <c r="E95" i="7"/>
  <c r="H95" i="7"/>
  <c r="D95" i="7"/>
  <c r="G95" i="7"/>
  <c r="C95" i="7"/>
  <c r="F95" i="7"/>
  <c r="F94" i="7"/>
  <c r="B94" i="7"/>
  <c r="E94" i="7"/>
  <c r="H94" i="7"/>
  <c r="D94" i="7"/>
  <c r="G94" i="7"/>
  <c r="F93" i="7"/>
  <c r="E92" i="7"/>
  <c r="H92" i="7"/>
  <c r="D92" i="7"/>
  <c r="G92" i="7"/>
  <c r="C92" i="7"/>
  <c r="F92" i="7"/>
  <c r="E89" i="7"/>
  <c r="H89" i="7"/>
  <c r="D89" i="7"/>
  <c r="G89" i="7"/>
  <c r="C89" i="7"/>
  <c r="F89" i="7"/>
  <c r="E81" i="7"/>
  <c r="H81" i="7"/>
  <c r="D81" i="7"/>
  <c r="G81" i="7"/>
  <c r="C81" i="7"/>
  <c r="I81" i="7" s="1"/>
  <c r="F81" i="7"/>
  <c r="H76" i="7"/>
  <c r="D76" i="7"/>
  <c r="G76" i="7"/>
  <c r="C76" i="7"/>
  <c r="F76" i="7"/>
  <c r="B76" i="7"/>
  <c r="E72" i="7"/>
  <c r="H72" i="7"/>
  <c r="D72" i="7"/>
  <c r="G72" i="7"/>
  <c r="C72" i="7"/>
  <c r="F72" i="7"/>
  <c r="E67" i="7"/>
  <c r="H67" i="7"/>
  <c r="D67" i="7"/>
  <c r="I67" i="7" s="1"/>
  <c r="G67" i="7"/>
  <c r="C67" i="7"/>
  <c r="F67" i="7"/>
  <c r="H66" i="7"/>
  <c r="D66" i="7"/>
  <c r="G66" i="7"/>
  <c r="C66" i="7"/>
  <c r="F66" i="7"/>
  <c r="B66" i="7"/>
  <c r="E65" i="7"/>
  <c r="H65" i="7"/>
  <c r="D65" i="7"/>
  <c r="G65" i="7"/>
  <c r="C65" i="7"/>
  <c r="F65" i="7"/>
  <c r="E63" i="7"/>
  <c r="H63" i="7"/>
  <c r="D63" i="7"/>
  <c r="G63" i="7"/>
  <c r="C63" i="7"/>
  <c r="F63" i="7"/>
  <c r="I61" i="7"/>
  <c r="E59" i="7"/>
  <c r="H59" i="7"/>
  <c r="D59" i="7"/>
  <c r="G59" i="7"/>
  <c r="C59" i="7"/>
  <c r="F59" i="7"/>
  <c r="H55" i="7"/>
  <c r="D55" i="7"/>
  <c r="G55" i="7"/>
  <c r="C55" i="7"/>
  <c r="F55" i="7"/>
  <c r="E50" i="7"/>
  <c r="H50" i="7"/>
  <c r="D50" i="7"/>
  <c r="I50" i="7" s="1"/>
  <c r="G50" i="7"/>
  <c r="C50" i="7"/>
  <c r="F50" i="7"/>
  <c r="E48" i="7"/>
  <c r="H48" i="7"/>
  <c r="D48" i="7"/>
  <c r="G48" i="7"/>
  <c r="C48" i="7"/>
  <c r="F48" i="7"/>
  <c r="H47" i="7"/>
  <c r="D47" i="7"/>
  <c r="G47" i="7"/>
  <c r="C47" i="7"/>
  <c r="F47" i="7"/>
  <c r="B47" i="7"/>
  <c r="H46" i="7"/>
  <c r="D46" i="7"/>
  <c r="G46" i="7"/>
  <c r="C46" i="7"/>
  <c r="F46" i="7"/>
  <c r="E45" i="7"/>
  <c r="H45" i="7"/>
  <c r="D45" i="7"/>
  <c r="G45" i="7"/>
  <c r="C45" i="7"/>
  <c r="I45" i="7" s="1"/>
  <c r="F45" i="7"/>
  <c r="F40" i="7"/>
  <c r="E35" i="7"/>
  <c r="H35" i="7"/>
  <c r="D35" i="7"/>
  <c r="G35" i="7"/>
  <c r="I35" i="7" s="1"/>
  <c r="C35" i="7"/>
  <c r="F35" i="7"/>
  <c r="H32" i="7"/>
  <c r="D32" i="7"/>
  <c r="G32" i="7"/>
  <c r="C32" i="7"/>
  <c r="I32" i="7" s="1"/>
  <c r="F32" i="7"/>
  <c r="H29" i="7"/>
  <c r="I29" i="7" s="1"/>
  <c r="D29" i="7"/>
  <c r="G29" i="7"/>
  <c r="C29" i="7"/>
  <c r="F29" i="7"/>
  <c r="E28" i="7"/>
  <c r="H28" i="7"/>
  <c r="D28" i="7"/>
  <c r="I28" i="7" s="1"/>
  <c r="G28" i="7"/>
  <c r="C28" i="7"/>
  <c r="F28" i="7"/>
  <c r="E26" i="7"/>
  <c r="H26" i="7"/>
  <c r="I26" i="7" s="1"/>
  <c r="D26" i="7"/>
  <c r="G26" i="7"/>
  <c r="C26" i="7"/>
  <c r="F26" i="7"/>
  <c r="B4" i="5"/>
  <c r="B20" i="7" a="1"/>
  <c r="B20" i="7" s="1"/>
  <c r="B18" i="7" a="1"/>
  <c r="B18" i="7" s="1"/>
  <c r="B16" i="7" a="1"/>
  <c r="B16" i="7" s="1"/>
  <c r="B14" i="7" a="1"/>
  <c r="D14" i="7" s="1"/>
  <c r="B12" i="7" a="1"/>
  <c r="B12" i="7" s="1"/>
  <c r="B11" i="7" a="1"/>
  <c r="D11" i="7" s="1"/>
  <c r="B9" i="7" a="1"/>
  <c r="B9" i="7" s="1"/>
  <c r="B7" i="7" a="1"/>
  <c r="D7" i="7" s="1"/>
  <c r="B8" i="7" a="1"/>
  <c r="B8" i="7" s="1"/>
  <c r="B19" i="7" a="1"/>
  <c r="B19" i="7" s="1"/>
  <c r="B17" i="7" a="1"/>
  <c r="B17" i="7" s="1"/>
  <c r="B15" i="7" a="1"/>
  <c r="C15" i="7" s="1"/>
  <c r="B13" i="7" a="1"/>
  <c r="B13" i="7" s="1"/>
  <c r="B10" i="7" a="1"/>
  <c r="B10" i="7" s="1"/>
  <c r="I48" i="7" l="1"/>
  <c r="I93" i="7"/>
  <c r="I99" i="7"/>
  <c r="I65" i="7"/>
  <c r="I82" i="7"/>
  <c r="I95" i="7"/>
  <c r="I63" i="7"/>
  <c r="I72" i="7"/>
  <c r="J72" i="7" s="1"/>
  <c r="I92" i="7"/>
  <c r="I98" i="7"/>
  <c r="I74" i="7"/>
  <c r="I87" i="7"/>
  <c r="I52" i="7"/>
  <c r="I59" i="7"/>
  <c r="I51" i="7"/>
  <c r="I46" i="7"/>
  <c r="J46" i="7" s="1"/>
  <c r="I55" i="7"/>
  <c r="I89" i="7"/>
  <c r="I90" i="7"/>
  <c r="I97" i="7"/>
  <c r="I100" i="7"/>
  <c r="D59" i="6"/>
  <c r="D62" i="6"/>
  <c r="D75" i="6"/>
  <c r="D79" i="6"/>
  <c r="D60" i="6"/>
  <c r="D76" i="6"/>
  <c r="D80" i="6"/>
  <c r="D63" i="6"/>
  <c r="D77" i="6"/>
  <c r="D58" i="6"/>
  <c r="D61" i="6"/>
  <c r="D64" i="6"/>
  <c r="D74" i="6"/>
  <c r="D78" i="6"/>
  <c r="J88" i="7"/>
  <c r="D431" i="6"/>
  <c r="D429" i="6"/>
  <c r="D427" i="6"/>
  <c r="D414" i="6"/>
  <c r="D398" i="6"/>
  <c r="D382" i="6"/>
  <c r="D367" i="6"/>
  <c r="D365" i="6"/>
  <c r="D363" i="6"/>
  <c r="D410" i="6"/>
  <c r="D394" i="6"/>
  <c r="D381" i="6"/>
  <c r="D378" i="6"/>
  <c r="D366" i="6"/>
  <c r="D362" i="6"/>
  <c r="D415" i="6"/>
  <c r="D383" i="6"/>
  <c r="D380" i="6"/>
  <c r="D447" i="6"/>
  <c r="D445" i="6"/>
  <c r="D443" i="6"/>
  <c r="D426" i="6"/>
  <c r="D416" i="6"/>
  <c r="D411" i="6"/>
  <c r="D400" i="6"/>
  <c r="D395" i="6"/>
  <c r="D384" i="6"/>
  <c r="D379" i="6"/>
  <c r="D432" i="6"/>
  <c r="D430" i="6"/>
  <c r="D428" i="6"/>
  <c r="D413" i="6"/>
  <c r="D397" i="6"/>
  <c r="D368" i="6"/>
  <c r="D364" i="6"/>
  <c r="D412" i="6"/>
  <c r="D399" i="6"/>
  <c r="D396" i="6"/>
  <c r="D448" i="6"/>
  <c r="D446" i="6"/>
  <c r="D444" i="6"/>
  <c r="D442" i="6"/>
  <c r="J422" i="7"/>
  <c r="J374" i="7"/>
  <c r="J358" i="7"/>
  <c r="J390" i="7"/>
  <c r="J438" i="7"/>
  <c r="J406" i="7"/>
  <c r="J375" i="7"/>
  <c r="J449" i="7"/>
  <c r="J387" i="7"/>
  <c r="J441" i="7"/>
  <c r="J381" i="7"/>
  <c r="J365" i="7"/>
  <c r="J377" i="7"/>
  <c r="J385" i="7"/>
  <c r="J429" i="7"/>
  <c r="J363" i="7"/>
  <c r="J451" i="7"/>
  <c r="J445" i="7"/>
  <c r="J447" i="7"/>
  <c r="J439" i="7"/>
  <c r="J395" i="7"/>
  <c r="J379" i="7"/>
  <c r="J383" i="7"/>
  <c r="J443" i="7"/>
  <c r="J360" i="7"/>
  <c r="J399" i="7"/>
  <c r="J433" i="7"/>
  <c r="J394" i="7"/>
  <c r="J430" i="7"/>
  <c r="J370" i="7"/>
  <c r="J392" i="7"/>
  <c r="J419" i="7"/>
  <c r="J436" i="7"/>
  <c r="J391" i="7"/>
  <c r="J446" i="7"/>
  <c r="J404" i="7"/>
  <c r="J452" i="7"/>
  <c r="E448" i="6" s="1"/>
  <c r="J369" i="7"/>
  <c r="J396" i="7"/>
  <c r="J418" i="7"/>
  <c r="J442" i="7"/>
  <c r="J413" i="7"/>
  <c r="J368" i="7"/>
  <c r="J408" i="7"/>
  <c r="J361" i="7"/>
  <c r="J382" i="7"/>
  <c r="J371" i="7"/>
  <c r="J412" i="7"/>
  <c r="J401" i="7"/>
  <c r="J380" i="7"/>
  <c r="E380" i="6" s="1"/>
  <c r="J398" i="7"/>
  <c r="J434" i="7"/>
  <c r="J426" i="7"/>
  <c r="J424" i="7"/>
  <c r="J359" i="7"/>
  <c r="J411" i="7"/>
  <c r="J362" i="7"/>
  <c r="E363" i="6" s="1"/>
  <c r="J410" i="7"/>
  <c r="J448" i="7"/>
  <c r="E446" i="6" s="1"/>
  <c r="J403" i="7"/>
  <c r="J450" i="7"/>
  <c r="J384" i="7"/>
  <c r="J409" i="7"/>
  <c r="J425" i="7"/>
  <c r="J440" i="7"/>
  <c r="J400" i="7"/>
  <c r="E398" i="6" s="1"/>
  <c r="J364" i="7"/>
  <c r="J420" i="7"/>
  <c r="J372" i="7"/>
  <c r="J388" i="7"/>
  <c r="J417" i="7"/>
  <c r="J427" i="7"/>
  <c r="J444" i="7"/>
  <c r="J376" i="7"/>
  <c r="J366" i="7"/>
  <c r="J414" i="7"/>
  <c r="J386" i="7"/>
  <c r="J431" i="7"/>
  <c r="J416" i="7"/>
  <c r="J432" i="7"/>
  <c r="J397" i="7"/>
  <c r="J435" i="7"/>
  <c r="J428" i="7"/>
  <c r="J415" i="7"/>
  <c r="J367" i="7"/>
  <c r="J407" i="7"/>
  <c r="J378" i="7"/>
  <c r="J393" i="7"/>
  <c r="J402" i="7"/>
  <c r="E399" i="6" s="1"/>
  <c r="J423" i="7"/>
  <c r="D352" i="6"/>
  <c r="D350" i="6"/>
  <c r="D348" i="6"/>
  <c r="D346" i="6"/>
  <c r="D332" i="6"/>
  <c r="D317" i="6"/>
  <c r="D303" i="6"/>
  <c r="D300" i="6"/>
  <c r="D288" i="6"/>
  <c r="D283" i="6"/>
  <c r="D272" i="6"/>
  <c r="D267" i="6"/>
  <c r="D256" i="6"/>
  <c r="D251" i="6"/>
  <c r="D239" i="6"/>
  <c r="D237" i="6"/>
  <c r="D235" i="6"/>
  <c r="D222" i="6"/>
  <c r="D220" i="6"/>
  <c r="D218" i="6"/>
  <c r="D205" i="6"/>
  <c r="D202" i="6"/>
  <c r="D191" i="6"/>
  <c r="D188" i="6"/>
  <c r="D174" i="6"/>
  <c r="J168" i="7"/>
  <c r="J182" i="7"/>
  <c r="J214" i="7"/>
  <c r="J169" i="7"/>
  <c r="J197" i="7"/>
  <c r="D335" i="6"/>
  <c r="D331" i="6"/>
  <c r="D320" i="6"/>
  <c r="D316" i="6"/>
  <c r="D302" i="6"/>
  <c r="J342" i="7"/>
  <c r="D285" i="6"/>
  <c r="D282" i="6"/>
  <c r="D269" i="6"/>
  <c r="D266" i="6"/>
  <c r="D253" i="6"/>
  <c r="D234" i="6"/>
  <c r="D224" i="6"/>
  <c r="D207" i="6"/>
  <c r="D204" i="6"/>
  <c r="D190" i="6"/>
  <c r="D187" i="6"/>
  <c r="D176" i="6"/>
  <c r="D171" i="6"/>
  <c r="J165" i="7"/>
  <c r="D351" i="6"/>
  <c r="D349" i="6"/>
  <c r="D347" i="6"/>
  <c r="D334" i="6"/>
  <c r="D330" i="6"/>
  <c r="D319" i="6"/>
  <c r="D315" i="6"/>
  <c r="D304" i="6"/>
  <c r="D299" i="6"/>
  <c r="D287" i="6"/>
  <c r="D284" i="6"/>
  <c r="D271" i="6"/>
  <c r="D268" i="6"/>
  <c r="D255" i="6"/>
  <c r="D252" i="6"/>
  <c r="D250" i="6"/>
  <c r="D240" i="6"/>
  <c r="D238" i="6"/>
  <c r="D236" i="6"/>
  <c r="D221" i="6"/>
  <c r="D219" i="6"/>
  <c r="D206" i="6"/>
  <c r="D186" i="6"/>
  <c r="D173" i="6"/>
  <c r="D170" i="6"/>
  <c r="J166" i="7"/>
  <c r="J170" i="7"/>
  <c r="E171" i="6" s="1"/>
  <c r="J198" i="7"/>
  <c r="J167" i="7"/>
  <c r="J213" i="7"/>
  <c r="D336" i="6"/>
  <c r="D333" i="6"/>
  <c r="D318" i="6"/>
  <c r="D314" i="6"/>
  <c r="D301" i="6"/>
  <c r="D298" i="6"/>
  <c r="D286" i="6"/>
  <c r="D270" i="6"/>
  <c r="D254" i="6"/>
  <c r="D223" i="6"/>
  <c r="D208" i="6"/>
  <c r="D203" i="6"/>
  <c r="D192" i="6"/>
  <c r="D189" i="6"/>
  <c r="D175" i="6"/>
  <c r="D172" i="6"/>
  <c r="J181" i="7"/>
  <c r="J178" i="7"/>
  <c r="J246" i="7"/>
  <c r="J294" i="7"/>
  <c r="J354" i="7"/>
  <c r="J210" i="7"/>
  <c r="J278" i="7"/>
  <c r="J262" i="7"/>
  <c r="J310" i="7"/>
  <c r="J344" i="7"/>
  <c r="J326" i="7"/>
  <c r="J230" i="7"/>
  <c r="J190" i="7"/>
  <c r="J206" i="7"/>
  <c r="J193" i="7"/>
  <c r="J200" i="7"/>
  <c r="J352" i="7"/>
  <c r="J220" i="7"/>
  <c r="J207" i="7"/>
  <c r="J204" i="7"/>
  <c r="J177" i="7"/>
  <c r="J194" i="7"/>
  <c r="J350" i="7"/>
  <c r="J212" i="7"/>
  <c r="J185" i="7"/>
  <c r="J202" i="7"/>
  <c r="J348" i="7"/>
  <c r="J216" i="7"/>
  <c r="J174" i="7"/>
  <c r="J227" i="7"/>
  <c r="J196" i="7"/>
  <c r="J223" i="7"/>
  <c r="J228" i="7"/>
  <c r="J346" i="7"/>
  <c r="J192" i="7"/>
  <c r="J180" i="7"/>
  <c r="J356" i="7"/>
  <c r="J208" i="7"/>
  <c r="J215" i="7"/>
  <c r="J176" i="7"/>
  <c r="J224" i="7"/>
  <c r="J219" i="7"/>
  <c r="J187" i="7"/>
  <c r="J209" i="7"/>
  <c r="J173" i="7"/>
  <c r="J188" i="7"/>
  <c r="J171" i="7"/>
  <c r="J218" i="7"/>
  <c r="J242" i="7"/>
  <c r="J265" i="7"/>
  <c r="J283" i="7"/>
  <c r="J315" i="7"/>
  <c r="J349" i="7"/>
  <c r="J239" i="7"/>
  <c r="J281" i="7"/>
  <c r="J316" i="7"/>
  <c r="J189" i="7"/>
  <c r="J233" i="7"/>
  <c r="J249" i="7"/>
  <c r="J264" i="7"/>
  <c r="J292" i="7"/>
  <c r="J295" i="7"/>
  <c r="J321" i="7"/>
  <c r="J338" i="7"/>
  <c r="J312" i="7"/>
  <c r="J172" i="7"/>
  <c r="J248" i="7"/>
  <c r="J287" i="7"/>
  <c r="J319" i="7"/>
  <c r="J355" i="7"/>
  <c r="J195" i="7"/>
  <c r="J235" i="7"/>
  <c r="J256" i="7"/>
  <c r="J271" i="7"/>
  <c r="J280" i="7"/>
  <c r="J299" i="7"/>
  <c r="J314" i="7"/>
  <c r="J345" i="7"/>
  <c r="J205" i="7"/>
  <c r="J253" i="7"/>
  <c r="J285" i="7"/>
  <c r="J221" i="7"/>
  <c r="J306" i="7"/>
  <c r="J222" i="7"/>
  <c r="J258" i="7"/>
  <c r="J301" i="7"/>
  <c r="J328" i="7"/>
  <c r="J336" i="7"/>
  <c r="J267" i="7"/>
  <c r="J334" i="7"/>
  <c r="J226" i="7"/>
  <c r="J259" i="7"/>
  <c r="J307" i="7"/>
  <c r="J332" i="7"/>
  <c r="J211" i="7"/>
  <c r="J250" i="7"/>
  <c r="J304" i="7"/>
  <c r="J231" i="7"/>
  <c r="J305" i="7"/>
  <c r="J225" i="7"/>
  <c r="J269" i="7"/>
  <c r="J296" i="7"/>
  <c r="E298" i="6" s="1" a="1"/>
  <c r="E298" i="6" s="1"/>
  <c r="J329" i="7"/>
  <c r="J351" i="7"/>
  <c r="J276" i="7"/>
  <c r="J330" i="7"/>
  <c r="J186" i="7"/>
  <c r="J263" i="7"/>
  <c r="J300" i="7"/>
  <c r="J333" i="7"/>
  <c r="J183" i="7"/>
  <c r="J238" i="7"/>
  <c r="J260" i="7"/>
  <c r="J273" i="7"/>
  <c r="J284" i="7"/>
  <c r="E284" i="6" s="1"/>
  <c r="J313" i="7"/>
  <c r="J184" i="7"/>
  <c r="J247" i="7"/>
  <c r="J288" i="7"/>
  <c r="J327" i="7"/>
  <c r="J201" i="7"/>
  <c r="J236" i="7"/>
  <c r="J257" i="7"/>
  <c r="J266" i="7"/>
  <c r="J282" i="7"/>
  <c r="J302" i="7"/>
  <c r="E301" i="6" s="1"/>
  <c r="J331" i="7"/>
  <c r="J343" i="7"/>
  <c r="J322" i="7"/>
  <c r="J203" i="7"/>
  <c r="J255" i="7"/>
  <c r="J289" i="7"/>
  <c r="J317" i="7"/>
  <c r="J175" i="7"/>
  <c r="J199" i="7"/>
  <c r="J237" i="7"/>
  <c r="J251" i="7"/>
  <c r="J268" i="7"/>
  <c r="J279" i="7"/>
  <c r="J311" i="7"/>
  <c r="J335" i="7"/>
  <c r="J347" i="7"/>
  <c r="J241" i="7"/>
  <c r="J272" i="7"/>
  <c r="J339" i="7"/>
  <c r="J254" i="7"/>
  <c r="J340" i="7"/>
  <c r="J243" i="7"/>
  <c r="J286" i="7"/>
  <c r="E285" i="6" s="1"/>
  <c r="J323" i="7"/>
  <c r="J298" i="7"/>
  <c r="J217" i="7"/>
  <c r="J297" i="7"/>
  <c r="J179" i="7"/>
  <c r="J240" i="7"/>
  <c r="J270" i="7"/>
  <c r="J318" i="7"/>
  <c r="E317" i="6" s="1"/>
  <c r="J244" i="7"/>
  <c r="J274" i="7"/>
  <c r="J337" i="7"/>
  <c r="J275" i="7"/>
  <c r="J353" i="7"/>
  <c r="J252" i="7"/>
  <c r="J291" i="7"/>
  <c r="J320" i="7"/>
  <c r="E318" i="6" s="1"/>
  <c r="J303" i="7"/>
  <c r="J232" i="7"/>
  <c r="J308" i="7"/>
  <c r="J191" i="7"/>
  <c r="J234" i="7"/>
  <c r="E235" i="6" s="1"/>
  <c r="J290" i="7"/>
  <c r="J324" i="7"/>
  <c r="D122" i="6"/>
  <c r="D124" i="6"/>
  <c r="D160" i="6"/>
  <c r="D156" i="6"/>
  <c r="D144" i="6"/>
  <c r="D142" i="6"/>
  <c r="D140" i="6"/>
  <c r="D110" i="6"/>
  <c r="D106" i="6"/>
  <c r="J102" i="7"/>
  <c r="J133" i="7"/>
  <c r="J134" i="7"/>
  <c r="D127" i="6"/>
  <c r="D159" i="6"/>
  <c r="D155" i="6"/>
  <c r="D109" i="6"/>
  <c r="D125" i="6"/>
  <c r="D128" i="6"/>
  <c r="D158" i="6"/>
  <c r="D154" i="6"/>
  <c r="D143" i="6"/>
  <c r="D141" i="6"/>
  <c r="D139" i="6"/>
  <c r="D112" i="6"/>
  <c r="D108" i="6"/>
  <c r="J117" i="7"/>
  <c r="D123" i="6"/>
  <c r="D126" i="6"/>
  <c r="D157" i="6"/>
  <c r="D138" i="6"/>
  <c r="D111" i="6"/>
  <c r="D107" i="6"/>
  <c r="J101" i="7"/>
  <c r="J118" i="7"/>
  <c r="J150" i="7"/>
  <c r="J103" i="7"/>
  <c r="J149" i="7"/>
  <c r="J162" i="7"/>
  <c r="J148" i="7"/>
  <c r="J143" i="7"/>
  <c r="J124" i="7"/>
  <c r="J159" i="7"/>
  <c r="J121" i="7"/>
  <c r="J119" i="7"/>
  <c r="J141" i="7"/>
  <c r="J142" i="7"/>
  <c r="J130" i="7"/>
  <c r="J107" i="7"/>
  <c r="J131" i="7"/>
  <c r="J145" i="7"/>
  <c r="J138" i="7"/>
  <c r="J104" i="7"/>
  <c r="E106" i="6" s="1" a="1"/>
  <c r="E106" i="6" s="1"/>
  <c r="J160" i="7"/>
  <c r="J122" i="7"/>
  <c r="J155" i="7"/>
  <c r="J127" i="7"/>
  <c r="J120" i="7"/>
  <c r="J109" i="7"/>
  <c r="J113" i="7"/>
  <c r="J158" i="7"/>
  <c r="J146" i="7"/>
  <c r="J115" i="7"/>
  <c r="J111" i="7"/>
  <c r="J157" i="7"/>
  <c r="J139" i="7"/>
  <c r="J137" i="7"/>
  <c r="J125" i="7"/>
  <c r="J164" i="7"/>
  <c r="J154" i="7"/>
  <c r="J123" i="7"/>
  <c r="J110" i="7"/>
  <c r="J147" i="7"/>
  <c r="J140" i="7"/>
  <c r="J144" i="7"/>
  <c r="J153" i="7"/>
  <c r="J151" i="7"/>
  <c r="J108" i="7"/>
  <c r="J136" i="7"/>
  <c r="J126" i="7"/>
  <c r="J163" i="7"/>
  <c r="J114" i="7"/>
  <c r="J116" i="7"/>
  <c r="J128" i="7"/>
  <c r="J135" i="7"/>
  <c r="J105" i="7"/>
  <c r="J152" i="7"/>
  <c r="J106" i="7"/>
  <c r="J161" i="7"/>
  <c r="J112" i="7"/>
  <c r="J132" i="7"/>
  <c r="J129" i="7"/>
  <c r="J156" i="7"/>
  <c r="J95" i="7"/>
  <c r="J90" i="7"/>
  <c r="J97" i="7"/>
  <c r="J89" i="7"/>
  <c r="D95" i="6"/>
  <c r="D91" i="6"/>
  <c r="D94" i="6"/>
  <c r="D90" i="6"/>
  <c r="D93" i="6"/>
  <c r="J100" i="7"/>
  <c r="D96" i="6"/>
  <c r="D92" i="6"/>
  <c r="J92" i="7"/>
  <c r="J96" i="7"/>
  <c r="J98" i="7"/>
  <c r="E95" i="6" s="1"/>
  <c r="J91" i="7"/>
  <c r="J93" i="7"/>
  <c r="J99" i="7"/>
  <c r="J87" i="7"/>
  <c r="I94" i="7"/>
  <c r="J94" i="7" s="1"/>
  <c r="J39" i="7"/>
  <c r="J53" i="7"/>
  <c r="J54" i="7"/>
  <c r="J71" i="7"/>
  <c r="J55" i="7"/>
  <c r="J57" i="7"/>
  <c r="J61" i="7"/>
  <c r="J65" i="7"/>
  <c r="J78" i="7"/>
  <c r="J84" i="7"/>
  <c r="J73" i="7"/>
  <c r="J58" i="7"/>
  <c r="J74" i="7"/>
  <c r="J82" i="7"/>
  <c r="J83" i="7"/>
  <c r="J59" i="7"/>
  <c r="J63" i="7"/>
  <c r="J67" i="7"/>
  <c r="J81" i="7"/>
  <c r="J75" i="7"/>
  <c r="J68" i="7"/>
  <c r="J79" i="7"/>
  <c r="J56" i="7"/>
  <c r="J60" i="7"/>
  <c r="J80" i="7"/>
  <c r="J64" i="7"/>
  <c r="J62" i="7"/>
  <c r="J77" i="7"/>
  <c r="E77" i="6" s="1"/>
  <c r="I76" i="7"/>
  <c r="J76" i="7" s="1"/>
  <c r="I66" i="7"/>
  <c r="J66" i="7" s="1"/>
  <c r="J45" i="7"/>
  <c r="J50" i="7"/>
  <c r="J48" i="7"/>
  <c r="J52" i="7"/>
  <c r="J41" i="7"/>
  <c r="J33" i="7"/>
  <c r="D45" i="6"/>
  <c r="D48" i="6"/>
  <c r="D44" i="6"/>
  <c r="D47" i="6"/>
  <c r="D43" i="6"/>
  <c r="D46" i="6"/>
  <c r="D42" i="6"/>
  <c r="J42" i="7"/>
  <c r="J44" i="7"/>
  <c r="J51" i="7"/>
  <c r="J40" i="7"/>
  <c r="J49" i="7"/>
  <c r="J43" i="7"/>
  <c r="I47" i="7"/>
  <c r="J47" i="7" s="1"/>
  <c r="J32" i="7"/>
  <c r="D32" i="6"/>
  <c r="D28" i="6"/>
  <c r="J26" i="7"/>
  <c r="D26" i="6"/>
  <c r="D31" i="6"/>
  <c r="D27" i="6"/>
  <c r="D30" i="6"/>
  <c r="D29" i="6"/>
  <c r="J36" i="7"/>
  <c r="J25" i="7"/>
  <c r="J27" i="7"/>
  <c r="J29" i="7"/>
  <c r="J34" i="7"/>
  <c r="J28" i="7"/>
  <c r="J35" i="7"/>
  <c r="J30" i="7"/>
  <c r="J31" i="7"/>
  <c r="J23" i="7"/>
  <c r="J24" i="7"/>
  <c r="B11" i="7"/>
  <c r="E18" i="7"/>
  <c r="H20" i="7"/>
  <c r="D20" i="7"/>
  <c r="G20" i="7"/>
  <c r="C20" i="7"/>
  <c r="E20" i="7"/>
  <c r="F20" i="7"/>
  <c r="E14" i="7"/>
  <c r="H18" i="7"/>
  <c r="D18" i="7"/>
  <c r="G18" i="7"/>
  <c r="C18" i="7"/>
  <c r="F18" i="7"/>
  <c r="G14" i="7"/>
  <c r="C14" i="7"/>
  <c r="F14" i="7"/>
  <c r="B14" i="7"/>
  <c r="H14" i="7"/>
  <c r="E16" i="7"/>
  <c r="H16" i="7"/>
  <c r="D16" i="7"/>
  <c r="G16" i="7"/>
  <c r="C16" i="7"/>
  <c r="F16" i="7"/>
  <c r="F11" i="7"/>
  <c r="G11" i="7"/>
  <c r="C11" i="7"/>
  <c r="E11" i="7"/>
  <c r="F7" i="7"/>
  <c r="H11" i="7"/>
  <c r="E12" i="7"/>
  <c r="H12" i="7"/>
  <c r="D12" i="7"/>
  <c r="G12" i="7"/>
  <c r="C12" i="7"/>
  <c r="F12" i="7"/>
  <c r="E13" i="7"/>
  <c r="E8" i="7"/>
  <c r="B7" i="7"/>
  <c r="G7" i="7"/>
  <c r="E7" i="7"/>
  <c r="C7" i="7"/>
  <c r="E9" i="7"/>
  <c r="H9" i="7"/>
  <c r="D9" i="7"/>
  <c r="G9" i="7"/>
  <c r="C9" i="7"/>
  <c r="F9" i="7"/>
  <c r="H8" i="7"/>
  <c r="D8" i="7"/>
  <c r="G8" i="7"/>
  <c r="C8" i="7"/>
  <c r="F8" i="7"/>
  <c r="H7" i="7"/>
  <c r="D14" i="6"/>
  <c r="D13" i="6"/>
  <c r="D16" i="6"/>
  <c r="D10" i="6"/>
  <c r="H13" i="7"/>
  <c r="D12" i="6"/>
  <c r="D15" i="6"/>
  <c r="D11" i="6"/>
  <c r="E19" i="7"/>
  <c r="H19" i="7"/>
  <c r="D19" i="7"/>
  <c r="G19" i="7"/>
  <c r="C19" i="7"/>
  <c r="F19" i="7"/>
  <c r="E17" i="7"/>
  <c r="H17" i="7"/>
  <c r="D17" i="7"/>
  <c r="G17" i="7"/>
  <c r="C17" i="7"/>
  <c r="F17" i="7"/>
  <c r="F15" i="7"/>
  <c r="B15" i="7"/>
  <c r="E15" i="7"/>
  <c r="H15" i="7"/>
  <c r="D15" i="7"/>
  <c r="G15" i="7"/>
  <c r="D13" i="7"/>
  <c r="G13" i="7"/>
  <c r="C13" i="7"/>
  <c r="F13" i="7"/>
  <c r="H10" i="7"/>
  <c r="D10" i="7"/>
  <c r="G10" i="7"/>
  <c r="C10" i="7"/>
  <c r="E10" i="7"/>
  <c r="F10" i="7"/>
  <c r="E416" i="6" l="1"/>
  <c r="E112" i="6"/>
  <c r="E125" i="6"/>
  <c r="E316" i="6"/>
  <c r="E140" i="6"/>
  <c r="E444" i="6"/>
  <c r="E442" i="6" a="1"/>
  <c r="E442" i="6" s="1"/>
  <c r="E447" i="6"/>
  <c r="E76" i="6"/>
  <c r="E109" i="6"/>
  <c r="E234" i="6" a="1"/>
  <c r="E234" i="6" s="1"/>
  <c r="E271" i="6"/>
  <c r="E238" i="6"/>
  <c r="E62" i="6"/>
  <c r="E79" i="6"/>
  <c r="E60" i="6"/>
  <c r="E63" i="6"/>
  <c r="E74" i="6"/>
  <c r="E78" i="6"/>
  <c r="E80" i="6"/>
  <c r="E139" i="6"/>
  <c r="E250" i="6" a="1"/>
  <c r="E250" i="6" s="1"/>
  <c r="E348" i="6"/>
  <c r="E427" i="6"/>
  <c r="E58" i="6"/>
  <c r="E75" i="6"/>
  <c r="E61" i="6"/>
  <c r="E90" i="6"/>
  <c r="E64" i="6"/>
  <c r="E59" i="6"/>
  <c r="E223" i="6"/>
  <c r="E287" i="6"/>
  <c r="E286" i="6"/>
  <c r="E330" i="6" a="1"/>
  <c r="E330" i="6" s="1"/>
  <c r="E383" i="6"/>
  <c r="E253" i="6"/>
  <c r="E236" i="6"/>
  <c r="E30" i="6"/>
  <c r="E43" i="6"/>
  <c r="E47" i="6"/>
  <c r="E256" i="6"/>
  <c r="E300" i="6"/>
  <c r="E222" i="6"/>
  <c r="E445" i="6"/>
  <c r="E126" i="6"/>
  <c r="E144" i="6"/>
  <c r="E443" i="6"/>
  <c r="E432" i="6"/>
  <c r="E413" i="6"/>
  <c r="E110" i="6"/>
  <c r="E111" i="6"/>
  <c r="E108" i="6"/>
  <c r="E155" i="6"/>
  <c r="E143" i="6"/>
  <c r="E122" i="6" a="1"/>
  <c r="E122" i="6" s="1"/>
  <c r="E158" i="6"/>
  <c r="E124" i="6"/>
  <c r="E319" i="6"/>
  <c r="E283" i="6"/>
  <c r="E186" i="6" a="1"/>
  <c r="E186" i="6" s="1"/>
  <c r="E302" i="6"/>
  <c r="E255" i="6"/>
  <c r="E315" i="6"/>
  <c r="E254" i="6"/>
  <c r="E314" i="6" a="1"/>
  <c r="E314" i="6" s="1"/>
  <c r="E288" i="6"/>
  <c r="E239" i="6"/>
  <c r="E352" i="6"/>
  <c r="E224" i="6"/>
  <c r="E350" i="6"/>
  <c r="E351" i="6"/>
  <c r="E379" i="6"/>
  <c r="E428" i="6"/>
  <c r="E414" i="6"/>
  <c r="E365" i="6"/>
  <c r="E364" i="6"/>
  <c r="E397" i="6"/>
  <c r="E366" i="6"/>
  <c r="E396" i="6"/>
  <c r="E394" i="6" a="1"/>
  <c r="E394" i="6" s="1"/>
  <c r="E320" i="6"/>
  <c r="E270" i="6"/>
  <c r="E267" i="6"/>
  <c r="E221" i="6"/>
  <c r="E272" i="6"/>
  <c r="E42" i="6"/>
  <c r="E107" i="6"/>
  <c r="E127" i="6"/>
  <c r="E252" i="6"/>
  <c r="E299" i="6"/>
  <c r="E336" i="6"/>
  <c r="E187" i="6"/>
  <c r="E303" i="6"/>
  <c r="E282" i="6" a="1"/>
  <c r="E282" i="6" s="1"/>
  <c r="E190" i="6"/>
  <c r="E192" i="6"/>
  <c r="E349" i="6"/>
  <c r="E368" i="6"/>
  <c r="E429" i="6"/>
  <c r="E362" i="6" a="1"/>
  <c r="E362" i="6" s="1"/>
  <c r="E94" i="6"/>
  <c r="E91" i="6"/>
  <c r="E128" i="6"/>
  <c r="E154" i="6" a="1"/>
  <c r="E154" i="6" s="1"/>
  <c r="E138" i="6" a="1"/>
  <c r="E138" i="6" s="1"/>
  <c r="E142" i="6"/>
  <c r="E123" i="6"/>
  <c r="E141" i="6"/>
  <c r="E159" i="6"/>
  <c r="E240" i="6"/>
  <c r="E268" i="6"/>
  <c r="E331" i="6"/>
  <c r="E332" i="6"/>
  <c r="E333" i="6"/>
  <c r="E172" i="6"/>
  <c r="E188" i="6"/>
  <c r="E206" i="6"/>
  <c r="E347" i="6"/>
  <c r="E203" i="6"/>
  <c r="E191" i="6"/>
  <c r="E220" i="6"/>
  <c r="E205" i="6"/>
  <c r="E346" i="6" a="1"/>
  <c r="E346" i="6" s="1"/>
  <c r="E207" i="6"/>
  <c r="E175" i="6"/>
  <c r="E170" i="6" a="1"/>
  <c r="E170" i="6" s="1"/>
  <c r="E430" i="6"/>
  <c r="E431" i="6"/>
  <c r="E412" i="6"/>
  <c r="E410" i="6" a="1"/>
  <c r="E410" i="6" s="1"/>
  <c r="E415" i="6"/>
  <c r="E400" i="6"/>
  <c r="E395" i="6"/>
  <c r="E173" i="6"/>
  <c r="E189" i="6"/>
  <c r="E93" i="6"/>
  <c r="E156" i="6"/>
  <c r="E160" i="6"/>
  <c r="E157" i="6"/>
  <c r="E304" i="6"/>
  <c r="E269" i="6"/>
  <c r="E237" i="6"/>
  <c r="E251" i="6"/>
  <c r="E334" i="6"/>
  <c r="E335" i="6"/>
  <c r="E266" i="6" a="1"/>
  <c r="E266" i="6" s="1"/>
  <c r="E219" i="6"/>
  <c r="E174" i="6"/>
  <c r="E176" i="6"/>
  <c r="E218" i="6" a="1"/>
  <c r="E218" i="6" s="1"/>
  <c r="E208" i="6"/>
  <c r="E204" i="6"/>
  <c r="E202" i="6" a="1"/>
  <c r="E202" i="6" s="1"/>
  <c r="E378" i="6" a="1"/>
  <c r="E378" i="6" s="1"/>
  <c r="E384" i="6"/>
  <c r="E382" i="6"/>
  <c r="E411" i="6"/>
  <c r="E426" i="6" a="1"/>
  <c r="E426" i="6" s="1"/>
  <c r="E381" i="6"/>
  <c r="E367" i="6"/>
  <c r="E96" i="6"/>
  <c r="E44" i="6"/>
  <c r="E48" i="6"/>
  <c r="E92" i="6"/>
  <c r="E31" i="6"/>
  <c r="E45" i="6"/>
  <c r="E46" i="6"/>
  <c r="E32" i="6"/>
  <c r="E28" i="6"/>
  <c r="E29" i="6"/>
  <c r="E26" i="6"/>
  <c r="E27" i="6"/>
  <c r="I8" i="7"/>
  <c r="J8" i="7" s="1"/>
  <c r="I7" i="7"/>
  <c r="J7" i="7" s="1"/>
  <c r="G83" i="6" l="1" a="1"/>
  <c r="I83" i="6" s="1"/>
  <c r="G67" i="6" a="1"/>
  <c r="J67" i="6" s="1"/>
  <c r="G451" i="6" a="1"/>
  <c r="I451" i="6" s="1"/>
  <c r="G147" i="6" a="1"/>
  <c r="J147" i="6" s="1"/>
  <c r="G291" i="6" a="1"/>
  <c r="G291" i="6" s="1"/>
  <c r="G51" i="6" a="1"/>
  <c r="I51" i="6" s="1"/>
  <c r="G387" i="6" a="1"/>
  <c r="J387" i="6" s="1"/>
  <c r="G115" i="6" a="1"/>
  <c r="H115" i="6" s="1"/>
  <c r="G419" i="6" a="1"/>
  <c r="J419" i="6" s="1"/>
  <c r="G355" i="6" a="1"/>
  <c r="G355" i="6" s="1"/>
  <c r="G275" i="6" a="1"/>
  <c r="I275" i="6" s="1"/>
  <c r="G211" i="6" a="1"/>
  <c r="G211" i="6" s="1"/>
  <c r="G131" i="6" a="1"/>
  <c r="G131" i="6" s="1"/>
  <c r="G323" i="6" a="1"/>
  <c r="J323" i="6" s="1"/>
  <c r="G403" i="6" a="1"/>
  <c r="J403" i="6" s="1"/>
  <c r="G179" i="6" a="1"/>
  <c r="I179" i="6" s="1"/>
  <c r="G195" i="6" a="1"/>
  <c r="G195" i="6" s="1"/>
  <c r="G435" i="6" a="1"/>
  <c r="J435" i="6" s="1"/>
  <c r="G227" i="6" a="1"/>
  <c r="H227" i="6" s="1"/>
  <c r="G243" i="6" a="1"/>
  <c r="J243" i="6" s="1"/>
  <c r="G339" i="6" a="1"/>
  <c r="G339" i="6" s="1"/>
  <c r="G163" i="6" a="1"/>
  <c r="J163" i="6" s="1"/>
  <c r="G307" i="6" a="1"/>
  <c r="H307" i="6" s="1"/>
  <c r="G99" i="6" a="1"/>
  <c r="G99" i="6" s="1"/>
  <c r="G259" i="6" a="1"/>
  <c r="G371" i="6" a="1"/>
  <c r="G35" i="6" a="1"/>
  <c r="G14" i="5"/>
  <c r="E10" i="6"/>
  <c r="G9" i="5"/>
  <c r="I387" i="6" l="1"/>
  <c r="G403" i="6"/>
  <c r="H83" i="6"/>
  <c r="G323" i="6"/>
  <c r="H323" i="6"/>
  <c r="I67" i="6"/>
  <c r="J355" i="6"/>
  <c r="G83" i="6"/>
  <c r="H387" i="6"/>
  <c r="L451" i="6"/>
  <c r="G419" i="6"/>
  <c r="I131" i="6"/>
  <c r="I419" i="6"/>
  <c r="J291" i="6"/>
  <c r="H419" i="6"/>
  <c r="H131" i="6"/>
  <c r="H291" i="6"/>
  <c r="H451" i="6"/>
  <c r="J131" i="6"/>
  <c r="J211" i="6"/>
  <c r="I243" i="6"/>
  <c r="H67" i="6"/>
  <c r="J451" i="6"/>
  <c r="H211" i="6"/>
  <c r="G67" i="6"/>
  <c r="G451" i="6"/>
  <c r="K451" i="6"/>
  <c r="G115" i="6"/>
  <c r="I147" i="6"/>
  <c r="H403" i="6"/>
  <c r="I307" i="6"/>
  <c r="I227" i="6"/>
  <c r="I403" i="6"/>
  <c r="J51" i="6"/>
  <c r="K51" i="6"/>
  <c r="J179" i="6"/>
  <c r="H355" i="6"/>
  <c r="I291" i="6"/>
  <c r="G51" i="6"/>
  <c r="J115" i="6"/>
  <c r="H147" i="6"/>
  <c r="J275" i="6"/>
  <c r="G179" i="6"/>
  <c r="I115" i="6"/>
  <c r="G147" i="6"/>
  <c r="G387" i="6"/>
  <c r="H51" i="6"/>
  <c r="G163" i="6"/>
  <c r="H435" i="6"/>
  <c r="I211" i="6"/>
  <c r="I323" i="6"/>
  <c r="K435" i="6"/>
  <c r="I163" i="6"/>
  <c r="I355" i="6"/>
  <c r="H275" i="6"/>
  <c r="J339" i="6"/>
  <c r="G275" i="6"/>
  <c r="G243" i="6"/>
  <c r="H99" i="6"/>
  <c r="H179" i="6"/>
  <c r="I339" i="6"/>
  <c r="J195" i="6"/>
  <c r="H243" i="6"/>
  <c r="H195" i="6"/>
  <c r="I99" i="6"/>
  <c r="H339" i="6"/>
  <c r="I195" i="6"/>
  <c r="J227" i="6"/>
  <c r="J307" i="6"/>
  <c r="H163" i="6"/>
  <c r="G227" i="6"/>
  <c r="G307" i="6"/>
  <c r="I435" i="6"/>
  <c r="G435" i="6"/>
  <c r="L435" i="6"/>
  <c r="J371" i="6"/>
  <c r="H371" i="6"/>
  <c r="G371" i="6"/>
  <c r="I371" i="6"/>
  <c r="J259" i="6"/>
  <c r="H259" i="6"/>
  <c r="I259" i="6"/>
  <c r="G259" i="6"/>
  <c r="G35" i="6"/>
  <c r="I35" i="6"/>
  <c r="H35" i="6"/>
  <c r="I9" i="7"/>
  <c r="J9" i="7" s="1"/>
  <c r="G27" i="5" s="1"/>
  <c r="I10" i="7"/>
  <c r="J10" i="7" s="1"/>
  <c r="I11" i="7"/>
  <c r="J11" i="7" s="1"/>
  <c r="G46" i="5" s="1"/>
  <c r="I12" i="7"/>
  <c r="J12" i="7" s="1"/>
  <c r="I13" i="7"/>
  <c r="J13" i="7" s="1"/>
  <c r="G62" i="5" s="1"/>
  <c r="I14" i="7"/>
  <c r="J14" i="7" s="1"/>
  <c r="I15" i="7"/>
  <c r="J15" i="7" s="1"/>
  <c r="G78" i="5" s="1"/>
  <c r="I16" i="7"/>
  <c r="J16" i="7" s="1"/>
  <c r="I17" i="7"/>
  <c r="J17" i="7" s="1"/>
  <c r="G98" i="5" s="1"/>
  <c r="I18" i="7"/>
  <c r="J18" i="7" s="1"/>
  <c r="I19" i="7"/>
  <c r="J19" i="7" s="1"/>
  <c r="G113" i="5" s="1"/>
  <c r="I20" i="7"/>
  <c r="J20" i="7" s="1"/>
  <c r="E131" i="6" l="1"/>
  <c r="C10" i="8" s="1"/>
  <c r="D10" i="8" s="1"/>
  <c r="E83" i="6"/>
  <c r="C7" i="8" s="1"/>
  <c r="D7" i="8" s="1"/>
  <c r="E323" i="6"/>
  <c r="C22" i="8" s="1"/>
  <c r="D22" i="8" s="1"/>
  <c r="E387" i="6"/>
  <c r="C26" i="8" s="1"/>
  <c r="D26" i="8" s="1"/>
  <c r="E115" i="6"/>
  <c r="C9" i="8" s="1"/>
  <c r="D9" i="8" s="1"/>
  <c r="E291" i="6"/>
  <c r="C20" i="8" s="1"/>
  <c r="D20" i="8" s="1"/>
  <c r="E419" i="6"/>
  <c r="C28" i="8" s="1"/>
  <c r="D28" i="8" s="1"/>
  <c r="E211" i="6"/>
  <c r="C15" i="8" s="1"/>
  <c r="D15" i="8" s="1"/>
  <c r="E451" i="6"/>
  <c r="C30" i="8" s="1"/>
  <c r="D30" i="8" s="1"/>
  <c r="E67" i="6"/>
  <c r="C6" i="8" s="1"/>
  <c r="D6" i="8" s="1"/>
  <c r="E339" i="6"/>
  <c r="C23" i="8" s="1"/>
  <c r="D23" i="8" s="1"/>
  <c r="E275" i="6"/>
  <c r="C19" i="8" s="1"/>
  <c r="D19" i="8" s="1"/>
  <c r="E147" i="6"/>
  <c r="C11" i="8" s="1"/>
  <c r="D11" i="8" s="1"/>
  <c r="E355" i="6"/>
  <c r="C24" i="8" s="1"/>
  <c r="D24" i="8" s="1"/>
  <c r="E403" i="6"/>
  <c r="C27" i="8" s="1"/>
  <c r="D27" i="8" s="1"/>
  <c r="E51" i="6"/>
  <c r="C5" i="8" s="1"/>
  <c r="D5" i="8" s="1"/>
  <c r="E227" i="6"/>
  <c r="C16" i="8" s="1"/>
  <c r="D16" i="8" s="1"/>
  <c r="E99" i="6"/>
  <c r="C8" i="8" s="1"/>
  <c r="D8" i="8" s="1"/>
  <c r="E179" i="6"/>
  <c r="C13" i="8" s="1"/>
  <c r="D13" i="8" s="1"/>
  <c r="E163" i="6"/>
  <c r="C12" i="8" s="1"/>
  <c r="D12" i="8" s="1"/>
  <c r="E243" i="6"/>
  <c r="C17" i="8" s="1"/>
  <c r="D17" i="8" s="1"/>
  <c r="E307" i="6"/>
  <c r="C21" i="8" s="1"/>
  <c r="D21" i="8" s="1"/>
  <c r="E435" i="6"/>
  <c r="C29" i="8" s="1"/>
  <c r="D29" i="8" s="1"/>
  <c r="E195" i="6"/>
  <c r="C14" i="8" s="1"/>
  <c r="D14" i="8" s="1"/>
  <c r="E259" i="6"/>
  <c r="C18" i="8" s="1"/>
  <c r="D18" i="8" s="1"/>
  <c r="E371" i="6"/>
  <c r="C25" i="8" s="1"/>
  <c r="D25" i="8" s="1"/>
  <c r="E35" i="6"/>
  <c r="C4" i="8" s="1"/>
  <c r="D4" i="8" s="1"/>
  <c r="E11" i="6"/>
  <c r="E15" i="6"/>
  <c r="E13" i="6"/>
  <c r="E16" i="6"/>
  <c r="E14" i="6"/>
  <c r="E12" i="6"/>
  <c r="G119" i="5"/>
  <c r="G84" i="5"/>
  <c r="G52" i="5"/>
  <c r="G104" i="5"/>
  <c r="G69" i="5"/>
  <c r="G32" i="5"/>
  <c r="G19" i="6" l="1" a="1"/>
  <c r="H19" i="6" s="1"/>
  <c r="K15" i="2" a="1"/>
  <c r="K15" i="2" s="1"/>
  <c r="K14" i="2" a="1"/>
  <c r="K14" i="2" s="1"/>
  <c r="G19" i="6" l="1"/>
  <c r="I19" i="6"/>
  <c r="E19" i="6" l="1"/>
  <c r="C3" i="8" s="1"/>
  <c r="D3" i="8" s="1"/>
  <c r="B22" i="2" l="1"/>
  <c r="B21" i="2"/>
  <c r="B20" i="2"/>
  <c r="B19" i="2"/>
  <c r="B17" i="2"/>
  <c r="O38" i="11" a="1"/>
  <c r="P38" i="11" s="1"/>
  <c r="O37" i="11" a="1"/>
  <c r="S37" i="11" s="1"/>
  <c r="Q38" i="11" l="1"/>
  <c r="O38" i="11"/>
  <c r="S38" i="11"/>
  <c r="Q37" i="11"/>
  <c r="R38" i="11"/>
  <c r="T38" i="11"/>
  <c r="T37" i="11"/>
  <c r="O37" i="11"/>
  <c r="P37" i="11"/>
  <c r="R37" i="11"/>
  <c r="B46" i="16" l="1" a="1"/>
  <c r="B46" i="16" s="1"/>
  <c r="F46" i="16" a="1"/>
  <c r="F46" i="16" s="1"/>
  <c r="Z48" i="16" l="1"/>
  <c r="AA48" i="16" s="1"/>
  <c r="AB48" i="16" s="1"/>
  <c r="G46" i="16"/>
  <c r="C46" i="16"/>
  <c r="Z46" i="16" s="1"/>
  <c r="AA46" i="16" s="1"/>
  <c r="AB46" i="16" s="1"/>
  <c r="AL50" i="16" l="1"/>
  <c r="AM50" i="16" s="1"/>
  <c r="AN50" i="16" s="1"/>
  <c r="Z49" i="16"/>
  <c r="AA49" i="16" s="1"/>
  <c r="AB49" i="16" s="1"/>
  <c r="Z51" i="16"/>
  <c r="AA51" i="16" s="1"/>
  <c r="AB51" i="16" s="1"/>
  <c r="AL49" i="16"/>
  <c r="AM49" i="16" s="1"/>
  <c r="AN49" i="16" s="1"/>
  <c r="Z47" i="16"/>
  <c r="AA47" i="16" s="1"/>
  <c r="AB47" i="16" s="1"/>
  <c r="Z50" i="16"/>
  <c r="AA50" i="16" s="1"/>
  <c r="AB50" i="16" s="1"/>
  <c r="AL47" i="16"/>
  <c r="AM47" i="16" s="1"/>
  <c r="AN47" i="16" s="1"/>
  <c r="AL51" i="16"/>
  <c r="AM51" i="16" s="1"/>
  <c r="AN51" i="16" s="1"/>
  <c r="AL48" i="16"/>
  <c r="AM48" i="16" s="1"/>
  <c r="AN48" i="16" s="1"/>
  <c r="AL46" i="16"/>
  <c r="AM46" i="16" s="1"/>
  <c r="AN46" i="16" s="1"/>
  <c r="C12" i="44" l="1"/>
  <c r="N2" i="9"/>
  <c r="O2" i="9" s="1"/>
  <c r="K23" i="16" l="1"/>
  <c r="L23" i="16"/>
  <c r="L46" i="16" l="1"/>
  <c r="C15" i="44"/>
  <c r="B18" i="44" s="1"/>
  <c r="O46" i="16" l="1"/>
  <c r="G3" i="25"/>
  <c r="G3" i="21"/>
  <c r="B17" i="44"/>
  <c r="C14" i="44" s="1"/>
  <c r="B21" i="44"/>
  <c r="B22" i="44" l="1"/>
  <c r="U46" i="16"/>
  <c r="C2" i="63" s="1"/>
  <c r="H25" i="21"/>
  <c r="I25" i="21" s="1"/>
  <c r="J25" i="21" s="1"/>
  <c r="K25" i="21" s="1"/>
  <c r="Q25" i="21" s="1"/>
  <c r="H43" i="21"/>
  <c r="I43" i="21" s="1"/>
  <c r="J43" i="21" s="1"/>
  <c r="K43" i="21" s="1"/>
  <c r="Q43" i="21" s="1"/>
  <c r="H31" i="21"/>
  <c r="I31" i="21" s="1"/>
  <c r="J31" i="21" s="1"/>
  <c r="K31" i="21" s="1"/>
  <c r="Q31" i="21" s="1"/>
  <c r="H37" i="21"/>
  <c r="I37" i="21" s="1"/>
  <c r="J37" i="21" s="1"/>
  <c r="K37" i="21" s="1"/>
  <c r="Q37" i="21" s="1"/>
  <c r="L51" i="25"/>
  <c r="M51" i="25" s="1"/>
  <c r="I43" i="25" s="1"/>
  <c r="H43" i="25"/>
  <c r="D3" i="21"/>
  <c r="H12" i="21"/>
  <c r="I12" i="21" s="1"/>
  <c r="J12" i="21" s="1"/>
  <c r="K12" i="21" s="1"/>
  <c r="Q12" i="21" s="1"/>
  <c r="H42" i="21"/>
  <c r="I42" i="21" s="1"/>
  <c r="J42" i="21" s="1"/>
  <c r="K42" i="21" s="1"/>
  <c r="Q42" i="21" s="1"/>
  <c r="H38" i="21"/>
  <c r="I38" i="21" s="1"/>
  <c r="J38" i="21" s="1"/>
  <c r="K38" i="21" s="1"/>
  <c r="Q38" i="21" s="1"/>
  <c r="H22" i="21"/>
  <c r="I22" i="21" s="1"/>
  <c r="J22" i="21" s="1"/>
  <c r="K22" i="21" s="1"/>
  <c r="Q22" i="21" s="1"/>
  <c r="H40" i="21"/>
  <c r="I40" i="21" s="1"/>
  <c r="J40" i="21" s="1"/>
  <c r="K40" i="21" s="1"/>
  <c r="Q40" i="21" s="1"/>
  <c r="H9" i="21"/>
  <c r="I9" i="21" s="1"/>
  <c r="J9" i="21" s="1"/>
  <c r="K9" i="21" s="1"/>
  <c r="Q9" i="21" s="1"/>
  <c r="H36" i="21"/>
  <c r="I36" i="21" s="1"/>
  <c r="J36" i="21" s="1"/>
  <c r="K36" i="21" s="1"/>
  <c r="Q36" i="21" s="1"/>
  <c r="H29" i="21"/>
  <c r="I29" i="21" s="1"/>
  <c r="J29" i="21" s="1"/>
  <c r="K29" i="21" s="1"/>
  <c r="Q29" i="21" s="1"/>
  <c r="H21" i="21"/>
  <c r="I21" i="21" s="1"/>
  <c r="J21" i="21" s="1"/>
  <c r="K21" i="21" s="1"/>
  <c r="Q21" i="21" s="1"/>
  <c r="H16" i="21"/>
  <c r="I16" i="21" s="1"/>
  <c r="J16" i="21" s="1"/>
  <c r="K16" i="21" s="1"/>
  <c r="Q16" i="21" s="1"/>
  <c r="H35" i="21"/>
  <c r="I35" i="21" s="1"/>
  <c r="J35" i="21" s="1"/>
  <c r="K35" i="21" s="1"/>
  <c r="Q35" i="21" s="1"/>
  <c r="H30" i="21"/>
  <c r="I30" i="21" s="1"/>
  <c r="J30" i="21" s="1"/>
  <c r="K30" i="21" s="1"/>
  <c r="Q30" i="21" s="1"/>
  <c r="H8" i="21"/>
  <c r="I8" i="21" s="1"/>
  <c r="J8" i="21" s="1"/>
  <c r="K8" i="21" s="1"/>
  <c r="Q8" i="21" s="1"/>
  <c r="H32" i="21"/>
  <c r="I32" i="21" s="1"/>
  <c r="J32" i="21" s="1"/>
  <c r="K32" i="21" s="1"/>
  <c r="Q32" i="21" s="1"/>
  <c r="H17" i="21"/>
  <c r="I17" i="21" s="1"/>
  <c r="J17" i="21" s="1"/>
  <c r="K17" i="21" s="1"/>
  <c r="Q17" i="21" s="1"/>
  <c r="H20" i="21"/>
  <c r="I20" i="21" s="1"/>
  <c r="J20" i="21" s="1"/>
  <c r="K20" i="21" s="1"/>
  <c r="Q20" i="21" s="1"/>
  <c r="H11" i="21"/>
  <c r="I11" i="21" s="1"/>
  <c r="J11" i="21" s="1"/>
  <c r="K11" i="21" s="1"/>
  <c r="Q11" i="21" s="1"/>
  <c r="H15" i="21"/>
  <c r="I15" i="21" s="1"/>
  <c r="J15" i="21" s="1"/>
  <c r="K15" i="21" s="1"/>
  <c r="Q15" i="21" s="1"/>
  <c r="H28" i="21"/>
  <c r="I28" i="21" s="1"/>
  <c r="J28" i="21" s="1"/>
  <c r="K28" i="21" s="1"/>
  <c r="Q28" i="21" s="1"/>
  <c r="H26" i="21"/>
  <c r="I26" i="21" s="1"/>
  <c r="J26" i="21" s="1"/>
  <c r="K26" i="21" s="1"/>
  <c r="Q26" i="21" s="1"/>
  <c r="H23" i="21"/>
  <c r="I23" i="21" s="1"/>
  <c r="J23" i="21" s="1"/>
  <c r="K23" i="21" s="1"/>
  <c r="Q23" i="21" s="1"/>
  <c r="H41" i="21"/>
  <c r="I41" i="21" s="1"/>
  <c r="J41" i="21" s="1"/>
  <c r="K41" i="21" s="1"/>
  <c r="Q41" i="21" s="1"/>
  <c r="H10" i="21"/>
  <c r="I10" i="21" s="1"/>
  <c r="J10" i="21" s="1"/>
  <c r="K10" i="21" s="1"/>
  <c r="Q10" i="21" s="1"/>
  <c r="H39" i="21"/>
  <c r="I39" i="21" s="1"/>
  <c r="J39" i="21" s="1"/>
  <c r="K39" i="21" s="1"/>
  <c r="Q39" i="21" s="1"/>
  <c r="H27" i="21"/>
  <c r="I27" i="21" s="1"/>
  <c r="J27" i="21" s="1"/>
  <c r="K27" i="21" s="1"/>
  <c r="Q27" i="21" s="1"/>
  <c r="H18" i="21"/>
  <c r="I18" i="21" s="1"/>
  <c r="J18" i="21" s="1"/>
  <c r="K18" i="21" s="1"/>
  <c r="Q18" i="21" s="1"/>
  <c r="H34" i="21"/>
  <c r="I34" i="21" s="1"/>
  <c r="J34" i="21" s="1"/>
  <c r="K34" i="21" s="1"/>
  <c r="Q34" i="21" s="1"/>
  <c r="H14" i="21"/>
  <c r="I14" i="21" s="1"/>
  <c r="J14" i="21" s="1"/>
  <c r="K14" i="21" s="1"/>
  <c r="Q14" i="21" s="1"/>
  <c r="H24" i="21"/>
  <c r="I24" i="21" s="1"/>
  <c r="J24" i="21" s="1"/>
  <c r="K24" i="21" s="1"/>
  <c r="Q24" i="21" s="1"/>
  <c r="H33" i="21"/>
  <c r="I33" i="21" s="1"/>
  <c r="J33" i="21" s="1"/>
  <c r="K33" i="21" s="1"/>
  <c r="Q33" i="21" s="1"/>
  <c r="D3" i="25"/>
  <c r="H17" i="25"/>
  <c r="I17" i="25" s="1"/>
  <c r="J17" i="25" s="1"/>
  <c r="K17" i="25" s="1"/>
  <c r="Q17" i="25" s="1"/>
  <c r="H28" i="25"/>
  <c r="I28" i="25" s="1"/>
  <c r="J28" i="25" s="1"/>
  <c r="K28" i="25" s="1"/>
  <c r="Q28" i="25" s="1"/>
  <c r="H41" i="25"/>
  <c r="H27" i="25"/>
  <c r="I27" i="25" s="1"/>
  <c r="J27" i="25" s="1"/>
  <c r="K27" i="25" s="1"/>
  <c r="Q27" i="25" s="1"/>
  <c r="H24" i="25"/>
  <c r="I24" i="25" s="1"/>
  <c r="J24" i="25" s="1"/>
  <c r="K24" i="25" s="1"/>
  <c r="Q24" i="25" s="1"/>
  <c r="H21" i="25"/>
  <c r="I21" i="25" s="1"/>
  <c r="J21" i="25" s="1"/>
  <c r="K21" i="25" s="1"/>
  <c r="Q21" i="25" s="1"/>
  <c r="H22" i="25"/>
  <c r="I22" i="25" s="1"/>
  <c r="J22" i="25" s="1"/>
  <c r="K22" i="25" s="1"/>
  <c r="Q22" i="25" s="1"/>
  <c r="H34" i="25"/>
  <c r="I34" i="25" s="1"/>
  <c r="J34" i="25" s="1"/>
  <c r="K34" i="25" s="1"/>
  <c r="Q34" i="25" s="1"/>
  <c r="H30" i="25"/>
  <c r="I30" i="25" s="1"/>
  <c r="J30" i="25" s="1"/>
  <c r="K30" i="25" s="1"/>
  <c r="Q30" i="25" s="1"/>
  <c r="H12" i="25"/>
  <c r="I12" i="25" s="1"/>
  <c r="J12" i="25" s="1"/>
  <c r="K12" i="25" s="1"/>
  <c r="Q12" i="25" s="1"/>
  <c r="D8" i="59" s="1"/>
  <c r="E8" i="59" s="1"/>
  <c r="L47" i="25"/>
  <c r="M47" i="25" s="1"/>
  <c r="I39" i="25" s="1"/>
  <c r="H23" i="25"/>
  <c r="I23" i="25" s="1"/>
  <c r="J23" i="25" s="1"/>
  <c r="K23" i="25" s="1"/>
  <c r="Q23" i="25" s="1"/>
  <c r="H32" i="25"/>
  <c r="I32" i="25" s="1"/>
  <c r="J32" i="25" s="1"/>
  <c r="K32" i="25" s="1"/>
  <c r="Q32" i="25" s="1"/>
  <c r="H26" i="25"/>
  <c r="I26" i="25" s="1"/>
  <c r="J26" i="25" s="1"/>
  <c r="K26" i="25" s="1"/>
  <c r="Q26" i="25" s="1"/>
  <c r="H11" i="25"/>
  <c r="I11" i="25" s="1"/>
  <c r="J11" i="25" s="1"/>
  <c r="K11" i="25" s="1"/>
  <c r="Q11" i="25" s="1"/>
  <c r="D7" i="59" s="1"/>
  <c r="E7" i="59" s="1"/>
  <c r="H36" i="25"/>
  <c r="I36" i="25" s="1"/>
  <c r="J36" i="25" s="1"/>
  <c r="K36" i="25" s="1"/>
  <c r="Q36" i="25" s="1"/>
  <c r="H18" i="25"/>
  <c r="I18" i="25" s="1"/>
  <c r="J18" i="25" s="1"/>
  <c r="K18" i="25" s="1"/>
  <c r="Q18" i="25" s="1"/>
  <c r="H42" i="25"/>
  <c r="L48" i="25"/>
  <c r="M48" i="25" s="1"/>
  <c r="I40" i="25" s="1"/>
  <c r="H10" i="25"/>
  <c r="I10" i="25" s="1"/>
  <c r="J10" i="25" s="1"/>
  <c r="K10" i="25" s="1"/>
  <c r="Q10" i="25" s="1"/>
  <c r="D6" i="59" s="1"/>
  <c r="E6" i="59" s="1"/>
  <c r="L49" i="25"/>
  <c r="M49" i="25" s="1"/>
  <c r="I41" i="25" s="1"/>
  <c r="H14" i="25"/>
  <c r="I14" i="25" s="1"/>
  <c r="J14" i="25" s="1"/>
  <c r="K14" i="25" s="1"/>
  <c r="Q14" i="25" s="1"/>
  <c r="D9" i="59" s="1"/>
  <c r="E9" i="59" s="1"/>
  <c r="H39" i="25"/>
  <c r="L46" i="25"/>
  <c r="M46" i="25" s="1"/>
  <c r="I38" i="25" s="1"/>
  <c r="H33" i="25"/>
  <c r="I33" i="25" s="1"/>
  <c r="J33" i="25" s="1"/>
  <c r="K33" i="25" s="1"/>
  <c r="Q33" i="25" s="1"/>
  <c r="H29" i="25"/>
  <c r="I29" i="25" s="1"/>
  <c r="J29" i="25" s="1"/>
  <c r="K29" i="25" s="1"/>
  <c r="Q29" i="25" s="1"/>
  <c r="H20" i="25"/>
  <c r="I20" i="25" s="1"/>
  <c r="J20" i="25" s="1"/>
  <c r="K20" i="25" s="1"/>
  <c r="Q20" i="25" s="1"/>
  <c r="L50" i="25"/>
  <c r="M50" i="25" s="1"/>
  <c r="I42" i="25" s="1"/>
  <c r="H38" i="25"/>
  <c r="H9" i="25"/>
  <c r="I9" i="25" s="1"/>
  <c r="J9" i="25" s="1"/>
  <c r="K9" i="25" s="1"/>
  <c r="Q9" i="25" s="1"/>
  <c r="D5" i="59" s="1"/>
  <c r="E5" i="59" s="1"/>
  <c r="H40" i="25"/>
  <c r="H16" i="25"/>
  <c r="I16" i="25" s="1"/>
  <c r="J16" i="25" s="1"/>
  <c r="K16" i="25" s="1"/>
  <c r="Q16" i="25" s="1"/>
  <c r="H8" i="25"/>
  <c r="I8" i="25" s="1"/>
  <c r="J8" i="25" s="1"/>
  <c r="K8" i="25" s="1"/>
  <c r="Q8" i="25" s="1"/>
  <c r="D4" i="59" s="1"/>
  <c r="E4" i="59" s="1"/>
  <c r="H15" i="25"/>
  <c r="I15" i="25" s="1"/>
  <c r="J15" i="25" s="1"/>
  <c r="K15" i="25" s="1"/>
  <c r="Q15" i="25" s="1"/>
  <c r="H35" i="25"/>
  <c r="I35" i="25" s="1"/>
  <c r="J35" i="25" s="1"/>
  <c r="K35" i="25" s="1"/>
  <c r="Q35" i="25" s="1"/>
  <c r="J32" i="9"/>
  <c r="J30" i="9"/>
  <c r="C14" i="1"/>
  <c r="C11" i="44" s="1"/>
  <c r="J29" i="9"/>
  <c r="AG46" i="16"/>
  <c r="J27" i="9"/>
  <c r="J28" i="9"/>
  <c r="J31" i="9"/>
  <c r="V46" i="16" l="1"/>
  <c r="W46" i="16" s="1"/>
  <c r="X46" i="16" s="1"/>
  <c r="D2" i="63"/>
  <c r="C146" i="63"/>
  <c r="C74" i="63"/>
  <c r="AD46" i="16"/>
  <c r="C3" i="20" s="1"/>
  <c r="D3" i="20" s="1"/>
  <c r="AH46" i="16"/>
  <c r="AI46" i="16" s="1"/>
  <c r="AJ46" i="16" s="1"/>
  <c r="AP46" i="16" s="1"/>
  <c r="C56" i="63"/>
  <c r="C35" i="24"/>
  <c r="C35" i="57"/>
  <c r="C37" i="57"/>
  <c r="C37" i="24"/>
  <c r="C34" i="57"/>
  <c r="C34" i="24"/>
  <c r="C36" i="57"/>
  <c r="C36" i="24"/>
  <c r="J43" i="25"/>
  <c r="K43" i="25" s="1"/>
  <c r="N51" i="25"/>
  <c r="O51" i="25" s="1"/>
  <c r="P51" i="25" s="1"/>
  <c r="Q51" i="25" s="1"/>
  <c r="T43" i="25" s="1"/>
  <c r="D10" i="59"/>
  <c r="D10" i="26"/>
  <c r="D22" i="59"/>
  <c r="D22" i="26"/>
  <c r="D15" i="26"/>
  <c r="D15" i="59"/>
  <c r="D5" i="26"/>
  <c r="D9" i="26"/>
  <c r="D19" i="26"/>
  <c r="D19" i="59"/>
  <c r="D8" i="26"/>
  <c r="D21" i="26"/>
  <c r="D21" i="59"/>
  <c r="C18" i="24"/>
  <c r="C18" i="57"/>
  <c r="C20" i="57"/>
  <c r="C20" i="24"/>
  <c r="C17" i="24"/>
  <c r="C17" i="57"/>
  <c r="C7" i="57"/>
  <c r="C7" i="24"/>
  <c r="D11" i="26"/>
  <c r="D11" i="59"/>
  <c r="J42" i="25"/>
  <c r="K42" i="25" s="1"/>
  <c r="N50" i="25"/>
  <c r="O50" i="25" s="1"/>
  <c r="P50" i="25" s="1"/>
  <c r="Q50" i="25" s="1"/>
  <c r="N46" i="25"/>
  <c r="O46" i="25" s="1"/>
  <c r="P46" i="25" s="1"/>
  <c r="Q46" i="25" s="1"/>
  <c r="J38" i="25"/>
  <c r="K38" i="25" s="1"/>
  <c r="D6" i="26"/>
  <c r="D28" i="59"/>
  <c r="D28" i="26"/>
  <c r="D17" i="59"/>
  <c r="D17" i="26"/>
  <c r="D26" i="26"/>
  <c r="D26" i="59"/>
  <c r="D20" i="26"/>
  <c r="D20" i="59"/>
  <c r="C26" i="57"/>
  <c r="C26" i="24"/>
  <c r="C6" i="57"/>
  <c r="C6" i="24"/>
  <c r="C21" i="24"/>
  <c r="C21" i="57"/>
  <c r="C12" i="57"/>
  <c r="C12" i="24"/>
  <c r="C27" i="57"/>
  <c r="C27" i="24"/>
  <c r="C28" i="57"/>
  <c r="C28" i="24"/>
  <c r="C29" i="57"/>
  <c r="C29" i="24"/>
  <c r="D27" i="26"/>
  <c r="D27" i="59"/>
  <c r="D14" i="26"/>
  <c r="D14" i="59"/>
  <c r="N48" i="25"/>
  <c r="O48" i="25" s="1"/>
  <c r="P48" i="25" s="1"/>
  <c r="Q48" i="25" s="1"/>
  <c r="J40" i="25"/>
  <c r="K40" i="25" s="1"/>
  <c r="D7" i="26"/>
  <c r="N47" i="25"/>
  <c r="O47" i="25" s="1"/>
  <c r="P47" i="25" s="1"/>
  <c r="Q47" i="25" s="1"/>
  <c r="J39" i="25"/>
  <c r="K39" i="25" s="1"/>
  <c r="D16" i="26"/>
  <c r="D16" i="59"/>
  <c r="C25" i="24"/>
  <c r="C25" i="57"/>
  <c r="C13" i="57"/>
  <c r="C13" i="24"/>
  <c r="C32" i="24"/>
  <c r="C32" i="57"/>
  <c r="C10" i="24"/>
  <c r="C10" i="57"/>
  <c r="C24" i="57"/>
  <c r="C24" i="24"/>
  <c r="C11" i="24"/>
  <c r="C11" i="57"/>
  <c r="C5" i="24"/>
  <c r="C5" i="57"/>
  <c r="C33" i="57"/>
  <c r="C33" i="24"/>
  <c r="C4" i="57"/>
  <c r="C4" i="24"/>
  <c r="C15" i="57"/>
  <c r="C15" i="24"/>
  <c r="C31" i="57"/>
  <c r="C31" i="24"/>
  <c r="C8" i="57"/>
  <c r="C8" i="24"/>
  <c r="D4" i="26"/>
  <c r="D25" i="59"/>
  <c r="D25" i="26"/>
  <c r="N49" i="25"/>
  <c r="O49" i="25" s="1"/>
  <c r="P49" i="25" s="1"/>
  <c r="Q49" i="25" s="1"/>
  <c r="J41" i="25"/>
  <c r="K41" i="25" s="1"/>
  <c r="D13" i="59"/>
  <c r="D13" i="26"/>
  <c r="D24" i="59"/>
  <c r="D24" i="26"/>
  <c r="D23" i="59"/>
  <c r="D23" i="26"/>
  <c r="D18" i="26"/>
  <c r="D18" i="59"/>
  <c r="D12" i="59"/>
  <c r="D12" i="26"/>
  <c r="C9" i="24"/>
  <c r="C9" i="57"/>
  <c r="C30" i="24"/>
  <c r="C30" i="57"/>
  <c r="C19" i="24"/>
  <c r="C19" i="57"/>
  <c r="C14" i="24"/>
  <c r="C14" i="57"/>
  <c r="C23" i="24"/>
  <c r="C23" i="57"/>
  <c r="C22" i="24"/>
  <c r="C22" i="57"/>
  <c r="C16" i="24"/>
  <c r="C16" i="57"/>
  <c r="D56" i="63" l="1"/>
  <c r="C200" i="63"/>
  <c r="C128" i="63"/>
  <c r="D146" i="63"/>
  <c r="D74" i="63"/>
  <c r="C3" i="58"/>
  <c r="D3" i="58" s="1"/>
  <c r="D37" i="24"/>
  <c r="F37" i="24"/>
  <c r="G37" i="24" s="1"/>
  <c r="D37" i="57"/>
  <c r="F37" i="57"/>
  <c r="G37" i="57" s="1"/>
  <c r="D34" i="24"/>
  <c r="F34" i="24"/>
  <c r="G34" i="24" s="1"/>
  <c r="D35" i="57"/>
  <c r="F35" i="57"/>
  <c r="G35" i="57" s="1"/>
  <c r="D34" i="57"/>
  <c r="F34" i="57"/>
  <c r="G34" i="57" s="1"/>
  <c r="D35" i="24"/>
  <c r="F35" i="24"/>
  <c r="G35" i="24" s="1"/>
  <c r="D39" i="59"/>
  <c r="C72" i="58"/>
  <c r="C72" i="20"/>
  <c r="D39" i="26"/>
  <c r="I7" i="57" a="1"/>
  <c r="I7" i="57" s="1"/>
  <c r="I8" i="57" a="1"/>
  <c r="I8" i="57" s="1"/>
  <c r="F36" i="24"/>
  <c r="G36" i="24" s="1"/>
  <c r="D36" i="24"/>
  <c r="I8" i="24" a="1"/>
  <c r="I8" i="24" s="1"/>
  <c r="I7" i="24" a="1"/>
  <c r="I7" i="24" s="1"/>
  <c r="D36" i="57"/>
  <c r="F36" i="57"/>
  <c r="G36" i="57" s="1"/>
  <c r="D14" i="24"/>
  <c r="F14" i="24"/>
  <c r="G14" i="24" s="1"/>
  <c r="F30" i="24"/>
  <c r="G30" i="24" s="1"/>
  <c r="D30" i="24"/>
  <c r="G12" i="59"/>
  <c r="H12" i="59" s="1"/>
  <c r="E12" i="59"/>
  <c r="E13" i="59"/>
  <c r="G13" i="59"/>
  <c r="H13" i="59" s="1"/>
  <c r="G25" i="59"/>
  <c r="H25" i="59" s="1"/>
  <c r="E25" i="59"/>
  <c r="F8" i="24"/>
  <c r="G8" i="24" s="1"/>
  <c r="D8" i="24"/>
  <c r="D33" i="24"/>
  <c r="F33" i="24"/>
  <c r="G33" i="24" s="1"/>
  <c r="F11" i="57"/>
  <c r="G11" i="57" s="1"/>
  <c r="D11" i="57"/>
  <c r="D13" i="24"/>
  <c r="F13" i="24"/>
  <c r="G13" i="24" s="1"/>
  <c r="E16" i="59"/>
  <c r="G16" i="59"/>
  <c r="H16" i="59" s="1"/>
  <c r="E7" i="26"/>
  <c r="G7" i="26"/>
  <c r="H7" i="26" s="1"/>
  <c r="E14" i="59"/>
  <c r="G14" i="59"/>
  <c r="H14" i="59" s="1"/>
  <c r="F28" i="24"/>
  <c r="G28" i="24" s="1"/>
  <c r="D28" i="24"/>
  <c r="F12" i="24"/>
  <c r="G12" i="24" s="1"/>
  <c r="D12" i="24"/>
  <c r="F6" i="24"/>
  <c r="G6" i="24" s="1"/>
  <c r="D6" i="24"/>
  <c r="E20" i="59"/>
  <c r="G20" i="59"/>
  <c r="H20" i="59" s="1"/>
  <c r="G17" i="26"/>
  <c r="H17" i="26" s="1"/>
  <c r="E17" i="26"/>
  <c r="G6" i="26"/>
  <c r="H6" i="26" s="1"/>
  <c r="E6" i="26"/>
  <c r="D16" i="24"/>
  <c r="F16" i="24"/>
  <c r="G16" i="24" s="1"/>
  <c r="F23" i="24"/>
  <c r="G23" i="24" s="1"/>
  <c r="D23" i="24"/>
  <c r="F19" i="24"/>
  <c r="G19" i="24" s="1"/>
  <c r="D19" i="24"/>
  <c r="D9" i="24"/>
  <c r="F9" i="24"/>
  <c r="G9" i="24" s="1"/>
  <c r="E18" i="26"/>
  <c r="G18" i="26"/>
  <c r="H18" i="26" s="1"/>
  <c r="G24" i="59"/>
  <c r="H24" i="59" s="1"/>
  <c r="E24" i="59"/>
  <c r="Q41" i="25"/>
  <c r="T41" i="25"/>
  <c r="G4" i="59"/>
  <c r="H4" i="59" s="1"/>
  <c r="D31" i="24"/>
  <c r="F31" i="24"/>
  <c r="G31" i="24" s="1"/>
  <c r="F4" i="24"/>
  <c r="G4" i="24" s="1"/>
  <c r="D4" i="24"/>
  <c r="D5" i="57"/>
  <c r="F5" i="57"/>
  <c r="G5" i="57" s="1"/>
  <c r="F24" i="24"/>
  <c r="G24" i="24" s="1"/>
  <c r="D24" i="24"/>
  <c r="D32" i="57"/>
  <c r="F32" i="57"/>
  <c r="G32" i="57" s="1"/>
  <c r="D25" i="57"/>
  <c r="F25" i="57"/>
  <c r="G25" i="57" s="1"/>
  <c r="G27" i="59"/>
  <c r="H27" i="59" s="1"/>
  <c r="E27" i="59"/>
  <c r="F29" i="24"/>
  <c r="G29" i="24" s="1"/>
  <c r="D29" i="24"/>
  <c r="D27" i="24"/>
  <c r="F27" i="24"/>
  <c r="G27" i="24" s="1"/>
  <c r="F21" i="57"/>
  <c r="G21" i="57" s="1"/>
  <c r="D21" i="57"/>
  <c r="D26" i="24"/>
  <c r="F26" i="24"/>
  <c r="G26" i="24" s="1"/>
  <c r="E26" i="59"/>
  <c r="G26" i="59"/>
  <c r="H26" i="59" s="1"/>
  <c r="E28" i="26"/>
  <c r="G28" i="26"/>
  <c r="H28" i="26" s="1"/>
  <c r="E11" i="59"/>
  <c r="G11" i="59"/>
  <c r="H11" i="59" s="1"/>
  <c r="D7" i="24"/>
  <c r="F7" i="24"/>
  <c r="G7" i="24" s="1"/>
  <c r="F20" i="24"/>
  <c r="G20" i="24" s="1"/>
  <c r="D20" i="24"/>
  <c r="G21" i="59"/>
  <c r="H21" i="59" s="1"/>
  <c r="E21" i="59"/>
  <c r="G19" i="59"/>
  <c r="H19" i="59" s="1"/>
  <c r="E19" i="59"/>
  <c r="G5" i="59"/>
  <c r="H5" i="59" s="1"/>
  <c r="E22" i="26"/>
  <c r="G22" i="26"/>
  <c r="H22" i="26" s="1"/>
  <c r="F22" i="57"/>
  <c r="G22" i="57" s="1"/>
  <c r="D22" i="57"/>
  <c r="F14" i="57"/>
  <c r="G14" i="57" s="1"/>
  <c r="D14" i="57"/>
  <c r="F30" i="57"/>
  <c r="G30" i="57" s="1"/>
  <c r="D30" i="57"/>
  <c r="E12" i="26"/>
  <c r="G12" i="26"/>
  <c r="H12" i="26" s="1"/>
  <c r="G23" i="26"/>
  <c r="H23" i="26" s="1"/>
  <c r="E23" i="26"/>
  <c r="E13" i="26"/>
  <c r="G13" i="26"/>
  <c r="H13" i="26" s="1"/>
  <c r="G25" i="26"/>
  <c r="H25" i="26" s="1"/>
  <c r="E25" i="26"/>
  <c r="D31" i="57"/>
  <c r="F31" i="57"/>
  <c r="G31" i="57" s="1"/>
  <c r="D4" i="57"/>
  <c r="F4" i="57"/>
  <c r="G4" i="57" s="1"/>
  <c r="D5" i="24"/>
  <c r="F5" i="24"/>
  <c r="G5" i="24" s="1"/>
  <c r="F24" i="57"/>
  <c r="G24" i="57" s="1"/>
  <c r="D24" i="57"/>
  <c r="D32" i="24"/>
  <c r="F32" i="24"/>
  <c r="G32" i="24" s="1"/>
  <c r="D25" i="24"/>
  <c r="F25" i="24"/>
  <c r="G25" i="24" s="1"/>
  <c r="Q39" i="25"/>
  <c r="T39" i="25"/>
  <c r="Q40" i="25"/>
  <c r="T40" i="25"/>
  <c r="G27" i="26"/>
  <c r="H27" i="26" s="1"/>
  <c r="E27" i="26"/>
  <c r="D29" i="57"/>
  <c r="F29" i="57"/>
  <c r="G29" i="57" s="1"/>
  <c r="F27" i="57"/>
  <c r="G27" i="57" s="1"/>
  <c r="D27" i="57"/>
  <c r="F21" i="24"/>
  <c r="G21" i="24" s="1"/>
  <c r="D21" i="24"/>
  <c r="F26" i="57"/>
  <c r="G26" i="57" s="1"/>
  <c r="D26" i="57"/>
  <c r="G26" i="26"/>
  <c r="H26" i="26" s="1"/>
  <c r="E26" i="26"/>
  <c r="E28" i="59"/>
  <c r="G28" i="59"/>
  <c r="H28" i="59" s="1"/>
  <c r="Q38" i="25"/>
  <c r="T38" i="25"/>
  <c r="G11" i="26"/>
  <c r="H11" i="26" s="1"/>
  <c r="E11" i="26"/>
  <c r="D7" i="57"/>
  <c r="F7" i="57"/>
  <c r="G7" i="57" s="1"/>
  <c r="D20" i="57"/>
  <c r="F20" i="57"/>
  <c r="G20" i="57" s="1"/>
  <c r="G21" i="26"/>
  <c r="H21" i="26" s="1"/>
  <c r="E21" i="26"/>
  <c r="E19" i="26"/>
  <c r="G19" i="26"/>
  <c r="H19" i="26" s="1"/>
  <c r="E5" i="26"/>
  <c r="G5" i="26"/>
  <c r="H5" i="26" s="1"/>
  <c r="G22" i="59"/>
  <c r="H22" i="59" s="1"/>
  <c r="E22" i="59"/>
  <c r="D22" i="24"/>
  <c r="F22" i="24"/>
  <c r="G22" i="24" s="1"/>
  <c r="G23" i="59"/>
  <c r="H23" i="59" s="1"/>
  <c r="E23" i="59"/>
  <c r="F15" i="24"/>
  <c r="G15" i="24" s="1"/>
  <c r="D15" i="24"/>
  <c r="D10" i="57"/>
  <c r="F10" i="57"/>
  <c r="G10" i="57" s="1"/>
  <c r="Q42" i="25"/>
  <c r="T42" i="25"/>
  <c r="D17" i="57"/>
  <c r="F17" i="57"/>
  <c r="G17" i="57" s="1"/>
  <c r="F18" i="57"/>
  <c r="G18" i="57" s="1"/>
  <c r="D18" i="57"/>
  <c r="G8" i="26"/>
  <c r="H8" i="26" s="1"/>
  <c r="E8" i="26"/>
  <c r="E9" i="26"/>
  <c r="G9" i="26"/>
  <c r="H9" i="26" s="1"/>
  <c r="G15" i="59"/>
  <c r="H15" i="59" s="1"/>
  <c r="E15" i="59"/>
  <c r="E10" i="26"/>
  <c r="G10" i="26"/>
  <c r="H10" i="26" s="1"/>
  <c r="D16" i="57"/>
  <c r="F16" i="57"/>
  <c r="G16" i="57" s="1"/>
  <c r="D23" i="57"/>
  <c r="F23" i="57"/>
  <c r="G23" i="57" s="1"/>
  <c r="D19" i="57"/>
  <c r="F19" i="57"/>
  <c r="G19" i="57" s="1"/>
  <c r="D9" i="57"/>
  <c r="F9" i="57"/>
  <c r="G9" i="57" s="1"/>
  <c r="G18" i="59"/>
  <c r="H18" i="59" s="1"/>
  <c r="E18" i="59"/>
  <c r="G24" i="26"/>
  <c r="H24" i="26" s="1"/>
  <c r="E24" i="26"/>
  <c r="G4" i="26"/>
  <c r="H4" i="26" s="1"/>
  <c r="E4" i="26"/>
  <c r="F8" i="57"/>
  <c r="G8" i="57" s="1"/>
  <c r="D8" i="57"/>
  <c r="F15" i="57"/>
  <c r="G15" i="57" s="1"/>
  <c r="D15" i="57"/>
  <c r="F33" i="57"/>
  <c r="G33" i="57" s="1"/>
  <c r="D33" i="57"/>
  <c r="D11" i="24"/>
  <c r="F11" i="24"/>
  <c r="G11" i="24" s="1"/>
  <c r="F10" i="24"/>
  <c r="G10" i="24" s="1"/>
  <c r="D10" i="24"/>
  <c r="D13" i="57"/>
  <c r="F13" i="57"/>
  <c r="G13" i="57" s="1"/>
  <c r="E16" i="26"/>
  <c r="G16" i="26"/>
  <c r="H16" i="26" s="1"/>
  <c r="G7" i="59"/>
  <c r="H7" i="59" s="1"/>
  <c r="G14" i="26"/>
  <c r="H14" i="26" s="1"/>
  <c r="E14" i="26"/>
  <c r="F28" i="57"/>
  <c r="G28" i="57" s="1"/>
  <c r="D28" i="57"/>
  <c r="D12" i="57"/>
  <c r="F12" i="57"/>
  <c r="G12" i="57" s="1"/>
  <c r="D6" i="57"/>
  <c r="F6" i="57"/>
  <c r="G6" i="57" s="1"/>
  <c r="G20" i="26"/>
  <c r="H20" i="26" s="1"/>
  <c r="E20" i="26"/>
  <c r="G17" i="59"/>
  <c r="H17" i="59" s="1"/>
  <c r="E17" i="59"/>
  <c r="G6" i="59"/>
  <c r="H6" i="59" s="1"/>
  <c r="F17" i="24"/>
  <c r="G17" i="24" s="1"/>
  <c r="D17" i="24"/>
  <c r="D18" i="24"/>
  <c r="F18" i="24"/>
  <c r="G18" i="24" s="1"/>
  <c r="G8" i="59"/>
  <c r="H8" i="59" s="1"/>
  <c r="G9" i="59"/>
  <c r="H9" i="59" s="1"/>
  <c r="G15" i="26"/>
  <c r="H15" i="26" s="1"/>
  <c r="E15" i="26"/>
  <c r="G10" i="59"/>
  <c r="H10" i="59" s="1"/>
  <c r="E10" i="59"/>
  <c r="F3" i="58" l="1"/>
  <c r="G3" i="58" s="1"/>
  <c r="D200" i="63"/>
  <c r="D128" i="63"/>
  <c r="E39" i="26"/>
  <c r="G39" i="26"/>
  <c r="H39" i="26" s="1"/>
  <c r="D72" i="20"/>
  <c r="F72" i="20"/>
  <c r="G72" i="20" s="1"/>
  <c r="D72" i="58"/>
  <c r="F72" i="58"/>
  <c r="G72" i="58" s="1"/>
  <c r="E39" i="59"/>
  <c r="G39" i="59"/>
  <c r="H39" i="59" s="1"/>
  <c r="J8" i="57"/>
  <c r="L8" i="57" s="1"/>
  <c r="N8" i="57" s="1"/>
  <c r="H8" i="57"/>
  <c r="H17" i="57" s="1"/>
  <c r="H8" i="24"/>
  <c r="H17" i="24" s="1"/>
  <c r="J8" i="24"/>
  <c r="L8" i="24" s="1"/>
  <c r="N8" i="24" s="1"/>
  <c r="J7" i="24"/>
  <c r="L7" i="24" s="1"/>
  <c r="N7" i="24" s="1"/>
  <c r="H7" i="24"/>
  <c r="H16" i="24" s="1"/>
  <c r="H7" i="57"/>
  <c r="H16" i="57" s="1"/>
  <c r="J7" i="57"/>
  <c r="L7" i="57" s="1"/>
  <c r="N7" i="57" s="1"/>
  <c r="I9" i="24" a="1"/>
  <c r="I9" i="24" s="1"/>
  <c r="H9" i="24" s="1"/>
  <c r="I9" i="57" a="1"/>
  <c r="I9" i="57" s="1"/>
  <c r="H9" i="57" s="1"/>
  <c r="D30" i="59"/>
  <c r="D30" i="26"/>
  <c r="C67" i="58"/>
  <c r="C67" i="20"/>
  <c r="D67" i="20" s="1"/>
  <c r="D34" i="59"/>
  <c r="D34" i="26"/>
  <c r="D31" i="26"/>
  <c r="D31" i="59"/>
  <c r="K8" i="24"/>
  <c r="N23" i="24" s="1"/>
  <c r="O23" i="24" s="1"/>
  <c r="P23" i="24" s="1"/>
  <c r="Q23" i="24" s="1" a="1"/>
  <c r="Q23" i="24" s="1"/>
  <c r="S23" i="24" s="1"/>
  <c r="P8" i="24" s="1"/>
  <c r="P8" i="57" s="1"/>
  <c r="D32" i="26"/>
  <c r="D32" i="59"/>
  <c r="C71" i="58"/>
  <c r="D38" i="59"/>
  <c r="D38" i="26"/>
  <c r="C71" i="20"/>
  <c r="D71" i="20" s="1"/>
  <c r="D29" i="59"/>
  <c r="D29" i="26"/>
  <c r="C68" i="58"/>
  <c r="D35" i="59"/>
  <c r="C68" i="20"/>
  <c r="D68" i="20" s="1"/>
  <c r="D35" i="26"/>
  <c r="K7" i="57"/>
  <c r="K7" i="24"/>
  <c r="N22" i="24" s="1"/>
  <c r="O22" i="24" s="1"/>
  <c r="P22" i="24" s="1"/>
  <c r="Q22" i="24" s="1" a="1"/>
  <c r="Q22" i="24" s="1"/>
  <c r="S22" i="24" s="1"/>
  <c r="P7" i="24" s="1"/>
  <c r="P7" i="57" s="1"/>
  <c r="D33" i="59"/>
  <c r="D33" i="26"/>
  <c r="C69" i="58"/>
  <c r="D36" i="26"/>
  <c r="D36" i="59"/>
  <c r="C69" i="20"/>
  <c r="D69" i="20" s="1"/>
  <c r="K8" i="57"/>
  <c r="C70" i="20"/>
  <c r="D70" i="20" s="1"/>
  <c r="D37" i="26"/>
  <c r="C70" i="58"/>
  <c r="D37" i="59"/>
  <c r="J8" i="26" l="1" a="1"/>
  <c r="J8" i="26" s="1"/>
  <c r="J9" i="26" a="1"/>
  <c r="J9" i="26" s="1"/>
  <c r="J9" i="57"/>
  <c r="L9" i="57" s="1"/>
  <c r="N9" i="57" s="1"/>
  <c r="I10" i="57" a="1"/>
  <c r="I10" i="57" s="1"/>
  <c r="J10" i="57" s="1"/>
  <c r="J8" i="59" a="1"/>
  <c r="J8" i="59" s="1"/>
  <c r="J9" i="59" a="1"/>
  <c r="J9" i="59" s="1"/>
  <c r="J10" i="59" s="1" a="1"/>
  <c r="J10" i="59" s="1"/>
  <c r="J9" i="24"/>
  <c r="L9" i="24" s="1"/>
  <c r="N9" i="24" s="1"/>
  <c r="I10" i="24" a="1"/>
  <c r="I10" i="24" s="1"/>
  <c r="J10" i="24" s="1"/>
  <c r="M7" i="57"/>
  <c r="O7" i="57" s="1"/>
  <c r="I16" i="57" s="1"/>
  <c r="N22" i="57"/>
  <c r="O22" i="57" s="1"/>
  <c r="M8" i="57"/>
  <c r="O8" i="57" s="1"/>
  <c r="I17" i="57" s="1"/>
  <c r="N23" i="57"/>
  <c r="O23" i="57" s="1"/>
  <c r="R23" i="24"/>
  <c r="M8" i="24" s="1"/>
  <c r="O8" i="24" s="1"/>
  <c r="I17" i="24" s="1"/>
  <c r="R22" i="24"/>
  <c r="M7" i="24" s="1"/>
  <c r="O7" i="24" s="1"/>
  <c r="I16" i="24" s="1"/>
  <c r="E36" i="26"/>
  <c r="G36" i="26"/>
  <c r="H36" i="26" s="1"/>
  <c r="G35" i="59"/>
  <c r="H35" i="59" s="1"/>
  <c r="E35" i="59"/>
  <c r="E38" i="26"/>
  <c r="G38" i="26"/>
  <c r="H38" i="26" s="1"/>
  <c r="H18" i="24"/>
  <c r="K9" i="24"/>
  <c r="N24" i="24" s="1"/>
  <c r="O24" i="24" s="1"/>
  <c r="G34" i="26"/>
  <c r="H34" i="26" s="1"/>
  <c r="E34" i="26"/>
  <c r="E37" i="59"/>
  <c r="G37" i="59"/>
  <c r="H37" i="59" s="1"/>
  <c r="D69" i="58"/>
  <c r="F69" i="58"/>
  <c r="G69" i="58" s="1"/>
  <c r="F68" i="58"/>
  <c r="G68" i="58" s="1"/>
  <c r="D68" i="58"/>
  <c r="E38" i="59"/>
  <c r="G38" i="59"/>
  <c r="H38" i="59" s="1"/>
  <c r="G31" i="59"/>
  <c r="H31" i="59" s="1"/>
  <c r="E31" i="59"/>
  <c r="G34" i="59"/>
  <c r="H34" i="59" s="1"/>
  <c r="E34" i="59"/>
  <c r="F70" i="58"/>
  <c r="G70" i="58" s="1"/>
  <c r="D70" i="58"/>
  <c r="G33" i="26"/>
  <c r="H33" i="26" s="1"/>
  <c r="E33" i="26"/>
  <c r="G35" i="26"/>
  <c r="H35" i="26" s="1"/>
  <c r="E35" i="26"/>
  <c r="E29" i="26"/>
  <c r="G29" i="26"/>
  <c r="H29" i="26" s="1"/>
  <c r="D71" i="58"/>
  <c r="F71" i="58"/>
  <c r="G71" i="58" s="1"/>
  <c r="G32" i="59"/>
  <c r="H32" i="59" s="1"/>
  <c r="E32" i="59"/>
  <c r="E31" i="26"/>
  <c r="G31" i="26"/>
  <c r="H31" i="26" s="1"/>
  <c r="E30" i="26"/>
  <c r="G30" i="26"/>
  <c r="H30" i="26" s="1"/>
  <c r="E37" i="26"/>
  <c r="G37" i="26"/>
  <c r="H37" i="26" s="1"/>
  <c r="H18" i="57"/>
  <c r="K9" i="57"/>
  <c r="G36" i="59"/>
  <c r="H36" i="59" s="1"/>
  <c r="E36" i="59"/>
  <c r="G33" i="59"/>
  <c r="H33" i="59" s="1"/>
  <c r="E33" i="59"/>
  <c r="G29" i="59"/>
  <c r="H29" i="59" s="1"/>
  <c r="E29" i="59"/>
  <c r="G32" i="26"/>
  <c r="H32" i="26" s="1"/>
  <c r="E32" i="26"/>
  <c r="D67" i="58"/>
  <c r="F67" i="58"/>
  <c r="G67" i="58" s="1"/>
  <c r="E30" i="59"/>
  <c r="G30" i="59"/>
  <c r="H30" i="59" s="1"/>
  <c r="H10" i="24" l="1"/>
  <c r="H19" i="24" s="1"/>
  <c r="H10" i="57"/>
  <c r="H19" i="57" s="1"/>
  <c r="K10" i="59"/>
  <c r="J11" i="59" a="1"/>
  <c r="J11" i="59" s="1"/>
  <c r="K11" i="59" s="1"/>
  <c r="I8" i="59"/>
  <c r="I16" i="59" s="1"/>
  <c r="K8" i="59"/>
  <c r="M8" i="59" s="1"/>
  <c r="O8" i="59" s="1"/>
  <c r="K9" i="26"/>
  <c r="M9" i="26" s="1"/>
  <c r="O9" i="26" s="1"/>
  <c r="I9" i="26"/>
  <c r="I17" i="26" s="1"/>
  <c r="V26" i="1" s="1"/>
  <c r="K9" i="59"/>
  <c r="M9" i="59" s="1"/>
  <c r="O9" i="59" s="1"/>
  <c r="I9" i="59"/>
  <c r="I17" i="59" s="1"/>
  <c r="K8" i="26"/>
  <c r="M8" i="26" s="1"/>
  <c r="O8" i="26" s="1"/>
  <c r="I8" i="26"/>
  <c r="I16" i="26" s="1"/>
  <c r="V25" i="1" s="1"/>
  <c r="J10" i="26" a="1"/>
  <c r="J10" i="26" s="1"/>
  <c r="I10" i="26" s="1"/>
  <c r="M9" i="57"/>
  <c r="O9" i="57" s="1"/>
  <c r="I18" i="57" s="1"/>
  <c r="N24" i="57"/>
  <c r="O24" i="57" s="1"/>
  <c r="P23" i="57"/>
  <c r="Q23" i="57" s="1" a="1"/>
  <c r="Q23" i="57" s="1"/>
  <c r="S23" i="57" s="1"/>
  <c r="P22" i="57"/>
  <c r="Q22" i="57" s="1" a="1"/>
  <c r="Q22" i="57" s="1"/>
  <c r="S22" i="57" s="1"/>
  <c r="L8" i="26"/>
  <c r="N8" i="26" s="1"/>
  <c r="I10" i="59"/>
  <c r="L9" i="59"/>
  <c r="N9" i="59" s="1"/>
  <c r="L8" i="59"/>
  <c r="N8" i="59" s="1"/>
  <c r="L9" i="26"/>
  <c r="N9" i="26" s="1"/>
  <c r="L10" i="24"/>
  <c r="N10" i="24" s="1"/>
  <c r="K10" i="24"/>
  <c r="N25" i="24" s="1"/>
  <c r="O25" i="24" s="1"/>
  <c r="P25" i="24" s="1"/>
  <c r="Q25" i="24" s="1" a="1"/>
  <c r="Q25" i="24" s="1"/>
  <c r="S25" i="24" s="1"/>
  <c r="P10" i="24" s="1"/>
  <c r="P10" i="57" s="1"/>
  <c r="P24" i="24"/>
  <c r="Q24" i="24" s="1" a="1"/>
  <c r="Q24" i="24" s="1"/>
  <c r="S24" i="24" s="1"/>
  <c r="P9" i="24" s="1"/>
  <c r="P9" i="57" s="1"/>
  <c r="K10" i="57"/>
  <c r="L10" i="57"/>
  <c r="N10" i="57" s="1"/>
  <c r="R23" i="57" l="1"/>
  <c r="K10" i="26"/>
  <c r="M10" i="26" s="1"/>
  <c r="O10" i="26" s="1"/>
  <c r="J11" i="26" a="1"/>
  <c r="J11" i="26" s="1"/>
  <c r="K11" i="26" s="1"/>
  <c r="R22" i="57"/>
  <c r="M10" i="57"/>
  <c r="O10" i="57" s="1"/>
  <c r="I19" i="57" s="1"/>
  <c r="N25" i="57"/>
  <c r="O25" i="57" s="1"/>
  <c r="P24" i="57"/>
  <c r="Q24" i="57" s="1" a="1"/>
  <c r="Q24" i="57" s="1"/>
  <c r="S24" i="57" s="1"/>
  <c r="R25" i="24"/>
  <c r="M10" i="24" s="1"/>
  <c r="O10" i="24" s="1"/>
  <c r="I19" i="24" s="1"/>
  <c r="P9" i="59"/>
  <c r="J17" i="59" s="1"/>
  <c r="P8" i="26"/>
  <c r="J16" i="26" s="1"/>
  <c r="Y25" i="1" s="1"/>
  <c r="P8" i="59"/>
  <c r="J16" i="59" s="1"/>
  <c r="P9" i="26"/>
  <c r="J17" i="26" s="1"/>
  <c r="Y26" i="1" s="1"/>
  <c r="G87" i="44" s="1"/>
  <c r="F79" i="44"/>
  <c r="G77" i="44"/>
  <c r="F80" i="44" s="1"/>
  <c r="F88" i="44"/>
  <c r="G86" i="44"/>
  <c r="F89" i="44" s="1"/>
  <c r="L10" i="26"/>
  <c r="N10" i="26" s="1"/>
  <c r="I18" i="26"/>
  <c r="V27" i="1" s="1"/>
  <c r="R24" i="24"/>
  <c r="M9" i="24" s="1"/>
  <c r="O9" i="24" s="1"/>
  <c r="I18" i="24" s="1"/>
  <c r="M10" i="59"/>
  <c r="O10" i="59" s="1"/>
  <c r="I11" i="59"/>
  <c r="I18" i="59"/>
  <c r="L10" i="59"/>
  <c r="N10" i="59" s="1"/>
  <c r="I11" i="26" l="1"/>
  <c r="I19" i="26" s="1"/>
  <c r="V28" i="1" s="1"/>
  <c r="R24" i="57"/>
  <c r="P25" i="57"/>
  <c r="Q25" i="57" s="1" a="1"/>
  <c r="Q25" i="57" s="1"/>
  <c r="S25" i="57" s="1"/>
  <c r="Z26" i="1"/>
  <c r="H87" i="44" s="1"/>
  <c r="P10" i="26"/>
  <c r="J18" i="26" s="1"/>
  <c r="Y27" i="1" s="1"/>
  <c r="Z27" i="1" s="1"/>
  <c r="H96" i="44" s="1"/>
  <c r="P10" i="59"/>
  <c r="J18" i="59" s="1"/>
  <c r="F97" i="44"/>
  <c r="G95" i="44"/>
  <c r="F98" i="44" s="1"/>
  <c r="M11" i="59"/>
  <c r="O11" i="59" s="1"/>
  <c r="L11" i="59"/>
  <c r="N11" i="59" s="1"/>
  <c r="I19" i="59"/>
  <c r="Z25" i="1"/>
  <c r="H78" i="44" s="1"/>
  <c r="G78" i="44"/>
  <c r="L11" i="26"/>
  <c r="N11" i="26" s="1"/>
  <c r="M11" i="26"/>
  <c r="O11" i="26" s="1"/>
  <c r="R25" i="57" l="1"/>
  <c r="G96" i="44"/>
  <c r="P11" i="26"/>
  <c r="J19" i="26" s="1"/>
  <c r="Y28" i="1" s="1"/>
  <c r="Z28" i="1" s="1"/>
  <c r="H105" i="44" s="1"/>
  <c r="F106" i="44"/>
  <c r="G104" i="44"/>
  <c r="F107" i="44" s="1"/>
  <c r="P11" i="59"/>
  <c r="J19" i="59" s="1"/>
  <c r="J25" i="1" l="1"/>
  <c r="F7" i="44" s="1"/>
  <c r="J26" i="1"/>
  <c r="F16" i="44" s="1"/>
  <c r="G105" i="44"/>
  <c r="M26" i="1" l="1"/>
  <c r="J27" i="1"/>
  <c r="F25" i="44" s="1"/>
  <c r="M25" i="1"/>
  <c r="J28" i="1" l="1"/>
  <c r="F34" i="44" s="1"/>
  <c r="M27" i="1"/>
  <c r="N25" i="1"/>
  <c r="H6" i="44" s="1"/>
  <c r="G6" i="44"/>
  <c r="N26" i="1"/>
  <c r="H15" i="44" s="1"/>
  <c r="G15" i="44"/>
  <c r="G5" i="44"/>
  <c r="F8" i="44" s="1"/>
  <c r="G10" i="44"/>
  <c r="G19" i="44"/>
  <c r="G14" i="44"/>
  <c r="F17" i="44" s="1"/>
  <c r="L83" i="16"/>
  <c r="L56" i="16"/>
  <c r="O56" i="16" s="1"/>
  <c r="AG56" i="16" s="1"/>
  <c r="L81" i="16"/>
  <c r="L50" i="16"/>
  <c r="L74" i="16"/>
  <c r="L88" i="16"/>
  <c r="L96" i="16"/>
  <c r="L57" i="16"/>
  <c r="L92" i="16"/>
  <c r="L85" i="16"/>
  <c r="L100" i="16"/>
  <c r="L84" i="16"/>
  <c r="L77" i="16"/>
  <c r="L72" i="16"/>
  <c r="L79" i="16"/>
  <c r="L55" i="16"/>
  <c r="L64" i="16"/>
  <c r="L65" i="16"/>
  <c r="L98" i="16"/>
  <c r="L51" i="16"/>
  <c r="L62" i="16"/>
  <c r="L97" i="16"/>
  <c r="L102" i="16"/>
  <c r="L71" i="16"/>
  <c r="L89" i="16"/>
  <c r="L95" i="16"/>
  <c r="O95" i="16" s="1"/>
  <c r="U95" i="16" s="1"/>
  <c r="L106" i="16"/>
  <c r="O106" i="16" s="1"/>
  <c r="U106" i="16" s="1"/>
  <c r="L99" i="16"/>
  <c r="L93" i="16"/>
  <c r="L68" i="16"/>
  <c r="V106" i="16" l="1"/>
  <c r="W106" i="16" s="1"/>
  <c r="C54" i="63"/>
  <c r="V95" i="16"/>
  <c r="W95" i="16" s="1"/>
  <c r="X95" i="16" s="1"/>
  <c r="AD95" i="16" s="1"/>
  <c r="C44" i="63"/>
  <c r="AH56" i="16"/>
  <c r="AI56" i="16" s="1"/>
  <c r="AJ56" i="16" s="1"/>
  <c r="AP56" i="16" s="1"/>
  <c r="C59" i="58" s="1"/>
  <c r="D59" i="58" s="1"/>
  <c r="C65" i="63"/>
  <c r="N27" i="1"/>
  <c r="H24" i="44" s="1"/>
  <c r="G24" i="44"/>
  <c r="G28" i="44"/>
  <c r="G23" i="44"/>
  <c r="F26" i="44" s="1"/>
  <c r="M28" i="1"/>
  <c r="O89" i="16"/>
  <c r="U89" i="16" s="1"/>
  <c r="O98" i="16"/>
  <c r="U98" i="16" s="1"/>
  <c r="O55" i="16"/>
  <c r="O99" i="16"/>
  <c r="U99" i="16" s="1"/>
  <c r="O71" i="16"/>
  <c r="U71" i="16" s="1"/>
  <c r="O62" i="16"/>
  <c r="O79" i="16"/>
  <c r="U79" i="16" s="1"/>
  <c r="O100" i="16"/>
  <c r="U100" i="16" s="1"/>
  <c r="O92" i="16"/>
  <c r="U92" i="16" s="1"/>
  <c r="O96" i="16"/>
  <c r="U96" i="16" s="1"/>
  <c r="O88" i="16"/>
  <c r="U88" i="16" s="1"/>
  <c r="O81" i="16"/>
  <c r="U81" i="16" s="1"/>
  <c r="O97" i="16"/>
  <c r="U97" i="16" s="1"/>
  <c r="O84" i="16"/>
  <c r="U84" i="16" s="1"/>
  <c r="O68" i="16"/>
  <c r="U68" i="16" s="1"/>
  <c r="U56" i="16"/>
  <c r="O64" i="16"/>
  <c r="O72" i="16"/>
  <c r="U72" i="16" s="1"/>
  <c r="O85" i="16"/>
  <c r="U85" i="16" s="1"/>
  <c r="O50" i="16"/>
  <c r="O83" i="16"/>
  <c r="U83" i="16" s="1"/>
  <c r="O93" i="16"/>
  <c r="U93" i="16" s="1"/>
  <c r="O102" i="16"/>
  <c r="U102" i="16" s="1"/>
  <c r="O51" i="16"/>
  <c r="O65" i="16"/>
  <c r="O77" i="16"/>
  <c r="U77" i="16" s="1"/>
  <c r="O57" i="16"/>
  <c r="O74" i="16"/>
  <c r="U74" i="16" s="1"/>
  <c r="X106" i="16"/>
  <c r="AD106" i="16" s="1"/>
  <c r="C59" i="20" l="1"/>
  <c r="D59" i="20" s="1"/>
  <c r="F59" i="58"/>
  <c r="G59" i="58" s="1"/>
  <c r="C188" i="63"/>
  <c r="C116" i="63"/>
  <c r="D44" i="63"/>
  <c r="C209" i="63"/>
  <c r="C137" i="63"/>
  <c r="D65" i="63"/>
  <c r="C198" i="63"/>
  <c r="C126" i="63"/>
  <c r="D54" i="63"/>
  <c r="V77" i="16"/>
  <c r="W77" i="16" s="1"/>
  <c r="X77" i="16" s="1"/>
  <c r="AD77" i="16" s="1"/>
  <c r="C29" i="58" s="1"/>
  <c r="C29" i="63"/>
  <c r="V93" i="16"/>
  <c r="W93" i="16" s="1"/>
  <c r="X93" i="16" s="1"/>
  <c r="AD93" i="16" s="1"/>
  <c r="C41" i="58" s="1"/>
  <c r="D41" i="58" s="1"/>
  <c r="C43" i="63"/>
  <c r="V72" i="16"/>
  <c r="W72" i="16" s="1"/>
  <c r="X72" i="16" s="1"/>
  <c r="AD72" i="16" s="1"/>
  <c r="C26" i="58" s="1"/>
  <c r="F26" i="58" s="1"/>
  <c r="G26" i="58" s="1"/>
  <c r="C25" i="63"/>
  <c r="V84" i="16"/>
  <c r="W84" i="16" s="1"/>
  <c r="X84" i="16" s="1"/>
  <c r="AD84" i="16" s="1"/>
  <c r="C34" i="58" s="1"/>
  <c r="C35" i="63"/>
  <c r="V96" i="16"/>
  <c r="W96" i="16" s="1"/>
  <c r="X96" i="16" s="1"/>
  <c r="AD96" i="16" s="1"/>
  <c r="C42" i="20" s="1"/>
  <c r="D42" i="20" s="1"/>
  <c r="C45" i="63"/>
  <c r="V98" i="16"/>
  <c r="W98" i="16" s="1"/>
  <c r="X98" i="16" s="1"/>
  <c r="AD98" i="16" s="1"/>
  <c r="C44" i="58" s="1"/>
  <c r="C47" i="63"/>
  <c r="V83" i="16"/>
  <c r="W83" i="16" s="1"/>
  <c r="X83" i="16" s="1"/>
  <c r="AD83" i="16" s="1"/>
  <c r="C33" i="20" s="1"/>
  <c r="D33" i="20" s="1"/>
  <c r="C34" i="63"/>
  <c r="V97" i="16"/>
  <c r="W97" i="16" s="1"/>
  <c r="X97" i="16" s="1"/>
  <c r="AD97" i="16" s="1"/>
  <c r="C43" i="58" s="1"/>
  <c r="D43" i="58" s="1"/>
  <c r="C46" i="63"/>
  <c r="V92" i="16"/>
  <c r="W92" i="16" s="1"/>
  <c r="X92" i="16" s="1"/>
  <c r="AD92" i="16" s="1"/>
  <c r="C40" i="58" s="1"/>
  <c r="D40" i="58" s="1"/>
  <c r="C42" i="63"/>
  <c r="V71" i="16"/>
  <c r="W71" i="16" s="1"/>
  <c r="X71" i="16" s="1"/>
  <c r="AD71" i="16" s="1"/>
  <c r="C25" i="58" s="1"/>
  <c r="D25" i="58" s="1"/>
  <c r="C24" i="63"/>
  <c r="V89" i="16"/>
  <c r="W89" i="16" s="1"/>
  <c r="X89" i="16" s="1"/>
  <c r="AD89" i="16" s="1"/>
  <c r="C37" i="20" s="1"/>
  <c r="D37" i="20" s="1"/>
  <c r="C39" i="63"/>
  <c r="V74" i="16"/>
  <c r="W74" i="16" s="1"/>
  <c r="X74" i="16" s="1"/>
  <c r="AD74" i="16" s="1"/>
  <c r="C26" i="63"/>
  <c r="V56" i="16"/>
  <c r="W56" i="16" s="1"/>
  <c r="X56" i="16" s="1"/>
  <c r="AD56" i="16" s="1"/>
  <c r="C12" i="58" s="1"/>
  <c r="D12" i="58" s="1"/>
  <c r="C11" i="63"/>
  <c r="V81" i="16"/>
  <c r="W81" i="16" s="1"/>
  <c r="X81" i="16" s="1"/>
  <c r="AD81" i="16" s="1"/>
  <c r="C32" i="63"/>
  <c r="V100" i="16"/>
  <c r="W100" i="16" s="1"/>
  <c r="X100" i="16" s="1"/>
  <c r="AD100" i="16" s="1"/>
  <c r="C46" i="58" s="1"/>
  <c r="D46" i="58" s="1"/>
  <c r="C49" i="63"/>
  <c r="V99" i="16"/>
  <c r="W99" i="16" s="1"/>
  <c r="X99" i="16" s="1"/>
  <c r="AD99" i="16" s="1"/>
  <c r="C45" i="20" s="1"/>
  <c r="D45" i="20" s="1"/>
  <c r="C48" i="63"/>
  <c r="V102" i="16"/>
  <c r="W102" i="16" s="1"/>
  <c r="X102" i="16" s="1"/>
  <c r="AD102" i="16" s="1"/>
  <c r="C50" i="63"/>
  <c r="V85" i="16"/>
  <c r="W85" i="16" s="1"/>
  <c r="X85" i="16" s="1"/>
  <c r="AD85" i="16" s="1"/>
  <c r="C35" i="58" s="1"/>
  <c r="F35" i="58" s="1"/>
  <c r="G35" i="58" s="1"/>
  <c r="C36" i="63"/>
  <c r="V68" i="16"/>
  <c r="W68" i="16" s="1"/>
  <c r="X68" i="16" s="1"/>
  <c r="AD68" i="16" s="1"/>
  <c r="C22" i="20" s="1"/>
  <c r="D22" i="20" s="1"/>
  <c r="C21" i="63"/>
  <c r="V88" i="16"/>
  <c r="W88" i="16" s="1"/>
  <c r="X88" i="16" s="1"/>
  <c r="AD88" i="16" s="1"/>
  <c r="C38" i="63"/>
  <c r="V79" i="16"/>
  <c r="W79" i="16" s="1"/>
  <c r="X79" i="16" s="1"/>
  <c r="AD79" i="16" s="1"/>
  <c r="C31" i="58" s="1"/>
  <c r="F31" i="58" s="1"/>
  <c r="G31" i="58" s="1"/>
  <c r="C31" i="63"/>
  <c r="G32" i="44"/>
  <c r="F35" i="44" s="1"/>
  <c r="G37" i="44"/>
  <c r="G33" i="44"/>
  <c r="N28" i="1"/>
  <c r="H33" i="44" s="1"/>
  <c r="AG51" i="16"/>
  <c r="U51" i="16"/>
  <c r="U50" i="16"/>
  <c r="AG50" i="16"/>
  <c r="AG55" i="16"/>
  <c r="U55" i="16"/>
  <c r="U62" i="16"/>
  <c r="AG62" i="16"/>
  <c r="AG57" i="16"/>
  <c r="U57" i="16"/>
  <c r="U65" i="16"/>
  <c r="AG65" i="16"/>
  <c r="AG64" i="16"/>
  <c r="U64" i="16"/>
  <c r="C50" i="58"/>
  <c r="C50" i="20"/>
  <c r="D50" i="20" s="1"/>
  <c r="F12" i="58" l="1"/>
  <c r="G12" i="58" s="1"/>
  <c r="C29" i="20"/>
  <c r="D29" i="20" s="1"/>
  <c r="C175" i="63"/>
  <c r="C103" i="63"/>
  <c r="D31" i="63"/>
  <c r="D21" i="63"/>
  <c r="C165" i="63"/>
  <c r="C93" i="63"/>
  <c r="C194" i="63"/>
  <c r="C122" i="63"/>
  <c r="D50" i="63"/>
  <c r="C193" i="63"/>
  <c r="C121" i="63"/>
  <c r="D49" i="63"/>
  <c r="C155" i="63"/>
  <c r="C83" i="63"/>
  <c r="D11" i="63"/>
  <c r="C183" i="63"/>
  <c r="C111" i="63"/>
  <c r="D39" i="63"/>
  <c r="D42" i="63"/>
  <c r="C186" i="63"/>
  <c r="C114" i="63"/>
  <c r="C178" i="63"/>
  <c r="C106" i="63"/>
  <c r="D34" i="63"/>
  <c r="C189" i="63"/>
  <c r="C117" i="63"/>
  <c r="D45" i="63"/>
  <c r="D25" i="63"/>
  <c r="C169" i="63"/>
  <c r="C97" i="63"/>
  <c r="C173" i="63"/>
  <c r="C101" i="63"/>
  <c r="D29" i="63"/>
  <c r="D188" i="63"/>
  <c r="D116" i="63"/>
  <c r="D209" i="63"/>
  <c r="D137" i="63"/>
  <c r="C182" i="63"/>
  <c r="C110" i="63"/>
  <c r="D38" i="63"/>
  <c r="D36" i="63"/>
  <c r="C180" i="63"/>
  <c r="C108" i="63"/>
  <c r="D48" i="63"/>
  <c r="C192" i="63"/>
  <c r="C120" i="63"/>
  <c r="D32" i="63"/>
  <c r="C176" i="63"/>
  <c r="C104" i="63"/>
  <c r="D26" i="63"/>
  <c r="C170" i="63"/>
  <c r="C98" i="63"/>
  <c r="C168" i="63"/>
  <c r="C96" i="63"/>
  <c r="D24" i="63"/>
  <c r="D46" i="63"/>
  <c r="C190" i="63"/>
  <c r="C118" i="63"/>
  <c r="C191" i="63"/>
  <c r="C119" i="63"/>
  <c r="D47" i="63"/>
  <c r="C179" i="63"/>
  <c r="C107" i="63"/>
  <c r="D35" i="63"/>
  <c r="C187" i="63"/>
  <c r="C115" i="63"/>
  <c r="D43" i="63"/>
  <c r="D198" i="63"/>
  <c r="D126" i="63"/>
  <c r="C42" i="58"/>
  <c r="D42" i="58" s="1"/>
  <c r="C37" i="58"/>
  <c r="F37" i="58" s="1"/>
  <c r="G37" i="58" s="1"/>
  <c r="C26" i="20"/>
  <c r="D26" i="20" s="1"/>
  <c r="C40" i="20"/>
  <c r="D40" i="20" s="1"/>
  <c r="C46" i="20"/>
  <c r="D46" i="20" s="1"/>
  <c r="C45" i="58"/>
  <c r="D45" i="58" s="1"/>
  <c r="C43" i="20"/>
  <c r="D43" i="20" s="1"/>
  <c r="C44" i="20"/>
  <c r="D44" i="20" s="1"/>
  <c r="C22" i="58"/>
  <c r="F22" i="58" s="1"/>
  <c r="G22" i="58" s="1"/>
  <c r="D35" i="58"/>
  <c r="C41" i="20"/>
  <c r="D41" i="20" s="1"/>
  <c r="C31" i="20"/>
  <c r="D31" i="20" s="1"/>
  <c r="C25" i="20"/>
  <c r="D25" i="20" s="1"/>
  <c r="C34" i="20"/>
  <c r="D34" i="20" s="1"/>
  <c r="C33" i="58"/>
  <c r="D33" i="58" s="1"/>
  <c r="C12" i="20"/>
  <c r="D12" i="20" s="1"/>
  <c r="V65" i="16"/>
  <c r="W65" i="16" s="1"/>
  <c r="X65" i="16" s="1"/>
  <c r="AD65" i="16" s="1"/>
  <c r="C20" i="58" s="1"/>
  <c r="C19" i="63"/>
  <c r="V62" i="16"/>
  <c r="W62" i="16" s="1"/>
  <c r="X62" i="16" s="1"/>
  <c r="AD62" i="16" s="1"/>
  <c r="C17" i="58" s="1"/>
  <c r="C16" i="63"/>
  <c r="AH51" i="16"/>
  <c r="AI51" i="16" s="1"/>
  <c r="AJ51" i="16" s="1"/>
  <c r="AP51" i="16" s="1"/>
  <c r="C56" i="58" s="1"/>
  <c r="C61" i="63"/>
  <c r="V64" i="16"/>
  <c r="W64" i="16" s="1"/>
  <c r="X64" i="16" s="1"/>
  <c r="AD64" i="16" s="1"/>
  <c r="C19" i="20" s="1"/>
  <c r="D19" i="20" s="1"/>
  <c r="C18" i="63"/>
  <c r="V57" i="16"/>
  <c r="W57" i="16" s="1"/>
  <c r="X57" i="16" s="1"/>
  <c r="AD57" i="16" s="1"/>
  <c r="C13" i="58" s="1"/>
  <c r="C12" i="63"/>
  <c r="V55" i="16"/>
  <c r="W55" i="16" s="1"/>
  <c r="X55" i="16" s="1"/>
  <c r="AD55" i="16" s="1"/>
  <c r="C11" i="20" s="1"/>
  <c r="D11" i="20" s="1"/>
  <c r="C10" i="63"/>
  <c r="AH50" i="16"/>
  <c r="AI50" i="16" s="1"/>
  <c r="AJ50" i="16" s="1"/>
  <c r="AP50" i="16" s="1"/>
  <c r="C55" i="20" s="1"/>
  <c r="D55" i="20" s="1"/>
  <c r="C60" i="63"/>
  <c r="AH64" i="16"/>
  <c r="AI64" i="16" s="1"/>
  <c r="AJ64" i="16" s="1"/>
  <c r="AP64" i="16" s="1"/>
  <c r="C65" i="58" s="1"/>
  <c r="C72" i="63"/>
  <c r="AH57" i="16"/>
  <c r="AI57" i="16" s="1"/>
  <c r="AJ57" i="16" s="1"/>
  <c r="AP57" i="16" s="1"/>
  <c r="C60" i="20" s="1"/>
  <c r="D60" i="20" s="1"/>
  <c r="C66" i="63"/>
  <c r="AH55" i="16"/>
  <c r="AI55" i="16" s="1"/>
  <c r="AJ55" i="16" s="1"/>
  <c r="AP55" i="16" s="1"/>
  <c r="C58" i="58" s="1"/>
  <c r="C64" i="63"/>
  <c r="V50" i="16"/>
  <c r="W50" i="16" s="1"/>
  <c r="X50" i="16" s="1"/>
  <c r="AD50" i="16" s="1"/>
  <c r="C7" i="58" s="1"/>
  <c r="C6" i="63"/>
  <c r="AH65" i="16"/>
  <c r="AI65" i="16" s="1"/>
  <c r="AJ65" i="16" s="1"/>
  <c r="AP65" i="16" s="1"/>
  <c r="C66" i="20" s="1"/>
  <c r="D66" i="20" s="1"/>
  <c r="C73" i="63"/>
  <c r="AH62" i="16"/>
  <c r="AI62" i="16" s="1"/>
  <c r="AJ62" i="16" s="1"/>
  <c r="AP62" i="16" s="1"/>
  <c r="C63" i="20" s="1"/>
  <c r="D63" i="20" s="1"/>
  <c r="C70" i="63"/>
  <c r="C35" i="20"/>
  <c r="D35" i="20" s="1"/>
  <c r="V51" i="16"/>
  <c r="W51" i="16" s="1"/>
  <c r="X51" i="16" s="1"/>
  <c r="AD51" i="16" s="1"/>
  <c r="C8" i="20" s="1"/>
  <c r="D8" i="20" s="1"/>
  <c r="C7" i="63"/>
  <c r="D31" i="58"/>
  <c r="F41" i="58"/>
  <c r="G41" i="58" s="1"/>
  <c r="F43" i="58"/>
  <c r="G43" i="58" s="1"/>
  <c r="D26" i="58"/>
  <c r="F25" i="58"/>
  <c r="G25" i="58" s="1"/>
  <c r="F46" i="58"/>
  <c r="G46" i="58" s="1"/>
  <c r="F40" i="58"/>
  <c r="G40" i="58" s="1"/>
  <c r="D44" i="58"/>
  <c r="F44" i="58"/>
  <c r="G44" i="58" s="1"/>
  <c r="F34" i="58"/>
  <c r="G34" i="58" s="1"/>
  <c r="D34" i="58"/>
  <c r="D29" i="58"/>
  <c r="F29" i="58"/>
  <c r="G29" i="58" s="1"/>
  <c r="D50" i="58"/>
  <c r="F50" i="58"/>
  <c r="G50" i="58" s="1"/>
  <c r="F42" i="58" l="1"/>
  <c r="G42" i="58" s="1"/>
  <c r="D37" i="58"/>
  <c r="D179" i="63"/>
  <c r="D107" i="63"/>
  <c r="D190" i="63"/>
  <c r="D118" i="63"/>
  <c r="D192" i="63"/>
  <c r="D120" i="63"/>
  <c r="D182" i="63"/>
  <c r="D110" i="63"/>
  <c r="D169" i="63"/>
  <c r="D97" i="63"/>
  <c r="D178" i="63"/>
  <c r="D106" i="63"/>
  <c r="D193" i="63"/>
  <c r="D121" i="63"/>
  <c r="D165" i="63"/>
  <c r="D93" i="63"/>
  <c r="C214" i="63"/>
  <c r="C142" i="63"/>
  <c r="D70" i="63"/>
  <c r="C150" i="63"/>
  <c r="C78" i="63"/>
  <c r="D6" i="63"/>
  <c r="C210" i="63"/>
  <c r="C138" i="63"/>
  <c r="D66" i="63"/>
  <c r="C204" i="63"/>
  <c r="C132" i="63"/>
  <c r="D60" i="63"/>
  <c r="C156" i="63"/>
  <c r="C84" i="63"/>
  <c r="D12" i="63"/>
  <c r="C205" i="63"/>
  <c r="C133" i="63"/>
  <c r="D61" i="63"/>
  <c r="C163" i="63"/>
  <c r="C91" i="63"/>
  <c r="D19" i="63"/>
  <c r="D187" i="63"/>
  <c r="D115" i="63"/>
  <c r="D96" i="63"/>
  <c r="D168" i="63"/>
  <c r="D176" i="63"/>
  <c r="D104" i="63"/>
  <c r="D117" i="63"/>
  <c r="D189" i="63"/>
  <c r="D186" i="63"/>
  <c r="D114" i="63"/>
  <c r="D155" i="63"/>
  <c r="D83" i="63"/>
  <c r="D175" i="63"/>
  <c r="D103" i="63"/>
  <c r="C151" i="63"/>
  <c r="C79" i="63"/>
  <c r="D7" i="63"/>
  <c r="D170" i="63"/>
  <c r="D98" i="63"/>
  <c r="D183" i="63"/>
  <c r="D111" i="63"/>
  <c r="D73" i="63"/>
  <c r="C217" i="63"/>
  <c r="C145" i="63"/>
  <c r="D64" i="63"/>
  <c r="C208" i="63"/>
  <c r="C136" i="63"/>
  <c r="D72" i="63"/>
  <c r="C216" i="63"/>
  <c r="C144" i="63"/>
  <c r="D10" i="63"/>
  <c r="C154" i="63"/>
  <c r="C82" i="63"/>
  <c r="C162" i="63"/>
  <c r="C90" i="63"/>
  <c r="D18" i="63"/>
  <c r="D16" i="63"/>
  <c r="C88" i="63"/>
  <c r="C160" i="63"/>
  <c r="D191" i="63"/>
  <c r="D119" i="63"/>
  <c r="D180" i="63"/>
  <c r="D108" i="63"/>
  <c r="D173" i="63"/>
  <c r="D101" i="63"/>
  <c r="D194" i="63"/>
  <c r="D122" i="63"/>
  <c r="F45" i="58"/>
  <c r="G45" i="58" s="1"/>
  <c r="C65" i="20"/>
  <c r="D65" i="20" s="1"/>
  <c r="D22" i="58"/>
  <c r="C56" i="20"/>
  <c r="D56" i="20" s="1"/>
  <c r="C7" i="20"/>
  <c r="D7" i="20" s="1"/>
  <c r="C13" i="20"/>
  <c r="D13" i="20" s="1"/>
  <c r="C20" i="20"/>
  <c r="D20" i="20" s="1"/>
  <c r="C63" i="58"/>
  <c r="F63" i="58" s="1"/>
  <c r="G63" i="58" s="1"/>
  <c r="C60" i="58"/>
  <c r="F60" i="58" s="1"/>
  <c r="G60" i="58" s="1"/>
  <c r="C17" i="20"/>
  <c r="D17" i="20" s="1"/>
  <c r="F33" i="58"/>
  <c r="G33" i="58" s="1"/>
  <c r="C58" i="20"/>
  <c r="D58" i="20" s="1"/>
  <c r="C19" i="58"/>
  <c r="D19" i="58" s="1"/>
  <c r="C55" i="58"/>
  <c r="D55" i="58" s="1"/>
  <c r="C66" i="58"/>
  <c r="F66" i="58" s="1"/>
  <c r="G66" i="58" s="1"/>
  <c r="C8" i="58"/>
  <c r="F8" i="58" s="1"/>
  <c r="G8" i="58" s="1"/>
  <c r="C11" i="58"/>
  <c r="F11" i="58" s="1"/>
  <c r="G11" i="58" s="1"/>
  <c r="F55" i="58"/>
  <c r="G55" i="58" s="1"/>
  <c r="D17" i="58"/>
  <c r="F17" i="58"/>
  <c r="G17" i="58" s="1"/>
  <c r="F56" i="58"/>
  <c r="G56" i="58" s="1"/>
  <c r="D56" i="58"/>
  <c r="D20" i="58"/>
  <c r="F20" i="58"/>
  <c r="G20" i="58" s="1"/>
  <c r="D13" i="58"/>
  <c r="F13" i="58"/>
  <c r="G13" i="58" s="1"/>
  <c r="D7" i="58"/>
  <c r="F7" i="58"/>
  <c r="G7" i="58" s="1"/>
  <c r="F58" i="58"/>
  <c r="G58" i="58" s="1"/>
  <c r="D58" i="58"/>
  <c r="F65" i="58"/>
  <c r="G65" i="58" s="1"/>
  <c r="D65" i="58"/>
  <c r="D154" i="63" l="1"/>
  <c r="D82" i="63"/>
  <c r="D204" i="63"/>
  <c r="D132" i="63"/>
  <c r="D217" i="63"/>
  <c r="D145" i="63"/>
  <c r="D156" i="63"/>
  <c r="D84" i="63"/>
  <c r="D214" i="63"/>
  <c r="D142" i="63"/>
  <c r="D160" i="63"/>
  <c r="D88" i="63"/>
  <c r="D208" i="63"/>
  <c r="D136" i="63"/>
  <c r="D151" i="63"/>
  <c r="D79" i="63"/>
  <c r="D205" i="63"/>
  <c r="D133" i="63"/>
  <c r="D150" i="63"/>
  <c r="D78" i="63"/>
  <c r="D90" i="63"/>
  <c r="D162" i="63"/>
  <c r="D216" i="63"/>
  <c r="D144" i="63"/>
  <c r="D163" i="63"/>
  <c r="D91" i="63"/>
  <c r="D138" i="63"/>
  <c r="D210" i="63"/>
  <c r="D63" i="58"/>
  <c r="D60" i="58"/>
  <c r="F19" i="58"/>
  <c r="G19" i="58" s="1"/>
  <c r="D66" i="58"/>
  <c r="D11" i="58"/>
  <c r="D8" i="58"/>
  <c r="L48" i="16"/>
  <c r="O48" i="16" s="1"/>
  <c r="U48" i="16" s="1"/>
  <c r="L76" i="16"/>
  <c r="O76" i="16" s="1"/>
  <c r="U76" i="16" s="1"/>
  <c r="L58" i="16"/>
  <c r="O58" i="16" s="1"/>
  <c r="L69" i="16"/>
  <c r="O69" i="16" s="1"/>
  <c r="U69" i="16" s="1"/>
  <c r="L70" i="16"/>
  <c r="O70" i="16" s="1"/>
  <c r="U70" i="16" s="1"/>
  <c r="L53" i="16"/>
  <c r="O53" i="16" s="1"/>
  <c r="L47" i="16"/>
  <c r="O47" i="16" s="1"/>
  <c r="L78" i="16"/>
  <c r="O78" i="16" s="1"/>
  <c r="U78" i="16" s="1"/>
  <c r="L49" i="16"/>
  <c r="O49" i="16" s="1"/>
  <c r="L67" i="16"/>
  <c r="O67" i="16" s="1"/>
  <c r="U67" i="16" s="1"/>
  <c r="L63" i="16"/>
  <c r="O63" i="16" s="1"/>
  <c r="AG63" i="16" s="1"/>
  <c r="L103" i="16"/>
  <c r="O103" i="16" s="1"/>
  <c r="U103" i="16" s="1"/>
  <c r="L104" i="16"/>
  <c r="O104" i="16" s="1"/>
  <c r="U104" i="16" s="1"/>
  <c r="L107" i="16"/>
  <c r="O107" i="16" s="1"/>
  <c r="U107" i="16" s="1"/>
  <c r="L75" i="16"/>
  <c r="O75" i="16" s="1"/>
  <c r="U75" i="16" s="1"/>
  <c r="L54" i="16"/>
  <c r="O54" i="16" s="1"/>
  <c r="AG54" i="16" s="1"/>
  <c r="L105" i="16"/>
  <c r="O105" i="16" s="1"/>
  <c r="U105" i="16" s="1"/>
  <c r="L86" i="16"/>
  <c r="O86" i="16" s="1"/>
  <c r="U86" i="16" s="1"/>
  <c r="L91" i="16"/>
  <c r="O91" i="16" s="1"/>
  <c r="U91" i="16" s="1"/>
  <c r="L90" i="16"/>
  <c r="O90" i="16" s="1"/>
  <c r="U90" i="16" s="1"/>
  <c r="L60" i="16"/>
  <c r="O60" i="16" s="1"/>
  <c r="L61" i="16"/>
  <c r="O61" i="16" s="1"/>
  <c r="L82" i="16"/>
  <c r="O82" i="16" s="1"/>
  <c r="U82" i="16" s="1"/>
  <c r="V86" i="16" l="1"/>
  <c r="W86" i="16" s="1"/>
  <c r="X86" i="16" s="1"/>
  <c r="AD86" i="16" s="1"/>
  <c r="C36" i="58" s="1"/>
  <c r="D36" i="58" s="1"/>
  <c r="C37" i="63"/>
  <c r="V107" i="16"/>
  <c r="W107" i="16" s="1"/>
  <c r="X107" i="16" s="1"/>
  <c r="AD107" i="16" s="1"/>
  <c r="C51" i="58" s="1"/>
  <c r="C55" i="63"/>
  <c r="V67" i="16"/>
  <c r="W67" i="16" s="1"/>
  <c r="X67" i="16" s="1"/>
  <c r="AD67" i="16" s="1"/>
  <c r="C21" i="20" s="1"/>
  <c r="D21" i="20" s="1"/>
  <c r="C20" i="63"/>
  <c r="V76" i="16"/>
  <c r="W76" i="16" s="1"/>
  <c r="X76" i="16" s="1"/>
  <c r="AD76" i="16" s="1"/>
  <c r="C28" i="20" s="1"/>
  <c r="D28" i="20" s="1"/>
  <c r="C28" i="63"/>
  <c r="V105" i="16"/>
  <c r="W105" i="16" s="1"/>
  <c r="X105" i="16" s="1"/>
  <c r="AD105" i="16" s="1"/>
  <c r="C49" i="58" s="1"/>
  <c r="D49" i="58" s="1"/>
  <c r="C53" i="63"/>
  <c r="V104" i="16"/>
  <c r="W104" i="16" s="1"/>
  <c r="X104" i="16" s="1"/>
  <c r="AD104" i="16" s="1"/>
  <c r="C48" i="58" s="1"/>
  <c r="C52" i="63"/>
  <c r="V70" i="16"/>
  <c r="W70" i="16" s="1"/>
  <c r="X70" i="16" s="1"/>
  <c r="AD70" i="16" s="1"/>
  <c r="C24" i="58" s="1"/>
  <c r="C23" i="63"/>
  <c r="V48" i="16"/>
  <c r="W48" i="16" s="1"/>
  <c r="X48" i="16" s="1"/>
  <c r="AD48" i="16" s="1"/>
  <c r="C5" i="20" s="1"/>
  <c r="D5" i="20" s="1"/>
  <c r="C4" i="63"/>
  <c r="V90" i="16"/>
  <c r="W90" i="16" s="1"/>
  <c r="X90" i="16" s="1"/>
  <c r="AD90" i="16" s="1"/>
  <c r="C38" i="20" s="1"/>
  <c r="D38" i="20" s="1"/>
  <c r="C40" i="63"/>
  <c r="AH54" i="16"/>
  <c r="AI54" i="16" s="1"/>
  <c r="AJ54" i="16" s="1"/>
  <c r="AP54" i="16" s="1"/>
  <c r="C57" i="58" s="1"/>
  <c r="C63" i="63"/>
  <c r="V103" i="16"/>
  <c r="W103" i="16" s="1"/>
  <c r="X103" i="16" s="1"/>
  <c r="AD103" i="16" s="1"/>
  <c r="C47" i="58" s="1"/>
  <c r="F47" i="58" s="1"/>
  <c r="G47" i="58" s="1"/>
  <c r="C51" i="63"/>
  <c r="V78" i="16"/>
  <c r="W78" i="16" s="1"/>
  <c r="X78" i="16" s="1"/>
  <c r="AD78" i="16" s="1"/>
  <c r="C30" i="20" s="1"/>
  <c r="D30" i="20" s="1"/>
  <c r="C30" i="63"/>
  <c r="V69" i="16"/>
  <c r="W69" i="16" s="1"/>
  <c r="X69" i="16" s="1"/>
  <c r="AD69" i="16" s="1"/>
  <c r="C23" i="20" s="1"/>
  <c r="D23" i="20" s="1"/>
  <c r="C22" i="63"/>
  <c r="V82" i="16"/>
  <c r="W82" i="16" s="1"/>
  <c r="X82" i="16" s="1"/>
  <c r="AD82" i="16" s="1"/>
  <c r="C32" i="20" s="1"/>
  <c r="D32" i="20" s="1"/>
  <c r="C33" i="63"/>
  <c r="V91" i="16"/>
  <c r="W91" i="16" s="1"/>
  <c r="X91" i="16" s="1"/>
  <c r="AD91" i="16" s="1"/>
  <c r="C39" i="20" s="1"/>
  <c r="D39" i="20" s="1"/>
  <c r="C41" i="63"/>
  <c r="V75" i="16"/>
  <c r="W75" i="16" s="1"/>
  <c r="X75" i="16" s="1"/>
  <c r="AD75" i="16" s="1"/>
  <c r="C27" i="58" s="1"/>
  <c r="C27" i="63"/>
  <c r="AH63" i="16"/>
  <c r="AI63" i="16" s="1"/>
  <c r="AJ63" i="16" s="1"/>
  <c r="AP63" i="16" s="1"/>
  <c r="C64" i="58" s="1"/>
  <c r="C71" i="63"/>
  <c r="AG60" i="16"/>
  <c r="U60" i="16"/>
  <c r="AG48" i="16"/>
  <c r="AG61" i="16"/>
  <c r="U61" i="16"/>
  <c r="U53" i="16"/>
  <c r="AG53" i="16"/>
  <c r="U54" i="16"/>
  <c r="U63" i="16"/>
  <c r="AG49" i="16"/>
  <c r="U49" i="16"/>
  <c r="AG58" i="16"/>
  <c r="U58" i="16"/>
  <c r="AG47" i="16"/>
  <c r="U47" i="16"/>
  <c r="C36" i="20" l="1"/>
  <c r="D36" i="20" s="1"/>
  <c r="C49" i="20"/>
  <c r="D49" i="20" s="1"/>
  <c r="F49" i="58"/>
  <c r="G49" i="58" s="1"/>
  <c r="C38" i="58"/>
  <c r="F38" i="58" s="1"/>
  <c r="G38" i="58" s="1"/>
  <c r="C171" i="63"/>
  <c r="C99" i="63"/>
  <c r="D27" i="63"/>
  <c r="C177" i="63"/>
  <c r="C105" i="63"/>
  <c r="D33" i="63"/>
  <c r="D30" i="63"/>
  <c r="C174" i="63"/>
  <c r="C102" i="63"/>
  <c r="C207" i="63"/>
  <c r="C135" i="63"/>
  <c r="D63" i="63"/>
  <c r="D4" i="63"/>
  <c r="C148" i="63"/>
  <c r="C76" i="63"/>
  <c r="D52" i="63"/>
  <c r="C196" i="63"/>
  <c r="C124" i="63"/>
  <c r="C172" i="63"/>
  <c r="C100" i="63"/>
  <c r="D28" i="63"/>
  <c r="C199" i="63"/>
  <c r="C127" i="63"/>
  <c r="D55" i="63"/>
  <c r="C215" i="63"/>
  <c r="C143" i="63"/>
  <c r="D71" i="63"/>
  <c r="D41" i="63"/>
  <c r="C185" i="63"/>
  <c r="C113" i="63"/>
  <c r="C166" i="63"/>
  <c r="C94" i="63"/>
  <c r="D22" i="63"/>
  <c r="C195" i="63"/>
  <c r="C123" i="63"/>
  <c r="D51" i="63"/>
  <c r="C184" i="63"/>
  <c r="C112" i="63"/>
  <c r="D40" i="63"/>
  <c r="C167" i="63"/>
  <c r="C95" i="63"/>
  <c r="D23" i="63"/>
  <c r="D53" i="63"/>
  <c r="C197" i="63"/>
  <c r="C125" i="63"/>
  <c r="D20" i="63"/>
  <c r="C164" i="63"/>
  <c r="C92" i="63"/>
  <c r="D37" i="63"/>
  <c r="C109" i="63"/>
  <c r="C181" i="63"/>
  <c r="C39" i="58"/>
  <c r="D39" i="58" s="1"/>
  <c r="C47" i="20"/>
  <c r="D47" i="20" s="1"/>
  <c r="C21" i="58"/>
  <c r="D21" i="58" s="1"/>
  <c r="F36" i="58"/>
  <c r="G36" i="58" s="1"/>
  <c r="C48" i="20"/>
  <c r="D48" i="20" s="1"/>
  <c r="C27" i="20"/>
  <c r="D27" i="20" s="1"/>
  <c r="C57" i="20"/>
  <c r="D57" i="20" s="1"/>
  <c r="C28" i="58"/>
  <c r="D28" i="58" s="1"/>
  <c r="C24" i="20"/>
  <c r="D24" i="20" s="1"/>
  <c r="C64" i="20"/>
  <c r="D64" i="20" s="1"/>
  <c r="C23" i="58"/>
  <c r="F23" i="58" s="1"/>
  <c r="G23" i="58" s="1"/>
  <c r="C32" i="58"/>
  <c r="D32" i="58" s="1"/>
  <c r="C30" i="58"/>
  <c r="F30" i="58" s="1"/>
  <c r="G30" i="58" s="1"/>
  <c r="D47" i="58"/>
  <c r="AH47" i="16"/>
  <c r="AI47" i="16" s="1"/>
  <c r="AJ47" i="16" s="1"/>
  <c r="AP47" i="16" s="1"/>
  <c r="C52" i="20" s="1"/>
  <c r="D52" i="20" s="1"/>
  <c r="C57" i="63"/>
  <c r="AH58" i="16"/>
  <c r="AI58" i="16" s="1"/>
  <c r="AJ58" i="16" s="1"/>
  <c r="AP58" i="16" s="1"/>
  <c r="C61" i="20" s="1"/>
  <c r="D61" i="20" s="1"/>
  <c r="C67" i="63"/>
  <c r="V53" i="16"/>
  <c r="W53" i="16" s="1"/>
  <c r="X53" i="16" s="1"/>
  <c r="AD53" i="16" s="1"/>
  <c r="C9" i="58" s="1"/>
  <c r="D9" i="58" s="1"/>
  <c r="C8" i="63"/>
  <c r="V60" i="16"/>
  <c r="W60" i="16" s="1"/>
  <c r="X60" i="16" s="1"/>
  <c r="AD60" i="16" s="1"/>
  <c r="C15" i="58" s="1"/>
  <c r="F15" i="58" s="1"/>
  <c r="G15" i="58" s="1"/>
  <c r="C14" i="63"/>
  <c r="V63" i="16"/>
  <c r="W63" i="16" s="1"/>
  <c r="X63" i="16" s="1"/>
  <c r="AD63" i="16" s="1"/>
  <c r="C18" i="20" s="1"/>
  <c r="D18" i="20" s="1"/>
  <c r="C17" i="63"/>
  <c r="V61" i="16"/>
  <c r="W61" i="16" s="1"/>
  <c r="X61" i="16" s="1"/>
  <c r="AD61" i="16" s="1"/>
  <c r="C16" i="58" s="1"/>
  <c r="D16" i="58" s="1"/>
  <c r="C15" i="63"/>
  <c r="AH60" i="16"/>
  <c r="AI60" i="16" s="1"/>
  <c r="AJ60" i="16" s="1"/>
  <c r="AP60" i="16" s="1"/>
  <c r="C68" i="63"/>
  <c r="V49" i="16"/>
  <c r="W49" i="16" s="1"/>
  <c r="X49" i="16" s="1"/>
  <c r="AD49" i="16" s="1"/>
  <c r="C6" i="58" s="1"/>
  <c r="C5" i="63"/>
  <c r="C51" i="20"/>
  <c r="D51" i="20" s="1"/>
  <c r="C5" i="58"/>
  <c r="F5" i="58" s="1"/>
  <c r="G5" i="58" s="1"/>
  <c r="V54" i="16"/>
  <c r="W54" i="16" s="1"/>
  <c r="X54" i="16" s="1"/>
  <c r="AD54" i="16" s="1"/>
  <c r="C10" i="58" s="1"/>
  <c r="F10" i="58" s="1"/>
  <c r="G10" i="58" s="1"/>
  <c r="C9" i="63"/>
  <c r="AH61" i="16"/>
  <c r="AI61" i="16" s="1"/>
  <c r="AJ61" i="16" s="1"/>
  <c r="AP61" i="16" s="1"/>
  <c r="C62" i="58" s="1"/>
  <c r="C69" i="63"/>
  <c r="V47" i="16"/>
  <c r="W47" i="16" s="1"/>
  <c r="X47" i="16" s="1"/>
  <c r="AD47" i="16" s="1"/>
  <c r="C4" i="58" s="1"/>
  <c r="C3" i="63"/>
  <c r="V58" i="16"/>
  <c r="W58" i="16" s="1"/>
  <c r="X58" i="16" s="1"/>
  <c r="AD58" i="16" s="1"/>
  <c r="C14" i="20" s="1"/>
  <c r="D14" i="20" s="1"/>
  <c r="C13" i="63"/>
  <c r="AH49" i="16"/>
  <c r="AI49" i="16" s="1"/>
  <c r="AJ49" i="16" s="1"/>
  <c r="AP49" i="16" s="1"/>
  <c r="C54" i="58" s="1"/>
  <c r="C59" i="63"/>
  <c r="AH53" i="16"/>
  <c r="AI53" i="16" s="1"/>
  <c r="AJ53" i="16" s="1"/>
  <c r="AP53" i="16" s="1"/>
  <c r="C62" i="63"/>
  <c r="AH48" i="16"/>
  <c r="AI48" i="16" s="1"/>
  <c r="AJ48" i="16" s="1"/>
  <c r="AP48" i="16" s="1"/>
  <c r="C53" i="58" s="1"/>
  <c r="D53" i="58" s="1"/>
  <c r="C58" i="63"/>
  <c r="D51" i="58"/>
  <c r="F51" i="58"/>
  <c r="G51" i="58" s="1"/>
  <c r="D48" i="58"/>
  <c r="F48" i="58"/>
  <c r="G48" i="58" s="1"/>
  <c r="F27" i="58"/>
  <c r="G27" i="58" s="1"/>
  <c r="D27" i="58"/>
  <c r="F64" i="58"/>
  <c r="G64" i="58" s="1"/>
  <c r="D64" i="58"/>
  <c r="F57" i="58"/>
  <c r="G57" i="58" s="1"/>
  <c r="D57" i="58"/>
  <c r="D24" i="58"/>
  <c r="F24" i="58"/>
  <c r="G24" i="58" s="1"/>
  <c r="C9" i="20" l="1"/>
  <c r="D9" i="20" s="1"/>
  <c r="D38" i="58"/>
  <c r="F39" i="58"/>
  <c r="G39" i="58" s="1"/>
  <c r="D195" i="63"/>
  <c r="D123" i="63"/>
  <c r="D185" i="63"/>
  <c r="D113" i="63"/>
  <c r="D199" i="63"/>
  <c r="D127" i="63"/>
  <c r="D196" i="63"/>
  <c r="D124" i="63"/>
  <c r="D207" i="63"/>
  <c r="D135" i="63"/>
  <c r="C206" i="63"/>
  <c r="C134" i="63"/>
  <c r="D62" i="63"/>
  <c r="C157" i="63"/>
  <c r="C85" i="63"/>
  <c r="D13" i="63"/>
  <c r="D69" i="63"/>
  <c r="C213" i="63"/>
  <c r="C141" i="63"/>
  <c r="D68" i="63"/>
  <c r="C212" i="63"/>
  <c r="C140" i="63"/>
  <c r="C161" i="63"/>
  <c r="C89" i="63"/>
  <c r="D17" i="63"/>
  <c r="C152" i="63"/>
  <c r="C80" i="63"/>
  <c r="D8" i="63"/>
  <c r="D57" i="63"/>
  <c r="C201" i="63"/>
  <c r="C129" i="63"/>
  <c r="D197" i="63"/>
  <c r="D125" i="63"/>
  <c r="D184" i="63"/>
  <c r="D112" i="63"/>
  <c r="D215" i="63"/>
  <c r="D143" i="63"/>
  <c r="D174" i="63"/>
  <c r="D102" i="63"/>
  <c r="D171" i="63"/>
  <c r="D99" i="63"/>
  <c r="D164" i="63"/>
  <c r="D92" i="63"/>
  <c r="D167" i="63"/>
  <c r="D95" i="63"/>
  <c r="D177" i="63"/>
  <c r="D105" i="63"/>
  <c r="D58" i="63"/>
  <c r="C130" i="63"/>
  <c r="C202" i="63"/>
  <c r="C203" i="63"/>
  <c r="C131" i="63"/>
  <c r="D59" i="63"/>
  <c r="C147" i="63"/>
  <c r="C75" i="63"/>
  <c r="D3" i="63"/>
  <c r="D9" i="63"/>
  <c r="C153" i="63"/>
  <c r="C81" i="63"/>
  <c r="D5" i="63"/>
  <c r="C149" i="63"/>
  <c r="C77" i="63"/>
  <c r="C159" i="63"/>
  <c r="C87" i="63"/>
  <c r="D15" i="63"/>
  <c r="D14" i="63"/>
  <c r="C158" i="63"/>
  <c r="C86" i="63"/>
  <c r="C211" i="63"/>
  <c r="C139" i="63"/>
  <c r="D67" i="63"/>
  <c r="D181" i="63"/>
  <c r="D109" i="63"/>
  <c r="D166" i="63"/>
  <c r="D94" i="63"/>
  <c r="D172" i="63"/>
  <c r="D100" i="63"/>
  <c r="D148" i="63"/>
  <c r="D76" i="63"/>
  <c r="D30" i="58"/>
  <c r="C61" i="58"/>
  <c r="F61" i="58" s="1"/>
  <c r="G61" i="58" s="1"/>
  <c r="F21" i="58"/>
  <c r="G21" i="58" s="1"/>
  <c r="F28" i="58"/>
  <c r="G28" i="58" s="1"/>
  <c r="D23" i="58"/>
  <c r="C62" i="20"/>
  <c r="D62" i="20" s="1"/>
  <c r="C52" i="58"/>
  <c r="D52" i="58" s="1"/>
  <c r="F9" i="58"/>
  <c r="G9" i="58" s="1"/>
  <c r="F32" i="58"/>
  <c r="G32" i="58" s="1"/>
  <c r="C14" i="58"/>
  <c r="F14" i="58" s="1"/>
  <c r="G14" i="58" s="1"/>
  <c r="C18" i="58"/>
  <c r="F18" i="58" s="1"/>
  <c r="G18" i="58" s="1"/>
  <c r="D10" i="58"/>
  <c r="F53" i="58"/>
  <c r="G53" i="58" s="1"/>
  <c r="D5" i="58"/>
  <c r="D15" i="58"/>
  <c r="C4" i="20"/>
  <c r="D4" i="20" s="1"/>
  <c r="F16" i="58"/>
  <c r="G16" i="58" s="1"/>
  <c r="C54" i="20"/>
  <c r="D54" i="20" s="1"/>
  <c r="C6" i="20"/>
  <c r="D6" i="20" s="1"/>
  <c r="C10" i="20"/>
  <c r="D10" i="20" s="1"/>
  <c r="C53" i="20"/>
  <c r="D53" i="20" s="1"/>
  <c r="C16" i="20"/>
  <c r="D16" i="20" s="1"/>
  <c r="C15" i="20"/>
  <c r="D15" i="20" s="1"/>
  <c r="F62" i="58"/>
  <c r="G62" i="58" s="1"/>
  <c r="D62" i="58"/>
  <c r="D4" i="58"/>
  <c r="F4" i="58"/>
  <c r="G4" i="58" s="1"/>
  <c r="D54" i="58"/>
  <c r="F54" i="58"/>
  <c r="G54" i="58" s="1"/>
  <c r="F6" i="58"/>
  <c r="G6" i="58" s="1"/>
  <c r="D6" i="58"/>
  <c r="D61" i="58" l="1"/>
  <c r="D149" i="63"/>
  <c r="D77" i="63"/>
  <c r="D147" i="63"/>
  <c r="D75" i="63"/>
  <c r="D202" i="63"/>
  <c r="D130" i="63"/>
  <c r="D152" i="63"/>
  <c r="D80" i="63"/>
  <c r="D212" i="63"/>
  <c r="D140" i="63"/>
  <c r="D85" i="63"/>
  <c r="D157" i="63"/>
  <c r="D211" i="63"/>
  <c r="D139" i="63"/>
  <c r="D158" i="63"/>
  <c r="D86" i="63"/>
  <c r="D159" i="63"/>
  <c r="D87" i="63"/>
  <c r="D153" i="63"/>
  <c r="D81" i="63"/>
  <c r="D203" i="63"/>
  <c r="D131" i="63"/>
  <c r="D201" i="63"/>
  <c r="D129" i="63"/>
  <c r="D161" i="63"/>
  <c r="D89" i="63"/>
  <c r="D213" i="63"/>
  <c r="D141" i="63"/>
  <c r="D206" i="63"/>
  <c r="D134" i="63"/>
  <c r="I5" i="58" a="1"/>
  <c r="I5" i="58" s="1"/>
  <c r="H5" i="58" s="1"/>
  <c r="H13" i="58" s="1"/>
  <c r="F52" i="58"/>
  <c r="G52" i="58" s="1"/>
  <c r="D14" i="58"/>
  <c r="I6" i="58"/>
  <c r="J6" i="58" s="1"/>
  <c r="L6" i="58" s="1"/>
  <c r="N6" i="58" s="1"/>
  <c r="D18" i="58"/>
  <c r="I5" i="20" a="1"/>
  <c r="I5" i="20" s="1"/>
  <c r="J5" i="20" s="1"/>
  <c r="L5" i="20" s="1"/>
  <c r="N5" i="20" s="1"/>
  <c r="I6" i="20" a="1"/>
  <c r="I6" i="20" s="1"/>
  <c r="H6" i="20" s="1"/>
  <c r="K5" i="58" l="1"/>
  <c r="M5" i="58" s="1"/>
  <c r="H14" i="20"/>
  <c r="P26" i="1" s="1"/>
  <c r="P6" i="20"/>
  <c r="P6" i="58" s="1"/>
  <c r="J5" i="58"/>
  <c r="L5" i="58" s="1"/>
  <c r="N5" i="58" s="1"/>
  <c r="H6" i="58"/>
  <c r="H14" i="58" s="1"/>
  <c r="K6" i="58"/>
  <c r="M6" i="58" s="1"/>
  <c r="O6" i="58" s="1"/>
  <c r="I7" i="58" a="1"/>
  <c r="I7" i="58" s="1"/>
  <c r="I8" i="58" s="1" a="1"/>
  <c r="I8" i="58" s="1"/>
  <c r="J8" i="58" s="1"/>
  <c r="K5" i="20"/>
  <c r="M5" i="20" s="1"/>
  <c r="O5" i="20" s="1"/>
  <c r="J6" i="20"/>
  <c r="L6" i="20" s="1"/>
  <c r="N6" i="20" s="1"/>
  <c r="H5" i="20"/>
  <c r="K6" i="20"/>
  <c r="M6" i="20" s="1"/>
  <c r="I7" i="20" a="1"/>
  <c r="I7" i="20" s="1"/>
  <c r="H7" i="20" s="1"/>
  <c r="O5" i="58" l="1"/>
  <c r="I13" i="58" s="1"/>
  <c r="H15" i="20"/>
  <c r="P27" i="1" s="1"/>
  <c r="G59" i="44" s="1"/>
  <c r="F62" i="44" s="1"/>
  <c r="P7" i="20"/>
  <c r="P7" i="58" s="1"/>
  <c r="H13" i="20"/>
  <c r="P25" i="1" s="1"/>
  <c r="F43" i="44" s="1"/>
  <c r="P5" i="20"/>
  <c r="P5" i="58" s="1"/>
  <c r="I14" i="58"/>
  <c r="J7" i="58"/>
  <c r="L7" i="58" s="1"/>
  <c r="N7" i="58" s="1"/>
  <c r="K7" i="58"/>
  <c r="M7" i="58" s="1"/>
  <c r="H7" i="58"/>
  <c r="H15" i="58" s="1"/>
  <c r="O6" i="20"/>
  <c r="I14" i="20" s="1"/>
  <c r="S26" i="1" s="1"/>
  <c r="T26" i="1" s="1"/>
  <c r="H51" i="44" s="1"/>
  <c r="J7" i="20"/>
  <c r="L7" i="20" s="1"/>
  <c r="N7" i="20" s="1"/>
  <c r="I8" i="20" a="1"/>
  <c r="I8" i="20" s="1"/>
  <c r="J8" i="20" s="1"/>
  <c r="L8" i="20" s="1"/>
  <c r="N8" i="20" s="1"/>
  <c r="K7" i="20"/>
  <c r="M7" i="20" s="1"/>
  <c r="H8" i="58"/>
  <c r="L8" i="58"/>
  <c r="N8" i="58" s="1"/>
  <c r="K8" i="58"/>
  <c r="M8" i="58" s="1"/>
  <c r="F52" i="44"/>
  <c r="G50" i="44"/>
  <c r="F53" i="44" s="1"/>
  <c r="F61" i="44" l="1"/>
  <c r="G41" i="44"/>
  <c r="F44" i="44" s="1"/>
  <c r="O7" i="58"/>
  <c r="I15" i="58" s="1"/>
  <c r="I13" i="20"/>
  <c r="S25" i="1" s="1"/>
  <c r="T25" i="1" s="1"/>
  <c r="H42" i="44" s="1"/>
  <c r="H16" i="58"/>
  <c r="G51" i="44"/>
  <c r="O7" i="20"/>
  <c r="I15" i="20" s="1"/>
  <c r="S27" i="1" s="1"/>
  <c r="G60" i="44" s="1"/>
  <c r="H8" i="20"/>
  <c r="K8" i="20"/>
  <c r="M8" i="20" s="1"/>
  <c r="O8" i="20" s="1"/>
  <c r="O8" i="58"/>
  <c r="G42" i="44" l="1"/>
  <c r="I16" i="58"/>
  <c r="H16" i="20"/>
  <c r="P28" i="1" s="1"/>
  <c r="G68" i="44" s="1"/>
  <c r="F71" i="44" s="1"/>
  <c r="P8" i="20"/>
  <c r="P8" i="58" s="1"/>
  <c r="T27" i="1"/>
  <c r="H60" i="44" s="1"/>
  <c r="I16" i="20" l="1"/>
  <c r="S28" i="1" s="1"/>
  <c r="G69" i="44" s="1"/>
  <c r="F70" i="44"/>
  <c r="T28" i="1" l="1"/>
  <c r="H69" i="44" s="1"/>
  <c r="D46" i="16" l="1" a="1"/>
  <c r="D46" i="16"/>
  <c r="E46" i="16"/>
</calcChain>
</file>

<file path=xl/sharedStrings.xml><?xml version="1.0" encoding="utf-8"?>
<sst xmlns="http://schemas.openxmlformats.org/spreadsheetml/2006/main" count="2747" uniqueCount="931">
  <si>
    <t>Fluid Name</t>
  </si>
  <si>
    <t>Reference Condition</t>
  </si>
  <si>
    <t>Water</t>
  </si>
  <si>
    <t>Density at Reference Conditions</t>
  </si>
  <si>
    <t>Operating Pressure</t>
  </si>
  <si>
    <t>Operating Temperature</t>
  </si>
  <si>
    <t>10A61</t>
  </si>
  <si>
    <t>10A4</t>
  </si>
  <si>
    <t>10A22</t>
  </si>
  <si>
    <t>10A32</t>
  </si>
  <si>
    <t>FAM54</t>
  </si>
  <si>
    <t>Density</t>
  </si>
  <si>
    <t>g/ml</t>
  </si>
  <si>
    <t>Viscosity</t>
  </si>
  <si>
    <t>cP</t>
  </si>
  <si>
    <t>Tube</t>
  </si>
  <si>
    <t>Float</t>
  </si>
  <si>
    <t>10A61 1.5" Scale</t>
  </si>
  <si>
    <t>BG</t>
  </si>
  <si>
    <t>Range Low (mL/min)</t>
  </si>
  <si>
    <t>Range High (mL/min)</t>
  </si>
  <si>
    <t>SA</t>
  </si>
  <si>
    <t>1/16-08</t>
  </si>
  <si>
    <t>SS</t>
  </si>
  <si>
    <t>1/16-30</t>
  </si>
  <si>
    <t>1/8-21</t>
  </si>
  <si>
    <t>CA</t>
  </si>
  <si>
    <t>1/4-28</t>
  </si>
  <si>
    <t>1/4-41</t>
  </si>
  <si>
    <t>mL/min</t>
  </si>
  <si>
    <t>l/h</t>
  </si>
  <si>
    <t>l/min</t>
  </si>
  <si>
    <t>l/s</t>
  </si>
  <si>
    <t>m3/h</t>
  </si>
  <si>
    <t>m3/min</t>
  </si>
  <si>
    <t>ft3/h</t>
  </si>
  <si>
    <t>ft3/min</t>
  </si>
  <si>
    <t>ft3/s</t>
  </si>
  <si>
    <t>I GPH</t>
  </si>
  <si>
    <t>I GPM</t>
  </si>
  <si>
    <t>US GPH</t>
  </si>
  <si>
    <t>US GPM</t>
  </si>
  <si>
    <t>mL/h</t>
  </si>
  <si>
    <t>mL/s</t>
  </si>
  <si>
    <t>in3/h</t>
  </si>
  <si>
    <t>in3/min</t>
  </si>
  <si>
    <t>in3/s</t>
  </si>
  <si>
    <t>Units</t>
  </si>
  <si>
    <t>Factor (multiplied by)</t>
  </si>
  <si>
    <t>control + shift  + enter</t>
  </si>
  <si>
    <t>input</t>
  </si>
  <si>
    <t>above</t>
  </si>
  <si>
    <t>below</t>
  </si>
  <si>
    <t>Max Flow</t>
  </si>
  <si>
    <t>SG</t>
  </si>
  <si>
    <t>Max Flow (mL/min)</t>
  </si>
  <si>
    <t>10A61 1-1/2"</t>
  </si>
  <si>
    <t>Min Flow (mL/min)</t>
  </si>
  <si>
    <t>Tube/Float</t>
  </si>
  <si>
    <t>10A61 3"</t>
  </si>
  <si>
    <t>viscosity</t>
  </si>
  <si>
    <t>Real Data</t>
  </si>
  <si>
    <t>Interpolated Data</t>
  </si>
  <si>
    <t>Max Flow Formula</t>
  </si>
  <si>
    <t>sg</t>
  </si>
  <si>
    <t>LINEST</t>
  </si>
  <si>
    <t>ORDER</t>
  </si>
  <si>
    <t>MAX FLOW</t>
  </si>
  <si>
    <t>VISCOSITY</t>
  </si>
  <si>
    <t>OVERLAP AT 1.5</t>
  </si>
  <si>
    <t>OVERLAP AT 1.9</t>
  </si>
  <si>
    <t>OVERLAP AT 2</t>
  </si>
  <si>
    <t>TOP</t>
  </si>
  <si>
    <t>BOTTOM</t>
  </si>
  <si>
    <t>OVERLAP AT 2.2</t>
  </si>
  <si>
    <t>1/8-08-BG</t>
  </si>
  <si>
    <t>DENSITY</t>
  </si>
  <si>
    <t>Max Flow mL/min</t>
  </si>
  <si>
    <t>1/8-08-SA</t>
  </si>
  <si>
    <t>1/8-08-SS</t>
  </si>
  <si>
    <t>Min Flow mL/min</t>
  </si>
  <si>
    <t>1/8-20-BG</t>
  </si>
  <si>
    <t>1/8-08-CA</t>
  </si>
  <si>
    <t>1/8-08-TA</t>
  </si>
  <si>
    <t>1/8-20-SA</t>
  </si>
  <si>
    <t>1/8-20-SS</t>
  </si>
  <si>
    <t>1/8-20-CA</t>
  </si>
  <si>
    <t>1/8-20-TA</t>
  </si>
  <si>
    <t>1/4-15-CD</t>
  </si>
  <si>
    <t>1/4-15-SA</t>
  </si>
  <si>
    <t>1/4-20-CD</t>
  </si>
  <si>
    <t>1/4-20-SA</t>
  </si>
  <si>
    <t>1/4-15-SS</t>
  </si>
  <si>
    <t>1/4-15-CA</t>
  </si>
  <si>
    <t>1/4-20-SS</t>
  </si>
  <si>
    <t>1/4-15-TA</t>
  </si>
  <si>
    <t>1/4-41-G-SA</t>
  </si>
  <si>
    <t>1/4-20-CA</t>
  </si>
  <si>
    <t>1/4-20-TA</t>
  </si>
  <si>
    <t>1/4-41-P-SA</t>
  </si>
  <si>
    <t>1/4-41-G-SS</t>
  </si>
  <si>
    <t>1/4-41-P-SS</t>
  </si>
  <si>
    <t>1/4-41-G-CA</t>
  </si>
  <si>
    <t>1/4-41-G-TA</t>
  </si>
  <si>
    <t>1/4-41-P-CA</t>
  </si>
  <si>
    <t>1/4-41-P-TA</t>
  </si>
  <si>
    <t>FLUID TYPE</t>
  </si>
  <si>
    <t>FLUID NAME</t>
  </si>
  <si>
    <t>REFERENCE CONDITION</t>
  </si>
  <si>
    <t>Liquid</t>
  </si>
  <si>
    <t>Gas</t>
  </si>
  <si>
    <t>Fluid Type</t>
  </si>
  <si>
    <t>Type of Density</t>
  </si>
  <si>
    <t>Density at Operating Conditions</t>
  </si>
  <si>
    <t>at Reference Conditions</t>
  </si>
  <si>
    <t>at Operating Conditions</t>
  </si>
  <si>
    <t>Maximum Flowrate</t>
  </si>
  <si>
    <t>1/4-15-ss</t>
  </si>
  <si>
    <t>1/4-10</t>
  </si>
  <si>
    <t>1/4-16</t>
  </si>
  <si>
    <t>1/4-20</t>
  </si>
  <si>
    <t>1/4-25</t>
  </si>
  <si>
    <t>x</t>
  </si>
  <si>
    <t>N</t>
  </si>
  <si>
    <t>C</t>
  </si>
  <si>
    <t>y</t>
  </si>
  <si>
    <t>TA</t>
  </si>
  <si>
    <t>W</t>
  </si>
  <si>
    <t>actual</t>
  </si>
  <si>
    <t>% error</t>
  </si>
  <si>
    <t>R</t>
  </si>
  <si>
    <t>Pstp</t>
  </si>
  <si>
    <t>Popt</t>
  </si>
  <si>
    <t>Ustp</t>
  </si>
  <si>
    <t>temp coef</t>
  </si>
  <si>
    <t>t-70</t>
  </si>
  <si>
    <t>Uopt</t>
  </si>
  <si>
    <t>%error</t>
  </si>
  <si>
    <t>FIRST</t>
  </si>
  <si>
    <t>MIDDLE</t>
  </si>
  <si>
    <t>LAST</t>
  </si>
  <si>
    <t>Float Densities</t>
  </si>
  <si>
    <t>CD</t>
  </si>
  <si>
    <t>Size Factor</t>
  </si>
  <si>
    <t>1/16</t>
  </si>
  <si>
    <t>1/8</t>
  </si>
  <si>
    <t>1/4</t>
  </si>
  <si>
    <t>3/8</t>
  </si>
  <si>
    <t>A</t>
  </si>
  <si>
    <t>B</t>
  </si>
  <si>
    <t>Operating Temp Deg F</t>
  </si>
  <si>
    <t>Operating Pressure psia</t>
  </si>
  <si>
    <t>Standard Density</t>
  </si>
  <si>
    <t>Operating Density</t>
  </si>
  <si>
    <t>Standard Viscosity</t>
  </si>
  <si>
    <t>temp coeff</t>
  </si>
  <si>
    <t>Operating Viscosity</t>
  </si>
  <si>
    <t>W (g/min)</t>
  </si>
  <si>
    <t>(mL/min)</t>
  </si>
  <si>
    <t>ranges</t>
  </si>
  <si>
    <t>Density at Standard</t>
  </si>
  <si>
    <t>Density at Normal/Actual</t>
  </si>
  <si>
    <t>Temp Coeff. Deg F</t>
  </si>
  <si>
    <t>Air</t>
  </si>
  <si>
    <t>Natural Gas</t>
  </si>
  <si>
    <t>R Standard</t>
  </si>
  <si>
    <t>R Normal/Actual</t>
  </si>
  <si>
    <t>t-32</t>
  </si>
  <si>
    <t>GAS</t>
  </si>
  <si>
    <t>LIQUID</t>
  </si>
  <si>
    <t>Input Viscosity (cP)</t>
  </si>
  <si>
    <t>Input Pressure</t>
  </si>
  <si>
    <t>psi(g)</t>
  </si>
  <si>
    <t>psi(a)</t>
  </si>
  <si>
    <t>bar(a)</t>
  </si>
  <si>
    <t>bar(g)</t>
  </si>
  <si>
    <t>atm(a)</t>
  </si>
  <si>
    <t>atm(g)</t>
  </si>
  <si>
    <t>Modified Pressure (psia)</t>
  </si>
  <si>
    <t>Pressure Units</t>
  </si>
  <si>
    <t>Temperature Units</t>
  </si>
  <si>
    <t>°F</t>
  </si>
  <si>
    <t>°C</t>
  </si>
  <si>
    <t>Input Temperature</t>
  </si>
  <si>
    <t>Density Units</t>
  </si>
  <si>
    <r>
      <t>kg/m</t>
    </r>
    <r>
      <rPr>
        <vertAlign val="superscript"/>
        <sz val="11"/>
        <color theme="1"/>
        <rFont val="Calibri"/>
        <family val="2"/>
        <scheme val="minor"/>
      </rPr>
      <t>3</t>
    </r>
  </si>
  <si>
    <t>g/mL</t>
  </si>
  <si>
    <t>kg/L</t>
  </si>
  <si>
    <r>
      <t>g/cm</t>
    </r>
    <r>
      <rPr>
        <vertAlign val="superscript"/>
        <sz val="11"/>
        <color theme="1"/>
        <rFont val="Calibri"/>
        <family val="2"/>
        <scheme val="minor"/>
      </rPr>
      <t>3</t>
    </r>
  </si>
  <si>
    <r>
      <t>lb/ft</t>
    </r>
    <r>
      <rPr>
        <vertAlign val="superscript"/>
        <sz val="11"/>
        <color theme="1"/>
        <rFont val="Calibri"/>
        <family val="2"/>
        <scheme val="minor"/>
      </rPr>
      <t>3</t>
    </r>
  </si>
  <si>
    <t>lb/USgal</t>
  </si>
  <si>
    <t>Input Flowrate</t>
  </si>
  <si>
    <t>Modified Temperature (Deg F)</t>
  </si>
  <si>
    <t>Modified Flowrate (mL/min)</t>
  </si>
  <si>
    <t>Flowrate Units</t>
  </si>
  <si>
    <t>Flowrate Conversion</t>
  </si>
  <si>
    <t>Input Density at operating</t>
  </si>
  <si>
    <t>Modified Density at operating (g/mL)</t>
  </si>
  <si>
    <t>Input Density at reference</t>
  </si>
  <si>
    <t>Modified Density at reference (g/mL)</t>
  </si>
  <si>
    <t>RESULTS</t>
  </si>
  <si>
    <t>ml/min</t>
  </si>
  <si>
    <t>1/8-25-CD</t>
  </si>
  <si>
    <t>1/8-25-SA</t>
  </si>
  <si>
    <t>1/8-25-SS</t>
  </si>
  <si>
    <t>1/8-25-CA</t>
  </si>
  <si>
    <t>1/8-25-TA</t>
  </si>
  <si>
    <t>1/8-25-BG</t>
  </si>
  <si>
    <t>1/8-20-CD</t>
  </si>
  <si>
    <t>1/8-16-CD</t>
  </si>
  <si>
    <t>1/8-16-SA</t>
  </si>
  <si>
    <t>1/8-16-SS</t>
  </si>
  <si>
    <t>1/8-16-CA</t>
  </si>
  <si>
    <t>1/8-16-TA</t>
  </si>
  <si>
    <t>1/8-16-BG</t>
  </si>
  <si>
    <t>1/8-12</t>
  </si>
  <si>
    <t>1/8-08</t>
  </si>
  <si>
    <t>1/16-12</t>
  </si>
  <si>
    <t>1/16-16</t>
  </si>
  <si>
    <t>1/16-20</t>
  </si>
  <si>
    <t>1/4-25-CD</t>
  </si>
  <si>
    <t>1/4-25-SA</t>
  </si>
  <si>
    <t>1/4-25-SS</t>
  </si>
  <si>
    <t>1/4-25-CA</t>
  </si>
  <si>
    <t>1/4-25-TA</t>
  </si>
  <si>
    <t>1/4-25-BG</t>
  </si>
  <si>
    <t>1/4-20-BG</t>
  </si>
  <si>
    <t>1/4-16-CD</t>
  </si>
  <si>
    <t>1/4-16-SA</t>
  </si>
  <si>
    <t>1/4-16-SS</t>
  </si>
  <si>
    <t>1/4-16-CA</t>
  </si>
  <si>
    <t>1/4-16-TA</t>
  </si>
  <si>
    <t>1/4-16-BG</t>
  </si>
  <si>
    <t>1/4-10-CD</t>
  </si>
  <si>
    <t>1/4-10-SA</t>
  </si>
  <si>
    <t>1/4-10-SS</t>
  </si>
  <si>
    <t>1/4-10-CA</t>
  </si>
  <si>
    <t>1/4-10-TA</t>
  </si>
  <si>
    <t>1/4-10-BG</t>
  </si>
  <si>
    <t>1/8-12-SA</t>
  </si>
  <si>
    <t>1/8-12-SS</t>
  </si>
  <si>
    <t>1/8-12-CA</t>
  </si>
  <si>
    <t>1/8-12-TA</t>
  </si>
  <si>
    <t>1/8-12-BG</t>
  </si>
  <si>
    <t>1/16-12-SA</t>
  </si>
  <si>
    <t>1/16-12-SS</t>
  </si>
  <si>
    <t>1/16-12-CA</t>
  </si>
  <si>
    <t>1/16-12-TA</t>
  </si>
  <si>
    <t>1/16-12-BG</t>
  </si>
  <si>
    <t>1/16-16-SA</t>
  </si>
  <si>
    <t>1/16-16-SS</t>
  </si>
  <si>
    <t>1/16-16-CA</t>
  </si>
  <si>
    <t>1/16-16-TA</t>
  </si>
  <si>
    <t>1/16-16-BG</t>
  </si>
  <si>
    <t>1/16-20-SA</t>
  </si>
  <si>
    <t>1/16-20-SS</t>
  </si>
  <si>
    <t>1/16-20-CA</t>
  </si>
  <si>
    <t>1/16-20-TA</t>
  </si>
  <si>
    <t>1/16-20-BG</t>
  </si>
  <si>
    <t>Min Flow</t>
  </si>
  <si>
    <t>X</t>
  </si>
  <si>
    <t>Y</t>
  </si>
  <si>
    <t>X gas</t>
  </si>
  <si>
    <t>Y gas</t>
  </si>
  <si>
    <t>W grams/min</t>
  </si>
  <si>
    <t>X liquid</t>
  </si>
  <si>
    <t>Y liquid</t>
  </si>
  <si>
    <t>1/8-20</t>
  </si>
  <si>
    <t>1/4-15</t>
  </si>
  <si>
    <t>1/4-41-G</t>
  </si>
  <si>
    <t>1/4-41-P</t>
  </si>
  <si>
    <t>1/8-077-G</t>
  </si>
  <si>
    <t>1/4-15-BG</t>
  </si>
  <si>
    <t>1/4-41-G-BG</t>
  </si>
  <si>
    <t>1/8-13.3-G</t>
  </si>
  <si>
    <t>1/8-077-G-10</t>
  </si>
  <si>
    <t>1/8-13.3-G-10</t>
  </si>
  <si>
    <t>1/8-32-G</t>
  </si>
  <si>
    <t>1/8-32-G-10</t>
  </si>
  <si>
    <t>1/4-10-G</t>
  </si>
  <si>
    <t>1/4-10-G-10</t>
  </si>
  <si>
    <t>1/4-19-G</t>
  </si>
  <si>
    <t>1/4-19-G-10</t>
  </si>
  <si>
    <t>1/4-40-G</t>
  </si>
  <si>
    <t>K</t>
  </si>
  <si>
    <t>Weight grams</t>
  </si>
  <si>
    <t>Diameter inches</t>
  </si>
  <si>
    <t>Density g/mL</t>
  </si>
  <si>
    <t>F gas</t>
  </si>
  <si>
    <t>N gas</t>
  </si>
  <si>
    <t>W lbs/min</t>
  </si>
  <si>
    <t>F liquid</t>
  </si>
  <si>
    <t>N liquid</t>
  </si>
  <si>
    <t>W g/min</t>
  </si>
  <si>
    <t>W mL/min</t>
  </si>
  <si>
    <t>1/4-40-G-10</t>
  </si>
  <si>
    <t>1/4-40-G-10-BG</t>
  </si>
  <si>
    <t>1/4-40-G-10-SA</t>
  </si>
  <si>
    <t>1/4-40-G-10-SS</t>
  </si>
  <si>
    <t>1/4-40-G-10-CA</t>
  </si>
  <si>
    <t>1/4-40-G-10-TA</t>
  </si>
  <si>
    <t>1/4-40-G-6-BG</t>
  </si>
  <si>
    <t>1/4-40-G-6-SA</t>
  </si>
  <si>
    <t>1/4-40-G-6-SS</t>
  </si>
  <si>
    <t>1/4-40-G-6-CA</t>
  </si>
  <si>
    <t>1/4-40-G-6-TA</t>
  </si>
  <si>
    <t>1/8-077-G-10-BG</t>
  </si>
  <si>
    <t>1/8-077-G-10-SA</t>
  </si>
  <si>
    <t>1/8-077-G-10-SS</t>
  </si>
  <si>
    <t>1/8-077-G-10-CA</t>
  </si>
  <si>
    <t>1/8-077-G-10-TA</t>
  </si>
  <si>
    <t>1/8-13.3-G-10-BG</t>
  </si>
  <si>
    <t>1/8-13.3-G-10-SA</t>
  </si>
  <si>
    <t>1/8-13.3-G-10-SS</t>
  </si>
  <si>
    <t>1/8-13.3-G-10-CA</t>
  </si>
  <si>
    <t>1/8-13.3-G-10-TA</t>
  </si>
  <si>
    <t>1/8-32-G-10-BG</t>
  </si>
  <si>
    <t>1/8-32-G-10-SA</t>
  </si>
  <si>
    <t>1/8-32-G-10-SS</t>
  </si>
  <si>
    <t>1/8-32-G-10-CA</t>
  </si>
  <si>
    <t>1/8-32-G-10-TA</t>
  </si>
  <si>
    <t>1/4-10-G-10-BG</t>
  </si>
  <si>
    <t>1/4-10-G-10-SA</t>
  </si>
  <si>
    <t>1/4-10-G-10-SS</t>
  </si>
  <si>
    <t>1/4-10-G-10-CA</t>
  </si>
  <si>
    <t>1/4-10-G-10-TA</t>
  </si>
  <si>
    <t>1/4-19-G-10-BG</t>
  </si>
  <si>
    <t>1/4-19-G-10-SA</t>
  </si>
  <si>
    <t>1/4-19-G-10-SS</t>
  </si>
  <si>
    <t>1/4-19-G-10-CA</t>
  </si>
  <si>
    <t>1/4-19-G-10-TA</t>
  </si>
  <si>
    <t>Variable</t>
  </si>
  <si>
    <t>Value</t>
  </si>
  <si>
    <t>10A61 5"</t>
  </si>
  <si>
    <t>1/8-25</t>
  </si>
  <si>
    <t>1/8-16</t>
  </si>
  <si>
    <t>1/8-077</t>
  </si>
  <si>
    <t>1/8-13.3</t>
  </si>
  <si>
    <t>1/8-32</t>
  </si>
  <si>
    <t>1/4-19</t>
  </si>
  <si>
    <t>1/4-40</t>
  </si>
  <si>
    <t>10A61 10" + 6"</t>
  </si>
  <si>
    <t>1/4-41-P-BG</t>
  </si>
  <si>
    <t>Range</t>
  </si>
  <si>
    <t>Max Flow Raw (mL/min)</t>
  </si>
  <si>
    <t>Min Flow Raw (mL/min)</t>
  </si>
  <si>
    <t>Max Flow Specified Units</t>
  </si>
  <si>
    <t>Min Flow Specified Units</t>
  </si>
  <si>
    <t>Max Rounded</t>
  </si>
  <si>
    <t>Min Rounded</t>
  </si>
  <si>
    <t>Concatenated</t>
  </si>
  <si>
    <t>Output</t>
  </si>
  <si>
    <t>Viscosity at Operating Conditions</t>
  </si>
  <si>
    <t>PHOTO</t>
  </si>
  <si>
    <t>NOTES</t>
  </si>
  <si>
    <t>T0</t>
  </si>
  <si>
    <t>P0</t>
  </si>
  <si>
    <t>Highlighted combinations may require a viscosity calibration. Please contact ABB for more information.</t>
  </si>
  <si>
    <t>Highlighted combinations require a greater operating pressure.</t>
  </si>
  <si>
    <t>List of Meters</t>
  </si>
  <si>
    <t>RESET</t>
  </si>
  <si>
    <t>Outlook Email</t>
  </si>
  <si>
    <t>Calculated Operating Density</t>
  </si>
  <si>
    <t>VLOOKUP</t>
  </si>
  <si>
    <t>Object</t>
  </si>
  <si>
    <t>Meter</t>
  </si>
  <si>
    <t>Description</t>
  </si>
  <si>
    <t>Features</t>
  </si>
  <si>
    <t>Notes</t>
  </si>
  <si>
    <t>Code</t>
  </si>
  <si>
    <t>1B</t>
  </si>
  <si>
    <t>1C</t>
  </si>
  <si>
    <t>1D</t>
  </si>
  <si>
    <t>2D</t>
  </si>
  <si>
    <t>1F</t>
  </si>
  <si>
    <t>1G</t>
  </si>
  <si>
    <t>1H</t>
  </si>
  <si>
    <t>1J</t>
  </si>
  <si>
    <t>1K</t>
  </si>
  <si>
    <t>1L</t>
  </si>
  <si>
    <t>1M</t>
  </si>
  <si>
    <t>1N</t>
  </si>
  <si>
    <t>1P</t>
  </si>
  <si>
    <t>1Q</t>
  </si>
  <si>
    <t>1R</t>
  </si>
  <si>
    <t>1E</t>
  </si>
  <si>
    <t>2B</t>
  </si>
  <si>
    <t>2C</t>
  </si>
  <si>
    <t>2L</t>
  </si>
  <si>
    <t>2N</t>
  </si>
  <si>
    <t>2P</t>
  </si>
  <si>
    <t>2G</t>
  </si>
  <si>
    <t>2K</t>
  </si>
  <si>
    <t>2Q</t>
  </si>
  <si>
    <t>2R</t>
  </si>
  <si>
    <t>2S</t>
  </si>
  <si>
    <t>2T</t>
  </si>
  <si>
    <t>2U</t>
  </si>
  <si>
    <t>2F</t>
  </si>
  <si>
    <t>2H</t>
  </si>
  <si>
    <t>2J</t>
  </si>
  <si>
    <t>2M</t>
  </si>
  <si>
    <t>1/2"</t>
  </si>
  <si>
    <t>2"</t>
  </si>
  <si>
    <t>$C$9</t>
  </si>
  <si>
    <t>$C$7</t>
  </si>
  <si>
    <t>$C$3</t>
  </si>
  <si>
    <t>$C$4</t>
  </si>
  <si>
    <t>$C$5</t>
  </si>
  <si>
    <t>$C$10</t>
  </si>
  <si>
    <t>$C$11</t>
  </si>
  <si>
    <t>$C$12</t>
  </si>
  <si>
    <t>$C$6</t>
  </si>
  <si>
    <t>$C$8</t>
  </si>
  <si>
    <t>Select if the fluid is either a liquid or gas</t>
  </si>
  <si>
    <t>Select the name of the fluid</t>
  </si>
  <si>
    <t>Enter the operating pressure of this application. VA Meters can only be sized to one process condition at a time.</t>
  </si>
  <si>
    <t>Enter the operating temperature of this application. VA Meters can only be sized to one process condition at a time.</t>
  </si>
  <si>
    <t>Enter the viscosity of the fluid at operating conditions. Note the viscosity of a fluid can significantly change with temperature.</t>
  </si>
  <si>
    <t>Select whether the sizing will use the density of the gas at reference or operating conditions</t>
  </si>
  <si>
    <t>Enter the density of the gas at reference conditions</t>
  </si>
  <si>
    <t>Enter the density of the gas at operating conditions</t>
  </si>
  <si>
    <t>Enter the flowrate the meter should be sized to. It is recommended the meter is sized to the maximum flowrate of the application.</t>
  </si>
  <si>
    <t>Carbon Dioxide</t>
  </si>
  <si>
    <t>Mixed Gas</t>
  </si>
  <si>
    <t>Gas 1</t>
  </si>
  <si>
    <t>Gas 2</t>
  </si>
  <si>
    <t>Gas 3</t>
  </si>
  <si>
    <t>Gas 4</t>
  </si>
  <si>
    <t>Vol%</t>
  </si>
  <si>
    <t>Mass%</t>
  </si>
  <si>
    <t>100% Test</t>
  </si>
  <si>
    <t>Gas but no Composition</t>
  </si>
  <si>
    <t>Volume and mass filled</t>
  </si>
  <si>
    <t>Composition but no gas</t>
  </si>
  <si>
    <t>All Blank</t>
  </si>
  <si>
    <t>Pressed</t>
  </si>
  <si>
    <t>Volume %</t>
  </si>
  <si>
    <t>Mass %</t>
  </si>
  <si>
    <t>Density (Volume)</t>
  </si>
  <si>
    <t>Density (Mass)</t>
  </si>
  <si>
    <t>Coefficient</t>
  </si>
  <si>
    <t>STANDARD</t>
  </si>
  <si>
    <t>NORMAL/ACTUAL</t>
  </si>
  <si>
    <t>Molecular Mass</t>
  </si>
  <si>
    <t>std</t>
  </si>
  <si>
    <t>normal</t>
  </si>
  <si>
    <t>std sum above</t>
  </si>
  <si>
    <t>normal sum above</t>
  </si>
  <si>
    <t>Temp</t>
  </si>
  <si>
    <t>Pressure</t>
  </si>
  <si>
    <t>psi</t>
  </si>
  <si>
    <t>Modified Pressure psia</t>
  </si>
  <si>
    <t>Temp no pressure</t>
  </si>
  <si>
    <t>Calculated Pressure</t>
  </si>
  <si>
    <t>Input Temp</t>
  </si>
  <si>
    <t>Pressure no temp</t>
  </si>
  <si>
    <t>Calculated Temp</t>
  </si>
  <si>
    <t>Final Pressure and Temp</t>
  </si>
  <si>
    <t>Temp C</t>
  </si>
  <si>
    <t>Modified Temp. C</t>
  </si>
  <si>
    <t>Pressure psia</t>
  </si>
  <si>
    <t>Operating Density g/ml</t>
  </si>
  <si>
    <t>Operating Viscosity cP</t>
  </si>
  <si>
    <t>⁰C</t>
  </si>
  <si>
    <t>⁰F</t>
  </si>
  <si>
    <t>All Cells Empty (1)</t>
  </si>
  <si>
    <t>&lt;14.7</t>
  </si>
  <si>
    <t>&gt;3052</t>
  </si>
  <si>
    <t>&lt;100</t>
  </si>
  <si>
    <t>&gt;370</t>
  </si>
  <si>
    <t>above error</t>
  </si>
  <si>
    <t>Final Inputs</t>
  </si>
  <si>
    <t>Steam</t>
  </si>
  <si>
    <t>Temperature</t>
  </si>
  <si>
    <t>INPUTS</t>
  </si>
  <si>
    <t>METER DETAILS</t>
  </si>
  <si>
    <t>Meter Name</t>
  </si>
  <si>
    <t>TOP LEFT</t>
  </si>
  <si>
    <t>%</t>
  </si>
  <si>
    <t>Flowrate</t>
  </si>
  <si>
    <t>Oper. Density</t>
  </si>
  <si>
    <t>Floats</t>
  </si>
  <si>
    <t>Material</t>
  </si>
  <si>
    <t>Designator</t>
  </si>
  <si>
    <t>D</t>
  </si>
  <si>
    <t>E</t>
  </si>
  <si>
    <t>F</t>
  </si>
  <si>
    <t>Black Glass</t>
  </si>
  <si>
    <t>Constant Density</t>
  </si>
  <si>
    <t>Saphire</t>
  </si>
  <si>
    <t>Stainless Steel</t>
  </si>
  <si>
    <t>Carboloy</t>
  </si>
  <si>
    <t>Tantalum</t>
  </si>
  <si>
    <t>P3</t>
  </si>
  <si>
    <t>G3</t>
  </si>
  <si>
    <t>3"</t>
  </si>
  <si>
    <t>5"</t>
  </si>
  <si>
    <t>10"</t>
  </si>
  <si>
    <t>G5</t>
  </si>
  <si>
    <t>G6</t>
  </si>
  <si>
    <t>G10</t>
  </si>
  <si>
    <t>27</t>
  </si>
  <si>
    <t>28</t>
  </si>
  <si>
    <t>29</t>
  </si>
  <si>
    <t>30</t>
  </si>
  <si>
    <t>31</t>
  </si>
  <si>
    <t>32</t>
  </si>
  <si>
    <t>FP</t>
  </si>
  <si>
    <t>1/8-08-</t>
  </si>
  <si>
    <t>1/8-20-</t>
  </si>
  <si>
    <t>1/4-15-</t>
  </si>
  <si>
    <t>1/4-20-</t>
  </si>
  <si>
    <t>1/4-41-</t>
  </si>
  <si>
    <t>1/4-25-</t>
  </si>
  <si>
    <t>1/4-16-</t>
  </si>
  <si>
    <t>1/4-10-</t>
  </si>
  <si>
    <t>1/8-12-</t>
  </si>
  <si>
    <t>1/16-12-</t>
  </si>
  <si>
    <t>1/16-16-</t>
  </si>
  <si>
    <t>1/16-20-</t>
  </si>
  <si>
    <t>1/8-25-</t>
  </si>
  <si>
    <t>1/8-16-</t>
  </si>
  <si>
    <t>1/4-40-</t>
  </si>
  <si>
    <t>1/8-077-</t>
  </si>
  <si>
    <t>1/8-13.3-</t>
  </si>
  <si>
    <t>1/8-32-</t>
  </si>
  <si>
    <t>1/4-19-</t>
  </si>
  <si>
    <t>3" Scale</t>
  </si>
  <si>
    <t>10" Scale</t>
  </si>
  <si>
    <t>C1</t>
  </si>
  <si>
    <t>C2</t>
  </si>
  <si>
    <t>66</t>
  </si>
  <si>
    <t>5" Scale</t>
  </si>
  <si>
    <t>vlookup</t>
  </si>
  <si>
    <t>Application</t>
  </si>
  <si>
    <t>Details</t>
  </si>
  <si>
    <t>kg/m3</t>
  </si>
  <si>
    <t>g/cm3</t>
  </si>
  <si>
    <t>lb/ft3</t>
  </si>
  <si>
    <t>Real Gases</t>
  </si>
  <si>
    <t>Ammonia</t>
  </si>
  <si>
    <t>Chlorine</t>
  </si>
  <si>
    <t>Sulfur Dioxide</t>
  </si>
  <si>
    <t>a</t>
  </si>
  <si>
    <t>b</t>
  </si>
  <si>
    <t>MW</t>
  </si>
  <si>
    <t>Pressure (Pa)</t>
  </si>
  <si>
    <t>Temp (K)</t>
  </si>
  <si>
    <t>MW (g/mol)</t>
  </si>
  <si>
    <t>standard</t>
  </si>
  <si>
    <t>Temp (F)</t>
  </si>
  <si>
    <t>Pressure (psi)</t>
  </si>
  <si>
    <t>and/or</t>
  </si>
  <si>
    <t>1", 3/4"</t>
  </si>
  <si>
    <t>Universal</t>
  </si>
  <si>
    <t>1-1/2 higher</t>
  </si>
  <si>
    <t>1/2" below</t>
  </si>
  <si>
    <t>1", 1-1/2"</t>
  </si>
  <si>
    <t>Database</t>
  </si>
  <si>
    <t>Number</t>
  </si>
  <si>
    <t>Count Database</t>
  </si>
  <si>
    <t>Count Name</t>
  </si>
  <si>
    <t>Count Company</t>
  </si>
  <si>
    <t>Name</t>
  </si>
  <si>
    <t>Company</t>
  </si>
  <si>
    <t xml:space="preserve">• Single or Dual Alarm Sensors
• Optional Needle Valve
• Optional Differential Pressure Regulator
• Operator Protection Shield
• Snap-in Removable Tube
• 1/4"  Threaded Connections
</t>
  </si>
  <si>
    <t>• Easily removeable tube for maintenance or reranging
• Wide-Angle View
• Optional Alarm System
• Up to 3 Scales for Varying  Operating Conditions
• Optional PVC end fittings
• 1/2 to 1-1/2" threaded or flanged connections</t>
  </si>
  <si>
    <t>Floats for alarms and other specialty floats are selectable via the dropdown list below. Floats other than SST are intended for liquid measurement only.</t>
  </si>
  <si>
    <t>• All brass fittings
• Aluminum and brass floats
• Optional PVC end fittings
• 1/2 to 2" threaded connections
• Multiport orientations for horizontal, vertical or a variation of both
• Optional Alarm</t>
  </si>
  <si>
    <t xml:space="preserve">Brass floats are best suited for liquid flows, aluminum are best for gas flowrates. </t>
  </si>
  <si>
    <t>• Snap-in Removable Tube
• 1/4"  Threaded Connections</t>
  </si>
  <si>
    <t>• Multiport orientations for horizontal, vertical or a variation of both
• Optional Alarm</t>
  </si>
  <si>
    <t>Trivelli, Peter,  N.</t>
  </si>
  <si>
    <t>Viscosity Units</t>
  </si>
  <si>
    <t>cSt</t>
  </si>
  <si>
    <t>kpa(a)</t>
  </si>
  <si>
    <t>kpa(g)</t>
  </si>
  <si>
    <t>inH2O(a)</t>
  </si>
  <si>
    <t>inH2O(g)</t>
  </si>
  <si>
    <t>kg/cm2(a)</t>
  </si>
  <si>
    <t>kg/cm2(g)</t>
  </si>
  <si>
    <t>• Up to 3 Scales for Varying  Operating Conditions
• Optional PVC end fittings
• 1/2 to 1-1/2" threaded or flanged connections</t>
  </si>
  <si>
    <t>cc/min</t>
  </si>
  <si>
    <t>S.G.</t>
  </si>
  <si>
    <t>The RatoSight is a rugged, low cost glass tube meter providing stable and reliable operation. Its materials selection and outstanding installation flexibility make it the solution for visual indication of moderate viscosity liquids. It can be suited with fully adjustable, vibration-proof magnetic switches and relays.</t>
  </si>
  <si>
    <t>Standard</t>
  </si>
  <si>
    <t>Normal</t>
  </si>
  <si>
    <t>Fluid</t>
  </si>
  <si>
    <t>g/min</t>
  </si>
  <si>
    <t>g/h</t>
  </si>
  <si>
    <t>kg/min</t>
  </si>
  <si>
    <t>kg/h</t>
  </si>
  <si>
    <t>lb/min</t>
  </si>
  <si>
    <t>lb/h</t>
  </si>
  <si>
    <t>Actual</t>
  </si>
  <si>
    <t>ml/h</t>
  </si>
  <si>
    <t>ml/s</t>
  </si>
  <si>
    <t>ml/min(qn)</t>
  </si>
  <si>
    <t>sccm</t>
  </si>
  <si>
    <t>ml/h(qn)</t>
  </si>
  <si>
    <t>ml/s(qn)</t>
  </si>
  <si>
    <t>Nl/h</t>
  </si>
  <si>
    <t>Nl/min</t>
  </si>
  <si>
    <t>Nl/s</t>
  </si>
  <si>
    <t>sl/h</t>
  </si>
  <si>
    <t>sl/min</t>
  </si>
  <si>
    <t>sl/s</t>
  </si>
  <si>
    <t>m^3/h</t>
  </si>
  <si>
    <t>m^3/min</t>
  </si>
  <si>
    <t>Nm^3/h</t>
  </si>
  <si>
    <t>sm^3/h</t>
  </si>
  <si>
    <t>Nm^3/min</t>
  </si>
  <si>
    <t>sm^3/min</t>
  </si>
  <si>
    <t>ft^3/h</t>
  </si>
  <si>
    <t>ft^3/min</t>
  </si>
  <si>
    <t>ft^3/s</t>
  </si>
  <si>
    <t>ft^3/h(qn)</t>
  </si>
  <si>
    <t>scfh</t>
  </si>
  <si>
    <t>ft^3/min(qn)</t>
  </si>
  <si>
    <t>scfm</t>
  </si>
  <si>
    <t>ft^3/s(qn)</t>
  </si>
  <si>
    <t>scfs</t>
  </si>
  <si>
    <t>USgal/h</t>
  </si>
  <si>
    <t>USgal/min</t>
  </si>
  <si>
    <t>USgal/h(qn)</t>
  </si>
  <si>
    <t>USgal/min(qn)</t>
  </si>
  <si>
    <t>in^3/h</t>
  </si>
  <si>
    <t>in^3/min</t>
  </si>
  <si>
    <t>in^3/s</t>
  </si>
  <si>
    <t>in^3/h(qn)</t>
  </si>
  <si>
    <t>in^3/min(qn)</t>
  </si>
  <si>
    <t>in^3/s(qn)</t>
  </si>
  <si>
    <t>scinm</t>
  </si>
  <si>
    <t>Display</t>
  </si>
  <si>
    <t>kg/m^3</t>
  </si>
  <si>
    <t>g/cm^3</t>
  </si>
  <si>
    <t>lb/ft^3</t>
  </si>
  <si>
    <t>kg/l</t>
  </si>
  <si>
    <t>bar</t>
  </si>
  <si>
    <t>atm</t>
  </si>
  <si>
    <t>inH2O</t>
  </si>
  <si>
    <t>kPa(a)</t>
  </si>
  <si>
    <t>kPa</t>
  </si>
  <si>
    <t>kg/cm^2(a)</t>
  </si>
  <si>
    <t>kg/cm^2</t>
  </si>
  <si>
    <t>UKgal/h</t>
  </si>
  <si>
    <t>UKgal/min</t>
  </si>
  <si>
    <t>UKgal/h(qn)</t>
  </si>
  <si>
    <t>UKgal/min(qn)</t>
  </si>
  <si>
    <t xml:space="preserve"> 1 : 3" Scale</t>
  </si>
  <si>
    <t xml:space="preserve"> 2 : 5" Scale</t>
  </si>
  <si>
    <t xml:space="preserve"> 3 : 10" Scale</t>
  </si>
  <si>
    <t>(07) FP-1/8-08</t>
  </si>
  <si>
    <t>"</t>
  </si>
  <si>
    <t>1/2" size</t>
  </si>
  <si>
    <t>3/4"-1" size</t>
  </si>
  <si>
    <t>1-1/2-2" size</t>
  </si>
  <si>
    <t>(2</t>
  </si>
  <si>
    <t>(3</t>
  </si>
  <si>
    <t>(4</t>
  </si>
  <si>
    <t>(5</t>
  </si>
  <si>
    <t>(6</t>
  </si>
  <si>
    <t>2 : 1/4 in.</t>
  </si>
  <si>
    <t>3 : 1/2 in.</t>
  </si>
  <si>
    <t>4 : 1 in.</t>
  </si>
  <si>
    <t>5 : 1-1/2 in.</t>
  </si>
  <si>
    <t>6 : 2 in.</t>
  </si>
  <si>
    <t>2E</t>
  </si>
  <si>
    <t>0.02 … 0.36 GPM Water</t>
  </si>
  <si>
    <t>0.05 … 0.60 GPM Water</t>
  </si>
  <si>
    <t>0.1 … 1.0 GPM Water</t>
  </si>
  <si>
    <t>0.1 … 1.3 GPM Water</t>
  </si>
  <si>
    <t>0.2 … 2.0 GPM Water</t>
  </si>
  <si>
    <t>0.4 … 3.0 GPM Water</t>
  </si>
  <si>
    <t>0.6 … 4.0 GPM Water</t>
  </si>
  <si>
    <t>0.5 … 6.0 GPM Water</t>
  </si>
  <si>
    <t>0.5 … 8.0 GPM Water</t>
  </si>
  <si>
    <t>1.0 … 11.0 GPM Water</t>
  </si>
  <si>
    <t>1.0 … 15.0 GPM Water</t>
  </si>
  <si>
    <t>2.0 … 20.0 GPM Water</t>
  </si>
  <si>
    <t>2.0 … 24.0 GPM Water</t>
  </si>
  <si>
    <t>3.0 … 35.0 GPM Water</t>
  </si>
  <si>
    <t>4.0 … 50.0 GPM Water</t>
  </si>
  <si>
    <t>0.05 … 0.60 SCFM Air @ STP</t>
  </si>
  <si>
    <t>0.1 … 1.3 SCFM Air @ STP</t>
  </si>
  <si>
    <t>0.2 … 2.0 SCFM Air @ STP</t>
  </si>
  <si>
    <t>0.5 … 4.5 SCFM Air @ STP</t>
  </si>
  <si>
    <t>0.5 … 5.5 SCFM Air @ STP</t>
  </si>
  <si>
    <t>0.5 … 7.0 SCFM Air @ STP</t>
  </si>
  <si>
    <t>0.5 … 8.5 SCFM Air @ STP</t>
  </si>
  <si>
    <t>1.0 … 9.0 SCFM Air @ STP</t>
  </si>
  <si>
    <t>1.5 … 9.0 SCFM Air @ STP</t>
  </si>
  <si>
    <t>1.0 … 14.0 SCFM Air @ STP</t>
  </si>
  <si>
    <t>2.0 … 19.0 SCFM Air @ STP</t>
  </si>
  <si>
    <t>2.0 … 20.0 SCFM Air @ STP</t>
  </si>
  <si>
    <t>2.0 … 26.0 SCFM Air @ STP</t>
  </si>
  <si>
    <t>4.0 … 36.0 SCFM Air @ STP</t>
  </si>
  <si>
    <t>5.0 … 50.0 SCFM Air @ STP</t>
  </si>
  <si>
    <t>5.0 … 60.0 SCFM Air @ STP</t>
  </si>
  <si>
    <t>8.0 … 80.0 SCFM Air @ STP</t>
  </si>
  <si>
    <t>10.0 … 110.0 SCFM Air @ STP</t>
  </si>
  <si>
    <t>Argon (Ar)</t>
  </si>
  <si>
    <t>Butane (C4H10)</t>
  </si>
  <si>
    <t>Carbon Monoxide (CO)</t>
  </si>
  <si>
    <t>Ethane (C2H6)</t>
  </si>
  <si>
    <t>Ethylene (C2H4)</t>
  </si>
  <si>
    <t>Helium (He)</t>
  </si>
  <si>
    <t>Ammonia (NH3)</t>
  </si>
  <si>
    <t>Chlorine (Cl2)</t>
  </si>
  <si>
    <t>Sulfur Dioxide (SO2)</t>
  </si>
  <si>
    <t>Hydrochloric Acid (HCl)</t>
  </si>
  <si>
    <t>Hydrogen (H2)</t>
  </si>
  <si>
    <t>Carbon Dioxide (CO2)</t>
  </si>
  <si>
    <t>Krypton (Kr)</t>
  </si>
  <si>
    <t>Methyl Chloride (CH3Cl)</t>
  </si>
  <si>
    <t>Neon (Ne)</t>
  </si>
  <si>
    <t>Acetylene (C2H2)</t>
  </si>
  <si>
    <t>Hydrogen Sulfide (H2S)</t>
  </si>
  <si>
    <t>Methane (CH4)</t>
  </si>
  <si>
    <t>Nitric Oxide (NO)</t>
  </si>
  <si>
    <t>Nitrogen (N2)</t>
  </si>
  <si>
    <t>Nitrous Oxide (N2O)</t>
  </si>
  <si>
    <t>Oxygen (O2)</t>
  </si>
  <si>
    <t>Propane (C3H8)</t>
  </si>
  <si>
    <t>Propylene (C3H6)</t>
  </si>
  <si>
    <t>specified units</t>
  </si>
  <si>
    <r>
      <t xml:space="preserve">Actual - Operating conditions. Select for mass flow units
Normal - 0 </t>
    </r>
    <r>
      <rPr>
        <sz val="10"/>
        <color theme="1"/>
        <rFont val="Calibri"/>
        <family val="2"/>
      </rPr>
      <t>⁰C and 1013 mbar(a) conditions (ex. Nm3/hr)
Standard - 70 ⁰F and 14.7 psi(a) conditions (ex. SCFH)</t>
    </r>
  </si>
  <si>
    <t>The VA Master is of the highest quality and versatility in the market and has been proven over a long history. Fully retrofitable with several float and tube designs for practically any clean liquid or gas process. Its wide view angle visibility, highly stable stainless steel frame and alarming capabilities make the V/A Master the one for all solutions.</t>
  </si>
  <si>
    <t>Max Flowrate Specified Units</t>
  </si>
  <si>
    <t>Max Round</t>
  </si>
  <si>
    <t>N1</t>
  </si>
  <si>
    <t>N2</t>
  </si>
  <si>
    <t>K1</t>
  </si>
  <si>
    <t>K2</t>
  </si>
  <si>
    <t>bar(g)^</t>
  </si>
  <si>
    <t>This 10A32 is compact, rugged Armored Purgemeter is especially designed for low flow measurements at high pressure ratings and/or high temperatures and in applications where glass tubes are not satisfactory.  Available with or without an integral control valve, alarms, 4-20mA Analog transmitter and pressure regulator.</t>
  </si>
  <si>
    <t>• Various choices for secondaries; materials and functions
• Optional Constant Flow DP Regulator
• Rated for 6% Full Scale without calibration</t>
  </si>
  <si>
    <t xml:space="preserve">• Interchangeable Primaries and Secondaries
• Threaded vertical NPT or G Connections for all sizes and horizontal with valve connections for 1/4" size
</t>
  </si>
  <si>
    <t>Varying maximum flowrates can be achieved using the same tube and float combination.</t>
  </si>
  <si>
    <t>Damping through a twisted guide rod is required for low static gauge pressure applications. Consult with ABB on operating pressures that are close to atmospheric. Error is displayed if it is a potential issue.</t>
  </si>
  <si>
    <t>The FAM54 Armored VA Master is an all metal 316 SST meter designed for clean fluids and steam for sizes up to 4”. It is particularly suited for aggressive or opaque fluids where glass tubes cannot be used for high pressures/temperatures. Alarms, digital communication and all PTFE wetted parts are available</t>
  </si>
  <si>
    <t xml:space="preserve">• Rugged secondary, approved for several hazardous area applications. Upgradeable and interchangeable
• Non-protruding floats and float guides 
</t>
  </si>
  <si>
    <t>• State of the art magnetic coupling system
• Re-rangeable and suitable for re-purposing for a variaty of process applications
• Option for PTFE lined wetted components</t>
  </si>
  <si>
    <t>10A32 Damping?</t>
  </si>
  <si>
    <t>Version</t>
  </si>
  <si>
    <t>Changes</t>
  </si>
  <si>
    <t>Natural Gas Sizing Density at Operating Conditions Fixed</t>
  </si>
  <si>
    <t>Chlorine Density Updated</t>
  </si>
  <si>
    <t>10A32 sizing fixed when for flowrates exactly matching standard ranges</t>
  </si>
  <si>
    <t>Fixed Error with Config Preview Button for empty 10A32 Cells</t>
  </si>
  <si>
    <t>Fixed Error with Label56 on FormSizing for empty 10A32 Cells</t>
  </si>
  <si>
    <t>Fixed Error with different tube/float selections within FormSizing for empty 10A32 Cells</t>
  </si>
  <si>
    <t>Fixed error with 10A32 liquids above max VIC</t>
  </si>
  <si>
    <t>Fixed error with other gas using standard viscosity instead of operating viscosity</t>
  </si>
  <si>
    <t>Fixed error with 10A32 Configuration Preview of non-default sizings</t>
  </si>
  <si>
    <t>1.45/2.0</t>
  </si>
  <si>
    <t>Changed graphic of meter and float in sizing record</t>
  </si>
  <si>
    <t>Removed Gas Damping for 1/4" 10A32</t>
  </si>
  <si>
    <t>Fixed high viscosity curve for 1/4-20-G5 and 1/8-20-G5 for the 10A61</t>
  </si>
  <si>
    <t>Added "scfm, scfh, scfs, sccm" as standard flowrate units</t>
  </si>
  <si>
    <t>ED-3-100</t>
  </si>
  <si>
    <t>ED-3-105</t>
  </si>
  <si>
    <t>ED-3-110</t>
  </si>
  <si>
    <t>ED-3-115</t>
  </si>
  <si>
    <t>ED-3-120</t>
  </si>
  <si>
    <t>ED-3-125</t>
  </si>
  <si>
    <t>ED-3-130</t>
  </si>
  <si>
    <t>ED-3-135</t>
  </si>
  <si>
    <t>ED-3-140</t>
  </si>
  <si>
    <t>ED-3-145</t>
  </si>
  <si>
    <t>ED-3-150</t>
  </si>
  <si>
    <t>ED-3-160</t>
  </si>
  <si>
    <t>ED-3-170</t>
  </si>
  <si>
    <t>ED-3-180</t>
  </si>
  <si>
    <t>ED-3-190</t>
  </si>
  <si>
    <t>ED-3-200</t>
  </si>
  <si>
    <t>ED-3-210</t>
  </si>
  <si>
    <t>ED-3-220</t>
  </si>
  <si>
    <t>ED-3-230</t>
  </si>
  <si>
    <t>ED-3-240</t>
  </si>
  <si>
    <t>ED-3-250</t>
  </si>
  <si>
    <t>ED-3-260</t>
  </si>
  <si>
    <t>ED-3-270</t>
  </si>
  <si>
    <t>ED-3-280</t>
  </si>
  <si>
    <t>ED-3-290</t>
  </si>
  <si>
    <t>ED-3-300</t>
  </si>
  <si>
    <t>ED-3-320</t>
  </si>
  <si>
    <t>ED-3-340</t>
  </si>
  <si>
    <t>ED-3-360</t>
  </si>
  <si>
    <t>ED-3-380</t>
  </si>
  <si>
    <t>ED-3-400</t>
  </si>
  <si>
    <t>ED-3-420</t>
  </si>
  <si>
    <t>ED-3-440</t>
  </si>
  <si>
    <t>ED-3-460</t>
  </si>
  <si>
    <t>ED-3-480</t>
  </si>
  <si>
    <t>ED-3-500</t>
  </si>
  <si>
    <t>ED-3-520</t>
  </si>
  <si>
    <t>ED-3-540</t>
  </si>
  <si>
    <t>ED-3-560</t>
  </si>
  <si>
    <t>ED-3-580</t>
  </si>
  <si>
    <t>ED-3-600</t>
  </si>
  <si>
    <t>ED-3-650</t>
  </si>
  <si>
    <t>ED-3-700</t>
  </si>
  <si>
    <t>ED-3-750</t>
  </si>
  <si>
    <t>ED-3-800</t>
  </si>
  <si>
    <t>ED-3-850</t>
  </si>
  <si>
    <t>ED-3-900</t>
  </si>
  <si>
    <t>ED-3-950</t>
  </si>
  <si>
    <t>Modified 1</t>
  </si>
  <si>
    <t>Modified 2</t>
  </si>
  <si>
    <t>Output Range</t>
  </si>
  <si>
    <t>Final Range</t>
  </si>
  <si>
    <t>Output Name</t>
  </si>
  <si>
    <t>ED3 Data</t>
  </si>
  <si>
    <t>Requested</t>
  </si>
  <si>
    <t>Added ED-Data for 3" 10A61</t>
  </si>
  <si>
    <t>Density units for "other" gases transferred to sizing record correctly</t>
  </si>
  <si>
    <t>PurgeMaster A61 flowmeters are low flow capacity  variable area flowmeters for both liquid and gas with an excellent selection of material and scale lengths in a single product family design. They feature a corrosion resistant, high strength stainless steel body, quick, easy snap-in tube construction and a safety tested operator protection shield.</t>
  </si>
  <si>
    <t>F1</t>
  </si>
  <si>
    <t>B6</t>
  </si>
  <si>
    <t>B7</t>
  </si>
  <si>
    <t>B8</t>
  </si>
  <si>
    <t>B9</t>
  </si>
  <si>
    <t>C0</t>
  </si>
  <si>
    <t>C3</t>
  </si>
  <si>
    <t>C4</t>
  </si>
  <si>
    <t>C5</t>
  </si>
  <si>
    <t>C6</t>
  </si>
  <si>
    <t>C7</t>
  </si>
  <si>
    <t>C8</t>
  </si>
  <si>
    <t>C9</t>
  </si>
  <si>
    <t>D0</t>
  </si>
  <si>
    <t>F2</t>
  </si>
  <si>
    <t>F5</t>
  </si>
  <si>
    <t>F6</t>
  </si>
  <si>
    <t>F7</t>
  </si>
  <si>
    <t>F8</t>
  </si>
  <si>
    <t>F9</t>
  </si>
  <si>
    <t>G1</t>
  </si>
  <si>
    <t>G2</t>
  </si>
  <si>
    <t>H1</t>
  </si>
  <si>
    <t>H2</t>
  </si>
  <si>
    <t>H3</t>
  </si>
  <si>
    <t>H4</t>
  </si>
  <si>
    <t>H5</t>
  </si>
  <si>
    <t>H6</t>
  </si>
  <si>
    <t>H7</t>
  </si>
  <si>
    <t>H8</t>
  </si>
  <si>
    <t>H9</t>
  </si>
  <si>
    <t>J0</t>
  </si>
  <si>
    <t>J1</t>
  </si>
  <si>
    <t>J2</t>
  </si>
  <si>
    <t>J3</t>
  </si>
  <si>
    <t>J4</t>
  </si>
  <si>
    <t>J5</t>
  </si>
  <si>
    <t>J6</t>
  </si>
  <si>
    <t>J7</t>
  </si>
  <si>
    <t>J8</t>
  </si>
  <si>
    <t>J9</t>
  </si>
  <si>
    <t>K0</t>
  </si>
  <si>
    <t>K3</t>
  </si>
  <si>
    <t>K4</t>
  </si>
  <si>
    <t>K5</t>
  </si>
  <si>
    <t>L1</t>
  </si>
  <si>
    <t>M2</t>
  </si>
  <si>
    <t>M3</t>
  </si>
  <si>
    <t>N3</t>
  </si>
  <si>
    <t>N6</t>
  </si>
  <si>
    <t>N7</t>
  </si>
  <si>
    <t>N4</t>
  </si>
  <si>
    <t>M5</t>
  </si>
  <si>
    <t>M6</t>
  </si>
  <si>
    <t>M7</t>
  </si>
  <si>
    <t>M8</t>
  </si>
  <si>
    <t>M9</t>
  </si>
  <si>
    <t>N5</t>
  </si>
  <si>
    <t>N8</t>
  </si>
  <si>
    <t>N9</t>
  </si>
  <si>
    <t>P4</t>
  </si>
  <si>
    <t>P1</t>
  </si>
  <si>
    <t>R1</t>
  </si>
  <si>
    <t>R2</t>
  </si>
  <si>
    <t>R7</t>
  </si>
  <si>
    <t>R3</t>
  </si>
  <si>
    <t>R6</t>
  </si>
  <si>
    <t>R5</t>
  </si>
  <si>
    <t>R4</t>
  </si>
  <si>
    <t>R8</t>
  </si>
  <si>
    <t>S3</t>
  </si>
  <si>
    <t>R9</t>
  </si>
  <si>
    <t>S2</t>
  </si>
  <si>
    <t>S1</t>
  </si>
  <si>
    <t>S0</t>
  </si>
  <si>
    <t>S4</t>
  </si>
  <si>
    <t>S9</t>
  </si>
  <si>
    <t>S5</t>
  </si>
  <si>
    <t>S8</t>
  </si>
  <si>
    <t>S7</t>
  </si>
  <si>
    <t>S6</t>
  </si>
  <si>
    <t>T5</t>
  </si>
  <si>
    <t>T1</t>
  </si>
  <si>
    <t>T4</t>
  </si>
  <si>
    <t>T3</t>
  </si>
  <si>
    <t>T2</t>
  </si>
  <si>
    <t>T6</t>
  </si>
  <si>
    <t>T9</t>
  </si>
  <si>
    <t>V0</t>
  </si>
  <si>
    <t>T7</t>
  </si>
  <si>
    <t>W1</t>
  </si>
  <si>
    <t>Alarms for the A61 can only be configured with SS or CA Floats. The 3" Meter has an accuracy of 10% while the 5" and 6" Meters provide an accuracy of 2%.</t>
  </si>
  <si>
    <t>1/4-40-G-6-CD</t>
  </si>
  <si>
    <t>1/4-41-G-CD</t>
  </si>
  <si>
    <t>1/4-41-P-CD</t>
  </si>
  <si>
    <t>N0</t>
  </si>
  <si>
    <t>M4</t>
  </si>
  <si>
    <t>P2</t>
  </si>
  <si>
    <t>G7</t>
  </si>
  <si>
    <t>T8</t>
  </si>
  <si>
    <t>1/8-12-CD</t>
  </si>
  <si>
    <t>1/8-08-CD</t>
  </si>
  <si>
    <t>1/16-12-CD</t>
  </si>
  <si>
    <t>1/16-16-CD</t>
  </si>
  <si>
    <t>1/16-20-CD</t>
  </si>
  <si>
    <t>N Number</t>
  </si>
  <si>
    <t>Tube / Float</t>
  </si>
  <si>
    <t>N Number Round</t>
  </si>
  <si>
    <t>ABB VA Sizing Tool              (v2.43)</t>
  </si>
  <si>
    <t/>
  </si>
  <si>
    <t>$H$22</t>
  </si>
  <si>
    <t>0 - 0.05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</si>
</sst>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00000"/>
    <numFmt numFmtId="165" formatCode="0.00000"/>
    <numFmt numFmtId="166" formatCode="0.0000"/>
    <numFmt numFmtId="167" formatCode="0.000"/>
    <numFmt numFmtId="168" formatCode="0.0000000"/>
    <numFmt numFmtId="169" formatCode="0.0"/>
    <numFmt numFmtId="170" formatCode="0.00000000000"/>
  </numFmts>
  <fonts count="19">
    <font>
      <sz val="11"/>
      <color theme="1"/>
      <name val="Calibri"/>
      <family val="2"/>
      <scheme val="minor"/>
    </font>
    <font>
      <b/>
      <sz val="11"/>
      <color theme="1"/>
      <name val="Calibri"/>
      <family val="2"/>
      <scheme val="minor"/>
    </font>
    <font>
      <sz val="11"/>
      <color theme="1"/>
      <name val="Calibri"/>
      <family val="2"/>
    </font>
    <font>
      <vertAlign val="superscript"/>
      <sz val="11"/>
      <color theme="1"/>
      <name val="Calibri"/>
      <family val="2"/>
      <scheme val="minor"/>
    </font>
    <font>
      <b/>
      <sz val="14"/>
      <color theme="1"/>
      <name val="Calibri"/>
      <family val="2"/>
      <scheme val="minor"/>
    </font>
    <font>
      <b/>
      <sz val="18"/>
      <color theme="1"/>
      <name val="Calibri"/>
      <family val="2"/>
      <scheme val="minor"/>
    </font>
    <font>
      <b/>
      <sz val="11"/>
      <color theme="0"/>
      <name val="Calibri"/>
      <family val="2"/>
      <scheme val="minor"/>
    </font>
    <font>
      <sz val="11"/>
      <color rgb="FFFF0000"/>
      <name val="Calibri"/>
      <family val="2"/>
      <scheme val="minor"/>
    </font>
    <font>
      <b/>
      <u/>
      <sz val="11"/>
      <color theme="1"/>
      <name val="Calibri"/>
      <family val="2"/>
      <scheme val="minor"/>
    </font>
    <font>
      <b/>
      <sz val="10"/>
      <color theme="1"/>
      <name val="Calibri"/>
      <family val="2"/>
      <scheme val="minor"/>
    </font>
    <font>
      <sz val="10"/>
      <color theme="1"/>
      <name val="Calibri"/>
      <family val="2"/>
      <scheme val="minor"/>
    </font>
    <font>
      <sz val="10"/>
      <color theme="1"/>
      <name val="Calibri"/>
      <family val="2"/>
    </font>
    <font>
      <b/>
      <sz val="12"/>
      <color theme="1"/>
      <name val="Calibri"/>
      <family val="2"/>
      <scheme val="minor"/>
    </font>
    <font>
      <b/>
      <sz val="18"/>
      <name val="Calibri"/>
      <family val="2"/>
      <scheme val="minor"/>
    </font>
    <font>
      <sz val="11"/>
      <color theme="0"/>
      <name val="Calibri"/>
      <family val="2"/>
      <scheme val="minor"/>
    </font>
    <font>
      <sz val="10"/>
      <name val="Calibri"/>
      <family val="2"/>
      <scheme val="minor"/>
    </font>
    <font>
      <b/>
      <sz val="11"/>
      <color rgb="FF00B050"/>
      <name val="Calibri"/>
      <family val="2"/>
      <scheme val="minor"/>
    </font>
    <font>
      <sz val="10"/>
      <name val="Arial"/>
      <family val="2"/>
    </font>
    <font>
      <sz val="9.5"/>
      <color theme="1"/>
      <name val="LettrGoth12 BT"/>
    </font>
  </fonts>
  <fills count="14">
    <fill>
      <patternFill patternType="none"/>
    </fill>
    <fill>
      <patternFill patternType="gray125"/>
    </fill>
    <fill>
      <patternFill patternType="solid">
        <fgColor rgb="FFFFFF00"/>
        <bgColor indexed="64"/>
      </patternFill>
    </fill>
    <fill>
      <patternFill patternType="solid">
        <fgColor rgb="FF0070C0"/>
        <bgColor indexed="64"/>
      </patternFill>
    </fill>
    <fill>
      <patternFill patternType="solid">
        <fgColor theme="1" tint="0.499984740745262"/>
        <bgColor indexed="64"/>
      </patternFill>
    </fill>
    <fill>
      <patternFill patternType="solid">
        <fgColor rgb="FFFF000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FFFFFF"/>
        <bgColor indexed="64"/>
      </patternFill>
    </fill>
    <fill>
      <patternFill patternType="solid">
        <fgColor theme="0"/>
        <bgColor indexed="64"/>
      </patternFill>
    </fill>
    <fill>
      <patternFill patternType="solid">
        <fgColor theme="4"/>
        <bgColor indexed="64"/>
      </patternFill>
    </fill>
  </fills>
  <borders count="4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top/>
      <bottom style="thin">
        <color auto="1"/>
      </bottom>
      <diagonal/>
    </border>
    <border>
      <left style="thin">
        <color auto="1"/>
      </left>
      <right/>
      <top/>
      <bottom/>
      <diagonal/>
    </border>
    <border>
      <left/>
      <right/>
      <top style="thin">
        <color auto="1"/>
      </top>
      <bottom/>
      <diagonal/>
    </border>
    <border>
      <left style="medium">
        <color auto="1"/>
      </left>
      <right style="medium">
        <color auto="1"/>
      </right>
      <top style="medium">
        <color auto="1"/>
      </top>
      <bottom style="medium">
        <color auto="1"/>
      </bottom>
      <diagonal/>
    </border>
    <border>
      <left/>
      <right style="thin">
        <color auto="1"/>
      </right>
      <top/>
      <bottom style="thin">
        <color auto="1"/>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rgb="FF000000"/>
      </left>
      <right style="thin">
        <color rgb="FF000000"/>
      </right>
      <top style="thin">
        <color rgb="FF000000"/>
      </top>
      <bottom style="thin">
        <color rgb="FF000000"/>
      </bottom>
      <diagonal/>
    </border>
    <border>
      <left style="medium">
        <color rgb="FFFF0000"/>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style="medium">
        <color rgb="FFFF0000"/>
      </right>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theme="4" tint="-0.24994659260841701"/>
      </left>
      <right/>
      <top style="medium">
        <color theme="4" tint="-0.24994659260841701"/>
      </top>
      <bottom/>
      <diagonal/>
    </border>
    <border>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style="medium">
        <color theme="4" tint="-0.24994659260841701"/>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s>
  <cellStyleXfs count="3">
    <xf numFmtId="0" fontId="0" fillId="0" borderId="0"/>
    <xf numFmtId="0" fontId="17" fillId="0" borderId="0"/>
    <xf numFmtId="0" fontId="17" fillId="0" borderId="0"/>
  </cellStyleXfs>
  <cellXfs count="246">
    <xf numFmtId="0" fontId="0" fillId="0" borderId="0" xfId="0"/>
    <xf numFmtId="0" fontId="0" fillId="0" borderId="0" xfId="0" applyAlignment="1">
      <alignment horizontal="center" vertical="center"/>
    </xf>
    <xf numFmtId="49" fontId="0" fillId="0" borderId="0" xfId="0" applyNumberFormat="1" applyAlignment="1">
      <alignment horizontal="center" vertical="center"/>
    </xf>
    <xf numFmtId="49" fontId="0" fillId="0" borderId="0" xfId="0" applyNumberFormat="1"/>
    <xf numFmtId="0" fontId="0" fillId="0" borderId="1" xfId="0" applyBorder="1" applyAlignment="1">
      <alignment horizontal="center"/>
    </xf>
    <xf numFmtId="0" fontId="0" fillId="0" borderId="1" xfId="0" applyBorder="1" applyAlignment="1">
      <alignment horizontal="center" vertical="center"/>
    </xf>
    <xf numFmtId="49" fontId="0" fillId="0" borderId="1" xfId="0" applyNumberFormat="1" applyBorder="1" applyAlignment="1">
      <alignment horizontal="center" vertical="center"/>
    </xf>
    <xf numFmtId="0" fontId="0" fillId="0" borderId="1" xfId="0" applyBorder="1"/>
    <xf numFmtId="0" fontId="0" fillId="0" borderId="1" xfId="0" applyBorder="1" applyAlignment="1">
      <alignment horizontal="center"/>
    </xf>
    <xf numFmtId="0" fontId="0" fillId="2" borderId="0" xfId="0" applyFill="1"/>
    <xf numFmtId="49" fontId="0" fillId="3" borderId="0" xfId="0" applyNumberFormat="1" applyFill="1" applyAlignment="1">
      <alignment horizontal="center" vertical="center"/>
    </xf>
    <xf numFmtId="0" fontId="0" fillId="3" borderId="0" xfId="0" applyFill="1" applyAlignment="1">
      <alignment horizontal="center" vertical="center"/>
    </xf>
    <xf numFmtId="0" fontId="0" fillId="0" borderId="0" xfId="0" applyAlignment="1">
      <alignment horizontal="center"/>
    </xf>
    <xf numFmtId="0" fontId="0" fillId="0" borderId="1" xfId="0"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3" xfId="0" applyBorder="1" applyAlignment="1">
      <alignment horizontal="center"/>
    </xf>
    <xf numFmtId="0" fontId="0" fillId="0" borderId="4" xfId="0" applyBorder="1" applyAlignment="1">
      <alignment horizontal="center"/>
    </xf>
    <xf numFmtId="0" fontId="0" fillId="0" borderId="0" xfId="0" applyFill="1" applyBorder="1" applyAlignment="1">
      <alignment horizontal="center" vertical="center"/>
    </xf>
    <xf numFmtId="0" fontId="0" fillId="0" borderId="8" xfId="0" applyFill="1" applyBorder="1" applyAlignment="1">
      <alignment horizontal="center" vertical="center"/>
    </xf>
    <xf numFmtId="164" fontId="0" fillId="0" borderId="0" xfId="0" applyNumberFormat="1"/>
    <xf numFmtId="165" fontId="0" fillId="0" borderId="0" xfId="0" applyNumberFormat="1"/>
    <xf numFmtId="166" fontId="0" fillId="0" borderId="0" xfId="0" applyNumberFormat="1"/>
    <xf numFmtId="167" fontId="0" fillId="0" borderId="0" xfId="0" applyNumberFormat="1"/>
    <xf numFmtId="2" fontId="0" fillId="0" borderId="0" xfId="0" applyNumberFormat="1"/>
    <xf numFmtId="0" fontId="0" fillId="4" borderId="1" xfId="0" applyFill="1" applyBorder="1" applyAlignment="1">
      <alignment horizontal="center" vertical="center"/>
    </xf>
    <xf numFmtId="0" fontId="0" fillId="4" borderId="0" xfId="0" applyFill="1"/>
    <xf numFmtId="0" fontId="0" fillId="4" borderId="1" xfId="0" applyFill="1" applyBorder="1" applyAlignment="1">
      <alignment horizontal="center"/>
    </xf>
    <xf numFmtId="2" fontId="0" fillId="4" borderId="0" xfId="0" applyNumberFormat="1" applyFill="1"/>
    <xf numFmtId="0" fontId="0" fillId="0" borderId="0" xfId="0" applyNumberFormat="1"/>
    <xf numFmtId="0" fontId="0" fillId="0" borderId="10" xfId="0" applyBorder="1" applyAlignment="1">
      <alignment horizontal="center" vertical="center"/>
    </xf>
    <xf numFmtId="2" fontId="0" fillId="0" borderId="1" xfId="0" applyNumberFormat="1" applyBorder="1"/>
    <xf numFmtId="0" fontId="0" fillId="0" borderId="12" xfId="0" applyBorder="1"/>
    <xf numFmtId="0" fontId="0" fillId="0" borderId="13" xfId="0" applyBorder="1"/>
    <xf numFmtId="0" fontId="0" fillId="0" borderId="9" xfId="0" applyBorder="1"/>
    <xf numFmtId="0" fontId="0" fillId="0" borderId="8" xfId="0" applyBorder="1"/>
    <xf numFmtId="0" fontId="0" fillId="0" borderId="0" xfId="0" applyBorder="1"/>
    <xf numFmtId="0" fontId="0" fillId="0" borderId="6" xfId="0" applyBorder="1"/>
    <xf numFmtId="0" fontId="0" fillId="0" borderId="7" xfId="0" applyBorder="1"/>
    <xf numFmtId="0" fontId="0" fillId="0" borderId="2" xfId="0" applyBorder="1"/>
    <xf numFmtId="0" fontId="0" fillId="0" borderId="11" xfId="0" applyBorder="1"/>
    <xf numFmtId="0" fontId="1" fillId="0" borderId="9" xfId="0" applyFont="1" applyBorder="1"/>
    <xf numFmtId="0" fontId="0" fillId="0" borderId="9" xfId="0" applyBorder="1" applyAlignment="1"/>
    <xf numFmtId="0" fontId="0" fillId="0" borderId="0" xfId="0" applyBorder="1" applyAlignment="1">
      <alignment horizontal="center" vertical="center"/>
    </xf>
    <xf numFmtId="0" fontId="0" fillId="0" borderId="0" xfId="0" applyFill="1"/>
    <xf numFmtId="0" fontId="1" fillId="0" borderId="1" xfId="0" applyFont="1" applyBorder="1"/>
    <xf numFmtId="0" fontId="1" fillId="0" borderId="6" xfId="0" applyFont="1" applyFill="1" applyBorder="1"/>
    <xf numFmtId="0" fontId="0" fillId="0" borderId="1" xfId="0" applyFill="1" applyBorder="1"/>
    <xf numFmtId="0" fontId="1" fillId="0" borderId="1" xfId="0" applyFont="1" applyFill="1" applyBorder="1"/>
    <xf numFmtId="0" fontId="0" fillId="0" borderId="1" xfId="0" applyBorder="1" applyAlignment="1">
      <alignment horizontal="center"/>
    </xf>
    <xf numFmtId="0" fontId="0" fillId="0" borderId="0" xfId="0" applyAlignment="1">
      <alignment horizontal="center"/>
    </xf>
    <xf numFmtId="49" fontId="0" fillId="0" borderId="1" xfId="0" applyNumberFormat="1" applyBorder="1"/>
    <xf numFmtId="0" fontId="1" fillId="0" borderId="1" xfId="0" applyFont="1" applyBorder="1" applyAlignment="1"/>
    <xf numFmtId="0" fontId="2" fillId="0" borderId="1" xfId="0" applyFont="1" applyBorder="1"/>
    <xf numFmtId="0" fontId="1" fillId="0" borderId="3" xfId="0" applyFont="1" applyBorder="1"/>
    <xf numFmtId="0" fontId="0" fillId="0" borderId="3" xfId="0" applyBorder="1"/>
    <xf numFmtId="165" fontId="0" fillId="0" borderId="1" xfId="0" applyNumberFormat="1" applyBorder="1" applyAlignment="1">
      <alignment horizontal="center" vertical="center"/>
    </xf>
    <xf numFmtId="0" fontId="1" fillId="0" borderId="1" xfId="0" applyFont="1" applyBorder="1" applyAlignment="1">
      <alignment horizontal="center"/>
    </xf>
    <xf numFmtId="0" fontId="0" fillId="0" borderId="0" xfId="0"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0" xfId="0" applyFont="1"/>
    <xf numFmtId="0" fontId="0" fillId="5" borderId="1" xfId="0" applyFill="1" applyBorder="1"/>
    <xf numFmtId="0" fontId="0" fillId="0" borderId="1" xfId="0" applyFill="1" applyBorder="1" applyAlignment="1">
      <alignment horizontal="center"/>
    </xf>
    <xf numFmtId="0" fontId="1" fillId="0" borderId="1" xfId="0" applyFont="1" applyBorder="1" applyAlignment="1">
      <alignment horizontal="center" vertical="center"/>
    </xf>
    <xf numFmtId="0" fontId="1" fillId="0" borderId="0" xfId="0" applyFont="1" applyAlignment="1"/>
    <xf numFmtId="49" fontId="0" fillId="0" borderId="1" xfId="0" applyNumberFormat="1" applyBorder="1" applyAlignment="1">
      <alignment horizontal="center"/>
    </xf>
    <xf numFmtId="49" fontId="0" fillId="0" borderId="1" xfId="0" applyNumberFormat="1" applyFill="1" applyBorder="1" applyAlignment="1">
      <alignment horizontal="center"/>
    </xf>
    <xf numFmtId="49" fontId="1" fillId="0" borderId="1" xfId="0" applyNumberFormat="1" applyFont="1" applyBorder="1" applyAlignment="1">
      <alignment horizontal="center"/>
    </xf>
    <xf numFmtId="0" fontId="1" fillId="0" borderId="1" xfId="0" applyFont="1" applyBorder="1" applyAlignment="1">
      <alignment horizontal="left" vertical="center"/>
    </xf>
    <xf numFmtId="0" fontId="1" fillId="0" borderId="1" xfId="0" applyFont="1" applyFill="1" applyBorder="1" applyAlignment="1">
      <alignment horizontal="left" vertical="center"/>
    </xf>
    <xf numFmtId="0" fontId="0" fillId="0" borderId="0" xfId="0" applyBorder="1" applyAlignment="1">
      <alignment horizontal="left" vertical="center"/>
    </xf>
    <xf numFmtId="0" fontId="1" fillId="0" borderId="1" xfId="0" applyFont="1" applyBorder="1" applyAlignment="1">
      <alignment horizontal="left" vertical="center" wrapText="1"/>
    </xf>
    <xf numFmtId="0" fontId="0" fillId="0" borderId="1" xfId="0"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0" fillId="0" borderId="1" xfId="0" applyBorder="1" applyAlignment="1">
      <alignment wrapText="1"/>
    </xf>
    <xf numFmtId="0" fontId="0" fillId="0" borderId="1" xfId="0" applyBorder="1" applyAlignment="1">
      <alignment horizontal="center" vertical="center" wrapText="1"/>
    </xf>
    <xf numFmtId="0" fontId="2" fillId="0" borderId="1" xfId="0" applyFont="1" applyBorder="1" applyAlignment="1">
      <alignment horizontal="left" vertical="top" wrapText="1"/>
    </xf>
    <xf numFmtId="0" fontId="0" fillId="0" borderId="1" xfId="0" applyBorder="1" applyAlignment="1">
      <alignment horizontal="left" vertical="top" wrapText="1"/>
    </xf>
    <xf numFmtId="0" fontId="0" fillId="6" borderId="0" xfId="0" applyFill="1"/>
    <xf numFmtId="0" fontId="0" fillId="0" borderId="5" xfId="0" applyBorder="1" applyAlignment="1">
      <alignment horizontal="center" vertical="center"/>
    </xf>
    <xf numFmtId="0" fontId="1" fillId="0" borderId="0" xfId="0" applyFont="1" applyAlignment="1">
      <alignment horizontal="center" vertical="center"/>
    </xf>
    <xf numFmtId="0" fontId="0" fillId="0" borderId="1" xfId="0" applyBorder="1" applyAlignment="1" applyProtection="1">
      <alignment horizontal="center" vertical="center"/>
      <protection locked="0"/>
    </xf>
    <xf numFmtId="0" fontId="7" fillId="0" borderId="5" xfId="0" applyFont="1" applyBorder="1" applyAlignment="1">
      <alignment horizontal="center" vertical="center"/>
    </xf>
    <xf numFmtId="0" fontId="0" fillId="0" borderId="1" xfId="0" applyBorder="1" applyAlignment="1">
      <alignment horizontal="center"/>
    </xf>
    <xf numFmtId="0" fontId="0" fillId="5" borderId="0" xfId="0" applyFill="1"/>
    <xf numFmtId="0" fontId="0" fillId="0" borderId="1" xfId="0" applyFont="1" applyBorder="1" applyAlignment="1" applyProtection="1">
      <alignment horizontal="center" vertical="center"/>
      <protection locked="0"/>
    </xf>
    <xf numFmtId="0" fontId="10" fillId="0" borderId="1" xfId="0" applyFont="1" applyBorder="1" applyAlignment="1">
      <alignment wrapText="1"/>
    </xf>
    <xf numFmtId="0" fontId="1" fillId="6" borderId="13" xfId="0" applyFont="1" applyFill="1" applyBorder="1" applyAlignment="1">
      <alignment vertical="center"/>
    </xf>
    <xf numFmtId="0" fontId="1" fillId="6" borderId="9" xfId="0" applyFont="1" applyFill="1" applyBorder="1" applyAlignment="1">
      <alignment vertical="center"/>
    </xf>
    <xf numFmtId="0" fontId="1" fillId="6" borderId="12" xfId="0" applyFont="1" applyFill="1" applyBorder="1" applyAlignment="1">
      <alignment vertical="center"/>
    </xf>
    <xf numFmtId="0" fontId="1" fillId="6" borderId="8" xfId="0" applyFont="1" applyFill="1" applyBorder="1" applyAlignment="1">
      <alignment vertical="center"/>
    </xf>
    <xf numFmtId="0" fontId="1" fillId="6" borderId="0" xfId="0" applyFont="1" applyFill="1" applyBorder="1" applyAlignment="1">
      <alignment vertical="center"/>
    </xf>
    <xf numFmtId="0" fontId="1" fillId="6" borderId="6" xfId="0" applyFont="1" applyFill="1" applyBorder="1" applyAlignment="1">
      <alignment vertical="center"/>
    </xf>
    <xf numFmtId="0" fontId="1" fillId="6" borderId="7" xfId="0" applyFont="1" applyFill="1" applyBorder="1" applyAlignment="1">
      <alignment vertical="center"/>
    </xf>
    <xf numFmtId="0" fontId="1" fillId="6" borderId="2" xfId="0" applyFont="1" applyFill="1" applyBorder="1" applyAlignment="1">
      <alignment vertical="center"/>
    </xf>
    <xf numFmtId="0" fontId="1" fillId="6" borderId="11" xfId="0" applyFont="1" applyFill="1" applyBorder="1" applyAlignment="1">
      <alignment vertical="center"/>
    </xf>
    <xf numFmtId="0" fontId="1" fillId="0" borderId="1" xfId="0" applyFont="1" applyBorder="1" applyAlignment="1">
      <alignment horizontal="center" vertical="center"/>
    </xf>
    <xf numFmtId="168" fontId="0" fillId="0" borderId="1" xfId="0" applyNumberFormat="1" applyBorder="1"/>
    <xf numFmtId="0" fontId="1" fillId="0" borderId="1" xfId="0" applyFont="1" applyBorder="1" applyAlignment="1">
      <alignment horizontal="center" vertical="center"/>
    </xf>
    <xf numFmtId="0" fontId="5" fillId="9" borderId="0" xfId="0" applyFont="1" applyFill="1" applyAlignment="1">
      <alignment horizontal="center" vertical="center"/>
    </xf>
    <xf numFmtId="1" fontId="0" fillId="0" borderId="1" xfId="0" applyNumberFormat="1" applyBorder="1" applyAlignment="1">
      <alignment horizontal="center" vertical="center"/>
    </xf>
    <xf numFmtId="1" fontId="0" fillId="0" borderId="1" xfId="0" applyNumberFormat="1" applyBorder="1"/>
    <xf numFmtId="0" fontId="0" fillId="0" borderId="10" xfId="0" applyBorder="1"/>
    <xf numFmtId="0" fontId="5" fillId="2" borderId="0" xfId="0" applyFont="1" applyFill="1" applyAlignment="1">
      <alignment horizontal="center" vertical="center"/>
    </xf>
    <xf numFmtId="1" fontId="0" fillId="10" borderId="1" xfId="0" applyNumberFormat="1" applyFill="1" applyBorder="1" applyAlignment="1">
      <alignment horizontal="center" vertical="center"/>
    </xf>
    <xf numFmtId="0" fontId="0" fillId="0" borderId="14" xfId="0" applyFill="1" applyBorder="1"/>
    <xf numFmtId="0" fontId="0" fillId="11" borderId="29" xfId="0" applyFill="1" applyBorder="1" applyAlignment="1">
      <alignment horizontal="center" vertical="center" wrapText="1"/>
    </xf>
    <xf numFmtId="0" fontId="1" fillId="11" borderId="29" xfId="0" applyFont="1" applyFill="1" applyBorder="1" applyAlignment="1">
      <alignment horizontal="center" vertical="center" wrapText="1"/>
    </xf>
    <xf numFmtId="0" fontId="0" fillId="0" borderId="29" xfId="0" applyBorder="1" applyAlignment="1">
      <alignment horizontal="center" vertical="center"/>
    </xf>
    <xf numFmtId="0" fontId="2" fillId="0" borderId="0" xfId="0" applyFont="1"/>
    <xf numFmtId="1" fontId="0" fillId="0" borderId="0" xfId="0" applyNumberFormat="1"/>
    <xf numFmtId="0" fontId="1" fillId="0" borderId="1" xfId="0" applyFont="1" applyBorder="1" applyAlignment="1" applyProtection="1">
      <alignment horizontal="left" vertical="center"/>
      <protection locked="0"/>
    </xf>
    <xf numFmtId="169" fontId="0" fillId="0" borderId="0" xfId="0" applyNumberFormat="1"/>
    <xf numFmtId="170" fontId="0" fillId="0" borderId="0" xfId="0" applyNumberFormat="1"/>
    <xf numFmtId="0" fontId="0" fillId="0" borderId="1" xfId="0" applyBorder="1" applyAlignment="1">
      <alignment horizontal="center"/>
    </xf>
    <xf numFmtId="0" fontId="0" fillId="0" borderId="1" xfId="0" applyBorder="1" applyAlignment="1" applyProtection="1">
      <alignment horizontal="center"/>
      <protection locked="0"/>
    </xf>
    <xf numFmtId="0" fontId="1" fillId="0" borderId="36" xfId="0" applyFont="1" applyBorder="1" applyAlignment="1">
      <alignment horizontal="left" vertical="center"/>
    </xf>
    <xf numFmtId="0" fontId="0" fillId="0" borderId="36" xfId="0" applyFont="1" applyBorder="1" applyAlignment="1" applyProtection="1">
      <alignment horizontal="center" vertical="center"/>
      <protection locked="0"/>
    </xf>
    <xf numFmtId="0" fontId="14" fillId="0" borderId="0" xfId="0" applyFont="1" applyProtection="1">
      <protection locked="0" hidden="1"/>
    </xf>
    <xf numFmtId="16" fontId="0" fillId="0" borderId="0" xfId="0" applyNumberFormat="1"/>
    <xf numFmtId="0" fontId="16" fillId="0" borderId="5" xfId="0" applyFont="1" applyBorder="1" applyAlignment="1">
      <alignment horizontal="center" vertical="center"/>
    </xf>
    <xf numFmtId="0" fontId="16" fillId="0" borderId="3" xfId="0" applyFont="1" applyBorder="1" applyAlignment="1">
      <alignment horizontal="center" vertical="center" wrapText="1"/>
    </xf>
    <xf numFmtId="0" fontId="7" fillId="0" borderId="3" xfId="0" applyFont="1"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wrapText="1"/>
    </xf>
    <xf numFmtId="0" fontId="0" fillId="0" borderId="3" xfId="0" applyFont="1" applyBorder="1" applyAlignment="1" applyProtection="1">
      <alignment horizontal="center" vertical="center"/>
      <protection locked="0"/>
    </xf>
    <xf numFmtId="0" fontId="0" fillId="0" borderId="1" xfId="0" applyFont="1" applyFill="1" applyBorder="1"/>
    <xf numFmtId="20" fontId="0" fillId="0" borderId="0" xfId="0" applyNumberFormat="1"/>
    <xf numFmtId="0" fontId="0" fillId="0" borderId="5" xfId="0" applyBorder="1" applyAlignment="1">
      <alignment horizontal="center"/>
    </xf>
    <xf numFmtId="0" fontId="0" fillId="0" borderId="0" xfId="0"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1" xfId="0" applyFont="1" applyBorder="1" applyAlignment="1">
      <alignment horizontal="center" vertical="center"/>
    </xf>
    <xf numFmtId="0" fontId="1" fillId="0" borderId="5" xfId="0" applyFont="1" applyBorder="1" applyAlignment="1">
      <alignment horizontal="center"/>
    </xf>
    <xf numFmtId="0" fontId="0" fillId="0" borderId="1" xfId="0" applyFont="1" applyBorder="1"/>
    <xf numFmtId="0" fontId="1" fillId="0" borderId="6" xfId="0" applyFont="1" applyFill="1" applyBorder="1" applyAlignment="1">
      <alignment horizontal="center"/>
    </xf>
    <xf numFmtId="0" fontId="0" fillId="13" borderId="0" xfId="0" applyFont="1" applyFill="1" applyBorder="1"/>
    <xf numFmtId="0" fontId="0" fillId="13" borderId="1" xfId="0" applyFill="1" applyBorder="1"/>
    <xf numFmtId="0" fontId="0" fillId="0" borderId="0" xfId="0"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8" fillId="0" borderId="1" xfId="0" applyFont="1" applyBorder="1" applyAlignment="1">
      <alignment horizontal="center"/>
    </xf>
    <xf numFmtId="0" fontId="1" fillId="8" borderId="1" xfId="0" applyFont="1" applyFill="1" applyBorder="1" applyAlignment="1">
      <alignment horizontal="center" vertical="center"/>
    </xf>
    <xf numFmtId="0" fontId="0" fillId="0" borderId="1" xfId="0" applyBorder="1" applyAlignment="1">
      <alignment horizontal="center"/>
    </xf>
    <xf numFmtId="0" fontId="1" fillId="0" borderId="1" xfId="0" applyFont="1" applyBorder="1" applyAlignment="1">
      <alignment horizontal="center"/>
    </xf>
    <xf numFmtId="0" fontId="0" fillId="0" borderId="1" xfId="0" applyFont="1" applyFill="1" applyBorder="1" applyAlignment="1" applyProtection="1">
      <alignment horizontal="center" vertical="center"/>
      <protection locked="0"/>
    </xf>
    <xf numFmtId="0" fontId="0" fillId="0" borderId="1" xfId="0" applyBorder="1" applyAlignment="1">
      <alignment horizontal="center"/>
    </xf>
    <xf numFmtId="0" fontId="0" fillId="2" borderId="1" xfId="0" applyFill="1" applyBorder="1" applyAlignment="1">
      <alignment horizontal="center"/>
    </xf>
    <xf numFmtId="0" fontId="0" fillId="0" borderId="37" xfId="0" applyBorder="1"/>
    <xf numFmtId="0" fontId="0" fillId="5" borderId="7" xfId="0" applyFill="1" applyBorder="1"/>
    <xf numFmtId="0" fontId="0" fillId="5" borderId="2" xfId="0" applyFill="1" applyBorder="1"/>
    <xf numFmtId="2" fontId="0" fillId="5" borderId="2" xfId="0" applyNumberFormat="1" applyFill="1" applyBorder="1"/>
    <xf numFmtId="0" fontId="0" fillId="5" borderId="14" xfId="0" applyFill="1" applyBorder="1"/>
    <xf numFmtId="0" fontId="0" fillId="5" borderId="37" xfId="0" applyFill="1" applyBorder="1"/>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6" fillId="12" borderId="0" xfId="0" applyFont="1" applyFill="1" applyBorder="1" applyAlignment="1">
      <alignment horizontal="left"/>
    </xf>
    <xf numFmtId="0" fontId="6" fillId="0" borderId="0" xfId="0" applyFont="1" applyFill="1" applyBorder="1" applyAlignment="1">
      <alignment horizontal="left"/>
    </xf>
    <xf numFmtId="0" fontId="1" fillId="0" borderId="3" xfId="0" applyFont="1" applyBorder="1" applyAlignment="1">
      <alignment horizontal="center" vertical="center"/>
    </xf>
    <xf numFmtId="0" fontId="1" fillId="0" borderId="5" xfId="0" applyFont="1" applyBorder="1" applyAlignment="1">
      <alignment horizontal="center" vertical="center"/>
    </xf>
    <xf numFmtId="0" fontId="10" fillId="0" borderId="3" xfId="0" quotePrefix="1" applyFont="1" applyBorder="1" applyAlignment="1">
      <alignment horizontal="center" vertical="center" wrapText="1"/>
    </xf>
    <xf numFmtId="0" fontId="15" fillId="0" borderId="3" xfId="0" applyFont="1" applyBorder="1" applyAlignment="1">
      <alignment horizontal="center" vertical="center" wrapText="1"/>
    </xf>
    <xf numFmtId="0" fontId="15" fillId="0" borderId="4" xfId="0" applyFont="1" applyBorder="1" applyAlignment="1">
      <alignment horizontal="center" vertical="center" wrapText="1"/>
    </xf>
    <xf numFmtId="0" fontId="15" fillId="0" borderId="5" xfId="0" applyFont="1" applyBorder="1" applyAlignment="1">
      <alignment horizontal="center" vertical="center" wrapText="1"/>
    </xf>
    <xf numFmtId="0" fontId="9" fillId="0" borderId="13" xfId="0" applyFont="1" applyBorder="1" applyAlignment="1">
      <alignment horizontal="left" vertical="top" wrapText="1"/>
    </xf>
    <xf numFmtId="0" fontId="9" fillId="0" borderId="9" xfId="0" applyFont="1" applyBorder="1" applyAlignment="1">
      <alignment horizontal="left" vertical="top" wrapText="1"/>
    </xf>
    <xf numFmtId="0" fontId="9" fillId="0" borderId="8" xfId="0" applyFont="1" applyBorder="1" applyAlignment="1">
      <alignment horizontal="left" vertical="top" wrapText="1"/>
    </xf>
    <xf numFmtId="0" fontId="9" fillId="0" borderId="0" xfId="0" applyFont="1" applyBorder="1" applyAlignment="1">
      <alignment horizontal="left" vertical="top" wrapText="1"/>
    </xf>
    <xf numFmtId="0" fontId="9" fillId="0" borderId="7" xfId="0" applyFont="1" applyBorder="1" applyAlignment="1">
      <alignment horizontal="left" vertical="top" wrapText="1"/>
    </xf>
    <xf numFmtId="0" fontId="9" fillId="0" borderId="2" xfId="0" applyFont="1" applyBorder="1" applyAlignment="1">
      <alignment horizontal="left" vertical="top" wrapText="1"/>
    </xf>
    <xf numFmtId="0" fontId="9" fillId="0" borderId="12" xfId="0" applyFont="1" applyBorder="1" applyAlignment="1">
      <alignment horizontal="left" vertical="top" wrapText="1"/>
    </xf>
    <xf numFmtId="0" fontId="9" fillId="0" borderId="6" xfId="0" applyFont="1" applyBorder="1" applyAlignment="1">
      <alignment horizontal="left" vertical="top" wrapText="1"/>
    </xf>
    <xf numFmtId="0" fontId="9" fillId="0" borderId="11" xfId="0" applyFont="1" applyBorder="1" applyAlignment="1">
      <alignment horizontal="left" vertical="top" wrapText="1"/>
    </xf>
    <xf numFmtId="0" fontId="1" fillId="6" borderId="13" xfId="0" applyFont="1" applyFill="1" applyBorder="1" applyAlignment="1">
      <alignment horizontal="center" vertical="top"/>
    </xf>
    <xf numFmtId="0" fontId="1" fillId="6" borderId="9" xfId="0" applyFont="1" applyFill="1" applyBorder="1" applyAlignment="1">
      <alignment horizontal="center" vertical="top"/>
    </xf>
    <xf numFmtId="0" fontId="1" fillId="6" borderId="12" xfId="0" applyFont="1" applyFill="1" applyBorder="1" applyAlignment="1">
      <alignment horizontal="center" vertical="top"/>
    </xf>
    <xf numFmtId="0" fontId="1" fillId="6" borderId="7" xfId="0" applyFont="1" applyFill="1" applyBorder="1" applyAlignment="1">
      <alignment horizontal="center" vertical="top"/>
    </xf>
    <xf numFmtId="0" fontId="1" fillId="6" borderId="2" xfId="0" applyFont="1" applyFill="1" applyBorder="1" applyAlignment="1">
      <alignment horizontal="center" vertical="top"/>
    </xf>
    <xf numFmtId="0" fontId="1" fillId="6" borderId="11" xfId="0" applyFont="1" applyFill="1" applyBorder="1" applyAlignment="1">
      <alignment horizontal="center" vertical="top"/>
    </xf>
    <xf numFmtId="0" fontId="1" fillId="0" borderId="4" xfId="0" applyFont="1" applyBorder="1" applyAlignment="1">
      <alignment horizontal="center" vertical="center"/>
    </xf>
    <xf numFmtId="0" fontId="1" fillId="6" borderId="13" xfId="0" applyFont="1" applyFill="1" applyBorder="1" applyAlignment="1">
      <alignment horizontal="center" vertical="center"/>
    </xf>
    <xf numFmtId="0" fontId="1" fillId="6" borderId="9" xfId="0" applyFont="1" applyFill="1" applyBorder="1" applyAlignment="1">
      <alignment horizontal="center" vertical="center"/>
    </xf>
    <xf numFmtId="0" fontId="1" fillId="6" borderId="12" xfId="0" applyFont="1" applyFill="1" applyBorder="1" applyAlignment="1">
      <alignment horizontal="center" vertical="center"/>
    </xf>
    <xf numFmtId="0" fontId="1" fillId="6" borderId="7" xfId="0" applyFont="1" applyFill="1" applyBorder="1" applyAlignment="1" applyProtection="1">
      <alignment horizontal="center" vertical="center"/>
      <protection locked="0"/>
    </xf>
    <xf numFmtId="0" fontId="1" fillId="6" borderId="2" xfId="0" applyFont="1" applyFill="1" applyBorder="1" applyAlignment="1" applyProtection="1">
      <alignment horizontal="center" vertical="center"/>
      <protection locked="0"/>
    </xf>
    <xf numFmtId="0" fontId="1" fillId="6" borderId="11" xfId="0" applyFont="1" applyFill="1" applyBorder="1" applyAlignment="1" applyProtection="1">
      <alignment horizontal="center" vertical="center"/>
      <protection locked="0"/>
    </xf>
    <xf numFmtId="49" fontId="1" fillId="6" borderId="15" xfId="0" applyNumberFormat="1" applyFont="1" applyFill="1" applyBorder="1" applyAlignment="1">
      <alignment horizontal="center" vertical="center" wrapText="1"/>
    </xf>
    <xf numFmtId="49" fontId="1" fillId="6" borderId="16" xfId="0" applyNumberFormat="1" applyFont="1" applyFill="1" applyBorder="1" applyAlignment="1">
      <alignment horizontal="center" vertical="center" wrapText="1"/>
    </xf>
    <xf numFmtId="49" fontId="1" fillId="6" borderId="19" xfId="0" applyNumberFormat="1" applyFont="1" applyFill="1" applyBorder="1" applyAlignment="1">
      <alignment horizontal="center" vertical="center" wrapText="1"/>
    </xf>
    <xf numFmtId="49" fontId="1" fillId="6" borderId="20" xfId="0" applyNumberFormat="1" applyFont="1" applyFill="1" applyBorder="1" applyAlignment="1">
      <alignment horizontal="center" vertical="center" wrapText="1"/>
    </xf>
    <xf numFmtId="49" fontId="1" fillId="6" borderId="17" xfId="0" applyNumberFormat="1" applyFont="1" applyFill="1" applyBorder="1" applyAlignment="1">
      <alignment horizontal="center" vertical="center" wrapText="1"/>
    </xf>
    <xf numFmtId="49" fontId="1" fillId="6" borderId="18" xfId="0" applyNumberFormat="1" applyFont="1" applyFill="1" applyBorder="1" applyAlignment="1">
      <alignment horizontal="center" vertical="center" wrapText="1"/>
    </xf>
    <xf numFmtId="0" fontId="4" fillId="7" borderId="21" xfId="0" applyFont="1" applyFill="1" applyBorder="1" applyAlignment="1" applyProtection="1">
      <alignment horizontal="center" vertical="center"/>
    </xf>
    <xf numFmtId="0" fontId="4" fillId="7" borderId="22" xfId="0" applyFont="1" applyFill="1" applyBorder="1" applyAlignment="1" applyProtection="1">
      <alignment horizontal="center" vertical="center"/>
    </xf>
    <xf numFmtId="0" fontId="13" fillId="9" borderId="38" xfId="0" applyFont="1" applyFill="1" applyBorder="1" applyAlignment="1">
      <alignment horizontal="center" vertical="center"/>
    </xf>
    <xf numFmtId="0" fontId="13" fillId="9" borderId="39" xfId="0" applyFont="1" applyFill="1" applyBorder="1" applyAlignment="1">
      <alignment horizontal="center" vertical="center"/>
    </xf>
    <xf numFmtId="0" fontId="13" fillId="9" borderId="40" xfId="0" applyFont="1" applyFill="1" applyBorder="1" applyAlignment="1">
      <alignment horizontal="center" vertical="center"/>
    </xf>
    <xf numFmtId="0" fontId="13" fillId="9" borderId="41" xfId="0" applyFont="1" applyFill="1" applyBorder="1" applyAlignment="1">
      <alignment horizontal="center" vertical="center"/>
    </xf>
    <xf numFmtId="0" fontId="13" fillId="9" borderId="42" xfId="0" applyFont="1" applyFill="1" applyBorder="1" applyAlignment="1">
      <alignment horizontal="center" vertical="center"/>
    </xf>
    <xf numFmtId="0" fontId="13" fillId="9" borderId="43" xfId="0" applyFont="1" applyFill="1" applyBorder="1" applyAlignment="1">
      <alignment horizontal="center" vertical="center"/>
    </xf>
    <xf numFmtId="0" fontId="4" fillId="7" borderId="23" xfId="0" applyFont="1" applyFill="1" applyBorder="1" applyAlignment="1" applyProtection="1">
      <alignment horizontal="center" vertical="center"/>
      <protection locked="0"/>
    </xf>
    <xf numFmtId="0" fontId="4" fillId="7" borderId="24" xfId="0" applyFont="1" applyFill="1" applyBorder="1" applyAlignment="1" applyProtection="1">
      <alignment horizontal="center" vertical="center"/>
      <protection locked="0"/>
    </xf>
    <xf numFmtId="0" fontId="4" fillId="7" borderId="25" xfId="0" applyFont="1" applyFill="1" applyBorder="1" applyAlignment="1" applyProtection="1">
      <alignment horizontal="center" vertical="center"/>
      <protection locked="0"/>
    </xf>
    <xf numFmtId="0" fontId="4" fillId="7" borderId="26" xfId="0" applyFont="1" applyFill="1" applyBorder="1" applyAlignment="1" applyProtection="1">
      <alignment horizontal="center" vertical="center"/>
      <protection locked="0"/>
    </xf>
    <xf numFmtId="0" fontId="4" fillId="7" borderId="27" xfId="0" applyFont="1" applyFill="1" applyBorder="1" applyAlignment="1" applyProtection="1">
      <alignment horizontal="center" vertical="center"/>
      <protection locked="0"/>
    </xf>
    <xf numFmtId="0" fontId="4" fillId="7" borderId="28" xfId="0" applyFont="1" applyFill="1" applyBorder="1" applyAlignment="1" applyProtection="1">
      <alignment horizontal="center" vertical="center"/>
      <protection locked="0"/>
    </xf>
    <xf numFmtId="0" fontId="8" fillId="6" borderId="3"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0" fontId="8" fillId="6" borderId="3" xfId="0" applyFont="1" applyFill="1" applyBorder="1" applyAlignment="1">
      <alignment horizontal="center" vertical="top" wrapText="1"/>
    </xf>
    <xf numFmtId="0" fontId="8" fillId="6" borderId="4" xfId="0" applyFont="1" applyFill="1" applyBorder="1" applyAlignment="1">
      <alignment horizontal="center" vertical="top" wrapText="1"/>
    </xf>
    <xf numFmtId="0" fontId="8" fillId="6" borderId="5" xfId="0" applyFont="1" applyFill="1" applyBorder="1" applyAlignment="1">
      <alignment horizontal="center" vertical="top" wrapText="1"/>
    </xf>
    <xf numFmtId="0" fontId="8" fillId="6" borderId="3" xfId="0" applyFont="1" applyFill="1" applyBorder="1" applyAlignment="1">
      <alignment horizontal="center" vertical="center"/>
    </xf>
    <xf numFmtId="0" fontId="8" fillId="6" borderId="4" xfId="0" applyFont="1" applyFill="1" applyBorder="1" applyAlignment="1">
      <alignment horizontal="center" vertical="center"/>
    </xf>
    <xf numFmtId="0" fontId="8" fillId="6" borderId="5" xfId="0" applyFont="1" applyFill="1" applyBorder="1" applyAlignment="1">
      <alignment horizontal="center" vertical="center"/>
    </xf>
    <xf numFmtId="0" fontId="12" fillId="6" borderId="30" xfId="0" applyFont="1" applyFill="1" applyBorder="1" applyAlignment="1">
      <alignment horizontal="center" vertical="center"/>
    </xf>
    <xf numFmtId="0" fontId="12" fillId="6" borderId="31" xfId="0" applyFont="1" applyFill="1" applyBorder="1" applyAlignment="1">
      <alignment horizontal="center" vertical="center"/>
    </xf>
    <xf numFmtId="0" fontId="12" fillId="6" borderId="32" xfId="0" applyFont="1" applyFill="1" applyBorder="1" applyAlignment="1">
      <alignment horizontal="center" vertical="center"/>
    </xf>
    <xf numFmtId="0" fontId="12" fillId="6" borderId="33" xfId="0" applyFont="1" applyFill="1" applyBorder="1" applyAlignment="1">
      <alignment horizontal="center" vertical="center"/>
    </xf>
    <xf numFmtId="0" fontId="12" fillId="6" borderId="34" xfId="0" applyFont="1" applyFill="1" applyBorder="1" applyAlignment="1">
      <alignment horizontal="center" vertical="center"/>
    </xf>
    <xf numFmtId="0" fontId="12" fillId="6" borderId="35" xfId="0" applyFont="1" applyFill="1" applyBorder="1"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4" xfId="0" applyBorder="1" applyAlignment="1">
      <alignment horizontal="center" wrapText="1"/>
    </xf>
    <xf numFmtId="49" fontId="0" fillId="0" borderId="3" xfId="0" applyNumberFormat="1" applyBorder="1" applyAlignment="1">
      <alignment horizontal="center" vertical="center"/>
    </xf>
    <xf numFmtId="49" fontId="0" fillId="0" borderId="4" xfId="0" applyNumberFormat="1" applyBorder="1" applyAlignment="1">
      <alignment horizontal="center" vertical="center"/>
    </xf>
    <xf numFmtId="49" fontId="0" fillId="0" borderId="5" xfId="0" applyNumberFormat="1" applyBorder="1" applyAlignment="1">
      <alignment horizontal="center" vertical="center"/>
    </xf>
    <xf numFmtId="0" fontId="0" fillId="0" borderId="8" xfId="0" applyBorder="1" applyAlignment="1">
      <alignment horizontal="center" vertical="center"/>
    </xf>
    <xf numFmtId="0" fontId="0" fillId="0" borderId="0" xfId="0" applyBorder="1" applyAlignment="1">
      <alignment horizontal="center" vertical="center"/>
    </xf>
    <xf numFmtId="0" fontId="0" fillId="0" borderId="0" xfId="0" applyAlignment="1">
      <alignment horizontal="center"/>
    </xf>
    <xf numFmtId="0" fontId="0" fillId="0" borderId="1" xfId="0" applyBorder="1" applyAlignment="1">
      <alignment horizontal="center"/>
    </xf>
    <xf numFmtId="49" fontId="0" fillId="0" borderId="0" xfId="0" applyNumberFormat="1" applyAlignment="1">
      <alignment horizontal="center"/>
    </xf>
    <xf numFmtId="0" fontId="1" fillId="0" borderId="1" xfId="0" applyFont="1" applyBorder="1" applyAlignment="1">
      <alignment horizontal="center"/>
    </xf>
    <xf numFmtId="0" fontId="1" fillId="0" borderId="5" xfId="0" applyFont="1" applyBorder="1" applyAlignment="1">
      <alignment horizontal="center"/>
    </xf>
    <xf numFmtId="0" fontId="1" fillId="0" borderId="1" xfId="0" applyFont="1" applyBorder="1" applyAlignment="1">
      <alignment horizontal="center" vertical="center"/>
    </xf>
    <xf numFmtId="0" fontId="0" fillId="0" borderId="36" xfId="0" applyBorder="1" applyAlignment="1">
      <alignment horizontal="center" vertical="center"/>
    </xf>
    <xf numFmtId="0" fontId="0" fillId="0" borderId="14" xfId="0" applyBorder="1" applyAlignment="1">
      <alignment horizontal="center" vertical="center"/>
    </xf>
    <xf numFmtId="0" fontId="0" fillId="0" borderId="37" xfId="0" applyBorder="1" applyAlignment="1">
      <alignment horizontal="center" vertical="center"/>
    </xf>
  </cellXfs>
  <cellStyles count="3">
    <cellStyle name="Normal" xfId="0" builtinId="0"/>
    <cellStyle name="Standard 2" xfId="2"/>
    <cellStyle name="Standard 7" xfId="1"/>
  </cellStyles>
  <dxfs count="144">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border>
        <vertical/>
        <horizontal/>
      </border>
    </dxf>
    <dxf>
      <numFmt numFmtId="171" formatCode=";;;&quot;6'' Scale&quot;"/>
    </dxf>
    <dxf>
      <numFmt numFmtId="172" formatCode=";;;&quot;what&quo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border>
        <top style="thin">
          <color auto="1"/>
        </top>
        <vertical/>
        <horizontal/>
      </border>
    </dxf>
    <dxf>
      <border>
        <top style="thin">
          <color auto="1"/>
        </top>
        <vertical/>
        <horizontal/>
      </border>
    </dxf>
    <dxf>
      <font>
        <color theme="0" tint="-0.34998626667073579"/>
      </font>
    </dxf>
    <dxf>
      <font>
        <b/>
        <i val="0"/>
        <color theme="1"/>
      </font>
      <fill>
        <patternFill>
          <bgColor rgb="FF00B0F0"/>
        </patternFill>
      </fill>
      <border>
        <left style="thin">
          <color auto="1"/>
        </left>
        <right style="thin">
          <color auto="1"/>
        </right>
        <top style="thin">
          <color auto="1"/>
        </top>
        <bottom style="thin">
          <color auto="1"/>
        </bottom>
      </border>
    </dxf>
    <dxf>
      <font>
        <color theme="0"/>
      </font>
      <fill>
        <patternFill>
          <bgColor theme="0"/>
        </patternFill>
      </fill>
    </dxf>
    <dxf>
      <fill>
        <patternFill>
          <bgColor rgb="FFFFFF00"/>
        </patternFill>
      </fill>
    </dxf>
    <dxf>
      <font>
        <color theme="0"/>
      </font>
      <fill>
        <patternFill>
          <bgColor theme="0"/>
        </patternFill>
      </fill>
      <border>
        <left/>
        <right/>
        <top/>
        <bottom/>
      </border>
    </dxf>
    <dxf>
      <fill>
        <patternFill>
          <bgColor rgb="FFFFFF00"/>
        </patternFill>
      </fill>
    </dxf>
    <dxf>
      <font>
        <color theme="0"/>
      </font>
      <fill>
        <patternFill>
          <bgColor theme="0"/>
        </patternFill>
      </fill>
      <border>
        <left/>
        <right/>
        <top/>
        <bottom/>
      </border>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b/>
        <i val="0"/>
        <color theme="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0070C0"/>
        </patternFill>
      </fill>
    </dxf>
    <dxf>
      <fill>
        <patternFill>
          <bgColor rgb="FFFF0000"/>
        </patternFill>
      </fill>
    </dxf>
    <dxf>
      <font>
        <color auto="1"/>
      </font>
      <numFmt numFmtId="173" formatCode=";;;&quot;A61&quot;"/>
    </dxf>
    <dxf>
      <font>
        <color theme="0"/>
      </font>
      <fill>
        <patternFill>
          <bgColor theme="0"/>
        </patternFill>
      </fill>
      <border>
        <left/>
        <right/>
        <top/>
        <bottom/>
      </border>
    </dxf>
    <dxf>
      <font>
        <color theme="0"/>
      </font>
      <fill>
        <patternFill>
          <bgColor theme="0"/>
        </patternFill>
      </fill>
      <border>
        <left/>
        <right/>
        <top/>
        <bottom/>
        <vertical/>
        <horizontal/>
      </border>
    </dxf>
    <dxf>
      <font>
        <color theme="1" tint="0.499984740745262"/>
      </font>
      <fill>
        <patternFill>
          <bgColor theme="1" tint="0.499984740745262"/>
        </patternFill>
      </fill>
    </dxf>
    <dxf>
      <font>
        <color theme="1" tint="0.499984740745262"/>
      </font>
      <fill>
        <patternFill>
          <bgColor theme="1"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0909"/>
      <color rgb="FFE20000"/>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'10A61 Liquid 1.5"'!$E$3</c:f>
              <c:strCache>
                <c:ptCount val="1"/>
                <c:pt idx="0">
                  <c:v>Max Flow (mL/min)</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8833992702131744"/>
                  <c:y val="1.846700300187027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Liquid 1.5"'!$D$4:$D$114</c:f>
              <c:numCache>
                <c:formatCode>General</c:formatCode>
                <c:ptCount val="111"/>
                <c:pt idx="0">
                  <c:v>0.4</c:v>
                </c:pt>
                <c:pt idx="1">
                  <c:v>0.41</c:v>
                </c:pt>
                <c:pt idx="2">
                  <c:v>0.42</c:v>
                </c:pt>
                <c:pt idx="3">
                  <c:v>0.43</c:v>
                </c:pt>
                <c:pt idx="4">
                  <c:v>0.44</c:v>
                </c:pt>
                <c:pt idx="5">
                  <c:v>0.45</c:v>
                </c:pt>
                <c:pt idx="6">
                  <c:v>0.46</c:v>
                </c:pt>
                <c:pt idx="7">
                  <c:v>0.47</c:v>
                </c:pt>
                <c:pt idx="8">
                  <c:v>0.48</c:v>
                </c:pt>
                <c:pt idx="9">
                  <c:v>0.49</c:v>
                </c:pt>
                <c:pt idx="10">
                  <c:v>0.5</c:v>
                </c:pt>
                <c:pt idx="11">
                  <c:v>0.50999999999999901</c:v>
                </c:pt>
                <c:pt idx="12">
                  <c:v>0.51999999999999902</c:v>
                </c:pt>
                <c:pt idx="13">
                  <c:v>0.52999999999999903</c:v>
                </c:pt>
                <c:pt idx="14">
                  <c:v>0.53999999999999904</c:v>
                </c:pt>
                <c:pt idx="15">
                  <c:v>0.54999999999999905</c:v>
                </c:pt>
                <c:pt idx="16">
                  <c:v>0.55999999999999905</c:v>
                </c:pt>
                <c:pt idx="17">
                  <c:v>0.56999999999999895</c:v>
                </c:pt>
                <c:pt idx="18">
                  <c:v>0.57999999999999896</c:v>
                </c:pt>
                <c:pt idx="19">
                  <c:v>0.58999999999999897</c:v>
                </c:pt>
                <c:pt idx="20">
                  <c:v>0.59999999999999898</c:v>
                </c:pt>
                <c:pt idx="21">
                  <c:v>0.60999999999999899</c:v>
                </c:pt>
                <c:pt idx="22">
                  <c:v>0.619999999999999</c:v>
                </c:pt>
                <c:pt idx="23">
                  <c:v>0.62999999999999901</c:v>
                </c:pt>
                <c:pt idx="24">
                  <c:v>0.63999999999999901</c:v>
                </c:pt>
                <c:pt idx="25">
                  <c:v>0.64999999999999902</c:v>
                </c:pt>
                <c:pt idx="26">
                  <c:v>0.65999999999999903</c:v>
                </c:pt>
                <c:pt idx="27">
                  <c:v>0.66999999999999904</c:v>
                </c:pt>
                <c:pt idx="28">
                  <c:v>0.67999999999999905</c:v>
                </c:pt>
                <c:pt idx="29">
                  <c:v>0.68999999999999895</c:v>
                </c:pt>
                <c:pt idx="30">
                  <c:v>0.69999999999999896</c:v>
                </c:pt>
                <c:pt idx="31">
                  <c:v>0.70999999999999897</c:v>
                </c:pt>
                <c:pt idx="32">
                  <c:v>0.71999999999999897</c:v>
                </c:pt>
                <c:pt idx="33">
                  <c:v>0.72999999999999798</c:v>
                </c:pt>
                <c:pt idx="34">
                  <c:v>0.73999999999999799</c:v>
                </c:pt>
                <c:pt idx="35">
                  <c:v>0.749999999999998</c:v>
                </c:pt>
                <c:pt idx="36">
                  <c:v>0.75999999999999801</c:v>
                </c:pt>
                <c:pt idx="37">
                  <c:v>0.76999999999999802</c:v>
                </c:pt>
                <c:pt idx="38">
                  <c:v>0.77999999999999803</c:v>
                </c:pt>
                <c:pt idx="39">
                  <c:v>0.78999999999999804</c:v>
                </c:pt>
                <c:pt idx="40">
                  <c:v>0.79999999999999805</c:v>
                </c:pt>
                <c:pt idx="41">
                  <c:v>0.80999999999999805</c:v>
                </c:pt>
                <c:pt idx="42">
                  <c:v>0.81999999999999795</c:v>
                </c:pt>
                <c:pt idx="43">
                  <c:v>0.82999999999999796</c:v>
                </c:pt>
                <c:pt idx="44">
                  <c:v>0.83999999999999797</c:v>
                </c:pt>
                <c:pt idx="45">
                  <c:v>0.84999999999999798</c:v>
                </c:pt>
                <c:pt idx="46">
                  <c:v>0.85999999999999799</c:v>
                </c:pt>
                <c:pt idx="47">
                  <c:v>0.869999999999998</c:v>
                </c:pt>
                <c:pt idx="48">
                  <c:v>0.87999999999999801</c:v>
                </c:pt>
                <c:pt idx="49">
                  <c:v>0.88999999999999801</c:v>
                </c:pt>
                <c:pt idx="50">
                  <c:v>0.89999999999999802</c:v>
                </c:pt>
                <c:pt idx="51">
                  <c:v>0.90999999999999803</c:v>
                </c:pt>
                <c:pt idx="52">
                  <c:v>0.91999999999999804</c:v>
                </c:pt>
                <c:pt idx="53">
                  <c:v>0.92999999999999805</c:v>
                </c:pt>
                <c:pt idx="54">
                  <c:v>0.93999999999999695</c:v>
                </c:pt>
                <c:pt idx="55">
                  <c:v>0.94999999999999696</c:v>
                </c:pt>
                <c:pt idx="56">
                  <c:v>0.95999999999999697</c:v>
                </c:pt>
                <c:pt idx="57">
                  <c:v>0.96999999999999698</c:v>
                </c:pt>
                <c:pt idx="58">
                  <c:v>0.97999999999999698</c:v>
                </c:pt>
                <c:pt idx="59">
                  <c:v>0.98999999999999699</c:v>
                </c:pt>
                <c:pt idx="60">
                  <c:v>0.999999999999997</c:v>
                </c:pt>
                <c:pt idx="61">
                  <c:v>1.01</c:v>
                </c:pt>
                <c:pt idx="62">
                  <c:v>1.02</c:v>
                </c:pt>
                <c:pt idx="63">
                  <c:v>1.03</c:v>
                </c:pt>
                <c:pt idx="64">
                  <c:v>1.04</c:v>
                </c:pt>
                <c:pt idx="65">
                  <c:v>1.05</c:v>
                </c:pt>
                <c:pt idx="66">
                  <c:v>1.06</c:v>
                </c:pt>
                <c:pt idx="67">
                  <c:v>1.07</c:v>
                </c:pt>
                <c:pt idx="68">
                  <c:v>1.08</c:v>
                </c:pt>
                <c:pt idx="69">
                  <c:v>1.0900000000000001</c:v>
                </c:pt>
                <c:pt idx="70">
                  <c:v>1.1000000000000001</c:v>
                </c:pt>
                <c:pt idx="71">
                  <c:v>1.1100000000000001</c:v>
                </c:pt>
                <c:pt idx="72">
                  <c:v>1.1200000000000001</c:v>
                </c:pt>
                <c:pt idx="73">
                  <c:v>1.1299999999999999</c:v>
                </c:pt>
                <c:pt idx="74">
                  <c:v>1.1399999999999999</c:v>
                </c:pt>
                <c:pt idx="75">
                  <c:v>1.1499999999999999</c:v>
                </c:pt>
                <c:pt idx="76">
                  <c:v>1.1599999999999999</c:v>
                </c:pt>
                <c:pt idx="77">
                  <c:v>1.17</c:v>
                </c:pt>
                <c:pt idx="78">
                  <c:v>1.18</c:v>
                </c:pt>
                <c:pt idx="79">
                  <c:v>1.19</c:v>
                </c:pt>
                <c:pt idx="80">
                  <c:v>1.2</c:v>
                </c:pt>
                <c:pt idx="81">
                  <c:v>1.21</c:v>
                </c:pt>
                <c:pt idx="82">
                  <c:v>1.22</c:v>
                </c:pt>
                <c:pt idx="83">
                  <c:v>1.23</c:v>
                </c:pt>
                <c:pt idx="84">
                  <c:v>1.24</c:v>
                </c:pt>
                <c:pt idx="85">
                  <c:v>1.25</c:v>
                </c:pt>
                <c:pt idx="86">
                  <c:v>1.26</c:v>
                </c:pt>
                <c:pt idx="87">
                  <c:v>1.27</c:v>
                </c:pt>
                <c:pt idx="88">
                  <c:v>1.28</c:v>
                </c:pt>
                <c:pt idx="89">
                  <c:v>1.29</c:v>
                </c:pt>
                <c:pt idx="90">
                  <c:v>1.3</c:v>
                </c:pt>
                <c:pt idx="91">
                  <c:v>1.31</c:v>
                </c:pt>
                <c:pt idx="92">
                  <c:v>1.32</c:v>
                </c:pt>
                <c:pt idx="93">
                  <c:v>1.33</c:v>
                </c:pt>
                <c:pt idx="94">
                  <c:v>1.34</c:v>
                </c:pt>
                <c:pt idx="95">
                  <c:v>1.35</c:v>
                </c:pt>
                <c:pt idx="96">
                  <c:v>1.36</c:v>
                </c:pt>
                <c:pt idx="97">
                  <c:v>1.37</c:v>
                </c:pt>
                <c:pt idx="98">
                  <c:v>1.38</c:v>
                </c:pt>
                <c:pt idx="99">
                  <c:v>1.39</c:v>
                </c:pt>
                <c:pt idx="100">
                  <c:v>1.4</c:v>
                </c:pt>
                <c:pt idx="101">
                  <c:v>1.41</c:v>
                </c:pt>
                <c:pt idx="102">
                  <c:v>1.42</c:v>
                </c:pt>
                <c:pt idx="103">
                  <c:v>1.43</c:v>
                </c:pt>
                <c:pt idx="104">
                  <c:v>1.44</c:v>
                </c:pt>
                <c:pt idx="105">
                  <c:v>1.45</c:v>
                </c:pt>
                <c:pt idx="106">
                  <c:v>1.46</c:v>
                </c:pt>
                <c:pt idx="107">
                  <c:v>1.46999999999999</c:v>
                </c:pt>
                <c:pt idx="108">
                  <c:v>1.47999999999999</c:v>
                </c:pt>
                <c:pt idx="109">
                  <c:v>1.48999999999999</c:v>
                </c:pt>
                <c:pt idx="110">
                  <c:v>1.49999999999999</c:v>
                </c:pt>
              </c:numCache>
            </c:numRef>
          </c:xVal>
          <c:yVal>
            <c:numRef>
              <c:f>'10A61 Liquid 1.5"'!$E$4:$E$114</c:f>
              <c:numCache>
                <c:formatCode>General</c:formatCode>
                <c:ptCount val="111"/>
                <c:pt idx="0">
                  <c:v>94.87</c:v>
                </c:pt>
                <c:pt idx="1">
                  <c:v>93.7</c:v>
                </c:pt>
                <c:pt idx="2">
                  <c:v>92.58</c:v>
                </c:pt>
                <c:pt idx="3">
                  <c:v>91.5</c:v>
                </c:pt>
                <c:pt idx="4">
                  <c:v>90.45</c:v>
                </c:pt>
                <c:pt idx="5">
                  <c:v>89.44</c:v>
                </c:pt>
                <c:pt idx="6">
                  <c:v>88.47</c:v>
                </c:pt>
                <c:pt idx="7">
                  <c:v>87.52</c:v>
                </c:pt>
                <c:pt idx="8">
                  <c:v>86.6</c:v>
                </c:pt>
                <c:pt idx="9">
                  <c:v>85.71</c:v>
                </c:pt>
                <c:pt idx="10">
                  <c:v>84.85</c:v>
                </c:pt>
                <c:pt idx="11">
                  <c:v>84.02</c:v>
                </c:pt>
                <c:pt idx="12">
                  <c:v>83.21</c:v>
                </c:pt>
                <c:pt idx="13">
                  <c:v>82.42</c:v>
                </c:pt>
                <c:pt idx="14">
                  <c:v>81.650000000000006</c:v>
                </c:pt>
                <c:pt idx="15">
                  <c:v>80.900000000000006</c:v>
                </c:pt>
                <c:pt idx="16">
                  <c:v>80.180000000000007</c:v>
                </c:pt>
                <c:pt idx="17">
                  <c:v>79.47</c:v>
                </c:pt>
                <c:pt idx="18">
                  <c:v>78.78</c:v>
                </c:pt>
                <c:pt idx="19">
                  <c:v>78.11</c:v>
                </c:pt>
                <c:pt idx="20">
                  <c:v>77.459999999999994</c:v>
                </c:pt>
                <c:pt idx="21">
                  <c:v>76.819999999999993</c:v>
                </c:pt>
                <c:pt idx="22">
                  <c:v>76.2</c:v>
                </c:pt>
                <c:pt idx="23">
                  <c:v>75.59</c:v>
                </c:pt>
                <c:pt idx="24">
                  <c:v>75</c:v>
                </c:pt>
                <c:pt idx="25">
                  <c:v>74.42</c:v>
                </c:pt>
                <c:pt idx="26">
                  <c:v>73.849999999999994</c:v>
                </c:pt>
                <c:pt idx="27">
                  <c:v>73.3</c:v>
                </c:pt>
                <c:pt idx="28">
                  <c:v>72.760000000000005</c:v>
                </c:pt>
                <c:pt idx="29">
                  <c:v>72.23</c:v>
                </c:pt>
                <c:pt idx="30">
                  <c:v>71.709999999999994</c:v>
                </c:pt>
                <c:pt idx="31">
                  <c:v>71.209999999999994</c:v>
                </c:pt>
                <c:pt idx="32">
                  <c:v>70.709999999999994</c:v>
                </c:pt>
                <c:pt idx="33">
                  <c:v>70.22</c:v>
                </c:pt>
                <c:pt idx="34">
                  <c:v>69.75</c:v>
                </c:pt>
                <c:pt idx="35">
                  <c:v>69.28</c:v>
                </c:pt>
                <c:pt idx="36">
                  <c:v>68.819999999999993</c:v>
                </c:pt>
                <c:pt idx="37">
                  <c:v>68.38</c:v>
                </c:pt>
                <c:pt idx="38">
                  <c:v>67.94</c:v>
                </c:pt>
                <c:pt idx="39">
                  <c:v>67.510000000000005</c:v>
                </c:pt>
                <c:pt idx="40">
                  <c:v>67.08</c:v>
                </c:pt>
                <c:pt idx="41">
                  <c:v>66.67</c:v>
                </c:pt>
                <c:pt idx="42">
                  <c:v>66.260000000000005</c:v>
                </c:pt>
                <c:pt idx="43">
                  <c:v>65.86</c:v>
                </c:pt>
                <c:pt idx="44">
                  <c:v>65.47</c:v>
                </c:pt>
                <c:pt idx="45">
                  <c:v>65.08</c:v>
                </c:pt>
                <c:pt idx="46">
                  <c:v>64.7</c:v>
                </c:pt>
                <c:pt idx="47">
                  <c:v>64.33</c:v>
                </c:pt>
                <c:pt idx="48">
                  <c:v>63.96</c:v>
                </c:pt>
                <c:pt idx="49">
                  <c:v>63.6</c:v>
                </c:pt>
                <c:pt idx="50">
                  <c:v>63.25</c:v>
                </c:pt>
                <c:pt idx="51">
                  <c:v>62.9</c:v>
                </c:pt>
                <c:pt idx="52">
                  <c:v>62.55</c:v>
                </c:pt>
                <c:pt idx="53">
                  <c:v>62.22</c:v>
                </c:pt>
                <c:pt idx="54">
                  <c:v>61.89</c:v>
                </c:pt>
                <c:pt idx="55">
                  <c:v>61.56</c:v>
                </c:pt>
                <c:pt idx="56">
                  <c:v>61.24</c:v>
                </c:pt>
                <c:pt idx="57">
                  <c:v>60.92</c:v>
                </c:pt>
                <c:pt idx="58">
                  <c:v>60.61</c:v>
                </c:pt>
                <c:pt idx="59">
                  <c:v>60.3</c:v>
                </c:pt>
                <c:pt idx="60">
                  <c:v>60</c:v>
                </c:pt>
                <c:pt idx="61">
                  <c:v>59.7</c:v>
                </c:pt>
                <c:pt idx="62">
                  <c:v>59.41</c:v>
                </c:pt>
                <c:pt idx="63">
                  <c:v>59.12</c:v>
                </c:pt>
                <c:pt idx="64">
                  <c:v>58.83</c:v>
                </c:pt>
                <c:pt idx="65">
                  <c:v>58.55</c:v>
                </c:pt>
                <c:pt idx="66">
                  <c:v>58.28</c:v>
                </c:pt>
                <c:pt idx="67">
                  <c:v>58</c:v>
                </c:pt>
                <c:pt idx="68">
                  <c:v>57.74</c:v>
                </c:pt>
                <c:pt idx="69">
                  <c:v>57.47</c:v>
                </c:pt>
                <c:pt idx="70">
                  <c:v>57.21</c:v>
                </c:pt>
                <c:pt idx="71">
                  <c:v>56.95</c:v>
                </c:pt>
                <c:pt idx="72">
                  <c:v>56.69</c:v>
                </c:pt>
                <c:pt idx="73">
                  <c:v>56.44</c:v>
                </c:pt>
                <c:pt idx="74">
                  <c:v>56.2</c:v>
                </c:pt>
                <c:pt idx="75">
                  <c:v>55.95</c:v>
                </c:pt>
                <c:pt idx="76">
                  <c:v>55.71</c:v>
                </c:pt>
                <c:pt idx="77">
                  <c:v>55.47</c:v>
                </c:pt>
                <c:pt idx="78">
                  <c:v>55.23</c:v>
                </c:pt>
                <c:pt idx="79">
                  <c:v>55</c:v>
                </c:pt>
                <c:pt idx="80">
                  <c:v>54.77</c:v>
                </c:pt>
                <c:pt idx="81">
                  <c:v>54.55</c:v>
                </c:pt>
                <c:pt idx="82">
                  <c:v>54.32</c:v>
                </c:pt>
                <c:pt idx="83">
                  <c:v>54.1</c:v>
                </c:pt>
                <c:pt idx="84">
                  <c:v>53.88</c:v>
                </c:pt>
                <c:pt idx="85">
                  <c:v>53.67</c:v>
                </c:pt>
                <c:pt idx="86">
                  <c:v>53.45</c:v>
                </c:pt>
                <c:pt idx="87">
                  <c:v>53.24</c:v>
                </c:pt>
                <c:pt idx="88">
                  <c:v>53.03</c:v>
                </c:pt>
                <c:pt idx="89">
                  <c:v>52.83</c:v>
                </c:pt>
                <c:pt idx="90">
                  <c:v>52.62</c:v>
                </c:pt>
                <c:pt idx="91">
                  <c:v>52.42</c:v>
                </c:pt>
                <c:pt idx="92">
                  <c:v>52.22</c:v>
                </c:pt>
                <c:pt idx="93">
                  <c:v>52.03</c:v>
                </c:pt>
                <c:pt idx="94">
                  <c:v>51.83</c:v>
                </c:pt>
                <c:pt idx="95">
                  <c:v>51.64</c:v>
                </c:pt>
                <c:pt idx="96">
                  <c:v>51.45</c:v>
                </c:pt>
                <c:pt idx="97">
                  <c:v>51.26</c:v>
                </c:pt>
                <c:pt idx="98">
                  <c:v>51.08</c:v>
                </c:pt>
                <c:pt idx="99">
                  <c:v>50.89</c:v>
                </c:pt>
                <c:pt idx="100">
                  <c:v>50.71</c:v>
                </c:pt>
                <c:pt idx="101">
                  <c:v>50.53</c:v>
                </c:pt>
                <c:pt idx="102">
                  <c:v>50.35</c:v>
                </c:pt>
                <c:pt idx="103">
                  <c:v>50.17</c:v>
                </c:pt>
                <c:pt idx="104">
                  <c:v>50</c:v>
                </c:pt>
                <c:pt idx="105">
                  <c:v>49.83</c:v>
                </c:pt>
                <c:pt idx="106">
                  <c:v>49.66</c:v>
                </c:pt>
                <c:pt idx="107">
                  <c:v>49.49</c:v>
                </c:pt>
                <c:pt idx="108">
                  <c:v>49.32</c:v>
                </c:pt>
                <c:pt idx="109">
                  <c:v>49.15</c:v>
                </c:pt>
                <c:pt idx="110">
                  <c:v>48.99</c:v>
                </c:pt>
              </c:numCache>
            </c:numRef>
          </c:yVal>
          <c:smooth val="1"/>
          <c:extLst>
            <c:ext xmlns:c16="http://schemas.microsoft.com/office/drawing/2014/chart" uri="{C3380CC4-5D6E-409C-BE32-E72D297353CC}">
              <c16:uniqueId val="{00000001-447C-43A2-A700-18493687F1D9}"/>
            </c:ext>
          </c:extLst>
        </c:ser>
        <c:dLbls>
          <c:showLegendKey val="0"/>
          <c:showVal val="0"/>
          <c:showCatName val="0"/>
          <c:showSerName val="0"/>
          <c:showPercent val="0"/>
          <c:showBubbleSize val="0"/>
        </c:dLbls>
        <c:axId val="894818800"/>
        <c:axId val="894819192"/>
      </c:scatterChart>
      <c:valAx>
        <c:axId val="894818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819192"/>
        <c:crosses val="autoZero"/>
        <c:crossBetween val="midCat"/>
      </c:valAx>
      <c:valAx>
        <c:axId val="894819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8188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LINEST'!$C$10:$C$16</c:f>
              <c:numCache>
                <c:formatCode>General</c:formatCode>
                <c:ptCount val="7"/>
                <c:pt idx="0">
                  <c:v>0.4</c:v>
                </c:pt>
                <c:pt idx="1">
                  <c:v>0.6</c:v>
                </c:pt>
                <c:pt idx="2">
                  <c:v>0.8</c:v>
                </c:pt>
                <c:pt idx="3">
                  <c:v>1</c:v>
                </c:pt>
                <c:pt idx="4">
                  <c:v>1.2</c:v>
                </c:pt>
                <c:pt idx="5">
                  <c:v>1.4</c:v>
                </c:pt>
                <c:pt idx="6">
                  <c:v>1.5</c:v>
                </c:pt>
              </c:numCache>
            </c:numRef>
          </c:xVal>
          <c:yVal>
            <c:numRef>
              <c:f>'10A61 3" Density LINEST'!$E$10:$E$16</c:f>
              <c:numCache>
                <c:formatCode>General</c:formatCode>
                <c:ptCount val="7"/>
                <c:pt idx="0" formatCode="0.00">
                  <c:v>6.2020000000000337</c:v>
                </c:pt>
                <c:pt idx="1">
                  <c:v>5.5743909512296312</c:v>
                </c:pt>
                <c:pt idx="2">
                  <c:v>4.97324995672885</c:v>
                </c:pt>
                <c:pt idx="3">
                  <c:v>4.3986762289217189</c:v>
                </c:pt>
                <c:pt idx="4">
                  <c:v>3.8458456872041005</c:v>
                </c:pt>
                <c:pt idx="5">
                  <c:v>3.2447118721612931</c:v>
                </c:pt>
                <c:pt idx="6">
                  <c:v>2.9043208666255484</c:v>
                </c:pt>
              </c:numCache>
            </c:numRef>
          </c:yVal>
          <c:smooth val="1"/>
          <c:extLst>
            <c:ext xmlns:c16="http://schemas.microsoft.com/office/drawing/2014/chart" uri="{C3380CC4-5D6E-409C-BE32-E72D297353CC}">
              <c16:uniqueId val="{00000001-B0E5-40CE-809D-81D3D025F9BB}"/>
            </c:ext>
          </c:extLst>
        </c:ser>
        <c:dLbls>
          <c:showLegendKey val="0"/>
          <c:showVal val="0"/>
          <c:showCatName val="0"/>
          <c:showSerName val="0"/>
          <c:showPercent val="0"/>
          <c:showBubbleSize val="0"/>
        </c:dLbls>
        <c:axId val="894819976"/>
        <c:axId val="475069912"/>
      </c:scatterChart>
      <c:valAx>
        <c:axId val="8948199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69912"/>
        <c:crosses val="autoZero"/>
        <c:crossBetween val="midCat"/>
      </c:valAx>
      <c:valAx>
        <c:axId val="475069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8199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LINEST'!$C$26:$C$32</c:f>
              <c:numCache>
                <c:formatCode>General</c:formatCode>
                <c:ptCount val="7"/>
                <c:pt idx="0">
                  <c:v>0.4</c:v>
                </c:pt>
                <c:pt idx="1">
                  <c:v>0.6</c:v>
                </c:pt>
                <c:pt idx="2">
                  <c:v>0.8</c:v>
                </c:pt>
                <c:pt idx="3">
                  <c:v>1</c:v>
                </c:pt>
                <c:pt idx="4">
                  <c:v>1.2</c:v>
                </c:pt>
                <c:pt idx="5">
                  <c:v>1.4</c:v>
                </c:pt>
                <c:pt idx="6">
                  <c:v>1.5</c:v>
                </c:pt>
              </c:numCache>
            </c:numRef>
          </c:xVal>
          <c:yVal>
            <c:numRef>
              <c:f>'10A61 3" Density LINEST'!$E$26:$E$32</c:f>
              <c:numCache>
                <c:formatCode>General</c:formatCode>
                <c:ptCount val="7"/>
                <c:pt idx="0" formatCode="0.00">
                  <c:v>10.252103174603171</c:v>
                </c:pt>
                <c:pt idx="1">
                  <c:v>9.5988531746031569</c:v>
                </c:pt>
                <c:pt idx="2">
                  <c:v>8.9964563492063299</c:v>
                </c:pt>
                <c:pt idx="3">
                  <c:v>8.4091388888888829</c:v>
                </c:pt>
                <c:pt idx="4">
                  <c:v>7.7958888888888822</c:v>
                </c:pt>
                <c:pt idx="5">
                  <c:v>7.1863095238095127</c:v>
                </c:pt>
                <c:pt idx="6">
                  <c:v>6.8907738095238145</c:v>
                </c:pt>
              </c:numCache>
            </c:numRef>
          </c:yVal>
          <c:smooth val="1"/>
          <c:extLst>
            <c:ext xmlns:c16="http://schemas.microsoft.com/office/drawing/2014/chart" uri="{C3380CC4-5D6E-409C-BE32-E72D297353CC}">
              <c16:uniqueId val="{00000001-3E95-4344-9982-67683201F1D6}"/>
            </c:ext>
          </c:extLst>
        </c:ser>
        <c:dLbls>
          <c:showLegendKey val="0"/>
          <c:showVal val="0"/>
          <c:showCatName val="0"/>
          <c:showSerName val="0"/>
          <c:showPercent val="0"/>
          <c:showBubbleSize val="0"/>
        </c:dLbls>
        <c:axId val="475070696"/>
        <c:axId val="475071088"/>
      </c:scatterChart>
      <c:valAx>
        <c:axId val="4750706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1088"/>
        <c:crosses val="autoZero"/>
        <c:crossBetween val="midCat"/>
      </c:valAx>
      <c:valAx>
        <c:axId val="475071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06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LINEST'!$C$42:$C$48</c:f>
              <c:numCache>
                <c:formatCode>General</c:formatCode>
                <c:ptCount val="7"/>
                <c:pt idx="0">
                  <c:v>0.4</c:v>
                </c:pt>
                <c:pt idx="1">
                  <c:v>0.6</c:v>
                </c:pt>
                <c:pt idx="2">
                  <c:v>0.8</c:v>
                </c:pt>
                <c:pt idx="3">
                  <c:v>1</c:v>
                </c:pt>
                <c:pt idx="4">
                  <c:v>1.2</c:v>
                </c:pt>
                <c:pt idx="5">
                  <c:v>1.4</c:v>
                </c:pt>
                <c:pt idx="6">
                  <c:v>1.5</c:v>
                </c:pt>
              </c:numCache>
            </c:numRef>
          </c:xVal>
          <c:yVal>
            <c:numRef>
              <c:f>'10A61 3" Density LINEST'!$E$42:$E$48</c:f>
              <c:numCache>
                <c:formatCode>0.00</c:formatCode>
                <c:ptCount val="7"/>
                <c:pt idx="0">
                  <c:v>21.492420634920649</c:v>
                </c:pt>
                <c:pt idx="1">
                  <c:v>20.303849206349199</c:v>
                </c:pt>
                <c:pt idx="2">
                  <c:v>19.33138888888891</c:v>
                </c:pt>
                <c:pt idx="3">
                  <c:v>18.499484126984157</c:v>
                </c:pt>
                <c:pt idx="4">
                  <c:v>17.599166666666704</c:v>
                </c:pt>
                <c:pt idx="5">
                  <c:v>16.793214285714271</c:v>
                </c:pt>
                <c:pt idx="6">
                  <c:v>16.414880952380958</c:v>
                </c:pt>
              </c:numCache>
            </c:numRef>
          </c:yVal>
          <c:smooth val="1"/>
          <c:extLst>
            <c:ext xmlns:c16="http://schemas.microsoft.com/office/drawing/2014/chart" uri="{C3380CC4-5D6E-409C-BE32-E72D297353CC}">
              <c16:uniqueId val="{00000001-1D22-41B9-B262-87264F3A2EF7}"/>
            </c:ext>
          </c:extLst>
        </c:ser>
        <c:dLbls>
          <c:showLegendKey val="0"/>
          <c:showVal val="0"/>
          <c:showCatName val="0"/>
          <c:showSerName val="0"/>
          <c:showPercent val="0"/>
          <c:showBubbleSize val="0"/>
        </c:dLbls>
        <c:axId val="478596928"/>
        <c:axId val="478597320"/>
      </c:scatterChart>
      <c:valAx>
        <c:axId val="47859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97320"/>
        <c:crosses val="autoZero"/>
        <c:crossBetween val="midCat"/>
      </c:valAx>
      <c:valAx>
        <c:axId val="478597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969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LINEST'!$C$58:$C$64</c:f>
              <c:numCache>
                <c:formatCode>General</c:formatCode>
                <c:ptCount val="7"/>
                <c:pt idx="0">
                  <c:v>0.4</c:v>
                </c:pt>
                <c:pt idx="1">
                  <c:v>0.6</c:v>
                </c:pt>
                <c:pt idx="2">
                  <c:v>0.8</c:v>
                </c:pt>
                <c:pt idx="3">
                  <c:v>1</c:v>
                </c:pt>
                <c:pt idx="4">
                  <c:v>1.2</c:v>
                </c:pt>
                <c:pt idx="5">
                  <c:v>1.4</c:v>
                </c:pt>
                <c:pt idx="6">
                  <c:v>1.5</c:v>
                </c:pt>
              </c:numCache>
            </c:numRef>
          </c:xVal>
          <c:yVal>
            <c:numRef>
              <c:f>'10A61 3" Density LINEST'!$E$58:$E$64</c:f>
              <c:numCache>
                <c:formatCode>0.00</c:formatCode>
                <c:ptCount val="7"/>
                <c:pt idx="0">
                  <c:v>38.93329365079363</c:v>
                </c:pt>
                <c:pt idx="1">
                  <c:v>36.762222222222192</c:v>
                </c:pt>
                <c:pt idx="2">
                  <c:v>34.95146825396823</c:v>
                </c:pt>
                <c:pt idx="3">
                  <c:v>33.492896825396791</c:v>
                </c:pt>
                <c:pt idx="4">
                  <c:v>31.775595238095292</c:v>
                </c:pt>
                <c:pt idx="5">
                  <c:v>30.272063492063502</c:v>
                </c:pt>
                <c:pt idx="6">
                  <c:v>29.596626984126971</c:v>
                </c:pt>
              </c:numCache>
            </c:numRef>
          </c:yVal>
          <c:smooth val="1"/>
          <c:extLst>
            <c:ext xmlns:c16="http://schemas.microsoft.com/office/drawing/2014/chart" uri="{C3380CC4-5D6E-409C-BE32-E72D297353CC}">
              <c16:uniqueId val="{00000001-BDAA-439E-9C27-3237417A3CF1}"/>
            </c:ext>
          </c:extLst>
        </c:ser>
        <c:dLbls>
          <c:showLegendKey val="0"/>
          <c:showVal val="0"/>
          <c:showCatName val="0"/>
          <c:showSerName val="0"/>
          <c:showPercent val="0"/>
          <c:showBubbleSize val="0"/>
        </c:dLbls>
        <c:axId val="478598104"/>
        <c:axId val="478598496"/>
      </c:scatterChart>
      <c:valAx>
        <c:axId val="4785981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98496"/>
        <c:crosses val="autoZero"/>
        <c:crossBetween val="midCat"/>
      </c:valAx>
      <c:valAx>
        <c:axId val="478598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598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LINEST'!$C$74:$C$80</c:f>
              <c:numCache>
                <c:formatCode>General</c:formatCode>
                <c:ptCount val="7"/>
                <c:pt idx="0">
                  <c:v>0.4</c:v>
                </c:pt>
                <c:pt idx="1">
                  <c:v>0.6</c:v>
                </c:pt>
                <c:pt idx="2">
                  <c:v>0.8</c:v>
                </c:pt>
                <c:pt idx="3">
                  <c:v>1</c:v>
                </c:pt>
                <c:pt idx="4">
                  <c:v>1.2</c:v>
                </c:pt>
                <c:pt idx="5">
                  <c:v>1.4</c:v>
                </c:pt>
                <c:pt idx="6">
                  <c:v>1.5</c:v>
                </c:pt>
              </c:numCache>
            </c:numRef>
          </c:xVal>
          <c:yVal>
            <c:numRef>
              <c:f>'10A61 3" Density LINEST'!$E$74:$E$80</c:f>
              <c:numCache>
                <c:formatCode>0.00</c:formatCode>
                <c:ptCount val="7"/>
                <c:pt idx="0">
                  <c:v>42.974365079365114</c:v>
                </c:pt>
                <c:pt idx="1">
                  <c:v>40.385357142857146</c:v>
                </c:pt>
                <c:pt idx="2">
                  <c:v>38.444206349206283</c:v>
                </c:pt>
                <c:pt idx="3">
                  <c:v>36.54456349206356</c:v>
                </c:pt>
                <c:pt idx="4">
                  <c:v>34.619444444444454</c:v>
                </c:pt>
                <c:pt idx="5">
                  <c:v>33.022380952380956</c:v>
                </c:pt>
                <c:pt idx="6">
                  <c:v>32.309484126984117</c:v>
                </c:pt>
              </c:numCache>
            </c:numRef>
          </c:yVal>
          <c:smooth val="1"/>
          <c:extLst>
            <c:ext xmlns:c16="http://schemas.microsoft.com/office/drawing/2014/chart" uri="{C3380CC4-5D6E-409C-BE32-E72D297353CC}">
              <c16:uniqueId val="{00000001-0225-4682-969C-CE5418306B66}"/>
            </c:ext>
          </c:extLst>
        </c:ser>
        <c:dLbls>
          <c:showLegendKey val="0"/>
          <c:showVal val="0"/>
          <c:showCatName val="0"/>
          <c:showSerName val="0"/>
          <c:showPercent val="0"/>
          <c:showBubbleSize val="0"/>
        </c:dLbls>
        <c:axId val="443161032"/>
        <c:axId val="443161424"/>
      </c:scatterChart>
      <c:valAx>
        <c:axId val="443161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161424"/>
        <c:crosses val="autoZero"/>
        <c:crossBetween val="midCat"/>
      </c:valAx>
      <c:valAx>
        <c:axId val="44316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161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LINEST'!$C$90:$C$96</c:f>
              <c:numCache>
                <c:formatCode>General</c:formatCode>
                <c:ptCount val="7"/>
                <c:pt idx="0">
                  <c:v>0.4</c:v>
                </c:pt>
                <c:pt idx="1">
                  <c:v>0.6</c:v>
                </c:pt>
                <c:pt idx="2">
                  <c:v>0.8</c:v>
                </c:pt>
                <c:pt idx="3">
                  <c:v>1</c:v>
                </c:pt>
                <c:pt idx="4">
                  <c:v>1.2</c:v>
                </c:pt>
                <c:pt idx="5">
                  <c:v>1.4</c:v>
                </c:pt>
                <c:pt idx="6">
                  <c:v>1.5</c:v>
                </c:pt>
              </c:numCache>
            </c:numRef>
          </c:xVal>
          <c:yVal>
            <c:numRef>
              <c:f>'10A61 3" Density LINEST'!$E$90:$E$96</c:f>
              <c:numCache>
                <c:formatCode>0.00</c:formatCode>
                <c:ptCount val="7"/>
                <c:pt idx="0">
                  <c:v>40.913928571428642</c:v>
                </c:pt>
                <c:pt idx="1">
                  <c:v>36.301626984126997</c:v>
                </c:pt>
                <c:pt idx="2">
                  <c:v>32.209166666666675</c:v>
                </c:pt>
                <c:pt idx="3">
                  <c:v>28.322857142857146</c:v>
                </c:pt>
                <c:pt idx="4">
                  <c:v>24.567817460317471</c:v>
                </c:pt>
                <c:pt idx="5">
                  <c:v>20.917261904761887</c:v>
                </c:pt>
                <c:pt idx="6">
                  <c:v>19.10789682539685</c:v>
                </c:pt>
              </c:numCache>
            </c:numRef>
          </c:yVal>
          <c:smooth val="1"/>
          <c:extLst>
            <c:ext xmlns:c16="http://schemas.microsoft.com/office/drawing/2014/chart" uri="{C3380CC4-5D6E-409C-BE32-E72D297353CC}">
              <c16:uniqueId val="{00000001-7617-4576-A7AE-A0B261BA458A}"/>
            </c:ext>
          </c:extLst>
        </c:ser>
        <c:dLbls>
          <c:showLegendKey val="0"/>
          <c:showVal val="0"/>
          <c:showCatName val="0"/>
          <c:showSerName val="0"/>
          <c:showPercent val="0"/>
          <c:showBubbleSize val="0"/>
        </c:dLbls>
        <c:axId val="443162208"/>
        <c:axId val="852645960"/>
      </c:scatterChart>
      <c:valAx>
        <c:axId val="4431622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645960"/>
        <c:crosses val="autoZero"/>
        <c:crossBetween val="midCat"/>
      </c:valAx>
      <c:valAx>
        <c:axId val="852645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1622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LINEST'!$C$106:$C$112</c:f>
              <c:numCache>
                <c:formatCode>General</c:formatCode>
                <c:ptCount val="7"/>
                <c:pt idx="0">
                  <c:v>0.4</c:v>
                </c:pt>
                <c:pt idx="1">
                  <c:v>0.6</c:v>
                </c:pt>
                <c:pt idx="2">
                  <c:v>0.8</c:v>
                </c:pt>
                <c:pt idx="3">
                  <c:v>1</c:v>
                </c:pt>
                <c:pt idx="4">
                  <c:v>1.2</c:v>
                </c:pt>
                <c:pt idx="5">
                  <c:v>1.4</c:v>
                </c:pt>
                <c:pt idx="6">
                  <c:v>1.5</c:v>
                </c:pt>
              </c:numCache>
            </c:numRef>
          </c:xVal>
          <c:yVal>
            <c:numRef>
              <c:f>'10A61 3" Density LINEST'!$E$106:$E$112</c:f>
              <c:numCache>
                <c:formatCode>0.00</c:formatCode>
                <c:ptCount val="7"/>
                <c:pt idx="0">
                  <c:v>66.145952380952409</c:v>
                </c:pt>
                <c:pt idx="1">
                  <c:v>59.819563492063509</c:v>
                </c:pt>
                <c:pt idx="2">
                  <c:v>53.784285714285772</c:v>
                </c:pt>
                <c:pt idx="3">
                  <c:v>48.837539682539685</c:v>
                </c:pt>
                <c:pt idx="4">
                  <c:v>44.275833333333239</c:v>
                </c:pt>
                <c:pt idx="5">
                  <c:v>40.15126984126988</c:v>
                </c:pt>
                <c:pt idx="6">
                  <c:v>38.257619047618945</c:v>
                </c:pt>
              </c:numCache>
            </c:numRef>
          </c:yVal>
          <c:smooth val="1"/>
          <c:extLst>
            <c:ext xmlns:c16="http://schemas.microsoft.com/office/drawing/2014/chart" uri="{C3380CC4-5D6E-409C-BE32-E72D297353CC}">
              <c16:uniqueId val="{00000001-60F7-4C1F-A9AB-512921BDD183}"/>
            </c:ext>
          </c:extLst>
        </c:ser>
        <c:dLbls>
          <c:showLegendKey val="0"/>
          <c:showVal val="0"/>
          <c:showCatName val="0"/>
          <c:showSerName val="0"/>
          <c:showPercent val="0"/>
          <c:showBubbleSize val="0"/>
        </c:dLbls>
        <c:axId val="852646744"/>
        <c:axId val="852647136"/>
      </c:scatterChart>
      <c:valAx>
        <c:axId val="8526467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647136"/>
        <c:crosses val="autoZero"/>
        <c:crossBetween val="midCat"/>
      </c:valAx>
      <c:valAx>
        <c:axId val="852647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646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LINEST'!$C$138:$C$144</c:f>
              <c:numCache>
                <c:formatCode>General</c:formatCode>
                <c:ptCount val="7"/>
                <c:pt idx="0">
                  <c:v>0.4</c:v>
                </c:pt>
                <c:pt idx="1">
                  <c:v>0.6</c:v>
                </c:pt>
                <c:pt idx="2">
                  <c:v>0.8</c:v>
                </c:pt>
                <c:pt idx="3">
                  <c:v>1</c:v>
                </c:pt>
                <c:pt idx="4">
                  <c:v>1.2</c:v>
                </c:pt>
                <c:pt idx="5">
                  <c:v>1.4</c:v>
                </c:pt>
                <c:pt idx="6">
                  <c:v>1.5</c:v>
                </c:pt>
              </c:numCache>
            </c:numRef>
          </c:xVal>
          <c:yVal>
            <c:numRef>
              <c:f>'10A61 3" Density LINEST'!$E$138:$E$144</c:f>
              <c:numCache>
                <c:formatCode>0.00</c:formatCode>
                <c:ptCount val="7"/>
                <c:pt idx="0">
                  <c:v>197.01587301587301</c:v>
                </c:pt>
                <c:pt idx="1">
                  <c:v>169.69047619047615</c:v>
                </c:pt>
                <c:pt idx="2">
                  <c:v>150.20476190476202</c:v>
                </c:pt>
                <c:pt idx="3">
                  <c:v>136.32579365079368</c:v>
                </c:pt>
                <c:pt idx="4">
                  <c:v>125.49523809523805</c:v>
                </c:pt>
                <c:pt idx="5">
                  <c:v>116.78730158730156</c:v>
                </c:pt>
                <c:pt idx="6">
                  <c:v>112.99047619047619</c:v>
                </c:pt>
              </c:numCache>
            </c:numRef>
          </c:yVal>
          <c:smooth val="1"/>
          <c:extLst>
            <c:ext xmlns:c16="http://schemas.microsoft.com/office/drawing/2014/chart" uri="{C3380CC4-5D6E-409C-BE32-E72D297353CC}">
              <c16:uniqueId val="{00000001-5753-4067-9FC5-78FB0320CB00}"/>
            </c:ext>
          </c:extLst>
        </c:ser>
        <c:dLbls>
          <c:showLegendKey val="0"/>
          <c:showVal val="0"/>
          <c:showCatName val="0"/>
          <c:showSerName val="0"/>
          <c:showPercent val="0"/>
          <c:showBubbleSize val="0"/>
        </c:dLbls>
        <c:axId val="535988112"/>
        <c:axId val="535988504"/>
      </c:scatterChart>
      <c:valAx>
        <c:axId val="535988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88504"/>
        <c:crosses val="autoZero"/>
        <c:crossBetween val="midCat"/>
      </c:valAx>
      <c:valAx>
        <c:axId val="535988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881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LINEST'!$C$154:$C$160</c:f>
              <c:numCache>
                <c:formatCode>General</c:formatCode>
                <c:ptCount val="7"/>
                <c:pt idx="0">
                  <c:v>0.4</c:v>
                </c:pt>
                <c:pt idx="1">
                  <c:v>0.6</c:v>
                </c:pt>
                <c:pt idx="2">
                  <c:v>0.8</c:v>
                </c:pt>
                <c:pt idx="3">
                  <c:v>1</c:v>
                </c:pt>
                <c:pt idx="4">
                  <c:v>1.2</c:v>
                </c:pt>
                <c:pt idx="5">
                  <c:v>1.4</c:v>
                </c:pt>
                <c:pt idx="6">
                  <c:v>1.5</c:v>
                </c:pt>
              </c:numCache>
            </c:numRef>
          </c:xVal>
          <c:yVal>
            <c:numRef>
              <c:f>'10A61 3" Density LINEST'!$E$154:$E$160</c:f>
              <c:numCache>
                <c:formatCode>0.00</c:formatCode>
                <c:ptCount val="7"/>
                <c:pt idx="0">
                  <c:v>212.51626984126978</c:v>
                </c:pt>
                <c:pt idx="1">
                  <c:v>181.28293650793665</c:v>
                </c:pt>
                <c:pt idx="2">
                  <c:v>160.61666666666667</c:v>
                </c:pt>
                <c:pt idx="3">
                  <c:v>145.70793650793655</c:v>
                </c:pt>
                <c:pt idx="4">
                  <c:v>134.18174603174617</c:v>
                </c:pt>
                <c:pt idx="5">
                  <c:v>124.9944444444445</c:v>
                </c:pt>
                <c:pt idx="6">
                  <c:v>120.99722222222229</c:v>
                </c:pt>
              </c:numCache>
            </c:numRef>
          </c:yVal>
          <c:smooth val="1"/>
          <c:extLst>
            <c:ext xmlns:c16="http://schemas.microsoft.com/office/drawing/2014/chart" uri="{C3380CC4-5D6E-409C-BE32-E72D297353CC}">
              <c16:uniqueId val="{00000001-14A7-4611-827E-7B2E9B405B4E}"/>
            </c:ext>
          </c:extLst>
        </c:ser>
        <c:dLbls>
          <c:showLegendKey val="0"/>
          <c:showVal val="0"/>
          <c:showCatName val="0"/>
          <c:showSerName val="0"/>
          <c:showPercent val="0"/>
          <c:showBubbleSize val="0"/>
        </c:dLbls>
        <c:axId val="535989288"/>
        <c:axId val="535989680"/>
      </c:scatterChart>
      <c:valAx>
        <c:axId val="535989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89680"/>
        <c:crosses val="autoZero"/>
        <c:crossBetween val="midCat"/>
      </c:valAx>
      <c:valAx>
        <c:axId val="535989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989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088648293963255"/>
          <c:y val="0.19486111111111112"/>
          <c:w val="0.84273862642169728"/>
          <c:h val="0.72088764946048411"/>
        </c:manualLayout>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6.6606517935258097E-2"/>
                  <c:y val="0.1249839603382910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LINEST'!$C$122:$C$128</c:f>
              <c:numCache>
                <c:formatCode>General</c:formatCode>
                <c:ptCount val="7"/>
                <c:pt idx="0">
                  <c:v>0.4</c:v>
                </c:pt>
                <c:pt idx="1">
                  <c:v>0.6</c:v>
                </c:pt>
                <c:pt idx="2">
                  <c:v>0.8</c:v>
                </c:pt>
                <c:pt idx="3">
                  <c:v>1</c:v>
                </c:pt>
                <c:pt idx="4">
                  <c:v>1.2</c:v>
                </c:pt>
                <c:pt idx="5">
                  <c:v>1.4</c:v>
                </c:pt>
                <c:pt idx="6">
                  <c:v>1.5</c:v>
                </c:pt>
              </c:numCache>
            </c:numRef>
          </c:xVal>
          <c:yVal>
            <c:numRef>
              <c:f>'10A61 3" Density LINEST'!$E$122:$E$128</c:f>
              <c:numCache>
                <c:formatCode>0.00</c:formatCode>
                <c:ptCount val="7"/>
                <c:pt idx="0">
                  <c:v>124.32301587301588</c:v>
                </c:pt>
                <c:pt idx="1">
                  <c:v>108.56666666666649</c:v>
                </c:pt>
                <c:pt idx="2">
                  <c:v>97.965317460317465</c:v>
                </c:pt>
                <c:pt idx="3">
                  <c:v>89.985436507936527</c:v>
                </c:pt>
                <c:pt idx="4">
                  <c:v>82.287579365079409</c:v>
                </c:pt>
                <c:pt idx="5">
                  <c:v>76.032261904761896</c:v>
                </c:pt>
                <c:pt idx="6">
                  <c:v>73.312817460317433</c:v>
                </c:pt>
              </c:numCache>
            </c:numRef>
          </c:yVal>
          <c:smooth val="1"/>
          <c:extLst>
            <c:ext xmlns:c16="http://schemas.microsoft.com/office/drawing/2014/chart" uri="{C3380CC4-5D6E-409C-BE32-E72D297353CC}">
              <c16:uniqueId val="{00000001-2BE7-4A18-B2B4-56089F0A09F8}"/>
            </c:ext>
          </c:extLst>
        </c:ser>
        <c:dLbls>
          <c:showLegendKey val="0"/>
          <c:showVal val="0"/>
          <c:showCatName val="0"/>
          <c:showSerName val="0"/>
          <c:showPercent val="0"/>
          <c:showBubbleSize val="0"/>
        </c:dLbls>
        <c:axId val="854143456"/>
        <c:axId val="854143848"/>
      </c:scatterChart>
      <c:valAx>
        <c:axId val="854143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143848"/>
        <c:crosses val="autoZero"/>
        <c:crossBetween val="midCat"/>
      </c:valAx>
      <c:valAx>
        <c:axId val="854143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1434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LINEST'!$C$170:$C$176</c:f>
              <c:numCache>
                <c:formatCode>General</c:formatCode>
                <c:ptCount val="7"/>
                <c:pt idx="0">
                  <c:v>0.4</c:v>
                </c:pt>
                <c:pt idx="1">
                  <c:v>0.6</c:v>
                </c:pt>
                <c:pt idx="2">
                  <c:v>0.8</c:v>
                </c:pt>
                <c:pt idx="3">
                  <c:v>1</c:v>
                </c:pt>
                <c:pt idx="4">
                  <c:v>1.2</c:v>
                </c:pt>
                <c:pt idx="5">
                  <c:v>1.4</c:v>
                </c:pt>
                <c:pt idx="6">
                  <c:v>1.5</c:v>
                </c:pt>
              </c:numCache>
            </c:numRef>
          </c:xVal>
          <c:yVal>
            <c:numRef>
              <c:f>'10A61 3" Density LINEST'!$E$170:$E$176</c:f>
              <c:numCache>
                <c:formatCode>0.00</c:formatCode>
                <c:ptCount val="7"/>
                <c:pt idx="0">
                  <c:v>210.13849206349198</c:v>
                </c:pt>
                <c:pt idx="1">
                  <c:v>176.47738095238105</c:v>
                </c:pt>
                <c:pt idx="2">
                  <c:v>149.9531746031746</c:v>
                </c:pt>
                <c:pt idx="3">
                  <c:v>127.59365079365077</c:v>
                </c:pt>
                <c:pt idx="4">
                  <c:v>107.30119047619047</c:v>
                </c:pt>
                <c:pt idx="5">
                  <c:v>88.446269841269867</c:v>
                </c:pt>
                <c:pt idx="6">
                  <c:v>79.293134920634927</c:v>
                </c:pt>
              </c:numCache>
            </c:numRef>
          </c:yVal>
          <c:smooth val="1"/>
          <c:extLst>
            <c:ext xmlns:c16="http://schemas.microsoft.com/office/drawing/2014/chart" uri="{C3380CC4-5D6E-409C-BE32-E72D297353CC}">
              <c16:uniqueId val="{00000001-5CE6-4C65-A42D-161D51955C37}"/>
            </c:ext>
          </c:extLst>
        </c:ser>
        <c:dLbls>
          <c:showLegendKey val="0"/>
          <c:showVal val="0"/>
          <c:showCatName val="0"/>
          <c:showSerName val="0"/>
          <c:showPercent val="0"/>
          <c:showBubbleSize val="0"/>
        </c:dLbls>
        <c:axId val="854144632"/>
        <c:axId val="534381496"/>
      </c:scatterChart>
      <c:valAx>
        <c:axId val="8541446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81496"/>
        <c:crosses val="autoZero"/>
        <c:crossBetween val="midCat"/>
      </c:valAx>
      <c:valAx>
        <c:axId val="534381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1446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LINEST'!$C$186:$C$192</c:f>
              <c:numCache>
                <c:formatCode>General</c:formatCode>
                <c:ptCount val="7"/>
                <c:pt idx="0">
                  <c:v>0.4</c:v>
                </c:pt>
                <c:pt idx="1">
                  <c:v>0.6</c:v>
                </c:pt>
                <c:pt idx="2">
                  <c:v>0.8</c:v>
                </c:pt>
                <c:pt idx="3">
                  <c:v>1</c:v>
                </c:pt>
                <c:pt idx="4">
                  <c:v>1.2</c:v>
                </c:pt>
                <c:pt idx="5">
                  <c:v>1.4</c:v>
                </c:pt>
                <c:pt idx="6">
                  <c:v>1.5</c:v>
                </c:pt>
              </c:numCache>
            </c:numRef>
          </c:xVal>
          <c:yVal>
            <c:numRef>
              <c:f>'10A61 3" Density LINEST'!$E$186:$E$192</c:f>
              <c:numCache>
                <c:formatCode>0.00</c:formatCode>
                <c:ptCount val="7"/>
                <c:pt idx="0">
                  <c:v>347.90436507936533</c:v>
                </c:pt>
                <c:pt idx="1">
                  <c:v>299.33055555555552</c:v>
                </c:pt>
                <c:pt idx="2">
                  <c:v>261.50873015872969</c:v>
                </c:pt>
                <c:pt idx="3">
                  <c:v>232.70992063492059</c:v>
                </c:pt>
                <c:pt idx="4">
                  <c:v>208.22063492063495</c:v>
                </c:pt>
                <c:pt idx="5">
                  <c:v>187.11190476190484</c:v>
                </c:pt>
                <c:pt idx="6">
                  <c:v>177.80555555555554</c:v>
                </c:pt>
              </c:numCache>
            </c:numRef>
          </c:yVal>
          <c:smooth val="1"/>
          <c:extLst>
            <c:ext xmlns:c16="http://schemas.microsoft.com/office/drawing/2014/chart" uri="{C3380CC4-5D6E-409C-BE32-E72D297353CC}">
              <c16:uniqueId val="{00000001-34B9-477F-99BC-20484BA78B85}"/>
            </c:ext>
          </c:extLst>
        </c:ser>
        <c:dLbls>
          <c:showLegendKey val="0"/>
          <c:showVal val="0"/>
          <c:showCatName val="0"/>
          <c:showSerName val="0"/>
          <c:showPercent val="0"/>
          <c:showBubbleSize val="0"/>
        </c:dLbls>
        <c:axId val="534382280"/>
        <c:axId val="534382672"/>
      </c:scatterChart>
      <c:valAx>
        <c:axId val="534382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82672"/>
        <c:crosses val="autoZero"/>
        <c:crossBetween val="midCat"/>
      </c:valAx>
      <c:valAx>
        <c:axId val="534382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382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LINEST'!$C$202:$C$208</c:f>
              <c:numCache>
                <c:formatCode>General</c:formatCode>
                <c:ptCount val="7"/>
                <c:pt idx="0">
                  <c:v>0.4</c:v>
                </c:pt>
                <c:pt idx="1">
                  <c:v>0.6</c:v>
                </c:pt>
                <c:pt idx="2">
                  <c:v>0.8</c:v>
                </c:pt>
                <c:pt idx="3">
                  <c:v>1</c:v>
                </c:pt>
                <c:pt idx="4">
                  <c:v>1.2</c:v>
                </c:pt>
                <c:pt idx="5">
                  <c:v>1.4</c:v>
                </c:pt>
                <c:pt idx="6">
                  <c:v>1.5</c:v>
                </c:pt>
              </c:numCache>
            </c:numRef>
          </c:xVal>
          <c:yVal>
            <c:numRef>
              <c:f>'10A61 3" Density LINEST'!$E$202:$E$208</c:f>
              <c:numCache>
                <c:formatCode>0.00</c:formatCode>
                <c:ptCount val="7"/>
                <c:pt idx="0">
                  <c:v>390.21825396825398</c:v>
                </c:pt>
                <c:pt idx="1">
                  <c:v>312.88134920634911</c:v>
                </c:pt>
                <c:pt idx="2">
                  <c:v>259.37380952380954</c:v>
                </c:pt>
                <c:pt idx="3">
                  <c:v>217.89999999999998</c:v>
                </c:pt>
                <c:pt idx="4">
                  <c:v>183.00436507936507</c:v>
                </c:pt>
                <c:pt idx="5">
                  <c:v>151.9980158730159</c:v>
                </c:pt>
                <c:pt idx="6">
                  <c:v>137.38730158730149</c:v>
                </c:pt>
              </c:numCache>
            </c:numRef>
          </c:yVal>
          <c:smooth val="1"/>
          <c:extLst>
            <c:ext xmlns:c16="http://schemas.microsoft.com/office/drawing/2014/chart" uri="{C3380CC4-5D6E-409C-BE32-E72D297353CC}">
              <c16:uniqueId val="{00000001-1267-4EB3-9967-0E19F2EDD8BA}"/>
            </c:ext>
          </c:extLst>
        </c:ser>
        <c:dLbls>
          <c:showLegendKey val="0"/>
          <c:showVal val="0"/>
          <c:showCatName val="0"/>
          <c:showSerName val="0"/>
          <c:showPercent val="0"/>
          <c:showBubbleSize val="0"/>
        </c:dLbls>
        <c:axId val="473759200"/>
        <c:axId val="473759592"/>
      </c:scatterChart>
      <c:valAx>
        <c:axId val="4737592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59592"/>
        <c:crosses val="autoZero"/>
        <c:crossBetween val="midCat"/>
      </c:valAx>
      <c:valAx>
        <c:axId val="473759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592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LINEST'!$C$218:$C$224</c:f>
              <c:numCache>
                <c:formatCode>General</c:formatCode>
                <c:ptCount val="7"/>
                <c:pt idx="0">
                  <c:v>0.4</c:v>
                </c:pt>
                <c:pt idx="1">
                  <c:v>0.6</c:v>
                </c:pt>
                <c:pt idx="2">
                  <c:v>0.8</c:v>
                </c:pt>
                <c:pt idx="3">
                  <c:v>1</c:v>
                </c:pt>
                <c:pt idx="4">
                  <c:v>1.2</c:v>
                </c:pt>
                <c:pt idx="5">
                  <c:v>1.4</c:v>
                </c:pt>
                <c:pt idx="6">
                  <c:v>1.5</c:v>
                </c:pt>
              </c:numCache>
            </c:numRef>
          </c:xVal>
          <c:yVal>
            <c:numRef>
              <c:f>'10A61 3" Density LINEST'!$E$218:$E$224</c:f>
              <c:numCache>
                <c:formatCode>0.00</c:formatCode>
                <c:ptCount val="7"/>
                <c:pt idx="0">
                  <c:v>593.75555555555593</c:v>
                </c:pt>
                <c:pt idx="1">
                  <c:v>481.33174603174575</c:v>
                </c:pt>
                <c:pt idx="2">
                  <c:v>413.22182539682524</c:v>
                </c:pt>
                <c:pt idx="3">
                  <c:v>363.30476190476196</c:v>
                </c:pt>
                <c:pt idx="4">
                  <c:v>322.59563492063489</c:v>
                </c:pt>
                <c:pt idx="5">
                  <c:v>288.69722222222225</c:v>
                </c:pt>
                <c:pt idx="6">
                  <c:v>273.7968253968254</c:v>
                </c:pt>
              </c:numCache>
            </c:numRef>
          </c:yVal>
          <c:smooth val="1"/>
          <c:extLst>
            <c:ext xmlns:c16="http://schemas.microsoft.com/office/drawing/2014/chart" uri="{C3380CC4-5D6E-409C-BE32-E72D297353CC}">
              <c16:uniqueId val="{00000001-9F3A-4603-90D1-C423D376093A}"/>
            </c:ext>
          </c:extLst>
        </c:ser>
        <c:dLbls>
          <c:showLegendKey val="0"/>
          <c:showVal val="0"/>
          <c:showCatName val="0"/>
          <c:showSerName val="0"/>
          <c:showPercent val="0"/>
          <c:showBubbleSize val="0"/>
        </c:dLbls>
        <c:axId val="473760376"/>
        <c:axId val="473760768"/>
      </c:scatterChart>
      <c:valAx>
        <c:axId val="4737603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60768"/>
        <c:crosses val="autoZero"/>
        <c:crossBetween val="midCat"/>
      </c:valAx>
      <c:valAx>
        <c:axId val="473760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603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LINEST'!$C$234:$C$240</c:f>
              <c:numCache>
                <c:formatCode>General</c:formatCode>
                <c:ptCount val="7"/>
                <c:pt idx="0">
                  <c:v>0.4</c:v>
                </c:pt>
                <c:pt idx="1">
                  <c:v>0.6</c:v>
                </c:pt>
                <c:pt idx="2">
                  <c:v>0.8</c:v>
                </c:pt>
                <c:pt idx="3">
                  <c:v>1</c:v>
                </c:pt>
                <c:pt idx="4">
                  <c:v>1.2</c:v>
                </c:pt>
                <c:pt idx="5">
                  <c:v>1.4</c:v>
                </c:pt>
                <c:pt idx="6">
                  <c:v>1.5</c:v>
                </c:pt>
              </c:numCache>
            </c:numRef>
          </c:xVal>
          <c:yVal>
            <c:numRef>
              <c:f>'10A61 3" Density LINEST'!$E$234:$E$240</c:f>
              <c:numCache>
                <c:formatCode>0.00</c:formatCode>
                <c:ptCount val="7"/>
                <c:pt idx="0">
                  <c:v>590.73015873015868</c:v>
                </c:pt>
                <c:pt idx="1">
                  <c:v>494.34642857142853</c:v>
                </c:pt>
                <c:pt idx="2">
                  <c:v>433.81428571428597</c:v>
                </c:pt>
                <c:pt idx="3">
                  <c:v>390.04761904761904</c:v>
                </c:pt>
                <c:pt idx="4">
                  <c:v>354.68928571428552</c:v>
                </c:pt>
                <c:pt idx="5">
                  <c:v>326.36150793650779</c:v>
                </c:pt>
                <c:pt idx="6">
                  <c:v>314.06865079365082</c:v>
                </c:pt>
              </c:numCache>
            </c:numRef>
          </c:yVal>
          <c:smooth val="1"/>
          <c:extLst>
            <c:ext xmlns:c16="http://schemas.microsoft.com/office/drawing/2014/chart" uri="{C3380CC4-5D6E-409C-BE32-E72D297353CC}">
              <c16:uniqueId val="{00000001-1032-47B5-AA04-457ABADF41A2}"/>
            </c:ext>
          </c:extLst>
        </c:ser>
        <c:dLbls>
          <c:showLegendKey val="0"/>
          <c:showVal val="0"/>
          <c:showCatName val="0"/>
          <c:showSerName val="0"/>
          <c:showPercent val="0"/>
          <c:showBubbleSize val="0"/>
        </c:dLbls>
        <c:axId val="442251416"/>
        <c:axId val="442251808"/>
      </c:scatterChart>
      <c:valAx>
        <c:axId val="4422514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251808"/>
        <c:crosses val="autoZero"/>
        <c:crossBetween val="midCat"/>
      </c:valAx>
      <c:valAx>
        <c:axId val="442251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2514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LINEST'!$C$250:$C$256</c:f>
              <c:numCache>
                <c:formatCode>General</c:formatCode>
                <c:ptCount val="7"/>
                <c:pt idx="0">
                  <c:v>0.4</c:v>
                </c:pt>
                <c:pt idx="1">
                  <c:v>0.6</c:v>
                </c:pt>
                <c:pt idx="2">
                  <c:v>0.8</c:v>
                </c:pt>
                <c:pt idx="3">
                  <c:v>1</c:v>
                </c:pt>
                <c:pt idx="4">
                  <c:v>1.2</c:v>
                </c:pt>
                <c:pt idx="5">
                  <c:v>1.4</c:v>
                </c:pt>
                <c:pt idx="6">
                  <c:v>1.5</c:v>
                </c:pt>
              </c:numCache>
            </c:numRef>
          </c:xVal>
          <c:yVal>
            <c:numRef>
              <c:f>'10A61 3" Density LINEST'!$E$250:$E$256</c:f>
              <c:numCache>
                <c:formatCode>0.00</c:formatCode>
                <c:ptCount val="7"/>
                <c:pt idx="0">
                  <c:v>871.53452380952353</c:v>
                </c:pt>
                <c:pt idx="1">
                  <c:v>730.14920634920645</c:v>
                </c:pt>
                <c:pt idx="2">
                  <c:v>640.1174603174602</c:v>
                </c:pt>
                <c:pt idx="3">
                  <c:v>576.95436507936495</c:v>
                </c:pt>
                <c:pt idx="4">
                  <c:v>526.49960317460273</c:v>
                </c:pt>
                <c:pt idx="5">
                  <c:v>486.25873015873037</c:v>
                </c:pt>
                <c:pt idx="6">
                  <c:v>469.06428571428586</c:v>
                </c:pt>
              </c:numCache>
            </c:numRef>
          </c:yVal>
          <c:smooth val="1"/>
          <c:extLst>
            <c:ext xmlns:c16="http://schemas.microsoft.com/office/drawing/2014/chart" uri="{C3380CC4-5D6E-409C-BE32-E72D297353CC}">
              <c16:uniqueId val="{00000001-676E-4DE6-BCFE-39AE48B7651E}"/>
            </c:ext>
          </c:extLst>
        </c:ser>
        <c:dLbls>
          <c:showLegendKey val="0"/>
          <c:showVal val="0"/>
          <c:showCatName val="0"/>
          <c:showSerName val="0"/>
          <c:showPercent val="0"/>
          <c:showBubbleSize val="0"/>
        </c:dLbls>
        <c:axId val="442252592"/>
        <c:axId val="507292312"/>
      </c:scatterChart>
      <c:valAx>
        <c:axId val="44225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292312"/>
        <c:crosses val="autoZero"/>
        <c:crossBetween val="midCat"/>
      </c:valAx>
      <c:valAx>
        <c:axId val="507292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2525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LINEST'!$C$266:$C$272</c:f>
              <c:numCache>
                <c:formatCode>General</c:formatCode>
                <c:ptCount val="7"/>
                <c:pt idx="0">
                  <c:v>0.4</c:v>
                </c:pt>
                <c:pt idx="1">
                  <c:v>0.6</c:v>
                </c:pt>
                <c:pt idx="2">
                  <c:v>0.8</c:v>
                </c:pt>
                <c:pt idx="3">
                  <c:v>1</c:v>
                </c:pt>
                <c:pt idx="4">
                  <c:v>1.2</c:v>
                </c:pt>
                <c:pt idx="5">
                  <c:v>1.4</c:v>
                </c:pt>
                <c:pt idx="6">
                  <c:v>1.5</c:v>
                </c:pt>
              </c:numCache>
            </c:numRef>
          </c:xVal>
          <c:yVal>
            <c:numRef>
              <c:f>'10A61 3" Density LINEST'!$E$266:$E$272</c:f>
              <c:numCache>
                <c:formatCode>0.00</c:formatCode>
                <c:ptCount val="7"/>
                <c:pt idx="0">
                  <c:v>920.40158730158737</c:v>
                </c:pt>
                <c:pt idx="1">
                  <c:v>754.79325396825379</c:v>
                </c:pt>
                <c:pt idx="2">
                  <c:v>652.10277777777787</c:v>
                </c:pt>
                <c:pt idx="3">
                  <c:v>580.04761904761904</c:v>
                </c:pt>
                <c:pt idx="4">
                  <c:v>525.70079365079391</c:v>
                </c:pt>
                <c:pt idx="5">
                  <c:v>482.27380952380918</c:v>
                </c:pt>
                <c:pt idx="6">
                  <c:v>463.58690476190509</c:v>
                </c:pt>
              </c:numCache>
            </c:numRef>
          </c:yVal>
          <c:smooth val="1"/>
          <c:extLst>
            <c:ext xmlns:c16="http://schemas.microsoft.com/office/drawing/2014/chart" uri="{C3380CC4-5D6E-409C-BE32-E72D297353CC}">
              <c16:uniqueId val="{00000001-11A6-45A1-8EE5-3C879A60AC0E}"/>
            </c:ext>
          </c:extLst>
        </c:ser>
        <c:dLbls>
          <c:showLegendKey val="0"/>
          <c:showVal val="0"/>
          <c:showCatName val="0"/>
          <c:showSerName val="0"/>
          <c:showPercent val="0"/>
          <c:showBubbleSize val="0"/>
        </c:dLbls>
        <c:axId val="507293096"/>
        <c:axId val="507293488"/>
      </c:scatterChart>
      <c:valAx>
        <c:axId val="507293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293488"/>
        <c:crosses val="autoZero"/>
        <c:crossBetween val="midCat"/>
      </c:valAx>
      <c:valAx>
        <c:axId val="507293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293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LINEST'!$C$282:$C$288</c:f>
              <c:numCache>
                <c:formatCode>General</c:formatCode>
                <c:ptCount val="7"/>
                <c:pt idx="0">
                  <c:v>0.4</c:v>
                </c:pt>
                <c:pt idx="1">
                  <c:v>0.6</c:v>
                </c:pt>
                <c:pt idx="2">
                  <c:v>0.8</c:v>
                </c:pt>
                <c:pt idx="3">
                  <c:v>1</c:v>
                </c:pt>
                <c:pt idx="4">
                  <c:v>1.2</c:v>
                </c:pt>
                <c:pt idx="5">
                  <c:v>1.4</c:v>
                </c:pt>
                <c:pt idx="6">
                  <c:v>1.5</c:v>
                </c:pt>
              </c:numCache>
            </c:numRef>
          </c:xVal>
          <c:yVal>
            <c:numRef>
              <c:f>'10A61 3" Density LINEST'!$E$282:$E$288</c:f>
              <c:numCache>
                <c:formatCode>0.00</c:formatCode>
                <c:ptCount val="7"/>
                <c:pt idx="0">
                  <c:v>929.48373015872983</c:v>
                </c:pt>
                <c:pt idx="1">
                  <c:v>776.91388888888866</c:v>
                </c:pt>
                <c:pt idx="2">
                  <c:v>681.75317460317456</c:v>
                </c:pt>
                <c:pt idx="3">
                  <c:v>613.12698412698455</c:v>
                </c:pt>
                <c:pt idx="4">
                  <c:v>559.35634920634925</c:v>
                </c:pt>
                <c:pt idx="5">
                  <c:v>517.15555555555557</c:v>
                </c:pt>
                <c:pt idx="6">
                  <c:v>499.07738095238074</c:v>
                </c:pt>
              </c:numCache>
            </c:numRef>
          </c:yVal>
          <c:smooth val="1"/>
          <c:extLst>
            <c:ext xmlns:c16="http://schemas.microsoft.com/office/drawing/2014/chart" uri="{C3380CC4-5D6E-409C-BE32-E72D297353CC}">
              <c16:uniqueId val="{00000001-80AE-4AE4-BA60-29BA1ACB93A7}"/>
            </c:ext>
          </c:extLst>
        </c:ser>
        <c:dLbls>
          <c:showLegendKey val="0"/>
          <c:showVal val="0"/>
          <c:showCatName val="0"/>
          <c:showSerName val="0"/>
          <c:showPercent val="0"/>
          <c:showBubbleSize val="0"/>
        </c:dLbls>
        <c:axId val="845124992"/>
        <c:axId val="845125384"/>
      </c:scatterChart>
      <c:valAx>
        <c:axId val="8451249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125384"/>
        <c:crosses val="autoZero"/>
        <c:crossBetween val="midCat"/>
      </c:valAx>
      <c:valAx>
        <c:axId val="845125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1249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LINEST'!$C$298:$C$304</c:f>
              <c:numCache>
                <c:formatCode>General</c:formatCode>
                <c:ptCount val="7"/>
                <c:pt idx="0">
                  <c:v>0.4</c:v>
                </c:pt>
                <c:pt idx="1">
                  <c:v>0.6</c:v>
                </c:pt>
                <c:pt idx="2">
                  <c:v>0.8</c:v>
                </c:pt>
                <c:pt idx="3">
                  <c:v>1</c:v>
                </c:pt>
                <c:pt idx="4">
                  <c:v>1.2</c:v>
                </c:pt>
                <c:pt idx="5">
                  <c:v>1.4</c:v>
                </c:pt>
                <c:pt idx="6">
                  <c:v>1.5</c:v>
                </c:pt>
              </c:numCache>
            </c:numRef>
          </c:xVal>
          <c:yVal>
            <c:numRef>
              <c:f>'10A61 3" Density LINEST'!$E$298:$E$304</c:f>
              <c:numCache>
                <c:formatCode>0.00</c:formatCode>
                <c:ptCount val="7"/>
                <c:pt idx="0">
                  <c:v>1219.1507936507928</c:v>
                </c:pt>
                <c:pt idx="1">
                  <c:v>998.37896825396911</c:v>
                </c:pt>
                <c:pt idx="2">
                  <c:v>856.53492063492081</c:v>
                </c:pt>
                <c:pt idx="3">
                  <c:v>752.50119047619046</c:v>
                </c:pt>
                <c:pt idx="4">
                  <c:v>668.68650793650818</c:v>
                </c:pt>
                <c:pt idx="5">
                  <c:v>598.89365079365098</c:v>
                </c:pt>
                <c:pt idx="6">
                  <c:v>568.09761904761911</c:v>
                </c:pt>
              </c:numCache>
            </c:numRef>
          </c:yVal>
          <c:smooth val="1"/>
          <c:extLst>
            <c:ext xmlns:c16="http://schemas.microsoft.com/office/drawing/2014/chart" uri="{C3380CC4-5D6E-409C-BE32-E72D297353CC}">
              <c16:uniqueId val="{00000001-59CA-48EF-B182-D0204FEF0EB2}"/>
            </c:ext>
          </c:extLst>
        </c:ser>
        <c:dLbls>
          <c:showLegendKey val="0"/>
          <c:showVal val="0"/>
          <c:showCatName val="0"/>
          <c:showSerName val="0"/>
          <c:showPercent val="0"/>
          <c:showBubbleSize val="0"/>
        </c:dLbls>
        <c:axId val="845126168"/>
        <c:axId val="845126560"/>
      </c:scatterChart>
      <c:valAx>
        <c:axId val="84512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126560"/>
        <c:crosses val="autoZero"/>
        <c:crossBetween val="midCat"/>
      </c:valAx>
      <c:valAx>
        <c:axId val="845126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126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LINEST'!$C$314:$C$320</c:f>
              <c:numCache>
                <c:formatCode>General</c:formatCode>
                <c:ptCount val="7"/>
                <c:pt idx="0">
                  <c:v>0.4</c:v>
                </c:pt>
                <c:pt idx="1">
                  <c:v>0.6</c:v>
                </c:pt>
                <c:pt idx="2">
                  <c:v>0.8</c:v>
                </c:pt>
                <c:pt idx="3">
                  <c:v>1</c:v>
                </c:pt>
                <c:pt idx="4">
                  <c:v>1.2</c:v>
                </c:pt>
                <c:pt idx="5">
                  <c:v>1.4</c:v>
                </c:pt>
                <c:pt idx="6">
                  <c:v>1.5</c:v>
                </c:pt>
              </c:numCache>
            </c:numRef>
          </c:xVal>
          <c:yVal>
            <c:numRef>
              <c:f>'10A61 3" Density LINEST'!$E$314:$E$320</c:f>
              <c:numCache>
                <c:formatCode>0.00</c:formatCode>
                <c:ptCount val="7"/>
                <c:pt idx="0">
                  <c:v>1310.0079365079364</c:v>
                </c:pt>
                <c:pt idx="1">
                  <c:v>1080.9920634920638</c:v>
                </c:pt>
                <c:pt idx="2">
                  <c:v>941.70158730158721</c:v>
                </c:pt>
                <c:pt idx="3">
                  <c:v>844.64166666666688</c:v>
                </c:pt>
                <c:pt idx="4">
                  <c:v>769.18571428571465</c:v>
                </c:pt>
                <c:pt idx="5">
                  <c:v>709.45396825396801</c:v>
                </c:pt>
                <c:pt idx="6">
                  <c:v>683.8730158730159</c:v>
                </c:pt>
              </c:numCache>
            </c:numRef>
          </c:yVal>
          <c:smooth val="1"/>
          <c:extLst>
            <c:ext xmlns:c16="http://schemas.microsoft.com/office/drawing/2014/chart" uri="{C3380CC4-5D6E-409C-BE32-E72D297353CC}">
              <c16:uniqueId val="{00000001-1B94-43D3-99C6-2BC35CDF6125}"/>
            </c:ext>
          </c:extLst>
        </c:ser>
        <c:dLbls>
          <c:showLegendKey val="0"/>
          <c:showVal val="0"/>
          <c:showCatName val="0"/>
          <c:showSerName val="0"/>
          <c:showPercent val="0"/>
          <c:showBubbleSize val="0"/>
        </c:dLbls>
        <c:axId val="129341112"/>
        <c:axId val="129341504"/>
      </c:scatterChart>
      <c:valAx>
        <c:axId val="129341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41504"/>
        <c:crosses val="autoZero"/>
        <c:crossBetween val="midCat"/>
      </c:valAx>
      <c:valAx>
        <c:axId val="129341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411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LINEST'!$C$330:$C$336</c:f>
              <c:numCache>
                <c:formatCode>General</c:formatCode>
                <c:ptCount val="7"/>
                <c:pt idx="0">
                  <c:v>0.4</c:v>
                </c:pt>
                <c:pt idx="1">
                  <c:v>0.6</c:v>
                </c:pt>
                <c:pt idx="2">
                  <c:v>0.8</c:v>
                </c:pt>
                <c:pt idx="3">
                  <c:v>1</c:v>
                </c:pt>
                <c:pt idx="4">
                  <c:v>1.2</c:v>
                </c:pt>
                <c:pt idx="5">
                  <c:v>1.4</c:v>
                </c:pt>
                <c:pt idx="6">
                  <c:v>1.5</c:v>
                </c:pt>
              </c:numCache>
            </c:numRef>
          </c:xVal>
          <c:yVal>
            <c:numRef>
              <c:f>'10A61 3" Density LINEST'!$E$330:$E$336</c:f>
              <c:numCache>
                <c:formatCode>0.00</c:formatCode>
                <c:ptCount val="7"/>
                <c:pt idx="0">
                  <c:v>1388.1150793650795</c:v>
                </c:pt>
                <c:pt idx="1">
                  <c:v>1146.9404761904766</c:v>
                </c:pt>
                <c:pt idx="2">
                  <c:v>999.98015873015845</c:v>
                </c:pt>
                <c:pt idx="3">
                  <c:v>896.24603174603089</c:v>
                </c:pt>
                <c:pt idx="4">
                  <c:v>816.35158730158719</c:v>
                </c:pt>
                <c:pt idx="5">
                  <c:v>753.4936507936502</c:v>
                </c:pt>
                <c:pt idx="6">
                  <c:v>726.65476190476193</c:v>
                </c:pt>
              </c:numCache>
            </c:numRef>
          </c:yVal>
          <c:smooth val="1"/>
          <c:extLst>
            <c:ext xmlns:c16="http://schemas.microsoft.com/office/drawing/2014/chart" uri="{C3380CC4-5D6E-409C-BE32-E72D297353CC}">
              <c16:uniqueId val="{00000001-9F2F-47F9-B1DD-D28A5479975C}"/>
            </c:ext>
          </c:extLst>
        </c:ser>
        <c:dLbls>
          <c:showLegendKey val="0"/>
          <c:showVal val="0"/>
          <c:showCatName val="0"/>
          <c:showSerName val="0"/>
          <c:showPercent val="0"/>
          <c:showBubbleSize val="0"/>
        </c:dLbls>
        <c:axId val="129341896"/>
        <c:axId val="502917712"/>
      </c:scatterChart>
      <c:valAx>
        <c:axId val="129341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917712"/>
        <c:crosses val="autoZero"/>
        <c:crossBetween val="midCat"/>
      </c:valAx>
      <c:valAx>
        <c:axId val="502917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41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LINEST'!$C$346:$C$352</c:f>
              <c:numCache>
                <c:formatCode>General</c:formatCode>
                <c:ptCount val="7"/>
                <c:pt idx="0">
                  <c:v>0.4</c:v>
                </c:pt>
                <c:pt idx="1">
                  <c:v>0.6</c:v>
                </c:pt>
                <c:pt idx="2">
                  <c:v>0.8</c:v>
                </c:pt>
                <c:pt idx="3">
                  <c:v>1</c:v>
                </c:pt>
                <c:pt idx="4">
                  <c:v>1.2</c:v>
                </c:pt>
                <c:pt idx="5">
                  <c:v>1.4</c:v>
                </c:pt>
                <c:pt idx="6">
                  <c:v>1.5</c:v>
                </c:pt>
              </c:numCache>
            </c:numRef>
          </c:xVal>
          <c:yVal>
            <c:numRef>
              <c:f>'10A61 3" Density LINEST'!$E$346:$E$352</c:f>
              <c:numCache>
                <c:formatCode>0.00</c:formatCode>
                <c:ptCount val="7"/>
                <c:pt idx="0">
                  <c:v>1625.0158730158728</c:v>
                </c:pt>
                <c:pt idx="1">
                  <c:v>1316.9563492063492</c:v>
                </c:pt>
                <c:pt idx="2">
                  <c:v>1117.9563492063494</c:v>
                </c:pt>
                <c:pt idx="3">
                  <c:v>975.22896825396811</c:v>
                </c:pt>
                <c:pt idx="4">
                  <c:v>864.48174603174584</c:v>
                </c:pt>
                <c:pt idx="5">
                  <c:v>774.05992063492113</c:v>
                </c:pt>
                <c:pt idx="6">
                  <c:v>734.14047619047642</c:v>
                </c:pt>
              </c:numCache>
            </c:numRef>
          </c:yVal>
          <c:smooth val="1"/>
          <c:extLst>
            <c:ext xmlns:c16="http://schemas.microsoft.com/office/drawing/2014/chart" uri="{C3380CC4-5D6E-409C-BE32-E72D297353CC}">
              <c16:uniqueId val="{00000001-0443-418E-9F97-1B72025BB1FC}"/>
            </c:ext>
          </c:extLst>
        </c:ser>
        <c:dLbls>
          <c:showLegendKey val="0"/>
          <c:showVal val="0"/>
          <c:showCatName val="0"/>
          <c:showSerName val="0"/>
          <c:showPercent val="0"/>
          <c:showBubbleSize val="0"/>
        </c:dLbls>
        <c:axId val="502918496"/>
        <c:axId val="502918888"/>
      </c:scatterChart>
      <c:valAx>
        <c:axId val="5029184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918888"/>
        <c:crosses val="autoZero"/>
        <c:crossBetween val="midCat"/>
      </c:valAx>
      <c:valAx>
        <c:axId val="502918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9184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LINEST'!$C$362:$C$368</c:f>
              <c:numCache>
                <c:formatCode>General</c:formatCode>
                <c:ptCount val="7"/>
                <c:pt idx="0">
                  <c:v>0.4</c:v>
                </c:pt>
                <c:pt idx="1">
                  <c:v>0.6</c:v>
                </c:pt>
                <c:pt idx="2">
                  <c:v>0.8</c:v>
                </c:pt>
                <c:pt idx="3">
                  <c:v>1</c:v>
                </c:pt>
                <c:pt idx="4">
                  <c:v>1.2</c:v>
                </c:pt>
                <c:pt idx="5">
                  <c:v>1.4</c:v>
                </c:pt>
                <c:pt idx="6">
                  <c:v>1.5</c:v>
                </c:pt>
              </c:numCache>
            </c:numRef>
          </c:xVal>
          <c:yVal>
            <c:numRef>
              <c:f>'10A61 3" Density LINEST'!$E$362:$E$368</c:f>
              <c:numCache>
                <c:formatCode>0.00</c:formatCode>
                <c:ptCount val="7"/>
                <c:pt idx="0">
                  <c:v>1907.0357142857142</c:v>
                </c:pt>
                <c:pt idx="1">
                  <c:v>1568.0436507936506</c:v>
                </c:pt>
                <c:pt idx="2">
                  <c:v>1357.9920634920632</c:v>
                </c:pt>
                <c:pt idx="3">
                  <c:v>1210.0396825396829</c:v>
                </c:pt>
                <c:pt idx="4">
                  <c:v>1098.0000000000002</c:v>
                </c:pt>
                <c:pt idx="5">
                  <c:v>1008.8928571428578</c:v>
                </c:pt>
                <c:pt idx="6">
                  <c:v>970.15555555555545</c:v>
                </c:pt>
              </c:numCache>
            </c:numRef>
          </c:yVal>
          <c:smooth val="1"/>
          <c:extLst>
            <c:ext xmlns:c16="http://schemas.microsoft.com/office/drawing/2014/chart" uri="{C3380CC4-5D6E-409C-BE32-E72D297353CC}">
              <c16:uniqueId val="{00000001-4F17-4C64-BDBF-4A309A75BE59}"/>
            </c:ext>
          </c:extLst>
        </c:ser>
        <c:dLbls>
          <c:showLegendKey val="0"/>
          <c:showVal val="0"/>
          <c:showCatName val="0"/>
          <c:showSerName val="0"/>
          <c:showPercent val="0"/>
          <c:showBubbleSize val="0"/>
        </c:dLbls>
        <c:axId val="479714648"/>
        <c:axId val="479715040"/>
      </c:scatterChart>
      <c:valAx>
        <c:axId val="479714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15040"/>
        <c:crosses val="autoZero"/>
        <c:crossBetween val="midCat"/>
      </c:valAx>
      <c:valAx>
        <c:axId val="479715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146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LINEST'!$C$378:$C$384</c:f>
              <c:numCache>
                <c:formatCode>General</c:formatCode>
                <c:ptCount val="7"/>
                <c:pt idx="0">
                  <c:v>0.4</c:v>
                </c:pt>
                <c:pt idx="1">
                  <c:v>0.6</c:v>
                </c:pt>
                <c:pt idx="2">
                  <c:v>0.8</c:v>
                </c:pt>
                <c:pt idx="3">
                  <c:v>1</c:v>
                </c:pt>
                <c:pt idx="4">
                  <c:v>1.2</c:v>
                </c:pt>
                <c:pt idx="5">
                  <c:v>1.4</c:v>
                </c:pt>
                <c:pt idx="6">
                  <c:v>1.5</c:v>
                </c:pt>
              </c:numCache>
            </c:numRef>
          </c:xVal>
          <c:yVal>
            <c:numRef>
              <c:f>'10A61 3" Density LINEST'!$E$378:$E$384</c:f>
              <c:numCache>
                <c:formatCode>0.00</c:formatCode>
                <c:ptCount val="7"/>
                <c:pt idx="0">
                  <c:v>2468.1269841269836</c:v>
                </c:pt>
                <c:pt idx="1">
                  <c:v>2024.8452380952385</c:v>
                </c:pt>
                <c:pt idx="2">
                  <c:v>1752.0198412698417</c:v>
                </c:pt>
                <c:pt idx="3">
                  <c:v>1560.019841269841</c:v>
                </c:pt>
                <c:pt idx="4">
                  <c:v>1406.9920634920636</c:v>
                </c:pt>
                <c:pt idx="5">
                  <c:v>1286.964285714286</c:v>
                </c:pt>
                <c:pt idx="6">
                  <c:v>1234.9563492063498</c:v>
                </c:pt>
              </c:numCache>
            </c:numRef>
          </c:yVal>
          <c:smooth val="1"/>
          <c:extLst>
            <c:ext xmlns:c16="http://schemas.microsoft.com/office/drawing/2014/chart" uri="{C3380CC4-5D6E-409C-BE32-E72D297353CC}">
              <c16:uniqueId val="{00000001-0457-4D7A-804E-B9E9B38FD056}"/>
            </c:ext>
          </c:extLst>
        </c:ser>
        <c:dLbls>
          <c:showLegendKey val="0"/>
          <c:showVal val="0"/>
          <c:showCatName val="0"/>
          <c:showSerName val="0"/>
          <c:showPercent val="0"/>
          <c:showBubbleSize val="0"/>
        </c:dLbls>
        <c:axId val="479715824"/>
        <c:axId val="479716216"/>
      </c:scatterChart>
      <c:valAx>
        <c:axId val="4797158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16216"/>
        <c:crosses val="autoZero"/>
        <c:crossBetween val="midCat"/>
      </c:valAx>
      <c:valAx>
        <c:axId val="479716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715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LINEST'!$C$394:$C$400</c:f>
              <c:numCache>
                <c:formatCode>General</c:formatCode>
                <c:ptCount val="7"/>
                <c:pt idx="0">
                  <c:v>0.4</c:v>
                </c:pt>
                <c:pt idx="1">
                  <c:v>0.6</c:v>
                </c:pt>
                <c:pt idx="2">
                  <c:v>0.8</c:v>
                </c:pt>
                <c:pt idx="3">
                  <c:v>1</c:v>
                </c:pt>
                <c:pt idx="4">
                  <c:v>1.2</c:v>
                </c:pt>
                <c:pt idx="5">
                  <c:v>1.4</c:v>
                </c:pt>
                <c:pt idx="6">
                  <c:v>1.5</c:v>
                </c:pt>
              </c:numCache>
            </c:numRef>
          </c:xVal>
          <c:yVal>
            <c:numRef>
              <c:f>'10A61 3" Density LINEST'!$E$394:$E$400</c:f>
              <c:numCache>
                <c:formatCode>0.00</c:formatCode>
                <c:ptCount val="7"/>
                <c:pt idx="0">
                  <c:v>2727.0238095238092</c:v>
                </c:pt>
                <c:pt idx="1">
                  <c:v>2258.9166666666674</c:v>
                </c:pt>
                <c:pt idx="2">
                  <c:v>1973.031746031746</c:v>
                </c:pt>
                <c:pt idx="3">
                  <c:v>1773.1785714285716</c:v>
                </c:pt>
                <c:pt idx="4">
                  <c:v>1619.9880952380959</c:v>
                </c:pt>
                <c:pt idx="5">
                  <c:v>1498.88492063492</c:v>
                </c:pt>
                <c:pt idx="6">
                  <c:v>1446.9285714285716</c:v>
                </c:pt>
              </c:numCache>
            </c:numRef>
          </c:yVal>
          <c:smooth val="1"/>
          <c:extLst>
            <c:ext xmlns:c16="http://schemas.microsoft.com/office/drawing/2014/chart" uri="{C3380CC4-5D6E-409C-BE32-E72D297353CC}">
              <c16:uniqueId val="{00000001-B548-4899-B2B7-7417BA1F3F5C}"/>
            </c:ext>
          </c:extLst>
        </c:ser>
        <c:dLbls>
          <c:showLegendKey val="0"/>
          <c:showVal val="0"/>
          <c:showCatName val="0"/>
          <c:showSerName val="0"/>
          <c:showPercent val="0"/>
          <c:showBubbleSize val="0"/>
        </c:dLbls>
        <c:axId val="503455552"/>
        <c:axId val="503455944"/>
      </c:scatterChart>
      <c:valAx>
        <c:axId val="503455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455944"/>
        <c:crosses val="autoZero"/>
        <c:crossBetween val="midCat"/>
      </c:valAx>
      <c:valAx>
        <c:axId val="503455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4555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LINEST'!$C$410:$C$416</c:f>
              <c:numCache>
                <c:formatCode>General</c:formatCode>
                <c:ptCount val="7"/>
                <c:pt idx="0">
                  <c:v>0.4</c:v>
                </c:pt>
                <c:pt idx="1">
                  <c:v>0.6</c:v>
                </c:pt>
                <c:pt idx="2">
                  <c:v>0.8</c:v>
                </c:pt>
                <c:pt idx="3">
                  <c:v>1</c:v>
                </c:pt>
                <c:pt idx="4">
                  <c:v>1.2</c:v>
                </c:pt>
                <c:pt idx="5">
                  <c:v>1.4</c:v>
                </c:pt>
                <c:pt idx="6">
                  <c:v>1.5</c:v>
                </c:pt>
              </c:numCache>
            </c:numRef>
          </c:xVal>
          <c:yVal>
            <c:numRef>
              <c:f>'10A61 3" Density LINEST'!$E$410:$E$416</c:f>
              <c:numCache>
                <c:formatCode>0.00</c:formatCode>
                <c:ptCount val="7"/>
                <c:pt idx="0">
                  <c:v>2894.0674603174607</c:v>
                </c:pt>
                <c:pt idx="1">
                  <c:v>2399.8690476190477</c:v>
                </c:pt>
                <c:pt idx="2">
                  <c:v>2096.3809523809578</c:v>
                </c:pt>
                <c:pt idx="3">
                  <c:v>1886.0595238095239</c:v>
                </c:pt>
                <c:pt idx="4">
                  <c:v>1723.8690476190477</c:v>
                </c:pt>
                <c:pt idx="5">
                  <c:v>1595.9642857142871</c:v>
                </c:pt>
                <c:pt idx="6">
                  <c:v>1540.9841269841274</c:v>
                </c:pt>
              </c:numCache>
            </c:numRef>
          </c:yVal>
          <c:smooth val="1"/>
          <c:extLst>
            <c:ext xmlns:c16="http://schemas.microsoft.com/office/drawing/2014/chart" uri="{C3380CC4-5D6E-409C-BE32-E72D297353CC}">
              <c16:uniqueId val="{00000001-886B-4FF4-BB53-5250BCCCCFEC}"/>
            </c:ext>
          </c:extLst>
        </c:ser>
        <c:dLbls>
          <c:showLegendKey val="0"/>
          <c:showVal val="0"/>
          <c:showCatName val="0"/>
          <c:showSerName val="0"/>
          <c:showPercent val="0"/>
          <c:showBubbleSize val="0"/>
        </c:dLbls>
        <c:axId val="503456728"/>
        <c:axId val="842866728"/>
      </c:scatterChart>
      <c:valAx>
        <c:axId val="5034567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866728"/>
        <c:crosses val="autoZero"/>
        <c:crossBetween val="midCat"/>
      </c:valAx>
      <c:valAx>
        <c:axId val="842866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4567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5"/>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LINEST'!$C$426:$C$432</c:f>
              <c:numCache>
                <c:formatCode>General</c:formatCode>
                <c:ptCount val="7"/>
                <c:pt idx="0">
                  <c:v>0.4</c:v>
                </c:pt>
                <c:pt idx="1">
                  <c:v>0.6</c:v>
                </c:pt>
                <c:pt idx="2">
                  <c:v>0.8</c:v>
                </c:pt>
                <c:pt idx="3">
                  <c:v>1</c:v>
                </c:pt>
                <c:pt idx="4">
                  <c:v>1.2</c:v>
                </c:pt>
                <c:pt idx="5">
                  <c:v>1.4</c:v>
                </c:pt>
                <c:pt idx="6">
                  <c:v>1.5</c:v>
                </c:pt>
              </c:numCache>
            </c:numRef>
          </c:xVal>
          <c:yVal>
            <c:numRef>
              <c:f>'10A61 3" Density LINEST'!$E$426:$E$432</c:f>
              <c:numCache>
                <c:formatCode>0.00</c:formatCode>
                <c:ptCount val="7"/>
                <c:pt idx="0">
                  <c:v>3529.7738095237291</c:v>
                </c:pt>
                <c:pt idx="1">
                  <c:v>2889.9523809523816</c:v>
                </c:pt>
                <c:pt idx="2">
                  <c:v>2496.9920634920641</c:v>
                </c:pt>
                <c:pt idx="3">
                  <c:v>2226.1150793650795</c:v>
                </c:pt>
                <c:pt idx="4">
                  <c:v>2023.9603174603167</c:v>
                </c:pt>
                <c:pt idx="5">
                  <c:v>1864.9166666666661</c:v>
                </c:pt>
                <c:pt idx="6">
                  <c:v>1796.9642857142858</c:v>
                </c:pt>
              </c:numCache>
            </c:numRef>
          </c:yVal>
          <c:smooth val="1"/>
          <c:extLst>
            <c:ext xmlns:c16="http://schemas.microsoft.com/office/drawing/2014/chart" uri="{C3380CC4-5D6E-409C-BE32-E72D297353CC}">
              <c16:uniqueId val="{00000001-FA2A-4137-9785-C5E2CE37B2E2}"/>
            </c:ext>
          </c:extLst>
        </c:ser>
        <c:dLbls>
          <c:showLegendKey val="0"/>
          <c:showVal val="0"/>
          <c:showCatName val="0"/>
          <c:showSerName val="0"/>
          <c:showPercent val="0"/>
          <c:showBubbleSize val="0"/>
        </c:dLbls>
        <c:axId val="842867512"/>
        <c:axId val="842867904"/>
      </c:scatterChart>
      <c:valAx>
        <c:axId val="8428675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867904"/>
        <c:crosses val="autoZero"/>
        <c:crossBetween val="midCat"/>
      </c:valAx>
      <c:valAx>
        <c:axId val="842867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8675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5"/>
            <c:dispRSqr val="1"/>
            <c:dispEq val="1"/>
            <c:trendlineLbl>
              <c:layout>
                <c:manualLayout>
                  <c:x val="-0.2408982939632546"/>
                  <c:y val="6.34616506270049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Density LINEST'!$C$442:$C$448</c:f>
              <c:numCache>
                <c:formatCode>General</c:formatCode>
                <c:ptCount val="7"/>
                <c:pt idx="0">
                  <c:v>0.4</c:v>
                </c:pt>
                <c:pt idx="1">
                  <c:v>0.6</c:v>
                </c:pt>
                <c:pt idx="2">
                  <c:v>0.8</c:v>
                </c:pt>
                <c:pt idx="3">
                  <c:v>1</c:v>
                </c:pt>
                <c:pt idx="4">
                  <c:v>1.2</c:v>
                </c:pt>
                <c:pt idx="5">
                  <c:v>1.4</c:v>
                </c:pt>
                <c:pt idx="6">
                  <c:v>1.5</c:v>
                </c:pt>
              </c:numCache>
            </c:numRef>
          </c:xVal>
          <c:yVal>
            <c:numRef>
              <c:f>'10A61 3" Density LINEST'!$E$442:$E$448</c:f>
              <c:numCache>
                <c:formatCode>0.00</c:formatCode>
                <c:ptCount val="7"/>
                <c:pt idx="0">
                  <c:v>3732.0793650793657</c:v>
                </c:pt>
                <c:pt idx="1">
                  <c:v>3056.9246031746052</c:v>
                </c:pt>
                <c:pt idx="2">
                  <c:v>2644.0793650793653</c:v>
                </c:pt>
                <c:pt idx="3">
                  <c:v>2359.0039682539673</c:v>
                </c:pt>
                <c:pt idx="4">
                  <c:v>2145.9087301587306</c:v>
                </c:pt>
                <c:pt idx="5">
                  <c:v>1978.9841269841268</c:v>
                </c:pt>
                <c:pt idx="6">
                  <c:v>1908.0317460317456</c:v>
                </c:pt>
              </c:numCache>
            </c:numRef>
          </c:yVal>
          <c:smooth val="1"/>
          <c:extLst>
            <c:ext xmlns:c16="http://schemas.microsoft.com/office/drawing/2014/chart" uri="{C3380CC4-5D6E-409C-BE32-E72D297353CC}">
              <c16:uniqueId val="{00000001-CD0F-4CAA-AC6A-4B36F92D8916}"/>
            </c:ext>
          </c:extLst>
        </c:ser>
        <c:dLbls>
          <c:showLegendKey val="0"/>
          <c:showVal val="0"/>
          <c:showCatName val="0"/>
          <c:showSerName val="0"/>
          <c:showPercent val="0"/>
          <c:showBubbleSize val="0"/>
        </c:dLbls>
        <c:axId val="842868688"/>
        <c:axId val="842869080"/>
      </c:scatterChart>
      <c:valAx>
        <c:axId val="8428686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869080"/>
        <c:crosses val="autoZero"/>
        <c:crossBetween val="midCat"/>
      </c:valAx>
      <c:valAx>
        <c:axId val="842869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8686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5"/>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Sheet2!$B$8:$B$29</c:f>
              <c:numCache>
                <c:formatCode>General</c:formatCode>
                <c:ptCount val="22"/>
                <c:pt idx="0">
                  <c:v>0.5</c:v>
                </c:pt>
                <c:pt idx="1">
                  <c:v>0.6</c:v>
                </c:pt>
                <c:pt idx="2">
                  <c:v>0.7</c:v>
                </c:pt>
                <c:pt idx="3">
                  <c:v>0.8</c:v>
                </c:pt>
                <c:pt idx="4">
                  <c:v>0.9</c:v>
                </c:pt>
                <c:pt idx="5">
                  <c:v>1</c:v>
                </c:pt>
                <c:pt idx="6">
                  <c:v>1.25</c:v>
                </c:pt>
                <c:pt idx="7">
                  <c:v>1.5</c:v>
                </c:pt>
                <c:pt idx="8">
                  <c:v>1.75</c:v>
                </c:pt>
                <c:pt idx="9">
                  <c:v>2</c:v>
                </c:pt>
                <c:pt idx="10">
                  <c:v>2.25</c:v>
                </c:pt>
                <c:pt idx="11">
                  <c:v>2.5</c:v>
                </c:pt>
                <c:pt idx="12">
                  <c:v>2.75</c:v>
                </c:pt>
                <c:pt idx="13">
                  <c:v>3</c:v>
                </c:pt>
                <c:pt idx="14">
                  <c:v>3.25</c:v>
                </c:pt>
                <c:pt idx="15">
                  <c:v>3.5</c:v>
                </c:pt>
                <c:pt idx="16">
                  <c:v>3.75</c:v>
                </c:pt>
                <c:pt idx="17">
                  <c:v>4</c:v>
                </c:pt>
                <c:pt idx="18">
                  <c:v>4.25</c:v>
                </c:pt>
                <c:pt idx="19">
                  <c:v>4.5</c:v>
                </c:pt>
                <c:pt idx="20">
                  <c:v>4.75</c:v>
                </c:pt>
                <c:pt idx="21">
                  <c:v>5</c:v>
                </c:pt>
              </c:numCache>
            </c:numRef>
          </c:xVal>
          <c:yVal>
            <c:numRef>
              <c:f>Sheet2!$C$8:$C$29</c:f>
              <c:numCache>
                <c:formatCode>General</c:formatCode>
                <c:ptCount val="22"/>
                <c:pt idx="0">
                  <c:v>26.45</c:v>
                </c:pt>
                <c:pt idx="1">
                  <c:v>24.3</c:v>
                </c:pt>
                <c:pt idx="2">
                  <c:v>22.46</c:v>
                </c:pt>
                <c:pt idx="3">
                  <c:v>20.72</c:v>
                </c:pt>
                <c:pt idx="4">
                  <c:v>19.010000000000002</c:v>
                </c:pt>
                <c:pt idx="5">
                  <c:v>17.600000000000001</c:v>
                </c:pt>
                <c:pt idx="6">
                  <c:v>14.74</c:v>
                </c:pt>
                <c:pt idx="7">
                  <c:v>12.66</c:v>
                </c:pt>
                <c:pt idx="8">
                  <c:v>11.02</c:v>
                </c:pt>
                <c:pt idx="9">
                  <c:v>9.6890000000000001</c:v>
                </c:pt>
                <c:pt idx="10">
                  <c:v>8.6530000000000005</c:v>
                </c:pt>
                <c:pt idx="11">
                  <c:v>7.8280000000000003</c:v>
                </c:pt>
                <c:pt idx="12">
                  <c:v>7.149</c:v>
                </c:pt>
                <c:pt idx="13">
                  <c:v>6.5819999999999999</c:v>
                </c:pt>
                <c:pt idx="14">
                  <c:v>6.0990000000000002</c:v>
                </c:pt>
                <c:pt idx="15">
                  <c:v>5.6920000000000002</c:v>
                </c:pt>
                <c:pt idx="16">
                  <c:v>5.3380000000000001</c:v>
                </c:pt>
                <c:pt idx="17">
                  <c:v>5.0259999999999998</c:v>
                </c:pt>
                <c:pt idx="18">
                  <c:v>4.75</c:v>
                </c:pt>
                <c:pt idx="19">
                  <c:v>4.468</c:v>
                </c:pt>
                <c:pt idx="20">
                  <c:v>4.2060000000000004</c:v>
                </c:pt>
                <c:pt idx="21">
                  <c:v>3.9710000000000001</c:v>
                </c:pt>
              </c:numCache>
            </c:numRef>
          </c:yVal>
          <c:smooth val="1"/>
          <c:extLst>
            <c:ext xmlns:c16="http://schemas.microsoft.com/office/drawing/2014/chart" uri="{C3380CC4-5D6E-409C-BE32-E72D297353CC}">
              <c16:uniqueId val="{00000001-9411-42EA-AF40-CB06222BB0A4}"/>
            </c:ext>
          </c:extLst>
        </c:ser>
        <c:dLbls>
          <c:showLegendKey val="0"/>
          <c:showVal val="0"/>
          <c:showCatName val="0"/>
          <c:showSerName val="0"/>
          <c:showPercent val="0"/>
          <c:showBubbleSize val="0"/>
        </c:dLbls>
        <c:axId val="842869864"/>
        <c:axId val="842870256"/>
      </c:scatterChart>
      <c:valAx>
        <c:axId val="842869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870256"/>
        <c:crosses val="autoZero"/>
        <c:crossBetween val="midCat"/>
      </c:valAx>
      <c:valAx>
        <c:axId val="842870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8698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5"/>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Sheet2!$B$8:$B$29</c:f>
              <c:numCache>
                <c:formatCode>General</c:formatCode>
                <c:ptCount val="22"/>
                <c:pt idx="0">
                  <c:v>0.5</c:v>
                </c:pt>
                <c:pt idx="1">
                  <c:v>0.6</c:v>
                </c:pt>
                <c:pt idx="2">
                  <c:v>0.7</c:v>
                </c:pt>
                <c:pt idx="3">
                  <c:v>0.8</c:v>
                </c:pt>
                <c:pt idx="4">
                  <c:v>0.9</c:v>
                </c:pt>
                <c:pt idx="5">
                  <c:v>1</c:v>
                </c:pt>
                <c:pt idx="6">
                  <c:v>1.25</c:v>
                </c:pt>
                <c:pt idx="7">
                  <c:v>1.5</c:v>
                </c:pt>
                <c:pt idx="8">
                  <c:v>1.75</c:v>
                </c:pt>
                <c:pt idx="9">
                  <c:v>2</c:v>
                </c:pt>
                <c:pt idx="10">
                  <c:v>2.25</c:v>
                </c:pt>
                <c:pt idx="11">
                  <c:v>2.5</c:v>
                </c:pt>
                <c:pt idx="12">
                  <c:v>2.75</c:v>
                </c:pt>
                <c:pt idx="13">
                  <c:v>3</c:v>
                </c:pt>
                <c:pt idx="14">
                  <c:v>3.25</c:v>
                </c:pt>
                <c:pt idx="15">
                  <c:v>3.5</c:v>
                </c:pt>
                <c:pt idx="16">
                  <c:v>3.75</c:v>
                </c:pt>
                <c:pt idx="17">
                  <c:v>4</c:v>
                </c:pt>
                <c:pt idx="18">
                  <c:v>4.25</c:v>
                </c:pt>
                <c:pt idx="19">
                  <c:v>4.5</c:v>
                </c:pt>
                <c:pt idx="20">
                  <c:v>4.75</c:v>
                </c:pt>
                <c:pt idx="21">
                  <c:v>5</c:v>
                </c:pt>
              </c:numCache>
            </c:numRef>
          </c:xVal>
          <c:yVal>
            <c:numRef>
              <c:f>Sheet2!$K$8:$K$29</c:f>
              <c:numCache>
                <c:formatCode>General</c:formatCode>
                <c:ptCount val="22"/>
                <c:pt idx="0">
                  <c:v>378.5</c:v>
                </c:pt>
                <c:pt idx="1">
                  <c:v>375.1</c:v>
                </c:pt>
                <c:pt idx="2">
                  <c:v>370.9</c:v>
                </c:pt>
                <c:pt idx="3">
                  <c:v>366</c:v>
                </c:pt>
                <c:pt idx="4">
                  <c:v>360</c:v>
                </c:pt>
                <c:pt idx="5">
                  <c:v>354.7</c:v>
                </c:pt>
                <c:pt idx="6">
                  <c:v>340.9</c:v>
                </c:pt>
                <c:pt idx="7">
                  <c:v>328.9</c:v>
                </c:pt>
                <c:pt idx="8">
                  <c:v>315.39999999999998</c:v>
                </c:pt>
                <c:pt idx="9">
                  <c:v>301.2</c:v>
                </c:pt>
                <c:pt idx="10">
                  <c:v>286.7</c:v>
                </c:pt>
                <c:pt idx="11">
                  <c:v>270.3</c:v>
                </c:pt>
                <c:pt idx="12">
                  <c:v>256.3</c:v>
                </c:pt>
                <c:pt idx="13">
                  <c:v>244.2</c:v>
                </c:pt>
                <c:pt idx="14">
                  <c:v>233.4</c:v>
                </c:pt>
                <c:pt idx="15">
                  <c:v>221.4</c:v>
                </c:pt>
                <c:pt idx="16">
                  <c:v>210.9</c:v>
                </c:pt>
                <c:pt idx="17">
                  <c:v>201.4</c:v>
                </c:pt>
                <c:pt idx="18">
                  <c:v>192.9</c:v>
                </c:pt>
                <c:pt idx="19">
                  <c:v>184.3</c:v>
                </c:pt>
                <c:pt idx="20">
                  <c:v>176.2</c:v>
                </c:pt>
                <c:pt idx="21">
                  <c:v>168.8</c:v>
                </c:pt>
              </c:numCache>
            </c:numRef>
          </c:yVal>
          <c:smooth val="1"/>
          <c:extLst>
            <c:ext xmlns:c16="http://schemas.microsoft.com/office/drawing/2014/chart" uri="{C3380CC4-5D6E-409C-BE32-E72D297353CC}">
              <c16:uniqueId val="{00000001-2CD3-48A5-B496-E3C155139E72}"/>
            </c:ext>
          </c:extLst>
        </c:ser>
        <c:dLbls>
          <c:showLegendKey val="0"/>
          <c:showVal val="0"/>
          <c:showCatName val="0"/>
          <c:showSerName val="0"/>
          <c:showPercent val="0"/>
          <c:showBubbleSize val="0"/>
        </c:dLbls>
        <c:axId val="845664360"/>
        <c:axId val="845664752"/>
      </c:scatterChart>
      <c:valAx>
        <c:axId val="8456643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664752"/>
        <c:crosses val="autoZero"/>
        <c:crossBetween val="midCat"/>
      </c:valAx>
      <c:valAx>
        <c:axId val="845664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6643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1"/>
            <c:dispEq val="1"/>
            <c:trendlineLbl>
              <c:layout>
                <c:manualLayout>
                  <c:x val="-1.0739282589676291E-3"/>
                  <c:y val="0.309768518518518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'5" Theoretical Test'!$A$3:$A$9</c:f>
              <c:numCache>
                <c:formatCode>General</c:formatCode>
                <c:ptCount val="7"/>
                <c:pt idx="0">
                  <c:v>30</c:v>
                </c:pt>
                <c:pt idx="1">
                  <c:v>45</c:v>
                </c:pt>
                <c:pt idx="2">
                  <c:v>70</c:v>
                </c:pt>
                <c:pt idx="3">
                  <c:v>100</c:v>
                </c:pt>
                <c:pt idx="4">
                  <c:v>200</c:v>
                </c:pt>
                <c:pt idx="5">
                  <c:v>400</c:v>
                </c:pt>
                <c:pt idx="6">
                  <c:v>700</c:v>
                </c:pt>
              </c:numCache>
            </c:numRef>
          </c:xVal>
          <c:yVal>
            <c:numRef>
              <c:f>'5" Theoretical Test'!$B$3:$B$9</c:f>
              <c:numCache>
                <c:formatCode>General</c:formatCode>
                <c:ptCount val="7"/>
                <c:pt idx="0">
                  <c:v>0.08</c:v>
                </c:pt>
                <c:pt idx="1">
                  <c:v>0.12</c:v>
                </c:pt>
                <c:pt idx="2">
                  <c:v>0.18</c:v>
                </c:pt>
                <c:pt idx="3">
                  <c:v>0.23</c:v>
                </c:pt>
                <c:pt idx="4">
                  <c:v>0.33</c:v>
                </c:pt>
                <c:pt idx="5">
                  <c:v>0.43</c:v>
                </c:pt>
                <c:pt idx="6">
                  <c:v>0.5</c:v>
                </c:pt>
              </c:numCache>
            </c:numRef>
          </c:yVal>
          <c:smooth val="1"/>
          <c:extLst>
            <c:ext xmlns:c16="http://schemas.microsoft.com/office/drawing/2014/chart" uri="{C3380CC4-5D6E-409C-BE32-E72D297353CC}">
              <c16:uniqueId val="{00000001-58C3-44C5-89B3-3641B7487CD6}"/>
            </c:ext>
          </c:extLst>
        </c:ser>
        <c:dLbls>
          <c:showLegendKey val="0"/>
          <c:showVal val="0"/>
          <c:showCatName val="0"/>
          <c:showSerName val="0"/>
          <c:showPercent val="0"/>
          <c:showBubbleSize val="0"/>
        </c:dLbls>
        <c:axId val="845665536"/>
        <c:axId val="845665928"/>
      </c:scatterChart>
      <c:valAx>
        <c:axId val="8456655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665928"/>
        <c:crosses val="autoZero"/>
        <c:crossBetween val="midCat"/>
      </c:valAx>
      <c:valAx>
        <c:axId val="845665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6655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1"/>
            <c:dispEq val="1"/>
            <c:trendlineLbl>
              <c:layout>
                <c:manualLayout>
                  <c:x val="-1.6516185476815399E-2"/>
                  <c:y val="0.2933008894721493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'5" Theoretical Test'!$A$13:$A$17</c:f>
              <c:numCache>
                <c:formatCode>General</c:formatCode>
                <c:ptCount val="5"/>
                <c:pt idx="0">
                  <c:v>10000</c:v>
                </c:pt>
                <c:pt idx="1">
                  <c:v>20000</c:v>
                </c:pt>
                <c:pt idx="2">
                  <c:v>40000</c:v>
                </c:pt>
                <c:pt idx="3">
                  <c:v>100000</c:v>
                </c:pt>
                <c:pt idx="4">
                  <c:v>200000</c:v>
                </c:pt>
              </c:numCache>
            </c:numRef>
          </c:xVal>
          <c:yVal>
            <c:numRef>
              <c:f>'5" Theoretical Test'!$B$13:$B$17</c:f>
              <c:numCache>
                <c:formatCode>General</c:formatCode>
                <c:ptCount val="5"/>
                <c:pt idx="0">
                  <c:v>0.7</c:v>
                </c:pt>
                <c:pt idx="1">
                  <c:v>0.72050000000000003</c:v>
                </c:pt>
                <c:pt idx="2">
                  <c:v>0.75</c:v>
                </c:pt>
                <c:pt idx="3">
                  <c:v>0.78</c:v>
                </c:pt>
                <c:pt idx="4">
                  <c:v>0.8</c:v>
                </c:pt>
              </c:numCache>
            </c:numRef>
          </c:yVal>
          <c:smooth val="1"/>
          <c:extLst>
            <c:ext xmlns:c16="http://schemas.microsoft.com/office/drawing/2014/chart" uri="{C3380CC4-5D6E-409C-BE32-E72D297353CC}">
              <c16:uniqueId val="{00000001-22FA-4742-95C7-94B8059D3C92}"/>
            </c:ext>
          </c:extLst>
        </c:ser>
        <c:dLbls>
          <c:showLegendKey val="0"/>
          <c:showVal val="0"/>
          <c:showCatName val="0"/>
          <c:showSerName val="0"/>
          <c:showPercent val="0"/>
          <c:showBubbleSize val="0"/>
        </c:dLbls>
        <c:axId val="845666712"/>
        <c:axId val="845667104"/>
      </c:scatterChart>
      <c:valAx>
        <c:axId val="845666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667104"/>
        <c:crosses val="autoZero"/>
        <c:crossBetween val="midCat"/>
      </c:valAx>
      <c:valAx>
        <c:axId val="845667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6667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1"/>
            <c:dispEq val="1"/>
            <c:trendlineLbl>
              <c:layout>
                <c:manualLayout>
                  <c:x val="-0.1256570428696413"/>
                  <c:y val="0.1801388888888888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'5" Theoretical Test'!$A$9:$A$13</c:f>
              <c:numCache>
                <c:formatCode>General</c:formatCode>
                <c:ptCount val="5"/>
                <c:pt idx="0">
                  <c:v>700</c:v>
                </c:pt>
                <c:pt idx="1">
                  <c:v>1000</c:v>
                </c:pt>
                <c:pt idx="2">
                  <c:v>2000</c:v>
                </c:pt>
                <c:pt idx="3">
                  <c:v>5000</c:v>
                </c:pt>
                <c:pt idx="4">
                  <c:v>10000</c:v>
                </c:pt>
              </c:numCache>
            </c:numRef>
          </c:xVal>
          <c:yVal>
            <c:numRef>
              <c:f>'5" Theoretical Test'!$B$9:$B$13</c:f>
              <c:numCache>
                <c:formatCode>General</c:formatCode>
                <c:ptCount val="5"/>
                <c:pt idx="0">
                  <c:v>0.5</c:v>
                </c:pt>
                <c:pt idx="1">
                  <c:v>0.54</c:v>
                </c:pt>
                <c:pt idx="2">
                  <c:v>0.59299999999999997</c:v>
                </c:pt>
                <c:pt idx="3">
                  <c:v>0.66</c:v>
                </c:pt>
                <c:pt idx="4">
                  <c:v>0.7</c:v>
                </c:pt>
              </c:numCache>
            </c:numRef>
          </c:yVal>
          <c:smooth val="1"/>
          <c:extLst>
            <c:ext xmlns:c16="http://schemas.microsoft.com/office/drawing/2014/chart" uri="{C3380CC4-5D6E-409C-BE32-E72D297353CC}">
              <c16:uniqueId val="{00000001-55C8-4F7D-A11F-F50BD2E95CC8}"/>
            </c:ext>
          </c:extLst>
        </c:ser>
        <c:dLbls>
          <c:showLegendKey val="0"/>
          <c:showVal val="0"/>
          <c:showCatName val="0"/>
          <c:showSerName val="0"/>
          <c:showPercent val="0"/>
          <c:showBubbleSize val="0"/>
        </c:dLbls>
        <c:axId val="506176264"/>
        <c:axId val="506176656"/>
      </c:scatterChart>
      <c:valAx>
        <c:axId val="506176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76656"/>
        <c:crosses val="autoZero"/>
        <c:crossBetween val="midCat"/>
      </c:valAx>
      <c:valAx>
        <c:axId val="506176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76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7.4295713035870516E-3"/>
                  <c:y val="-0.349752478856809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Gas+liquid Curves'!$C$3:$K$3</c:f>
              <c:numCache>
                <c:formatCode>General</c:formatCode>
                <c:ptCount val="9"/>
                <c:pt idx="0">
                  <c:v>21</c:v>
                </c:pt>
                <c:pt idx="1">
                  <c:v>15</c:v>
                </c:pt>
                <c:pt idx="2">
                  <c:v>13</c:v>
                </c:pt>
                <c:pt idx="3">
                  <c:v>4.5999999999999996</c:v>
                </c:pt>
                <c:pt idx="4">
                  <c:v>4</c:v>
                </c:pt>
                <c:pt idx="5">
                  <c:v>2.5</c:v>
                </c:pt>
                <c:pt idx="6">
                  <c:v>2</c:v>
                </c:pt>
                <c:pt idx="7">
                  <c:v>1.8</c:v>
                </c:pt>
                <c:pt idx="8">
                  <c:v>1.5</c:v>
                </c:pt>
              </c:numCache>
            </c:numRef>
          </c:xVal>
          <c:yVal>
            <c:numRef>
              <c:f>'10A61 3" Gas+liquid Curves'!$C$4:$K$4</c:f>
              <c:numCache>
                <c:formatCode>General</c:formatCode>
                <c:ptCount val="9"/>
                <c:pt idx="0">
                  <c:v>1</c:v>
                </c:pt>
                <c:pt idx="1">
                  <c:v>1.4</c:v>
                </c:pt>
                <c:pt idx="2">
                  <c:v>1.6</c:v>
                </c:pt>
                <c:pt idx="3">
                  <c:v>4.4000000000000004</c:v>
                </c:pt>
                <c:pt idx="4">
                  <c:v>5</c:v>
                </c:pt>
                <c:pt idx="5">
                  <c:v>8</c:v>
                </c:pt>
                <c:pt idx="6">
                  <c:v>10</c:v>
                </c:pt>
                <c:pt idx="7">
                  <c:v>11</c:v>
                </c:pt>
                <c:pt idx="8">
                  <c:v>13</c:v>
                </c:pt>
              </c:numCache>
            </c:numRef>
          </c:yVal>
          <c:smooth val="1"/>
          <c:extLst>
            <c:ext xmlns:c16="http://schemas.microsoft.com/office/drawing/2014/chart" uri="{C3380CC4-5D6E-409C-BE32-E72D297353CC}">
              <c16:uniqueId val="{00000001-0533-44EF-BC04-21D431ED8264}"/>
            </c:ext>
          </c:extLst>
        </c:ser>
        <c:dLbls>
          <c:showLegendKey val="0"/>
          <c:showVal val="0"/>
          <c:showCatName val="0"/>
          <c:showSerName val="0"/>
          <c:showPercent val="0"/>
          <c:showBubbleSize val="0"/>
        </c:dLbls>
        <c:axId val="506177440"/>
        <c:axId val="506177832"/>
      </c:scatterChart>
      <c:valAx>
        <c:axId val="506177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77832"/>
        <c:crosses val="autoZero"/>
        <c:crossBetween val="midCat"/>
      </c:valAx>
      <c:valAx>
        <c:axId val="506177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77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0.12061548556430446"/>
                  <c:y val="9.85476815398075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Gas+liquid Curves'!$K$3:$R$3</c:f>
              <c:numCache>
                <c:formatCode>General</c:formatCode>
                <c:ptCount val="8"/>
                <c:pt idx="0">
                  <c:v>1.5</c:v>
                </c:pt>
                <c:pt idx="1">
                  <c:v>1.25</c:v>
                </c:pt>
                <c:pt idx="2">
                  <c:v>0.94</c:v>
                </c:pt>
                <c:pt idx="3">
                  <c:v>0.78</c:v>
                </c:pt>
                <c:pt idx="4">
                  <c:v>0.64</c:v>
                </c:pt>
                <c:pt idx="5">
                  <c:v>0.36</c:v>
                </c:pt>
                <c:pt idx="6">
                  <c:v>0.25</c:v>
                </c:pt>
                <c:pt idx="7">
                  <c:v>0.13</c:v>
                </c:pt>
              </c:numCache>
            </c:numRef>
          </c:xVal>
          <c:yVal>
            <c:numRef>
              <c:f>'10A61 3" Gas+liquid Curves'!$K$4:$R$4</c:f>
              <c:numCache>
                <c:formatCode>General</c:formatCode>
                <c:ptCount val="8"/>
                <c:pt idx="0">
                  <c:v>13</c:v>
                </c:pt>
                <c:pt idx="1">
                  <c:v>15.1</c:v>
                </c:pt>
                <c:pt idx="2">
                  <c:v>19</c:v>
                </c:pt>
                <c:pt idx="3">
                  <c:v>22</c:v>
                </c:pt>
                <c:pt idx="4">
                  <c:v>25</c:v>
                </c:pt>
                <c:pt idx="5">
                  <c:v>32</c:v>
                </c:pt>
                <c:pt idx="6">
                  <c:v>34</c:v>
                </c:pt>
                <c:pt idx="7">
                  <c:v>35</c:v>
                </c:pt>
              </c:numCache>
            </c:numRef>
          </c:yVal>
          <c:smooth val="1"/>
          <c:extLst>
            <c:ext xmlns:c16="http://schemas.microsoft.com/office/drawing/2014/chart" uri="{C3380CC4-5D6E-409C-BE32-E72D297353CC}">
              <c16:uniqueId val="{00000001-B749-4FB5-8DBA-BAB43BBBF7CD}"/>
            </c:ext>
          </c:extLst>
        </c:ser>
        <c:dLbls>
          <c:showLegendKey val="0"/>
          <c:showVal val="0"/>
          <c:showCatName val="0"/>
          <c:showSerName val="0"/>
          <c:showPercent val="0"/>
          <c:showBubbleSize val="0"/>
        </c:dLbls>
        <c:axId val="506178616"/>
        <c:axId val="506179008"/>
      </c:scatterChart>
      <c:valAx>
        <c:axId val="5061786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79008"/>
        <c:crosses val="autoZero"/>
        <c:crossBetween val="midCat"/>
      </c:valAx>
      <c:valAx>
        <c:axId val="506179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786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6.8588582677165361E-2"/>
                  <c:y val="-0.4575543161271507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Gas+liquid Curves'!$C$27:$J$27</c:f>
              <c:numCache>
                <c:formatCode>General</c:formatCode>
                <c:ptCount val="8"/>
                <c:pt idx="0">
                  <c:v>90</c:v>
                </c:pt>
                <c:pt idx="1">
                  <c:v>80</c:v>
                </c:pt>
                <c:pt idx="2">
                  <c:v>44</c:v>
                </c:pt>
                <c:pt idx="3">
                  <c:v>26</c:v>
                </c:pt>
                <c:pt idx="4">
                  <c:v>12</c:v>
                </c:pt>
                <c:pt idx="5">
                  <c:v>8.4</c:v>
                </c:pt>
                <c:pt idx="6">
                  <c:v>7</c:v>
                </c:pt>
                <c:pt idx="7">
                  <c:v>4.5999999999999996</c:v>
                </c:pt>
              </c:numCache>
            </c:numRef>
          </c:xVal>
          <c:yVal>
            <c:numRef>
              <c:f>'10A61 3" Gas+liquid Curves'!$C$28:$J$28</c:f>
              <c:numCache>
                <c:formatCode>General</c:formatCode>
                <c:ptCount val="8"/>
                <c:pt idx="0">
                  <c:v>1.6</c:v>
                </c:pt>
                <c:pt idx="1">
                  <c:v>1.8</c:v>
                </c:pt>
                <c:pt idx="2">
                  <c:v>3.3</c:v>
                </c:pt>
                <c:pt idx="3">
                  <c:v>5.6</c:v>
                </c:pt>
                <c:pt idx="4">
                  <c:v>12</c:v>
                </c:pt>
                <c:pt idx="5">
                  <c:v>17</c:v>
                </c:pt>
                <c:pt idx="6">
                  <c:v>20</c:v>
                </c:pt>
                <c:pt idx="7">
                  <c:v>30</c:v>
                </c:pt>
              </c:numCache>
            </c:numRef>
          </c:yVal>
          <c:smooth val="1"/>
          <c:extLst>
            <c:ext xmlns:c16="http://schemas.microsoft.com/office/drawing/2014/chart" uri="{C3380CC4-5D6E-409C-BE32-E72D297353CC}">
              <c16:uniqueId val="{00000001-7F77-450F-94D4-FEDC54A8278A}"/>
            </c:ext>
          </c:extLst>
        </c:ser>
        <c:dLbls>
          <c:showLegendKey val="0"/>
          <c:showVal val="0"/>
          <c:showCatName val="0"/>
          <c:showSerName val="0"/>
          <c:showPercent val="0"/>
          <c:showBubbleSize val="0"/>
        </c:dLbls>
        <c:axId val="506179792"/>
        <c:axId val="856626664"/>
      </c:scatterChart>
      <c:valAx>
        <c:axId val="5061797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626664"/>
        <c:crosses val="autoZero"/>
        <c:crossBetween val="midCat"/>
      </c:valAx>
      <c:valAx>
        <c:axId val="856626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797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0.15573534558180227"/>
                  <c:y val="3.98716827063284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Gas+liquid Curves'!$J$27:$Q$27</c:f>
              <c:numCache>
                <c:formatCode>General</c:formatCode>
                <c:ptCount val="8"/>
                <c:pt idx="0">
                  <c:v>4.5999999999999996</c:v>
                </c:pt>
                <c:pt idx="1">
                  <c:v>3.2</c:v>
                </c:pt>
                <c:pt idx="2">
                  <c:v>1.8</c:v>
                </c:pt>
                <c:pt idx="3">
                  <c:v>1.5</c:v>
                </c:pt>
                <c:pt idx="4">
                  <c:v>1.2</c:v>
                </c:pt>
                <c:pt idx="5">
                  <c:v>1</c:v>
                </c:pt>
                <c:pt idx="6">
                  <c:v>0.6</c:v>
                </c:pt>
                <c:pt idx="7">
                  <c:v>0.12</c:v>
                </c:pt>
              </c:numCache>
            </c:numRef>
          </c:xVal>
          <c:yVal>
            <c:numRef>
              <c:f>'10A61 3" Gas+liquid Curves'!$J$28:$Q$28</c:f>
              <c:numCache>
                <c:formatCode>General</c:formatCode>
                <c:ptCount val="8"/>
                <c:pt idx="0">
                  <c:v>30</c:v>
                </c:pt>
                <c:pt idx="1">
                  <c:v>42</c:v>
                </c:pt>
                <c:pt idx="2">
                  <c:v>68</c:v>
                </c:pt>
                <c:pt idx="3">
                  <c:v>76</c:v>
                </c:pt>
                <c:pt idx="4">
                  <c:v>84</c:v>
                </c:pt>
                <c:pt idx="5">
                  <c:v>90</c:v>
                </c:pt>
                <c:pt idx="6">
                  <c:v>100</c:v>
                </c:pt>
                <c:pt idx="7">
                  <c:v>110</c:v>
                </c:pt>
              </c:numCache>
            </c:numRef>
          </c:yVal>
          <c:smooth val="1"/>
          <c:extLst>
            <c:ext xmlns:c16="http://schemas.microsoft.com/office/drawing/2014/chart" uri="{C3380CC4-5D6E-409C-BE32-E72D297353CC}">
              <c16:uniqueId val="{00000001-2E3E-4778-9B7C-A4AB2A7F424B}"/>
            </c:ext>
          </c:extLst>
        </c:ser>
        <c:dLbls>
          <c:showLegendKey val="0"/>
          <c:showVal val="0"/>
          <c:showCatName val="0"/>
          <c:showSerName val="0"/>
          <c:showPercent val="0"/>
          <c:showBubbleSize val="0"/>
        </c:dLbls>
        <c:axId val="856627448"/>
        <c:axId val="856627840"/>
      </c:scatterChart>
      <c:valAx>
        <c:axId val="8566274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627840"/>
        <c:crosses val="autoZero"/>
        <c:crossBetween val="midCat"/>
      </c:valAx>
      <c:valAx>
        <c:axId val="856627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6274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12615594925634296"/>
                  <c:y val="-0.3927395013123359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Gas+liquid Curves'!$C$50:$I$50</c:f>
              <c:numCache>
                <c:formatCode>General</c:formatCode>
                <c:ptCount val="7"/>
                <c:pt idx="0">
                  <c:v>70</c:v>
                </c:pt>
                <c:pt idx="1">
                  <c:v>58</c:v>
                </c:pt>
                <c:pt idx="2">
                  <c:v>38</c:v>
                </c:pt>
                <c:pt idx="3">
                  <c:v>35</c:v>
                </c:pt>
                <c:pt idx="4">
                  <c:v>19</c:v>
                </c:pt>
                <c:pt idx="5">
                  <c:v>15</c:v>
                </c:pt>
                <c:pt idx="6">
                  <c:v>13</c:v>
                </c:pt>
              </c:numCache>
            </c:numRef>
          </c:xVal>
          <c:yVal>
            <c:numRef>
              <c:f>'10A61 3" Gas+liquid Curves'!$C$51:$I$51</c:f>
              <c:numCache>
                <c:formatCode>General</c:formatCode>
                <c:ptCount val="7"/>
                <c:pt idx="0">
                  <c:v>14</c:v>
                </c:pt>
                <c:pt idx="1">
                  <c:v>17</c:v>
                </c:pt>
                <c:pt idx="2">
                  <c:v>26</c:v>
                </c:pt>
                <c:pt idx="3">
                  <c:v>28</c:v>
                </c:pt>
                <c:pt idx="4">
                  <c:v>51</c:v>
                </c:pt>
                <c:pt idx="5">
                  <c:v>66</c:v>
                </c:pt>
                <c:pt idx="6">
                  <c:v>76</c:v>
                </c:pt>
              </c:numCache>
            </c:numRef>
          </c:yVal>
          <c:smooth val="1"/>
          <c:extLst>
            <c:ext xmlns:c16="http://schemas.microsoft.com/office/drawing/2014/chart" uri="{C3380CC4-5D6E-409C-BE32-E72D297353CC}">
              <c16:uniqueId val="{00000001-D30E-4C50-A893-BFAF69CACD23}"/>
            </c:ext>
          </c:extLst>
        </c:ser>
        <c:dLbls>
          <c:showLegendKey val="0"/>
          <c:showVal val="0"/>
          <c:showCatName val="0"/>
          <c:showSerName val="0"/>
          <c:showPercent val="0"/>
          <c:showBubbleSize val="0"/>
        </c:dLbls>
        <c:axId val="856628624"/>
        <c:axId val="856629016"/>
      </c:scatterChart>
      <c:valAx>
        <c:axId val="856628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629016"/>
        <c:crosses val="autoZero"/>
        <c:crossBetween val="midCat"/>
      </c:valAx>
      <c:valAx>
        <c:axId val="856629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6286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2.2915573053368327E-3"/>
                  <c:y val="-0.3714176873724117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Gas+liquid Curves'!$I$50:$U$50</c:f>
              <c:numCache>
                <c:formatCode>General</c:formatCode>
                <c:ptCount val="13"/>
                <c:pt idx="0">
                  <c:v>13</c:v>
                </c:pt>
                <c:pt idx="1">
                  <c:v>12</c:v>
                </c:pt>
                <c:pt idx="2">
                  <c:v>10</c:v>
                </c:pt>
                <c:pt idx="3">
                  <c:v>6.6</c:v>
                </c:pt>
                <c:pt idx="4">
                  <c:v>4</c:v>
                </c:pt>
                <c:pt idx="5">
                  <c:v>3.4</c:v>
                </c:pt>
                <c:pt idx="6">
                  <c:v>3</c:v>
                </c:pt>
                <c:pt idx="7">
                  <c:v>2.5</c:v>
                </c:pt>
                <c:pt idx="8">
                  <c:v>1.7</c:v>
                </c:pt>
                <c:pt idx="9">
                  <c:v>1</c:v>
                </c:pt>
                <c:pt idx="10">
                  <c:v>0.88</c:v>
                </c:pt>
                <c:pt idx="11">
                  <c:v>0.5</c:v>
                </c:pt>
                <c:pt idx="12">
                  <c:v>0.13</c:v>
                </c:pt>
              </c:numCache>
            </c:numRef>
          </c:xVal>
          <c:yVal>
            <c:numRef>
              <c:f>'10A61 3" Gas+liquid Curves'!$I$51:$U$51</c:f>
              <c:numCache>
                <c:formatCode>General</c:formatCode>
                <c:ptCount val="13"/>
                <c:pt idx="0">
                  <c:v>76</c:v>
                </c:pt>
                <c:pt idx="1">
                  <c:v>75</c:v>
                </c:pt>
                <c:pt idx="2">
                  <c:v>97</c:v>
                </c:pt>
                <c:pt idx="3">
                  <c:v>150</c:v>
                </c:pt>
                <c:pt idx="4">
                  <c:v>210</c:v>
                </c:pt>
                <c:pt idx="5">
                  <c:v>230</c:v>
                </c:pt>
                <c:pt idx="6">
                  <c:v>260</c:v>
                </c:pt>
                <c:pt idx="7">
                  <c:v>290</c:v>
                </c:pt>
                <c:pt idx="8">
                  <c:v>350</c:v>
                </c:pt>
                <c:pt idx="9">
                  <c:v>390</c:v>
                </c:pt>
                <c:pt idx="10">
                  <c:v>400</c:v>
                </c:pt>
                <c:pt idx="11">
                  <c:v>420</c:v>
                </c:pt>
                <c:pt idx="12">
                  <c:v>437</c:v>
                </c:pt>
              </c:numCache>
            </c:numRef>
          </c:yVal>
          <c:smooth val="1"/>
          <c:extLst>
            <c:ext xmlns:c16="http://schemas.microsoft.com/office/drawing/2014/chart" uri="{C3380CC4-5D6E-409C-BE32-E72D297353CC}">
              <c16:uniqueId val="{00000001-31C0-4801-BA01-9847EBE8BD59}"/>
            </c:ext>
          </c:extLst>
        </c:ser>
        <c:dLbls>
          <c:showLegendKey val="0"/>
          <c:showVal val="0"/>
          <c:showCatName val="0"/>
          <c:showSerName val="0"/>
          <c:showPercent val="0"/>
          <c:showBubbleSize val="0"/>
        </c:dLbls>
        <c:axId val="856629800"/>
        <c:axId val="856630192"/>
      </c:scatterChart>
      <c:valAx>
        <c:axId val="856629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630192"/>
        <c:crosses val="autoZero"/>
        <c:crossBetween val="midCat"/>
      </c:valAx>
      <c:valAx>
        <c:axId val="856630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66298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9.6625109361329828E-2"/>
                  <c:y val="-0.3881098716827063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Gas+liquid Curves'!$C$76:$K$76</c:f>
              <c:numCache>
                <c:formatCode>General</c:formatCode>
                <c:ptCount val="9"/>
                <c:pt idx="0">
                  <c:v>86</c:v>
                </c:pt>
                <c:pt idx="1">
                  <c:v>58</c:v>
                </c:pt>
                <c:pt idx="2">
                  <c:v>36</c:v>
                </c:pt>
                <c:pt idx="3">
                  <c:v>30</c:v>
                </c:pt>
                <c:pt idx="4">
                  <c:v>27</c:v>
                </c:pt>
                <c:pt idx="5">
                  <c:v>24</c:v>
                </c:pt>
                <c:pt idx="6">
                  <c:v>18</c:v>
                </c:pt>
                <c:pt idx="7">
                  <c:v>12</c:v>
                </c:pt>
                <c:pt idx="8">
                  <c:v>7.6</c:v>
                </c:pt>
              </c:numCache>
            </c:numRef>
          </c:xVal>
          <c:yVal>
            <c:numRef>
              <c:f>'10A61 3" Gas+liquid Curves'!$C$77:$K$77</c:f>
              <c:numCache>
                <c:formatCode>General</c:formatCode>
                <c:ptCount val="9"/>
                <c:pt idx="0">
                  <c:v>25</c:v>
                </c:pt>
                <c:pt idx="1">
                  <c:v>34</c:v>
                </c:pt>
                <c:pt idx="2">
                  <c:v>60</c:v>
                </c:pt>
                <c:pt idx="3">
                  <c:v>72</c:v>
                </c:pt>
                <c:pt idx="4">
                  <c:v>80</c:v>
                </c:pt>
                <c:pt idx="5">
                  <c:v>90</c:v>
                </c:pt>
                <c:pt idx="6">
                  <c:v>120</c:v>
                </c:pt>
                <c:pt idx="7">
                  <c:v>180</c:v>
                </c:pt>
                <c:pt idx="8">
                  <c:v>280</c:v>
                </c:pt>
              </c:numCache>
            </c:numRef>
          </c:yVal>
          <c:smooth val="1"/>
          <c:extLst>
            <c:ext xmlns:c16="http://schemas.microsoft.com/office/drawing/2014/chart" uri="{C3380CC4-5D6E-409C-BE32-E72D297353CC}">
              <c16:uniqueId val="{00000001-CA3B-45D7-A62B-1969BF88BC62}"/>
            </c:ext>
          </c:extLst>
        </c:ser>
        <c:dLbls>
          <c:showLegendKey val="0"/>
          <c:showVal val="0"/>
          <c:showCatName val="0"/>
          <c:showSerName val="0"/>
          <c:showPercent val="0"/>
          <c:showBubbleSize val="0"/>
        </c:dLbls>
        <c:axId val="893827424"/>
        <c:axId val="893827816"/>
      </c:scatterChart>
      <c:valAx>
        <c:axId val="893827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827816"/>
        <c:crosses val="autoZero"/>
        <c:crossBetween val="midCat"/>
      </c:valAx>
      <c:valAx>
        <c:axId val="893827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8274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0.107251312335958"/>
                  <c:y val="8.31740303295421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Gas+liquid Curves'!$K$76:$Q$76</c:f>
              <c:numCache>
                <c:formatCode>General</c:formatCode>
                <c:ptCount val="7"/>
                <c:pt idx="0">
                  <c:v>7.6</c:v>
                </c:pt>
                <c:pt idx="1">
                  <c:v>4.5999999999999996</c:v>
                </c:pt>
                <c:pt idx="2">
                  <c:v>3.4</c:v>
                </c:pt>
                <c:pt idx="3">
                  <c:v>1.9</c:v>
                </c:pt>
                <c:pt idx="4">
                  <c:v>1.5</c:v>
                </c:pt>
                <c:pt idx="5">
                  <c:v>0.7</c:v>
                </c:pt>
                <c:pt idx="6">
                  <c:v>0.13</c:v>
                </c:pt>
              </c:numCache>
            </c:numRef>
          </c:xVal>
          <c:yVal>
            <c:numRef>
              <c:f>'10A61 3" Gas+liquid Curves'!$K$77:$Q$77</c:f>
              <c:numCache>
                <c:formatCode>General</c:formatCode>
                <c:ptCount val="7"/>
                <c:pt idx="0">
                  <c:v>280</c:v>
                </c:pt>
                <c:pt idx="1">
                  <c:v>400</c:v>
                </c:pt>
                <c:pt idx="2">
                  <c:v>460</c:v>
                </c:pt>
                <c:pt idx="3">
                  <c:v>540</c:v>
                </c:pt>
                <c:pt idx="4">
                  <c:v>560</c:v>
                </c:pt>
                <c:pt idx="5">
                  <c:v>600</c:v>
                </c:pt>
                <c:pt idx="6">
                  <c:v>620</c:v>
                </c:pt>
              </c:numCache>
            </c:numRef>
          </c:yVal>
          <c:smooth val="1"/>
          <c:extLst>
            <c:ext xmlns:c16="http://schemas.microsoft.com/office/drawing/2014/chart" uri="{C3380CC4-5D6E-409C-BE32-E72D297353CC}">
              <c16:uniqueId val="{00000001-F9D7-4818-B52B-0D07F1526FB5}"/>
            </c:ext>
          </c:extLst>
        </c:ser>
        <c:dLbls>
          <c:showLegendKey val="0"/>
          <c:showVal val="0"/>
          <c:showCatName val="0"/>
          <c:showSerName val="0"/>
          <c:showPercent val="0"/>
          <c:showBubbleSize val="0"/>
        </c:dLbls>
        <c:axId val="893828600"/>
        <c:axId val="893828992"/>
      </c:scatterChart>
      <c:valAx>
        <c:axId val="8938286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828992"/>
        <c:crosses val="autoZero"/>
        <c:crossBetween val="midCat"/>
      </c:valAx>
      <c:valAx>
        <c:axId val="893828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8286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5.9422134733158355E-2"/>
                  <c:y val="-0.2538506124234470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Gas+liquid Curves'!$C$100:$I$100</c:f>
              <c:numCache>
                <c:formatCode>General</c:formatCode>
                <c:ptCount val="7"/>
                <c:pt idx="0">
                  <c:v>98</c:v>
                </c:pt>
                <c:pt idx="1">
                  <c:v>58</c:v>
                </c:pt>
                <c:pt idx="2">
                  <c:v>46</c:v>
                </c:pt>
                <c:pt idx="3">
                  <c:v>39</c:v>
                </c:pt>
                <c:pt idx="4">
                  <c:v>32</c:v>
                </c:pt>
                <c:pt idx="5">
                  <c:v>27</c:v>
                </c:pt>
                <c:pt idx="6">
                  <c:v>24</c:v>
                </c:pt>
              </c:numCache>
            </c:numRef>
          </c:xVal>
          <c:yVal>
            <c:numRef>
              <c:f>'10A61 3" Gas+liquid Curves'!$C$101:$I$101</c:f>
              <c:numCache>
                <c:formatCode>General</c:formatCode>
                <c:ptCount val="7"/>
                <c:pt idx="0">
                  <c:v>90</c:v>
                </c:pt>
                <c:pt idx="1">
                  <c:v>150</c:v>
                </c:pt>
                <c:pt idx="2">
                  <c:v>190</c:v>
                </c:pt>
                <c:pt idx="3">
                  <c:v>220</c:v>
                </c:pt>
                <c:pt idx="4">
                  <c:v>270</c:v>
                </c:pt>
                <c:pt idx="5">
                  <c:v>320</c:v>
                </c:pt>
                <c:pt idx="6">
                  <c:v>360</c:v>
                </c:pt>
              </c:numCache>
            </c:numRef>
          </c:yVal>
          <c:smooth val="1"/>
          <c:extLst>
            <c:ext xmlns:c16="http://schemas.microsoft.com/office/drawing/2014/chart" uri="{C3380CC4-5D6E-409C-BE32-E72D297353CC}">
              <c16:uniqueId val="{00000001-FDD8-4DAA-89A5-8190FCE2A766}"/>
            </c:ext>
          </c:extLst>
        </c:ser>
        <c:dLbls>
          <c:showLegendKey val="0"/>
          <c:showVal val="0"/>
          <c:showCatName val="0"/>
          <c:showSerName val="0"/>
          <c:showPercent val="0"/>
          <c:showBubbleSize val="0"/>
        </c:dLbls>
        <c:axId val="893829776"/>
        <c:axId val="893830168"/>
      </c:scatterChart>
      <c:valAx>
        <c:axId val="893829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830168"/>
        <c:crosses val="autoZero"/>
        <c:crossBetween val="midCat"/>
      </c:valAx>
      <c:valAx>
        <c:axId val="893830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8297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4.2457786526684166E-2"/>
                  <c:y val="0.1238039515893846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Gas+liquid Curves'!$I$100:$S$100</c:f>
              <c:numCache>
                <c:formatCode>General</c:formatCode>
                <c:ptCount val="11"/>
                <c:pt idx="0">
                  <c:v>24</c:v>
                </c:pt>
                <c:pt idx="1">
                  <c:v>20</c:v>
                </c:pt>
                <c:pt idx="2">
                  <c:v>15</c:v>
                </c:pt>
                <c:pt idx="3">
                  <c:v>12</c:v>
                </c:pt>
                <c:pt idx="4">
                  <c:v>8.1999999999999993</c:v>
                </c:pt>
                <c:pt idx="5">
                  <c:v>6.2</c:v>
                </c:pt>
                <c:pt idx="6">
                  <c:v>4.4000000000000004</c:v>
                </c:pt>
                <c:pt idx="7">
                  <c:v>2</c:v>
                </c:pt>
                <c:pt idx="8">
                  <c:v>1.2</c:v>
                </c:pt>
                <c:pt idx="9">
                  <c:v>0.44</c:v>
                </c:pt>
                <c:pt idx="10">
                  <c:v>0.11</c:v>
                </c:pt>
              </c:numCache>
            </c:numRef>
          </c:xVal>
          <c:yVal>
            <c:numRef>
              <c:f>'10A61 3" Gas+liquid Curves'!$I$101:$S$101</c:f>
              <c:numCache>
                <c:formatCode>General</c:formatCode>
                <c:ptCount val="11"/>
                <c:pt idx="0">
                  <c:v>360</c:v>
                </c:pt>
                <c:pt idx="1">
                  <c:v>430</c:v>
                </c:pt>
                <c:pt idx="2">
                  <c:v>540</c:v>
                </c:pt>
                <c:pt idx="3">
                  <c:v>620</c:v>
                </c:pt>
                <c:pt idx="4">
                  <c:v>740</c:v>
                </c:pt>
                <c:pt idx="5">
                  <c:v>820</c:v>
                </c:pt>
                <c:pt idx="6">
                  <c:v>920</c:v>
                </c:pt>
                <c:pt idx="7">
                  <c:v>1100</c:v>
                </c:pt>
                <c:pt idx="8">
                  <c:v>1200</c:v>
                </c:pt>
                <c:pt idx="9">
                  <c:v>1300</c:v>
                </c:pt>
                <c:pt idx="10">
                  <c:v>1370</c:v>
                </c:pt>
              </c:numCache>
            </c:numRef>
          </c:yVal>
          <c:smooth val="1"/>
          <c:extLst>
            <c:ext xmlns:c16="http://schemas.microsoft.com/office/drawing/2014/chart" uri="{C3380CC4-5D6E-409C-BE32-E72D297353CC}">
              <c16:uniqueId val="{00000001-1D31-492B-BDD3-578F55FC2E60}"/>
            </c:ext>
          </c:extLst>
        </c:ser>
        <c:dLbls>
          <c:showLegendKey val="0"/>
          <c:showVal val="0"/>
          <c:showCatName val="0"/>
          <c:showSerName val="0"/>
          <c:showPercent val="0"/>
          <c:showBubbleSize val="0"/>
        </c:dLbls>
        <c:axId val="898927072"/>
        <c:axId val="898927464"/>
      </c:scatterChart>
      <c:valAx>
        <c:axId val="898927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927464"/>
        <c:crosses val="autoZero"/>
        <c:crossBetween val="midCat"/>
      </c:valAx>
      <c:valAx>
        <c:axId val="898927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927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8.929965004374453E-2"/>
                  <c:y val="-0.3742209827938174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Gas+liquid Curves'!$C$123:$I$123</c:f>
              <c:numCache>
                <c:formatCode>General</c:formatCode>
                <c:ptCount val="7"/>
                <c:pt idx="0">
                  <c:v>90</c:v>
                </c:pt>
                <c:pt idx="1">
                  <c:v>70</c:v>
                </c:pt>
                <c:pt idx="2">
                  <c:v>58</c:v>
                </c:pt>
                <c:pt idx="3">
                  <c:v>46</c:v>
                </c:pt>
                <c:pt idx="4">
                  <c:v>34</c:v>
                </c:pt>
                <c:pt idx="5">
                  <c:v>27</c:v>
                </c:pt>
                <c:pt idx="6">
                  <c:v>22</c:v>
                </c:pt>
              </c:numCache>
            </c:numRef>
          </c:xVal>
          <c:yVal>
            <c:numRef>
              <c:f>'10A61 3" Gas+liquid Curves'!$C$124:$I$124</c:f>
              <c:numCache>
                <c:formatCode>General</c:formatCode>
                <c:ptCount val="7"/>
                <c:pt idx="0">
                  <c:v>150</c:v>
                </c:pt>
                <c:pt idx="1">
                  <c:v>190</c:v>
                </c:pt>
                <c:pt idx="2">
                  <c:v>230</c:v>
                </c:pt>
                <c:pt idx="3">
                  <c:v>290</c:v>
                </c:pt>
                <c:pt idx="4">
                  <c:v>390</c:v>
                </c:pt>
                <c:pt idx="5">
                  <c:v>480</c:v>
                </c:pt>
                <c:pt idx="6">
                  <c:v>580</c:v>
                </c:pt>
              </c:numCache>
            </c:numRef>
          </c:yVal>
          <c:smooth val="1"/>
          <c:extLst>
            <c:ext xmlns:c16="http://schemas.microsoft.com/office/drawing/2014/chart" uri="{C3380CC4-5D6E-409C-BE32-E72D297353CC}">
              <c16:uniqueId val="{00000001-C3B7-4625-BF37-565B560376E2}"/>
            </c:ext>
          </c:extLst>
        </c:ser>
        <c:dLbls>
          <c:showLegendKey val="0"/>
          <c:showVal val="0"/>
          <c:showCatName val="0"/>
          <c:showSerName val="0"/>
          <c:showPercent val="0"/>
          <c:showBubbleSize val="0"/>
        </c:dLbls>
        <c:axId val="898928248"/>
        <c:axId val="898928640"/>
      </c:scatterChart>
      <c:valAx>
        <c:axId val="898928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928640"/>
        <c:crosses val="autoZero"/>
        <c:crossBetween val="midCat"/>
      </c:valAx>
      <c:valAx>
        <c:axId val="89892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9282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4692038495188105E-2"/>
          <c:y val="0.16245370370370371"/>
          <c:w val="0.86486351706036746"/>
          <c:h val="0.72088764946048411"/>
        </c:manualLayout>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9.8508092738407729E-2"/>
                  <c:y val="0.1015587634878974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3" Gas+liquid Curves'!$I$123:$R$123</c:f>
              <c:numCache>
                <c:formatCode>General</c:formatCode>
                <c:ptCount val="10"/>
                <c:pt idx="0">
                  <c:v>22</c:v>
                </c:pt>
                <c:pt idx="1">
                  <c:v>18</c:v>
                </c:pt>
                <c:pt idx="2">
                  <c:v>12</c:v>
                </c:pt>
                <c:pt idx="3">
                  <c:v>8</c:v>
                </c:pt>
                <c:pt idx="4">
                  <c:v>6</c:v>
                </c:pt>
                <c:pt idx="5">
                  <c:v>4.2</c:v>
                </c:pt>
                <c:pt idx="6">
                  <c:v>2.7</c:v>
                </c:pt>
                <c:pt idx="7">
                  <c:v>1.6</c:v>
                </c:pt>
                <c:pt idx="8">
                  <c:v>0.5</c:v>
                </c:pt>
                <c:pt idx="9">
                  <c:v>0.11</c:v>
                </c:pt>
              </c:numCache>
            </c:numRef>
          </c:xVal>
          <c:yVal>
            <c:numRef>
              <c:f>'10A61 3" Gas+liquid Curves'!$I$124:$R$124</c:f>
              <c:numCache>
                <c:formatCode>General</c:formatCode>
                <c:ptCount val="10"/>
                <c:pt idx="0">
                  <c:v>580</c:v>
                </c:pt>
                <c:pt idx="1">
                  <c:v>680</c:v>
                </c:pt>
                <c:pt idx="2">
                  <c:v>900</c:v>
                </c:pt>
                <c:pt idx="3">
                  <c:v>1100</c:v>
                </c:pt>
                <c:pt idx="4">
                  <c:v>1200</c:v>
                </c:pt>
                <c:pt idx="5">
                  <c:v>1300</c:v>
                </c:pt>
                <c:pt idx="6">
                  <c:v>1400</c:v>
                </c:pt>
                <c:pt idx="7">
                  <c:v>1500</c:v>
                </c:pt>
                <c:pt idx="8">
                  <c:v>1600</c:v>
                </c:pt>
                <c:pt idx="9">
                  <c:v>1630</c:v>
                </c:pt>
              </c:numCache>
            </c:numRef>
          </c:yVal>
          <c:smooth val="1"/>
          <c:extLst>
            <c:ext xmlns:c16="http://schemas.microsoft.com/office/drawing/2014/chart" uri="{C3380CC4-5D6E-409C-BE32-E72D297353CC}">
              <c16:uniqueId val="{00000001-60CF-4554-B4D6-AC8AE6291D95}"/>
            </c:ext>
          </c:extLst>
        </c:ser>
        <c:dLbls>
          <c:showLegendKey val="0"/>
          <c:showVal val="0"/>
          <c:showCatName val="0"/>
          <c:showSerName val="0"/>
          <c:showPercent val="0"/>
          <c:showBubbleSize val="0"/>
        </c:dLbls>
        <c:axId val="898929424"/>
        <c:axId val="898929816"/>
      </c:scatterChart>
      <c:valAx>
        <c:axId val="89892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929816"/>
        <c:crosses val="autoZero"/>
        <c:crossBetween val="midCat"/>
      </c:valAx>
      <c:valAx>
        <c:axId val="898929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9294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dispRSqr val="1"/>
            <c:dispEq val="1"/>
            <c:trendlineLbl>
              <c:layout>
                <c:manualLayout>
                  <c:x val="5.0174978127734036E-4"/>
                  <c:y val="0.305138888888888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5" Curves'!$C$10:$G$10</c:f>
              <c:numCache>
                <c:formatCode>General</c:formatCode>
                <c:ptCount val="5"/>
                <c:pt idx="0">
                  <c:v>30</c:v>
                </c:pt>
                <c:pt idx="1">
                  <c:v>40</c:v>
                </c:pt>
                <c:pt idx="2">
                  <c:v>80</c:v>
                </c:pt>
                <c:pt idx="3">
                  <c:v>95</c:v>
                </c:pt>
                <c:pt idx="4">
                  <c:v>180</c:v>
                </c:pt>
              </c:numCache>
            </c:numRef>
          </c:xVal>
          <c:yVal>
            <c:numRef>
              <c:f>'10A61 5" Curves'!$C$11:$G$11</c:f>
              <c:numCache>
                <c:formatCode>General</c:formatCode>
                <c:ptCount val="5"/>
                <c:pt idx="0">
                  <c:v>4.3999999999999997E-2</c:v>
                </c:pt>
                <c:pt idx="1">
                  <c:v>0.06</c:v>
                </c:pt>
                <c:pt idx="2">
                  <c:v>0.123</c:v>
                </c:pt>
                <c:pt idx="3">
                  <c:v>0.14000000000000001</c:v>
                </c:pt>
                <c:pt idx="4">
                  <c:v>0.22</c:v>
                </c:pt>
              </c:numCache>
            </c:numRef>
          </c:yVal>
          <c:smooth val="1"/>
          <c:extLst>
            <c:ext xmlns:c16="http://schemas.microsoft.com/office/drawing/2014/chart" uri="{C3380CC4-5D6E-409C-BE32-E72D297353CC}">
              <c16:uniqueId val="{00000001-CC0D-4852-8074-E67668BC3D37}"/>
            </c:ext>
          </c:extLst>
        </c:ser>
        <c:dLbls>
          <c:showLegendKey val="0"/>
          <c:showVal val="0"/>
          <c:showCatName val="0"/>
          <c:showSerName val="0"/>
          <c:showPercent val="0"/>
          <c:showBubbleSize val="0"/>
        </c:dLbls>
        <c:axId val="898930600"/>
        <c:axId val="505271800"/>
      </c:scatterChart>
      <c:valAx>
        <c:axId val="8989306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71800"/>
        <c:crosses val="autoZero"/>
        <c:crossBetween val="midCat"/>
      </c:valAx>
      <c:valAx>
        <c:axId val="505271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9306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14991732283464568"/>
                  <c:y val="-0.4992209827938174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10"+6" Curves'!$C$2:$K$2</c:f>
              <c:numCache>
                <c:formatCode>General</c:formatCode>
                <c:ptCount val="9"/>
                <c:pt idx="0">
                  <c:v>28</c:v>
                </c:pt>
                <c:pt idx="1">
                  <c:v>26</c:v>
                </c:pt>
                <c:pt idx="2">
                  <c:v>19</c:v>
                </c:pt>
                <c:pt idx="3">
                  <c:v>16</c:v>
                </c:pt>
                <c:pt idx="4">
                  <c:v>13</c:v>
                </c:pt>
                <c:pt idx="5">
                  <c:v>9.4</c:v>
                </c:pt>
                <c:pt idx="6">
                  <c:v>6.8</c:v>
                </c:pt>
                <c:pt idx="7">
                  <c:v>5</c:v>
                </c:pt>
                <c:pt idx="8">
                  <c:v>4</c:v>
                </c:pt>
              </c:numCache>
            </c:numRef>
          </c:xVal>
          <c:yVal>
            <c:numRef>
              <c:f>'10A61 10"+6" Curves'!$C$3:$K$3</c:f>
              <c:numCache>
                <c:formatCode>General</c:formatCode>
                <c:ptCount val="9"/>
                <c:pt idx="0">
                  <c:v>1</c:v>
                </c:pt>
                <c:pt idx="1">
                  <c:v>1.1000000000000001</c:v>
                </c:pt>
                <c:pt idx="2">
                  <c:v>1.5</c:v>
                </c:pt>
                <c:pt idx="3">
                  <c:v>1.8</c:v>
                </c:pt>
                <c:pt idx="4">
                  <c:v>2.2000000000000002</c:v>
                </c:pt>
                <c:pt idx="5">
                  <c:v>3.1</c:v>
                </c:pt>
                <c:pt idx="6">
                  <c:v>4.2</c:v>
                </c:pt>
                <c:pt idx="7">
                  <c:v>5.6</c:v>
                </c:pt>
                <c:pt idx="8">
                  <c:v>7</c:v>
                </c:pt>
              </c:numCache>
            </c:numRef>
          </c:yVal>
          <c:smooth val="1"/>
          <c:extLst>
            <c:ext xmlns:c16="http://schemas.microsoft.com/office/drawing/2014/chart" uri="{C3380CC4-5D6E-409C-BE32-E72D297353CC}">
              <c16:uniqueId val="{00000001-13D9-49AE-826A-DC0E55398B62}"/>
            </c:ext>
          </c:extLst>
        </c:ser>
        <c:dLbls>
          <c:showLegendKey val="0"/>
          <c:showVal val="0"/>
          <c:showCatName val="0"/>
          <c:showSerName val="0"/>
          <c:showPercent val="0"/>
          <c:showBubbleSize val="0"/>
        </c:dLbls>
        <c:axId val="505272584"/>
        <c:axId val="505272976"/>
      </c:scatterChart>
      <c:valAx>
        <c:axId val="5052725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72976"/>
        <c:crosses val="autoZero"/>
        <c:crossBetween val="midCat"/>
      </c:valAx>
      <c:valAx>
        <c:axId val="505272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72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2.3949037620297462E-2"/>
                  <c:y val="-0.347192694663167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10"+6" Curves'!$K$2:$T$2</c:f>
              <c:numCache>
                <c:formatCode>General</c:formatCode>
                <c:ptCount val="10"/>
                <c:pt idx="0">
                  <c:v>4</c:v>
                </c:pt>
                <c:pt idx="1">
                  <c:v>3</c:v>
                </c:pt>
                <c:pt idx="2">
                  <c:v>1.9</c:v>
                </c:pt>
                <c:pt idx="3">
                  <c:v>1.2</c:v>
                </c:pt>
                <c:pt idx="4">
                  <c:v>1</c:v>
                </c:pt>
                <c:pt idx="5">
                  <c:v>0.6</c:v>
                </c:pt>
                <c:pt idx="6">
                  <c:v>0.37</c:v>
                </c:pt>
                <c:pt idx="7">
                  <c:v>0.2</c:v>
                </c:pt>
                <c:pt idx="8">
                  <c:v>0.15</c:v>
                </c:pt>
                <c:pt idx="9">
                  <c:v>0.11</c:v>
                </c:pt>
              </c:numCache>
            </c:numRef>
          </c:xVal>
          <c:yVal>
            <c:numRef>
              <c:f>'10A61 10"+6" Curves'!$K$3:$T$3</c:f>
              <c:numCache>
                <c:formatCode>General</c:formatCode>
                <c:ptCount val="10"/>
                <c:pt idx="0">
                  <c:v>7</c:v>
                </c:pt>
                <c:pt idx="1">
                  <c:v>9</c:v>
                </c:pt>
                <c:pt idx="2">
                  <c:v>13</c:v>
                </c:pt>
                <c:pt idx="3">
                  <c:v>18</c:v>
                </c:pt>
                <c:pt idx="4">
                  <c:v>20</c:v>
                </c:pt>
                <c:pt idx="5">
                  <c:v>25</c:v>
                </c:pt>
                <c:pt idx="6">
                  <c:v>29</c:v>
                </c:pt>
                <c:pt idx="7">
                  <c:v>33</c:v>
                </c:pt>
                <c:pt idx="8">
                  <c:v>35</c:v>
                </c:pt>
                <c:pt idx="9">
                  <c:v>36</c:v>
                </c:pt>
              </c:numCache>
            </c:numRef>
          </c:yVal>
          <c:smooth val="1"/>
          <c:extLst>
            <c:ext xmlns:c16="http://schemas.microsoft.com/office/drawing/2014/chart" uri="{C3380CC4-5D6E-409C-BE32-E72D297353CC}">
              <c16:uniqueId val="{00000001-7D6F-436E-9999-DC89BBA437AA}"/>
            </c:ext>
          </c:extLst>
        </c:ser>
        <c:dLbls>
          <c:showLegendKey val="0"/>
          <c:showVal val="0"/>
          <c:showCatName val="0"/>
          <c:showSerName val="0"/>
          <c:showPercent val="0"/>
          <c:showBubbleSize val="0"/>
        </c:dLbls>
        <c:axId val="505273760"/>
        <c:axId val="505274152"/>
      </c:scatterChart>
      <c:valAx>
        <c:axId val="5052737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74152"/>
        <c:crosses val="autoZero"/>
        <c:crossBetween val="midCat"/>
      </c:valAx>
      <c:valAx>
        <c:axId val="505274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737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7.2877515310586172E-2"/>
                  <c:y val="-0.3101060804899387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10"+6" Curves'!$C$27:$K$27</c:f>
              <c:numCache>
                <c:formatCode>General</c:formatCode>
                <c:ptCount val="9"/>
                <c:pt idx="0">
                  <c:v>90</c:v>
                </c:pt>
                <c:pt idx="1">
                  <c:v>84</c:v>
                </c:pt>
                <c:pt idx="2">
                  <c:v>62</c:v>
                </c:pt>
                <c:pt idx="3">
                  <c:v>56</c:v>
                </c:pt>
                <c:pt idx="4">
                  <c:v>42</c:v>
                </c:pt>
                <c:pt idx="5">
                  <c:v>32</c:v>
                </c:pt>
                <c:pt idx="6">
                  <c:v>22</c:v>
                </c:pt>
                <c:pt idx="7">
                  <c:v>16</c:v>
                </c:pt>
                <c:pt idx="8">
                  <c:v>13</c:v>
                </c:pt>
              </c:numCache>
            </c:numRef>
          </c:xVal>
          <c:yVal>
            <c:numRef>
              <c:f>'10A61 10"+6" Curves'!$C$28:$K$28</c:f>
              <c:numCache>
                <c:formatCode>General</c:formatCode>
                <c:ptCount val="9"/>
                <c:pt idx="0">
                  <c:v>1.3</c:v>
                </c:pt>
                <c:pt idx="1">
                  <c:v>1.4</c:v>
                </c:pt>
                <c:pt idx="2">
                  <c:v>1.9</c:v>
                </c:pt>
                <c:pt idx="3">
                  <c:v>2.1</c:v>
                </c:pt>
                <c:pt idx="4">
                  <c:v>2.8</c:v>
                </c:pt>
                <c:pt idx="5">
                  <c:v>3.7</c:v>
                </c:pt>
                <c:pt idx="6">
                  <c:v>5.4</c:v>
                </c:pt>
                <c:pt idx="7">
                  <c:v>7.4</c:v>
                </c:pt>
                <c:pt idx="8">
                  <c:v>9</c:v>
                </c:pt>
              </c:numCache>
            </c:numRef>
          </c:yVal>
          <c:smooth val="1"/>
          <c:extLst>
            <c:ext xmlns:c16="http://schemas.microsoft.com/office/drawing/2014/chart" uri="{C3380CC4-5D6E-409C-BE32-E72D297353CC}">
              <c16:uniqueId val="{00000001-BE22-4D1A-9A16-402BDBC29B0B}"/>
            </c:ext>
          </c:extLst>
        </c:ser>
        <c:dLbls>
          <c:showLegendKey val="0"/>
          <c:showVal val="0"/>
          <c:showCatName val="0"/>
          <c:showSerName val="0"/>
          <c:showPercent val="0"/>
          <c:showBubbleSize val="0"/>
        </c:dLbls>
        <c:axId val="505274936"/>
        <c:axId val="505275328"/>
      </c:scatterChart>
      <c:valAx>
        <c:axId val="505274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75328"/>
        <c:crosses val="autoZero"/>
        <c:crossBetween val="midCat"/>
      </c:valAx>
      <c:valAx>
        <c:axId val="505275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749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2.4067147856517937E-2"/>
                  <c:y val="-0.3554210411198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10"+6" Curves'!$K$27:$Z$27</c:f>
              <c:numCache>
                <c:formatCode>General</c:formatCode>
                <c:ptCount val="16"/>
                <c:pt idx="0">
                  <c:v>13</c:v>
                </c:pt>
                <c:pt idx="1">
                  <c:v>11</c:v>
                </c:pt>
                <c:pt idx="2">
                  <c:v>9</c:v>
                </c:pt>
                <c:pt idx="3">
                  <c:v>7</c:v>
                </c:pt>
                <c:pt idx="4">
                  <c:v>5.6</c:v>
                </c:pt>
                <c:pt idx="5">
                  <c:v>5</c:v>
                </c:pt>
                <c:pt idx="6">
                  <c:v>4.2</c:v>
                </c:pt>
                <c:pt idx="7">
                  <c:v>3</c:v>
                </c:pt>
                <c:pt idx="8">
                  <c:v>2.2000000000000002</c:v>
                </c:pt>
                <c:pt idx="9">
                  <c:v>1.3</c:v>
                </c:pt>
                <c:pt idx="10">
                  <c:v>0.9</c:v>
                </c:pt>
                <c:pt idx="11">
                  <c:v>0.64</c:v>
                </c:pt>
                <c:pt idx="12">
                  <c:v>0.44</c:v>
                </c:pt>
                <c:pt idx="13">
                  <c:v>0.28000000000000003</c:v>
                </c:pt>
                <c:pt idx="14">
                  <c:v>0.15</c:v>
                </c:pt>
                <c:pt idx="15">
                  <c:v>0.11</c:v>
                </c:pt>
              </c:numCache>
            </c:numRef>
          </c:xVal>
          <c:yVal>
            <c:numRef>
              <c:f>'10A61 10"+6" Curves'!$K$28:$Z$28</c:f>
              <c:numCache>
                <c:formatCode>General</c:formatCode>
                <c:ptCount val="16"/>
                <c:pt idx="0">
                  <c:v>9</c:v>
                </c:pt>
                <c:pt idx="1">
                  <c:v>10.6</c:v>
                </c:pt>
                <c:pt idx="2">
                  <c:v>12.7</c:v>
                </c:pt>
                <c:pt idx="3">
                  <c:v>16</c:v>
                </c:pt>
                <c:pt idx="4">
                  <c:v>19</c:v>
                </c:pt>
                <c:pt idx="5">
                  <c:v>21</c:v>
                </c:pt>
                <c:pt idx="6">
                  <c:v>24</c:v>
                </c:pt>
                <c:pt idx="7">
                  <c:v>30</c:v>
                </c:pt>
                <c:pt idx="8">
                  <c:v>35</c:v>
                </c:pt>
                <c:pt idx="9">
                  <c:v>44</c:v>
                </c:pt>
                <c:pt idx="10">
                  <c:v>50</c:v>
                </c:pt>
                <c:pt idx="11">
                  <c:v>54</c:v>
                </c:pt>
                <c:pt idx="12">
                  <c:v>58</c:v>
                </c:pt>
                <c:pt idx="13">
                  <c:v>62</c:v>
                </c:pt>
                <c:pt idx="14">
                  <c:v>66</c:v>
                </c:pt>
                <c:pt idx="15">
                  <c:v>68</c:v>
                </c:pt>
              </c:numCache>
            </c:numRef>
          </c:yVal>
          <c:smooth val="1"/>
          <c:extLst>
            <c:ext xmlns:c16="http://schemas.microsoft.com/office/drawing/2014/chart" uri="{C3380CC4-5D6E-409C-BE32-E72D297353CC}">
              <c16:uniqueId val="{00000001-8F16-4E62-B146-936461285A40}"/>
            </c:ext>
          </c:extLst>
        </c:ser>
        <c:dLbls>
          <c:showLegendKey val="0"/>
          <c:showVal val="0"/>
          <c:showCatName val="0"/>
          <c:showSerName val="0"/>
          <c:showPercent val="0"/>
          <c:showBubbleSize val="0"/>
        </c:dLbls>
        <c:axId val="484072792"/>
        <c:axId val="484073184"/>
      </c:scatterChart>
      <c:valAx>
        <c:axId val="4840727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73184"/>
        <c:crosses val="autoZero"/>
        <c:crossBetween val="midCat"/>
      </c:valAx>
      <c:valAx>
        <c:axId val="484073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727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1.8842082239720035E-2"/>
                  <c:y val="-0.212183945756780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10"+6" Curves'!$C$55:$K$55</c:f>
              <c:numCache>
                <c:formatCode>General</c:formatCode>
                <c:ptCount val="9"/>
                <c:pt idx="0">
                  <c:v>100</c:v>
                </c:pt>
                <c:pt idx="1">
                  <c:v>90</c:v>
                </c:pt>
                <c:pt idx="2">
                  <c:v>80</c:v>
                </c:pt>
                <c:pt idx="3">
                  <c:v>62</c:v>
                </c:pt>
                <c:pt idx="4">
                  <c:v>50</c:v>
                </c:pt>
                <c:pt idx="5">
                  <c:v>44</c:v>
                </c:pt>
                <c:pt idx="6">
                  <c:v>38</c:v>
                </c:pt>
                <c:pt idx="7">
                  <c:v>30</c:v>
                </c:pt>
                <c:pt idx="8">
                  <c:v>24</c:v>
                </c:pt>
              </c:numCache>
            </c:numRef>
          </c:xVal>
          <c:yVal>
            <c:numRef>
              <c:f>'10A61 10"+6" Curves'!$C$56:$K$56</c:f>
              <c:numCache>
                <c:formatCode>General</c:formatCode>
                <c:ptCount val="9"/>
                <c:pt idx="0">
                  <c:v>8</c:v>
                </c:pt>
                <c:pt idx="1">
                  <c:v>9</c:v>
                </c:pt>
                <c:pt idx="2">
                  <c:v>10</c:v>
                </c:pt>
                <c:pt idx="3">
                  <c:v>13</c:v>
                </c:pt>
                <c:pt idx="4">
                  <c:v>16</c:v>
                </c:pt>
                <c:pt idx="5">
                  <c:v>18</c:v>
                </c:pt>
                <c:pt idx="6">
                  <c:v>21</c:v>
                </c:pt>
                <c:pt idx="7">
                  <c:v>26</c:v>
                </c:pt>
                <c:pt idx="8">
                  <c:v>32</c:v>
                </c:pt>
              </c:numCache>
            </c:numRef>
          </c:yVal>
          <c:smooth val="1"/>
          <c:extLst>
            <c:ext xmlns:c16="http://schemas.microsoft.com/office/drawing/2014/chart" uri="{C3380CC4-5D6E-409C-BE32-E72D297353CC}">
              <c16:uniqueId val="{00000001-A7F6-4ACE-ADBB-2704B60F8401}"/>
            </c:ext>
          </c:extLst>
        </c:ser>
        <c:dLbls>
          <c:showLegendKey val="0"/>
          <c:showVal val="0"/>
          <c:showCatName val="0"/>
          <c:showSerName val="0"/>
          <c:showPercent val="0"/>
          <c:showBubbleSize val="0"/>
        </c:dLbls>
        <c:axId val="484073968"/>
        <c:axId val="484074360"/>
      </c:scatterChart>
      <c:valAx>
        <c:axId val="4840739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74360"/>
        <c:crosses val="autoZero"/>
        <c:crossBetween val="midCat"/>
      </c:valAx>
      <c:valAx>
        <c:axId val="484074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739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0.10607567804024497"/>
                  <c:y val="-0.4189607028288130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10"+6" Curves'!$K$55:$Y$55</c:f>
              <c:numCache>
                <c:formatCode>General</c:formatCode>
                <c:ptCount val="15"/>
                <c:pt idx="0">
                  <c:v>24</c:v>
                </c:pt>
                <c:pt idx="1">
                  <c:v>22</c:v>
                </c:pt>
                <c:pt idx="2">
                  <c:v>20</c:v>
                </c:pt>
                <c:pt idx="3">
                  <c:v>16</c:v>
                </c:pt>
                <c:pt idx="4">
                  <c:v>13</c:v>
                </c:pt>
                <c:pt idx="5">
                  <c:v>10</c:v>
                </c:pt>
                <c:pt idx="6">
                  <c:v>7.4</c:v>
                </c:pt>
                <c:pt idx="7">
                  <c:v>5.8</c:v>
                </c:pt>
                <c:pt idx="8">
                  <c:v>4.5999999999999996</c:v>
                </c:pt>
                <c:pt idx="9">
                  <c:v>3.5</c:v>
                </c:pt>
                <c:pt idx="10">
                  <c:v>2.5</c:v>
                </c:pt>
                <c:pt idx="11">
                  <c:v>1.6</c:v>
                </c:pt>
                <c:pt idx="12">
                  <c:v>0.9</c:v>
                </c:pt>
                <c:pt idx="13">
                  <c:v>0.3</c:v>
                </c:pt>
                <c:pt idx="14">
                  <c:v>0.1</c:v>
                </c:pt>
              </c:numCache>
            </c:numRef>
          </c:xVal>
          <c:yVal>
            <c:numRef>
              <c:f>'10A61 10"+6" Curves'!$K$56:$Y$56</c:f>
              <c:numCache>
                <c:formatCode>General</c:formatCode>
                <c:ptCount val="15"/>
                <c:pt idx="0">
                  <c:v>32</c:v>
                </c:pt>
                <c:pt idx="1">
                  <c:v>34</c:v>
                </c:pt>
                <c:pt idx="2">
                  <c:v>37</c:v>
                </c:pt>
                <c:pt idx="3">
                  <c:v>44</c:v>
                </c:pt>
                <c:pt idx="4">
                  <c:v>52</c:v>
                </c:pt>
                <c:pt idx="5">
                  <c:v>62</c:v>
                </c:pt>
                <c:pt idx="6">
                  <c:v>74</c:v>
                </c:pt>
                <c:pt idx="7">
                  <c:v>84</c:v>
                </c:pt>
                <c:pt idx="8">
                  <c:v>92</c:v>
                </c:pt>
                <c:pt idx="9">
                  <c:v>100</c:v>
                </c:pt>
                <c:pt idx="10">
                  <c:v>110</c:v>
                </c:pt>
                <c:pt idx="11">
                  <c:v>120</c:v>
                </c:pt>
                <c:pt idx="12">
                  <c:v>130</c:v>
                </c:pt>
                <c:pt idx="13">
                  <c:v>150</c:v>
                </c:pt>
                <c:pt idx="14">
                  <c:v>160</c:v>
                </c:pt>
              </c:numCache>
            </c:numRef>
          </c:yVal>
          <c:smooth val="1"/>
          <c:extLst>
            <c:ext xmlns:c16="http://schemas.microsoft.com/office/drawing/2014/chart" uri="{C3380CC4-5D6E-409C-BE32-E72D297353CC}">
              <c16:uniqueId val="{00000001-E683-4518-8B42-9D1E63157E7E}"/>
            </c:ext>
          </c:extLst>
        </c:ser>
        <c:dLbls>
          <c:showLegendKey val="0"/>
          <c:showVal val="0"/>
          <c:showCatName val="0"/>
          <c:showSerName val="0"/>
          <c:showPercent val="0"/>
          <c:showBubbleSize val="0"/>
        </c:dLbls>
        <c:axId val="484075144"/>
        <c:axId val="484075536"/>
      </c:scatterChart>
      <c:valAx>
        <c:axId val="4840751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75536"/>
        <c:crosses val="autoZero"/>
        <c:crossBetween val="midCat"/>
      </c:valAx>
      <c:valAx>
        <c:axId val="484075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0751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8.3234689413823268E-2"/>
                  <c:y val="-0.351072834645669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10"+6" Curves'!$C$81:$K$81</c:f>
              <c:numCache>
                <c:formatCode>General</c:formatCode>
                <c:ptCount val="9"/>
                <c:pt idx="0">
                  <c:v>92</c:v>
                </c:pt>
                <c:pt idx="1">
                  <c:v>78</c:v>
                </c:pt>
                <c:pt idx="2">
                  <c:v>56</c:v>
                </c:pt>
                <c:pt idx="3">
                  <c:v>38</c:v>
                </c:pt>
                <c:pt idx="4">
                  <c:v>34</c:v>
                </c:pt>
                <c:pt idx="5">
                  <c:v>24</c:v>
                </c:pt>
                <c:pt idx="6">
                  <c:v>21</c:v>
                </c:pt>
                <c:pt idx="7">
                  <c:v>17</c:v>
                </c:pt>
                <c:pt idx="8">
                  <c:v>14</c:v>
                </c:pt>
              </c:numCache>
            </c:numRef>
          </c:xVal>
          <c:yVal>
            <c:numRef>
              <c:f>'10A61 10"+6" Curves'!$C$82:$K$82</c:f>
              <c:numCache>
                <c:formatCode>General</c:formatCode>
                <c:ptCount val="9"/>
                <c:pt idx="0">
                  <c:v>10</c:v>
                </c:pt>
                <c:pt idx="1">
                  <c:v>12</c:v>
                </c:pt>
                <c:pt idx="2">
                  <c:v>17</c:v>
                </c:pt>
                <c:pt idx="3">
                  <c:v>25</c:v>
                </c:pt>
                <c:pt idx="4">
                  <c:v>28</c:v>
                </c:pt>
                <c:pt idx="5">
                  <c:v>39</c:v>
                </c:pt>
                <c:pt idx="6">
                  <c:v>44</c:v>
                </c:pt>
                <c:pt idx="7">
                  <c:v>54</c:v>
                </c:pt>
                <c:pt idx="8">
                  <c:v>64</c:v>
                </c:pt>
              </c:numCache>
            </c:numRef>
          </c:yVal>
          <c:smooth val="1"/>
          <c:extLst>
            <c:ext xmlns:c16="http://schemas.microsoft.com/office/drawing/2014/chart" uri="{C3380CC4-5D6E-409C-BE32-E72D297353CC}">
              <c16:uniqueId val="{00000001-3D4E-492A-B6D8-B4942074AD76}"/>
            </c:ext>
          </c:extLst>
        </c:ser>
        <c:dLbls>
          <c:showLegendKey val="0"/>
          <c:showVal val="0"/>
          <c:showCatName val="0"/>
          <c:showSerName val="0"/>
          <c:showPercent val="0"/>
          <c:showBubbleSize val="0"/>
        </c:dLbls>
        <c:axId val="503707600"/>
        <c:axId val="503707992"/>
      </c:scatterChart>
      <c:valAx>
        <c:axId val="5037076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07992"/>
        <c:crosses val="autoZero"/>
        <c:crossBetween val="midCat"/>
      </c:valAx>
      <c:valAx>
        <c:axId val="503707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076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4.9816272965879267E-2"/>
                  <c:y val="-0.2821967045785943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10"+6" Curves'!$K$81:$V$81</c:f>
              <c:numCache>
                <c:formatCode>General</c:formatCode>
                <c:ptCount val="12"/>
                <c:pt idx="0">
                  <c:v>14</c:v>
                </c:pt>
                <c:pt idx="1">
                  <c:v>12</c:v>
                </c:pt>
                <c:pt idx="2">
                  <c:v>11</c:v>
                </c:pt>
                <c:pt idx="3">
                  <c:v>8.6</c:v>
                </c:pt>
                <c:pt idx="4">
                  <c:v>5.6</c:v>
                </c:pt>
                <c:pt idx="5">
                  <c:v>3.7</c:v>
                </c:pt>
                <c:pt idx="6">
                  <c:v>2.4</c:v>
                </c:pt>
                <c:pt idx="7">
                  <c:v>1.5</c:v>
                </c:pt>
                <c:pt idx="8">
                  <c:v>0.8</c:v>
                </c:pt>
                <c:pt idx="9">
                  <c:v>0.4</c:v>
                </c:pt>
                <c:pt idx="10">
                  <c:v>0.2</c:v>
                </c:pt>
                <c:pt idx="11">
                  <c:v>0.1</c:v>
                </c:pt>
              </c:numCache>
            </c:numRef>
          </c:xVal>
          <c:yVal>
            <c:numRef>
              <c:f>'10A61 10"+6" Curves'!$K$82:$V$82</c:f>
              <c:numCache>
                <c:formatCode>General</c:formatCode>
                <c:ptCount val="12"/>
                <c:pt idx="0">
                  <c:v>64</c:v>
                </c:pt>
                <c:pt idx="1">
                  <c:v>74</c:v>
                </c:pt>
                <c:pt idx="2">
                  <c:v>80</c:v>
                </c:pt>
                <c:pt idx="3">
                  <c:v>90</c:v>
                </c:pt>
                <c:pt idx="4">
                  <c:v>130</c:v>
                </c:pt>
                <c:pt idx="5">
                  <c:v>160</c:v>
                </c:pt>
                <c:pt idx="6">
                  <c:v>190</c:v>
                </c:pt>
                <c:pt idx="7">
                  <c:v>220</c:v>
                </c:pt>
                <c:pt idx="8">
                  <c:v>250</c:v>
                </c:pt>
                <c:pt idx="9">
                  <c:v>280</c:v>
                </c:pt>
                <c:pt idx="10">
                  <c:v>300</c:v>
                </c:pt>
                <c:pt idx="11">
                  <c:v>320</c:v>
                </c:pt>
              </c:numCache>
            </c:numRef>
          </c:yVal>
          <c:smooth val="1"/>
          <c:extLst>
            <c:ext xmlns:c16="http://schemas.microsoft.com/office/drawing/2014/chart" uri="{C3380CC4-5D6E-409C-BE32-E72D297353CC}">
              <c16:uniqueId val="{00000001-9A0F-47E3-B544-E3962B836309}"/>
            </c:ext>
          </c:extLst>
        </c:ser>
        <c:dLbls>
          <c:showLegendKey val="0"/>
          <c:showVal val="0"/>
          <c:showCatName val="0"/>
          <c:showSerName val="0"/>
          <c:showPercent val="0"/>
          <c:showBubbleSize val="0"/>
        </c:dLbls>
        <c:axId val="503708776"/>
        <c:axId val="503709168"/>
      </c:scatterChart>
      <c:valAx>
        <c:axId val="503708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09168"/>
        <c:crosses val="autoZero"/>
        <c:crossBetween val="midCat"/>
      </c:valAx>
      <c:valAx>
        <c:axId val="503709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087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5.4834426946631674E-2"/>
                  <c:y val="-0.3576804461942257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10"+6" Curves'!$C$108:$G$108</c:f>
              <c:numCache>
                <c:formatCode>General</c:formatCode>
                <c:ptCount val="5"/>
                <c:pt idx="0">
                  <c:v>80</c:v>
                </c:pt>
                <c:pt idx="1">
                  <c:v>66</c:v>
                </c:pt>
                <c:pt idx="2">
                  <c:v>50</c:v>
                </c:pt>
                <c:pt idx="3">
                  <c:v>31</c:v>
                </c:pt>
                <c:pt idx="4">
                  <c:v>25</c:v>
                </c:pt>
              </c:numCache>
            </c:numRef>
          </c:xVal>
          <c:yVal>
            <c:numRef>
              <c:f>'10A61 10"+6" Curves'!$C$109:$G$109</c:f>
              <c:numCache>
                <c:formatCode>General</c:formatCode>
                <c:ptCount val="5"/>
                <c:pt idx="0">
                  <c:v>64</c:v>
                </c:pt>
                <c:pt idx="1">
                  <c:v>76</c:v>
                </c:pt>
                <c:pt idx="2">
                  <c:v>100</c:v>
                </c:pt>
                <c:pt idx="3">
                  <c:v>150</c:v>
                </c:pt>
                <c:pt idx="4">
                  <c:v>180</c:v>
                </c:pt>
              </c:numCache>
            </c:numRef>
          </c:yVal>
          <c:smooth val="1"/>
          <c:extLst>
            <c:ext xmlns:c16="http://schemas.microsoft.com/office/drawing/2014/chart" uri="{C3380CC4-5D6E-409C-BE32-E72D297353CC}">
              <c16:uniqueId val="{00000001-BFE6-45B1-9A76-BE7AF91EBAC5}"/>
            </c:ext>
          </c:extLst>
        </c:ser>
        <c:dLbls>
          <c:showLegendKey val="0"/>
          <c:showVal val="0"/>
          <c:showCatName val="0"/>
          <c:showSerName val="0"/>
          <c:showPercent val="0"/>
          <c:showBubbleSize val="0"/>
        </c:dLbls>
        <c:axId val="503709952"/>
        <c:axId val="503710344"/>
      </c:scatterChart>
      <c:valAx>
        <c:axId val="5037099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10344"/>
        <c:crosses val="autoZero"/>
        <c:crossBetween val="midCat"/>
      </c:valAx>
      <c:valAx>
        <c:axId val="503710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099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5.7380139982502187E-2"/>
                  <c:y val="-0.4679943132108486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10"+6" Curves'!$G$108:$T$108</c:f>
              <c:numCache>
                <c:formatCode>General</c:formatCode>
                <c:ptCount val="14"/>
                <c:pt idx="0">
                  <c:v>25</c:v>
                </c:pt>
                <c:pt idx="1">
                  <c:v>22</c:v>
                </c:pt>
                <c:pt idx="2">
                  <c:v>18</c:v>
                </c:pt>
                <c:pt idx="3">
                  <c:v>13</c:v>
                </c:pt>
                <c:pt idx="4">
                  <c:v>11</c:v>
                </c:pt>
                <c:pt idx="5">
                  <c:v>8.1999999999999993</c:v>
                </c:pt>
                <c:pt idx="6">
                  <c:v>6</c:v>
                </c:pt>
                <c:pt idx="7">
                  <c:v>4</c:v>
                </c:pt>
                <c:pt idx="8">
                  <c:v>2.8</c:v>
                </c:pt>
                <c:pt idx="9">
                  <c:v>1.3</c:v>
                </c:pt>
                <c:pt idx="10">
                  <c:v>0.6</c:v>
                </c:pt>
                <c:pt idx="11">
                  <c:v>0.3</c:v>
                </c:pt>
                <c:pt idx="12">
                  <c:v>0.2</c:v>
                </c:pt>
                <c:pt idx="13">
                  <c:v>0.1</c:v>
                </c:pt>
              </c:numCache>
            </c:numRef>
          </c:xVal>
          <c:yVal>
            <c:numRef>
              <c:f>'10A61 10"+6" Curves'!$G$109:$T$109</c:f>
              <c:numCache>
                <c:formatCode>General</c:formatCode>
                <c:ptCount val="14"/>
                <c:pt idx="0">
                  <c:v>180</c:v>
                </c:pt>
                <c:pt idx="1">
                  <c:v>200</c:v>
                </c:pt>
                <c:pt idx="2">
                  <c:v>230</c:v>
                </c:pt>
                <c:pt idx="3">
                  <c:v>280</c:v>
                </c:pt>
                <c:pt idx="4">
                  <c:v>300</c:v>
                </c:pt>
                <c:pt idx="5">
                  <c:v>340</c:v>
                </c:pt>
                <c:pt idx="6">
                  <c:v>380</c:v>
                </c:pt>
                <c:pt idx="7">
                  <c:v>420</c:v>
                </c:pt>
                <c:pt idx="8">
                  <c:v>460</c:v>
                </c:pt>
                <c:pt idx="9">
                  <c:v>520</c:v>
                </c:pt>
                <c:pt idx="10">
                  <c:v>560</c:v>
                </c:pt>
                <c:pt idx="11">
                  <c:v>600</c:v>
                </c:pt>
                <c:pt idx="12">
                  <c:v>620</c:v>
                </c:pt>
                <c:pt idx="13">
                  <c:v>660</c:v>
                </c:pt>
              </c:numCache>
            </c:numRef>
          </c:yVal>
          <c:smooth val="1"/>
          <c:extLst>
            <c:ext xmlns:c16="http://schemas.microsoft.com/office/drawing/2014/chart" uri="{C3380CC4-5D6E-409C-BE32-E72D297353CC}">
              <c16:uniqueId val="{00000001-2F82-4D5F-9D1D-EE04FE05C219}"/>
            </c:ext>
          </c:extLst>
        </c:ser>
        <c:dLbls>
          <c:showLegendKey val="0"/>
          <c:showVal val="0"/>
          <c:showCatName val="0"/>
          <c:showSerName val="0"/>
          <c:showPercent val="0"/>
          <c:showBubbleSize val="0"/>
        </c:dLbls>
        <c:axId val="503711128"/>
        <c:axId val="503711520"/>
      </c:scatterChart>
      <c:valAx>
        <c:axId val="5037111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11520"/>
        <c:crosses val="autoZero"/>
        <c:crossBetween val="midCat"/>
      </c:valAx>
      <c:valAx>
        <c:axId val="503711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111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14131124234470691"/>
                  <c:y val="-0.3184966462525517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10"+6" Curves'!$C$133:$G$133</c:f>
              <c:numCache>
                <c:formatCode>General</c:formatCode>
                <c:ptCount val="5"/>
                <c:pt idx="0">
                  <c:v>88</c:v>
                </c:pt>
                <c:pt idx="1">
                  <c:v>70</c:v>
                </c:pt>
                <c:pt idx="2">
                  <c:v>60</c:v>
                </c:pt>
                <c:pt idx="3">
                  <c:v>40</c:v>
                </c:pt>
                <c:pt idx="4">
                  <c:v>29</c:v>
                </c:pt>
              </c:numCache>
            </c:numRef>
          </c:xVal>
          <c:yVal>
            <c:numRef>
              <c:f>'10A61 10"+6" Curves'!$C$134:$G$134</c:f>
              <c:numCache>
                <c:formatCode>General</c:formatCode>
                <c:ptCount val="5"/>
                <c:pt idx="0">
                  <c:v>2</c:v>
                </c:pt>
                <c:pt idx="1">
                  <c:v>2.4</c:v>
                </c:pt>
                <c:pt idx="2">
                  <c:v>2.7</c:v>
                </c:pt>
                <c:pt idx="3">
                  <c:v>3.7</c:v>
                </c:pt>
                <c:pt idx="4">
                  <c:v>4.8</c:v>
                </c:pt>
              </c:numCache>
            </c:numRef>
          </c:yVal>
          <c:smooth val="1"/>
          <c:extLst>
            <c:ext xmlns:c16="http://schemas.microsoft.com/office/drawing/2014/chart" uri="{C3380CC4-5D6E-409C-BE32-E72D297353CC}">
              <c16:uniqueId val="{00000001-8344-4D65-9138-7B9771773ED3}"/>
            </c:ext>
          </c:extLst>
        </c:ser>
        <c:dLbls>
          <c:showLegendKey val="0"/>
          <c:showVal val="0"/>
          <c:showCatName val="0"/>
          <c:showSerName val="0"/>
          <c:showPercent val="0"/>
          <c:showBubbleSize val="0"/>
        </c:dLbls>
        <c:axId val="503712304"/>
        <c:axId val="503712696"/>
      </c:scatterChart>
      <c:valAx>
        <c:axId val="503712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12696"/>
        <c:crosses val="autoZero"/>
        <c:crossBetween val="midCat"/>
      </c:valAx>
      <c:valAx>
        <c:axId val="503712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123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1.5841426071741032E-2"/>
                  <c:y val="-0.3591520851560221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'10A61 10"+6" Curves'!$G$133:$S$133</c:f>
              <c:numCache>
                <c:formatCode>General</c:formatCode>
                <c:ptCount val="13"/>
                <c:pt idx="0">
                  <c:v>29</c:v>
                </c:pt>
                <c:pt idx="1">
                  <c:v>24.5</c:v>
                </c:pt>
                <c:pt idx="2">
                  <c:v>18</c:v>
                </c:pt>
                <c:pt idx="3">
                  <c:v>11.5</c:v>
                </c:pt>
                <c:pt idx="4">
                  <c:v>9</c:v>
                </c:pt>
                <c:pt idx="5">
                  <c:v>7</c:v>
                </c:pt>
                <c:pt idx="6">
                  <c:v>4.7</c:v>
                </c:pt>
                <c:pt idx="7">
                  <c:v>3</c:v>
                </c:pt>
                <c:pt idx="8">
                  <c:v>2.35</c:v>
                </c:pt>
                <c:pt idx="9">
                  <c:v>1.1499999999999999</c:v>
                </c:pt>
                <c:pt idx="10">
                  <c:v>0.35</c:v>
                </c:pt>
                <c:pt idx="11">
                  <c:v>0.15</c:v>
                </c:pt>
                <c:pt idx="12">
                  <c:v>0.1</c:v>
                </c:pt>
              </c:numCache>
            </c:numRef>
          </c:xVal>
          <c:yVal>
            <c:numRef>
              <c:f>'10A61 10"+6" Curves'!$G$134:$S$134</c:f>
              <c:numCache>
                <c:formatCode>General</c:formatCode>
                <c:ptCount val="13"/>
                <c:pt idx="0">
                  <c:v>4.8</c:v>
                </c:pt>
                <c:pt idx="1">
                  <c:v>5.4</c:v>
                </c:pt>
                <c:pt idx="2">
                  <c:v>6.4</c:v>
                </c:pt>
                <c:pt idx="3">
                  <c:v>7.6</c:v>
                </c:pt>
                <c:pt idx="4">
                  <c:v>8.1999999999999993</c:v>
                </c:pt>
                <c:pt idx="5">
                  <c:v>8.8000000000000007</c:v>
                </c:pt>
                <c:pt idx="6">
                  <c:v>9.6</c:v>
                </c:pt>
                <c:pt idx="7">
                  <c:v>10.5</c:v>
                </c:pt>
                <c:pt idx="8">
                  <c:v>11</c:v>
                </c:pt>
                <c:pt idx="9">
                  <c:v>12</c:v>
                </c:pt>
                <c:pt idx="10">
                  <c:v>13</c:v>
                </c:pt>
                <c:pt idx="11">
                  <c:v>13.5</c:v>
                </c:pt>
                <c:pt idx="12">
                  <c:v>13.7</c:v>
                </c:pt>
              </c:numCache>
            </c:numRef>
          </c:yVal>
          <c:smooth val="1"/>
          <c:extLst>
            <c:ext xmlns:c16="http://schemas.microsoft.com/office/drawing/2014/chart" uri="{C3380CC4-5D6E-409C-BE32-E72D297353CC}">
              <c16:uniqueId val="{00000001-A002-4288-A436-76967CC6B413}"/>
            </c:ext>
          </c:extLst>
        </c:ser>
        <c:dLbls>
          <c:showLegendKey val="0"/>
          <c:showVal val="0"/>
          <c:showCatName val="0"/>
          <c:showSerName val="0"/>
          <c:showPercent val="0"/>
          <c:showBubbleSize val="0"/>
        </c:dLbls>
        <c:axId val="503713480"/>
        <c:axId val="503713872"/>
      </c:scatterChart>
      <c:valAx>
        <c:axId val="5037134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13872"/>
        <c:crosses val="autoZero"/>
        <c:crossBetween val="midCat"/>
      </c:valAx>
      <c:valAx>
        <c:axId val="503713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713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 vs. 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4"/>
            <c:dispRSqr val="1"/>
            <c:dispEq val="1"/>
            <c:trendlineLbl>
              <c:layout>
                <c:manualLayout>
                  <c:x val="-0.23170603674540682"/>
                  <c:y val="4.815277211082951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Steam!$O$5:$O$32</c:f>
              <c:numCache>
                <c:formatCode>General</c:formatCode>
                <c:ptCount val="28"/>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numCache>
            </c:numRef>
          </c:xVal>
          <c:yVal>
            <c:numRef>
              <c:f>Steam!$P$5:$P$32</c:f>
              <c:numCache>
                <c:formatCode>General</c:formatCode>
                <c:ptCount val="28"/>
                <c:pt idx="0">
                  <c:v>14.709723534</c:v>
                </c:pt>
                <c:pt idx="1">
                  <c:v>20.795505426000002</c:v>
                </c:pt>
                <c:pt idx="2">
                  <c:v>28.814639859000003</c:v>
                </c:pt>
                <c:pt idx="3">
                  <c:v>39.200789556000004</c:v>
                </c:pt>
                <c:pt idx="4">
                  <c:v>52.436930057999994</c:v>
                </c:pt>
                <c:pt idx="5">
                  <c:v>69.061151232</c:v>
                </c:pt>
                <c:pt idx="6">
                  <c:v>89.662306139999998</c:v>
                </c:pt>
                <c:pt idx="7">
                  <c:v>114.89886594000001</c:v>
                </c:pt>
                <c:pt idx="8">
                  <c:v>145.44380555999999</c:v>
                </c:pt>
                <c:pt idx="9">
                  <c:v>182.05132104</c:v>
                </c:pt>
                <c:pt idx="10">
                  <c:v>225.51911973</c:v>
                </c:pt>
                <c:pt idx="11">
                  <c:v>276.68842029000001</c:v>
                </c:pt>
                <c:pt idx="12">
                  <c:v>336.42944891999997</c:v>
                </c:pt>
                <c:pt idx="13">
                  <c:v>405.68495066999998</c:v>
                </c:pt>
                <c:pt idx="14">
                  <c:v>485.42667813000003</c:v>
                </c:pt>
                <c:pt idx="15">
                  <c:v>576.69890273999999</c:v>
                </c:pt>
                <c:pt idx="16">
                  <c:v>680.56039971000007</c:v>
                </c:pt>
                <c:pt idx="17">
                  <c:v>798.14246309999999</c:v>
                </c:pt>
                <c:pt idx="18">
                  <c:v>930.64890581999998</c:v>
                </c:pt>
                <c:pt idx="19">
                  <c:v>1079.34155586</c:v>
                </c:pt>
                <c:pt idx="20">
                  <c:v>1245.56926383</c:v>
                </c:pt>
                <c:pt idx="21">
                  <c:v>1430.8114142700001</c:v>
                </c:pt>
                <c:pt idx="22">
                  <c:v>1636.6054068000001</c:v>
                </c:pt>
                <c:pt idx="23">
                  <c:v>1864.8947466000002</c:v>
                </c:pt>
                <c:pt idx="24">
                  <c:v>2117.6954577000001</c:v>
                </c:pt>
                <c:pt idx="25">
                  <c:v>2397.3281433000002</c:v>
                </c:pt>
                <c:pt idx="26">
                  <c:v>2707.2737081999999</c:v>
                </c:pt>
                <c:pt idx="27">
                  <c:v>3052.1733588000002</c:v>
                </c:pt>
              </c:numCache>
            </c:numRef>
          </c:yVal>
          <c:smooth val="0"/>
          <c:extLst>
            <c:ext xmlns:c16="http://schemas.microsoft.com/office/drawing/2014/chart" uri="{C3380CC4-5D6E-409C-BE32-E72D297353CC}">
              <c16:uniqueId val="{00000001-5D48-4CDD-B6E3-75D600C4B83F}"/>
            </c:ext>
          </c:extLst>
        </c:ser>
        <c:dLbls>
          <c:showLegendKey val="0"/>
          <c:showVal val="0"/>
          <c:showCatName val="0"/>
          <c:showSerName val="0"/>
          <c:showPercent val="0"/>
          <c:showBubbleSize val="0"/>
        </c:dLbls>
        <c:axId val="483020368"/>
        <c:axId val="483020760"/>
      </c:scatterChart>
      <c:valAx>
        <c:axId val="483020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0760"/>
        <c:crosses val="autoZero"/>
        <c:crossBetween val="midCat"/>
      </c:valAx>
      <c:valAx>
        <c:axId val="483020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03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 vs. Density &lt; 260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6"/>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Steam!$O$5:$O$21</c:f>
              <c:numCache>
                <c:formatCode>General</c:formatCode>
                <c:ptCount val="17"/>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numCache>
            </c:numRef>
          </c:xVal>
          <c:yVal>
            <c:numRef>
              <c:f>Steam!$Q$5:$Q$21</c:f>
              <c:numCache>
                <c:formatCode>General</c:formatCode>
                <c:ptCount val="17"/>
                <c:pt idx="0">
                  <c:v>5.9815767436296205E-4</c:v>
                </c:pt>
                <c:pt idx="1">
                  <c:v>8.2692466716282145E-4</c:v>
                </c:pt>
                <c:pt idx="2">
                  <c:v>1.1220825852782765E-3</c:v>
                </c:pt>
                <c:pt idx="3">
                  <c:v>1.497005988023952E-3</c:v>
                </c:pt>
                <c:pt idx="4">
                  <c:v>1.9667617268167964E-3</c:v>
                </c:pt>
                <c:pt idx="5">
                  <c:v>2.5480952987641738E-3</c:v>
                </c:pt>
                <c:pt idx="6">
                  <c:v>3.2596649064476173E-3</c:v>
                </c:pt>
                <c:pt idx="7">
                  <c:v>4.1221814584278E-3</c:v>
                </c:pt>
                <c:pt idx="8">
                  <c:v>5.1588939331407343E-3</c:v>
                </c:pt>
                <c:pt idx="9">
                  <c:v>6.3954975697109234E-3</c:v>
                </c:pt>
                <c:pt idx="10">
                  <c:v>7.8610172156277029E-3</c:v>
                </c:pt>
                <c:pt idx="11">
                  <c:v>9.5886470419023883E-3</c:v>
                </c:pt>
                <c:pt idx="12">
                  <c:v>1.1615750958299455E-2</c:v>
                </c:pt>
                <c:pt idx="13">
                  <c:v>1.3986013986013988E-2</c:v>
                </c:pt>
                <c:pt idx="14">
                  <c:v>1.6747613465081225E-2</c:v>
                </c:pt>
                <c:pt idx="15">
                  <c:v>1.9968051118210862E-2</c:v>
                </c:pt>
                <c:pt idx="16">
                  <c:v>2.3713540431586438E-2</c:v>
                </c:pt>
              </c:numCache>
            </c:numRef>
          </c:yVal>
          <c:smooth val="0"/>
          <c:extLst>
            <c:ext xmlns:c16="http://schemas.microsoft.com/office/drawing/2014/chart" uri="{C3380CC4-5D6E-409C-BE32-E72D297353CC}">
              <c16:uniqueId val="{00000001-C7A1-4029-BFC3-B296D2F91632}"/>
            </c:ext>
          </c:extLst>
        </c:ser>
        <c:dLbls>
          <c:showLegendKey val="0"/>
          <c:showVal val="0"/>
          <c:showCatName val="0"/>
          <c:showSerName val="0"/>
          <c:showPercent val="0"/>
          <c:showBubbleSize val="0"/>
        </c:dLbls>
        <c:axId val="483021544"/>
        <c:axId val="483021936"/>
      </c:scatterChart>
      <c:valAx>
        <c:axId val="483021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1936"/>
        <c:crosses val="autoZero"/>
        <c:crossBetween val="midCat"/>
      </c:valAx>
      <c:valAx>
        <c:axId val="483021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15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Density vs. Viscosity &lt; 260 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6"/>
            <c:dispRSqr val="1"/>
            <c:dispEq val="1"/>
            <c:trendlineLbl>
              <c:layout>
                <c:manualLayout>
                  <c:x val="-5.4453630796150482E-2"/>
                  <c:y val="0.2796347331583551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Steam!$Q$5:$Q$21</c:f>
              <c:numCache>
                <c:formatCode>General</c:formatCode>
                <c:ptCount val="17"/>
                <c:pt idx="0">
                  <c:v>5.9815767436296205E-4</c:v>
                </c:pt>
                <c:pt idx="1">
                  <c:v>8.2692466716282145E-4</c:v>
                </c:pt>
                <c:pt idx="2">
                  <c:v>1.1220825852782765E-3</c:v>
                </c:pt>
                <c:pt idx="3">
                  <c:v>1.497005988023952E-3</c:v>
                </c:pt>
                <c:pt idx="4">
                  <c:v>1.9667617268167964E-3</c:v>
                </c:pt>
                <c:pt idx="5">
                  <c:v>2.5480952987641738E-3</c:v>
                </c:pt>
                <c:pt idx="6">
                  <c:v>3.2596649064476173E-3</c:v>
                </c:pt>
                <c:pt idx="7">
                  <c:v>4.1221814584278E-3</c:v>
                </c:pt>
                <c:pt idx="8">
                  <c:v>5.1588939331407343E-3</c:v>
                </c:pt>
                <c:pt idx="9">
                  <c:v>6.3954975697109234E-3</c:v>
                </c:pt>
                <c:pt idx="10">
                  <c:v>7.8610172156277029E-3</c:v>
                </c:pt>
                <c:pt idx="11">
                  <c:v>9.5886470419023883E-3</c:v>
                </c:pt>
                <c:pt idx="12">
                  <c:v>1.1615750958299455E-2</c:v>
                </c:pt>
                <c:pt idx="13">
                  <c:v>1.3986013986013988E-2</c:v>
                </c:pt>
                <c:pt idx="14">
                  <c:v>1.6747613465081225E-2</c:v>
                </c:pt>
                <c:pt idx="15">
                  <c:v>1.9968051118210862E-2</c:v>
                </c:pt>
                <c:pt idx="16">
                  <c:v>2.3713540431586438E-2</c:v>
                </c:pt>
              </c:numCache>
            </c:numRef>
          </c:xVal>
          <c:yVal>
            <c:numRef>
              <c:f>Steam!$R$5:$R$21</c:f>
              <c:numCache>
                <c:formatCode>General</c:formatCode>
                <c:ptCount val="17"/>
                <c:pt idx="0">
                  <c:v>1.2269000000000002E-2</c:v>
                </c:pt>
                <c:pt idx="1">
                  <c:v>1.2611799999999999E-2</c:v>
                </c:pt>
                <c:pt idx="2">
                  <c:v>1.2956000000000002E-2</c:v>
                </c:pt>
                <c:pt idx="3">
                  <c:v>1.33013E-2</c:v>
                </c:pt>
                <c:pt idx="4">
                  <c:v>1.3646700000000001E-2</c:v>
                </c:pt>
                <c:pt idx="5">
                  <c:v>1.39919E-2</c:v>
                </c:pt>
                <c:pt idx="6">
                  <c:v>1.4336800000000002E-2</c:v>
                </c:pt>
                <c:pt idx="7">
                  <c:v>1.4681000000000001E-2</c:v>
                </c:pt>
                <c:pt idx="8">
                  <c:v>1.5025500000000002E-2</c:v>
                </c:pt>
                <c:pt idx="9">
                  <c:v>1.5369799999999999E-2</c:v>
                </c:pt>
                <c:pt idx="10">
                  <c:v>1.5714800000000001E-2</c:v>
                </c:pt>
                <c:pt idx="11">
                  <c:v>1.6061400000000003E-2</c:v>
                </c:pt>
                <c:pt idx="12">
                  <c:v>1.6410800000000003E-2</c:v>
                </c:pt>
                <c:pt idx="13">
                  <c:v>1.67647E-2</c:v>
                </c:pt>
                <c:pt idx="14">
                  <c:v>1.7124999999999998E-2</c:v>
                </c:pt>
                <c:pt idx="15">
                  <c:v>1.7495E-2</c:v>
                </c:pt>
                <c:pt idx="16">
                  <c:v>1.7877000000000001E-2</c:v>
                </c:pt>
              </c:numCache>
            </c:numRef>
          </c:yVal>
          <c:smooth val="0"/>
          <c:extLst>
            <c:ext xmlns:c16="http://schemas.microsoft.com/office/drawing/2014/chart" uri="{C3380CC4-5D6E-409C-BE32-E72D297353CC}">
              <c16:uniqueId val="{00000001-A3E9-44E5-812B-655BD3FC3FB3}"/>
            </c:ext>
          </c:extLst>
        </c:ser>
        <c:dLbls>
          <c:showLegendKey val="0"/>
          <c:showVal val="0"/>
          <c:showCatName val="0"/>
          <c:showSerName val="0"/>
          <c:showPercent val="0"/>
          <c:showBubbleSize val="0"/>
        </c:dLbls>
        <c:axId val="483022720"/>
        <c:axId val="483023112"/>
      </c:scatterChart>
      <c:valAx>
        <c:axId val="483022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3112"/>
        <c:crosses val="autoZero"/>
        <c:crossBetween val="midCat"/>
      </c:valAx>
      <c:valAx>
        <c:axId val="483023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27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Density vs. Viscosity</a:t>
            </a:r>
            <a:r>
              <a:rPr lang="en-US" baseline="0"/>
              <a:t> &gt; 260 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7.9251968503937006E-3"/>
                  <c:y val="0.2108996792067658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Steam!$Q$21:$Q$32</c:f>
              <c:numCache>
                <c:formatCode>General</c:formatCode>
                <c:ptCount val="12"/>
                <c:pt idx="0">
                  <c:v>2.3713540431586438E-2</c:v>
                </c:pt>
                <c:pt idx="1">
                  <c:v>2.8074115665356541E-2</c:v>
                </c:pt>
                <c:pt idx="2">
                  <c:v>3.316749585406302E-2</c:v>
                </c:pt>
                <c:pt idx="3">
                  <c:v>3.9123630672926443E-2</c:v>
                </c:pt>
                <c:pt idx="4">
                  <c:v>4.6168051708217916E-2</c:v>
                </c:pt>
                <c:pt idx="5">
                  <c:v>5.452562704471102E-2</c:v>
                </c:pt>
                <c:pt idx="6">
                  <c:v>6.464124111182934E-2</c:v>
                </c:pt>
                <c:pt idx="7">
                  <c:v>7.7041602465331288E-2</c:v>
                </c:pt>
                <c:pt idx="8">
                  <c:v>9.27643784786642E-2</c:v>
                </c:pt>
                <c:pt idx="9">
                  <c:v>0.11363636363636363</c:v>
                </c:pt>
                <c:pt idx="10">
                  <c:v>0.14388489208633096</c:v>
                </c:pt>
                <c:pt idx="11">
                  <c:v>0.20202020202020199</c:v>
                </c:pt>
              </c:numCache>
            </c:numRef>
          </c:xVal>
          <c:yVal>
            <c:numRef>
              <c:f>Steam!$R$21:$R$32</c:f>
              <c:numCache>
                <c:formatCode>General</c:formatCode>
                <c:ptCount val="12"/>
                <c:pt idx="0">
                  <c:v>1.7877000000000001E-2</c:v>
                </c:pt>
                <c:pt idx="1">
                  <c:v>1.8277000000000002E-2</c:v>
                </c:pt>
                <c:pt idx="2">
                  <c:v>1.8670000000000003E-2</c:v>
                </c:pt>
                <c:pt idx="3">
                  <c:v>1.9154100000000004E-2</c:v>
                </c:pt>
                <c:pt idx="4">
                  <c:v>1.9651200000000004E-2</c:v>
                </c:pt>
                <c:pt idx="5">
                  <c:v>2.0207000000000006E-2</c:v>
                </c:pt>
                <c:pt idx="6">
                  <c:v>2.0846000000000003E-2</c:v>
                </c:pt>
                <c:pt idx="7">
                  <c:v>2.16054E-2</c:v>
                </c:pt>
                <c:pt idx="8">
                  <c:v>2.2553000000000004E-2</c:v>
                </c:pt>
                <c:pt idx="9">
                  <c:v>2.3821000000000002E-2</c:v>
                </c:pt>
                <c:pt idx="10">
                  <c:v>2.5729000000000005E-2</c:v>
                </c:pt>
                <c:pt idx="11">
                  <c:v>2.9700000000000004E-2</c:v>
                </c:pt>
              </c:numCache>
            </c:numRef>
          </c:yVal>
          <c:smooth val="0"/>
          <c:extLst>
            <c:ext xmlns:c16="http://schemas.microsoft.com/office/drawing/2014/chart" uri="{C3380CC4-5D6E-409C-BE32-E72D297353CC}">
              <c16:uniqueId val="{00000001-CC1B-4DCF-BB20-0A44819109EE}"/>
            </c:ext>
          </c:extLst>
        </c:ser>
        <c:dLbls>
          <c:showLegendKey val="0"/>
          <c:showVal val="0"/>
          <c:showCatName val="0"/>
          <c:showSerName val="0"/>
          <c:showPercent val="0"/>
          <c:showBubbleSize val="0"/>
        </c:dLbls>
        <c:axId val="483023896"/>
        <c:axId val="483024288"/>
      </c:scatterChart>
      <c:valAx>
        <c:axId val="483023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4288"/>
        <c:crosses val="autoZero"/>
        <c:crossBetween val="midCat"/>
      </c:valAx>
      <c:valAx>
        <c:axId val="483024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3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 vs. 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530766987459899E-2"/>
          <c:y val="0.18248462484624847"/>
          <c:w val="0.85585441819772523"/>
          <c:h val="0.70337875662221194"/>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1.4484689413823273E-2"/>
                  <c:y val="0.2455596555965559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Steam!$P$5:$P$32</c:f>
              <c:numCache>
                <c:formatCode>General</c:formatCode>
                <c:ptCount val="28"/>
                <c:pt idx="0">
                  <c:v>14.709723534</c:v>
                </c:pt>
                <c:pt idx="1">
                  <c:v>20.795505426000002</c:v>
                </c:pt>
                <c:pt idx="2">
                  <c:v>28.814639859000003</c:v>
                </c:pt>
                <c:pt idx="3">
                  <c:v>39.200789556000004</c:v>
                </c:pt>
                <c:pt idx="4">
                  <c:v>52.436930057999994</c:v>
                </c:pt>
                <c:pt idx="5">
                  <c:v>69.061151232</c:v>
                </c:pt>
                <c:pt idx="6">
                  <c:v>89.662306139999998</c:v>
                </c:pt>
                <c:pt idx="7">
                  <c:v>114.89886594000001</c:v>
                </c:pt>
                <c:pt idx="8">
                  <c:v>145.44380555999999</c:v>
                </c:pt>
                <c:pt idx="9">
                  <c:v>182.05132104</c:v>
                </c:pt>
                <c:pt idx="10">
                  <c:v>225.51911973</c:v>
                </c:pt>
                <c:pt idx="11">
                  <c:v>276.68842029000001</c:v>
                </c:pt>
                <c:pt idx="12">
                  <c:v>336.42944891999997</c:v>
                </c:pt>
                <c:pt idx="13">
                  <c:v>405.68495066999998</c:v>
                </c:pt>
                <c:pt idx="14">
                  <c:v>485.42667813000003</c:v>
                </c:pt>
                <c:pt idx="15">
                  <c:v>576.69890273999999</c:v>
                </c:pt>
                <c:pt idx="16">
                  <c:v>680.56039971000007</c:v>
                </c:pt>
                <c:pt idx="17">
                  <c:v>798.14246309999999</c:v>
                </c:pt>
                <c:pt idx="18">
                  <c:v>930.64890581999998</c:v>
                </c:pt>
                <c:pt idx="19">
                  <c:v>1079.34155586</c:v>
                </c:pt>
                <c:pt idx="20">
                  <c:v>1245.56926383</c:v>
                </c:pt>
                <c:pt idx="21">
                  <c:v>1430.8114142700001</c:v>
                </c:pt>
                <c:pt idx="22">
                  <c:v>1636.6054068000001</c:v>
                </c:pt>
                <c:pt idx="23">
                  <c:v>1864.8947466000002</c:v>
                </c:pt>
                <c:pt idx="24">
                  <c:v>2117.6954577000001</c:v>
                </c:pt>
                <c:pt idx="25">
                  <c:v>2397.3281433000002</c:v>
                </c:pt>
                <c:pt idx="26">
                  <c:v>2707.2737081999999</c:v>
                </c:pt>
                <c:pt idx="27">
                  <c:v>3052.1733588000002</c:v>
                </c:pt>
              </c:numCache>
            </c:numRef>
          </c:xVal>
          <c:yVal>
            <c:numRef>
              <c:f>Steam!$O$5:$O$32</c:f>
              <c:numCache>
                <c:formatCode>General</c:formatCode>
                <c:ptCount val="28"/>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numCache>
            </c:numRef>
          </c:yVal>
          <c:smooth val="0"/>
          <c:extLst>
            <c:ext xmlns:c16="http://schemas.microsoft.com/office/drawing/2014/chart" uri="{C3380CC4-5D6E-409C-BE32-E72D297353CC}">
              <c16:uniqueId val="{00000001-EBEB-4C49-963E-92AC1F06C933}"/>
            </c:ext>
          </c:extLst>
        </c:ser>
        <c:dLbls>
          <c:showLegendKey val="0"/>
          <c:showVal val="0"/>
          <c:showCatName val="0"/>
          <c:showSerName val="0"/>
          <c:showPercent val="0"/>
          <c:showBubbleSize val="0"/>
        </c:dLbls>
        <c:axId val="483025072"/>
        <c:axId val="482836392"/>
      </c:scatterChart>
      <c:valAx>
        <c:axId val="483025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836392"/>
        <c:crosses val="autoZero"/>
        <c:crossBetween val="midCat"/>
      </c:valAx>
      <c:valAx>
        <c:axId val="482836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5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emf"/><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18" Type="http://schemas.openxmlformats.org/officeDocument/2006/relationships/chart" Target="../charts/chart19.xml"/><Relationship Id="rId26" Type="http://schemas.openxmlformats.org/officeDocument/2006/relationships/chart" Target="../charts/chart27.xml"/><Relationship Id="rId3" Type="http://schemas.openxmlformats.org/officeDocument/2006/relationships/chart" Target="../charts/chart4.xml"/><Relationship Id="rId21" Type="http://schemas.openxmlformats.org/officeDocument/2006/relationships/chart" Target="../charts/chart22.xml"/><Relationship Id="rId7" Type="http://schemas.openxmlformats.org/officeDocument/2006/relationships/chart" Target="../charts/chart8.xml"/><Relationship Id="rId12" Type="http://schemas.openxmlformats.org/officeDocument/2006/relationships/chart" Target="../charts/chart13.xml"/><Relationship Id="rId17" Type="http://schemas.openxmlformats.org/officeDocument/2006/relationships/chart" Target="../charts/chart18.xml"/><Relationship Id="rId25" Type="http://schemas.openxmlformats.org/officeDocument/2006/relationships/chart" Target="../charts/chart26.xml"/><Relationship Id="rId2" Type="http://schemas.openxmlformats.org/officeDocument/2006/relationships/chart" Target="../charts/chart3.xml"/><Relationship Id="rId16" Type="http://schemas.openxmlformats.org/officeDocument/2006/relationships/chart" Target="../charts/chart17.xml"/><Relationship Id="rId20" Type="http://schemas.openxmlformats.org/officeDocument/2006/relationships/chart" Target="../charts/chart21.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24" Type="http://schemas.openxmlformats.org/officeDocument/2006/relationships/chart" Target="../charts/chart25.xml"/><Relationship Id="rId5" Type="http://schemas.openxmlformats.org/officeDocument/2006/relationships/chart" Target="../charts/chart6.xml"/><Relationship Id="rId15" Type="http://schemas.openxmlformats.org/officeDocument/2006/relationships/chart" Target="../charts/chart16.xml"/><Relationship Id="rId23" Type="http://schemas.openxmlformats.org/officeDocument/2006/relationships/chart" Target="../charts/chart24.xml"/><Relationship Id="rId28" Type="http://schemas.openxmlformats.org/officeDocument/2006/relationships/chart" Target="../charts/chart29.xml"/><Relationship Id="rId10" Type="http://schemas.openxmlformats.org/officeDocument/2006/relationships/chart" Target="../charts/chart11.xml"/><Relationship Id="rId19" Type="http://schemas.openxmlformats.org/officeDocument/2006/relationships/chart" Target="../charts/chart20.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chart" Target="../charts/chart15.xml"/><Relationship Id="rId22" Type="http://schemas.openxmlformats.org/officeDocument/2006/relationships/chart" Target="../charts/chart23.xml"/><Relationship Id="rId27" Type="http://schemas.openxmlformats.org/officeDocument/2006/relationships/chart" Target="../charts/chart2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chart" Target="../charts/chart33.xml"/><Relationship Id="rId1" Type="http://schemas.openxmlformats.org/officeDocument/2006/relationships/chart" Target="../charts/chart3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2.xml"/><Relationship Id="rId3" Type="http://schemas.openxmlformats.org/officeDocument/2006/relationships/chart" Target="../charts/chart37.xml"/><Relationship Id="rId7" Type="http://schemas.openxmlformats.org/officeDocument/2006/relationships/chart" Target="../charts/chart41.xml"/><Relationship Id="rId12" Type="http://schemas.openxmlformats.org/officeDocument/2006/relationships/chart" Target="../charts/chart46.xml"/><Relationship Id="rId2" Type="http://schemas.openxmlformats.org/officeDocument/2006/relationships/chart" Target="../charts/chart36.xml"/><Relationship Id="rId1" Type="http://schemas.openxmlformats.org/officeDocument/2006/relationships/chart" Target="../charts/chart35.xml"/><Relationship Id="rId6" Type="http://schemas.openxmlformats.org/officeDocument/2006/relationships/chart" Target="../charts/chart40.xml"/><Relationship Id="rId11" Type="http://schemas.openxmlformats.org/officeDocument/2006/relationships/chart" Target="../charts/chart45.xml"/><Relationship Id="rId5" Type="http://schemas.openxmlformats.org/officeDocument/2006/relationships/chart" Target="../charts/chart39.xml"/><Relationship Id="rId10" Type="http://schemas.openxmlformats.org/officeDocument/2006/relationships/chart" Target="../charts/chart44.xml"/><Relationship Id="rId4" Type="http://schemas.openxmlformats.org/officeDocument/2006/relationships/chart" Target="../charts/chart38.xml"/><Relationship Id="rId9" Type="http://schemas.openxmlformats.org/officeDocument/2006/relationships/chart" Target="../charts/chart4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55.xml"/><Relationship Id="rId3" Type="http://schemas.openxmlformats.org/officeDocument/2006/relationships/chart" Target="../charts/chart50.xml"/><Relationship Id="rId7" Type="http://schemas.openxmlformats.org/officeDocument/2006/relationships/chart" Target="../charts/chart54.xml"/><Relationship Id="rId12" Type="http://schemas.openxmlformats.org/officeDocument/2006/relationships/chart" Target="../charts/chart59.xml"/><Relationship Id="rId2" Type="http://schemas.openxmlformats.org/officeDocument/2006/relationships/chart" Target="../charts/chart49.xml"/><Relationship Id="rId1" Type="http://schemas.openxmlformats.org/officeDocument/2006/relationships/chart" Target="../charts/chart48.xml"/><Relationship Id="rId6" Type="http://schemas.openxmlformats.org/officeDocument/2006/relationships/chart" Target="../charts/chart53.xml"/><Relationship Id="rId11" Type="http://schemas.openxmlformats.org/officeDocument/2006/relationships/chart" Target="../charts/chart58.xml"/><Relationship Id="rId5" Type="http://schemas.openxmlformats.org/officeDocument/2006/relationships/chart" Target="../charts/chart52.xml"/><Relationship Id="rId10" Type="http://schemas.openxmlformats.org/officeDocument/2006/relationships/chart" Target="../charts/chart57.xml"/><Relationship Id="rId4" Type="http://schemas.openxmlformats.org/officeDocument/2006/relationships/chart" Target="../charts/chart51.xml"/><Relationship Id="rId9" Type="http://schemas.openxmlformats.org/officeDocument/2006/relationships/chart" Target="../charts/chart5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chart" Target="../charts/chart60.xml"/><Relationship Id="rId5" Type="http://schemas.openxmlformats.org/officeDocument/2006/relationships/chart" Target="../charts/chart64.xml"/><Relationship Id="rId4" Type="http://schemas.openxmlformats.org/officeDocument/2006/relationships/chart" Target="../charts/chart63.xml"/></Relationships>
</file>

<file path=xl/drawings/_rels/drawing12.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10" Type="http://schemas.openxmlformats.org/officeDocument/2006/relationships/image" Target="../media/image16.png"/><Relationship Id="rId4" Type="http://schemas.openxmlformats.org/officeDocument/2006/relationships/image" Target="../media/image10.png"/><Relationship Id="rId9"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21</xdr:row>
      <xdr:rowOff>114300</xdr:rowOff>
    </xdr:from>
    <xdr:to>
      <xdr:col>3</xdr:col>
      <xdr:colOff>371475</xdr:colOff>
      <xdr:row>25</xdr:row>
      <xdr:rowOff>253347</xdr:rowOff>
    </xdr:to>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stretch>
          <a:fillRect/>
        </a:stretch>
      </xdr:blipFill>
      <xdr:spPr>
        <a:xfrm>
          <a:off x="47625" y="4286250"/>
          <a:ext cx="3962400" cy="1091547"/>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8</xdr:col>
          <xdr:colOff>352424</xdr:colOff>
          <xdr:row>4</xdr:row>
          <xdr:rowOff>200024</xdr:rowOff>
        </xdr:from>
        <xdr:to>
          <xdr:col>14</xdr:col>
          <xdr:colOff>21018</xdr:colOff>
          <xdr:row>16</xdr:row>
          <xdr:rowOff>57150</xdr:rowOff>
        </xdr:to>
        <xdr:pic>
          <xdr:nvPicPr>
            <xdr:cNvPr id="6" name="Picture 5">
              <a:extLst>
                <a:ext uri="{FF2B5EF4-FFF2-40B4-BE49-F238E27FC236}">
                  <a16:creationId xmlns:a16="http://schemas.microsoft.com/office/drawing/2014/main" id="{00000000-0008-0000-1400-000006000000}"/>
                </a:ext>
              </a:extLst>
            </xdr:cNvPr>
            <xdr:cNvPicPr>
              <a:picLocks noChangeAspect="1" noChangeArrowheads="1"/>
              <a:extLst>
                <a:ext uri="{84589F7E-364E-4C9E-8A38-B11213B215E9}">
                  <a14:cameraTool cellRange="IMAGE" spid="_x0000_s206639"/>
                </a:ext>
              </a:extLst>
            </xdr:cNvPicPr>
          </xdr:nvPicPr>
          <xdr:blipFill>
            <a:blip xmlns:r="http://schemas.openxmlformats.org/officeDocument/2006/relationships" r:embed="rId2"/>
            <a:srcRect/>
            <a:stretch>
              <a:fillRect/>
            </a:stretch>
          </xdr:blipFill>
          <xdr:spPr bwMode="auto">
            <a:xfrm>
              <a:off x="6334124" y="876299"/>
              <a:ext cx="2564194" cy="238125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4</xdr:col>
      <xdr:colOff>466725</xdr:colOff>
      <xdr:row>13</xdr:row>
      <xdr:rowOff>180975</xdr:rowOff>
    </xdr:from>
    <xdr:to>
      <xdr:col>8</xdr:col>
      <xdr:colOff>18889</xdr:colOff>
      <xdr:row>15</xdr:row>
      <xdr:rowOff>228545</xdr:rowOff>
    </xdr:to>
    <xdr:pic macro="[0]!Test">
      <xdr:nvPicPr>
        <xdr:cNvPr id="4" name="Picture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3"/>
        <a:stretch>
          <a:fillRect/>
        </a:stretch>
      </xdr:blipFill>
      <xdr:spPr>
        <a:xfrm>
          <a:off x="4714875" y="2705100"/>
          <a:ext cx="1285714" cy="438095"/>
        </a:xfrm>
        <a:prstGeom prst="rect">
          <a:avLst/>
        </a:prstGeom>
        <a:noFill/>
      </xdr:spPr>
    </xdr:pic>
    <xdr:clientData/>
  </xdr:twoCellAnchor>
  <xdr:twoCellAnchor editAs="oneCell">
    <xdr:from>
      <xdr:col>4</xdr:col>
      <xdr:colOff>466725</xdr:colOff>
      <xdr:row>9</xdr:row>
      <xdr:rowOff>190500</xdr:rowOff>
    </xdr:from>
    <xdr:to>
      <xdr:col>8</xdr:col>
      <xdr:colOff>18889</xdr:colOff>
      <xdr:row>12</xdr:row>
      <xdr:rowOff>18994</xdr:rowOff>
    </xdr:to>
    <xdr:pic macro="[0]!SendWorkSheet">
      <xdr:nvPicPr>
        <xdr:cNvPr id="7" name="Picture 6">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4"/>
        <a:stretch>
          <a:fillRect/>
        </a:stretch>
      </xdr:blipFill>
      <xdr:spPr>
        <a:xfrm>
          <a:off x="4724400" y="1866900"/>
          <a:ext cx="1285714" cy="447619"/>
        </a:xfrm>
        <a:prstGeom prst="rect">
          <a:avLst/>
        </a:prstGeom>
      </xdr:spPr>
    </xdr:pic>
    <xdr:clientData/>
  </xdr:twoCellAnchor>
  <xdr:twoCellAnchor editAs="oneCell">
    <xdr:from>
      <xdr:col>4</xdr:col>
      <xdr:colOff>466725</xdr:colOff>
      <xdr:row>5</xdr:row>
      <xdr:rowOff>190500</xdr:rowOff>
    </xdr:from>
    <xdr:to>
      <xdr:col>8</xdr:col>
      <xdr:colOff>18889</xdr:colOff>
      <xdr:row>8</xdr:row>
      <xdr:rowOff>18994</xdr:rowOff>
    </xdr:to>
    <xdr:pic macro="[0]!Reset">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5"/>
        <a:stretch>
          <a:fillRect/>
        </a:stretch>
      </xdr:blipFill>
      <xdr:spPr>
        <a:xfrm>
          <a:off x="4714875" y="1076325"/>
          <a:ext cx="1285714" cy="447619"/>
        </a:xfrm>
        <a:prstGeom prst="rect">
          <a:avLst/>
        </a:prstGeom>
      </xdr:spPr>
    </xdr:pic>
    <xdr:clientData/>
  </xdr:twoCellAnchor>
  <xdr:twoCellAnchor>
    <xdr:from>
      <xdr:col>4</xdr:col>
      <xdr:colOff>0</xdr:colOff>
      <xdr:row>2</xdr:row>
      <xdr:rowOff>0</xdr:rowOff>
    </xdr:from>
    <xdr:to>
      <xdr:col>6</xdr:col>
      <xdr:colOff>9525</xdr:colOff>
      <xdr:row>3</xdr:row>
      <xdr:rowOff>190501</xdr:rowOff>
    </xdr:to>
    <xdr:sp macro="[0]!Picture13_Click" textlink="">
      <xdr:nvSpPr>
        <xdr:cNvPr id="9" name="Rectangle 8">
          <a:extLst>
            <a:ext uri="{FF2B5EF4-FFF2-40B4-BE49-F238E27FC236}">
              <a16:creationId xmlns:a16="http://schemas.microsoft.com/office/drawing/2014/main" id="{00000000-0008-0000-1400-000009000000}"/>
            </a:ext>
          </a:extLst>
        </xdr:cNvPr>
        <xdr:cNvSpPr/>
      </xdr:nvSpPr>
      <xdr:spPr>
        <a:xfrm>
          <a:off x="4248150" y="276225"/>
          <a:ext cx="781050" cy="3905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285749</xdr:colOff>
      <xdr:row>1</xdr:row>
      <xdr:rowOff>190500</xdr:rowOff>
    </xdr:from>
    <xdr:to>
      <xdr:col>7</xdr:col>
      <xdr:colOff>666749</xdr:colOff>
      <xdr:row>3</xdr:row>
      <xdr:rowOff>190500</xdr:rowOff>
    </xdr:to>
    <xdr:sp macro="[0]!Steam_Click" textlink="">
      <xdr:nvSpPr>
        <xdr:cNvPr id="10" name="Rectangle 9">
          <a:extLst>
            <a:ext uri="{FF2B5EF4-FFF2-40B4-BE49-F238E27FC236}">
              <a16:creationId xmlns:a16="http://schemas.microsoft.com/office/drawing/2014/main" id="{00000000-0008-0000-1400-00000A000000}"/>
            </a:ext>
          </a:extLst>
        </xdr:cNvPr>
        <xdr:cNvSpPr/>
      </xdr:nvSpPr>
      <xdr:spPr>
        <a:xfrm>
          <a:off x="5305424" y="266700"/>
          <a:ext cx="676275"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24</xdr:row>
      <xdr:rowOff>9525</xdr:rowOff>
    </xdr:from>
    <xdr:to>
      <xdr:col>13</xdr:col>
      <xdr:colOff>552450</xdr:colOff>
      <xdr:row>24</xdr:row>
      <xdr:rowOff>371475</xdr:rowOff>
    </xdr:to>
    <xdr:sp macro="[0]!Rectangle1_Click" textlink="">
      <xdr:nvSpPr>
        <xdr:cNvPr id="5" name="Rectangle 4">
          <a:extLst>
            <a:ext uri="{FF2B5EF4-FFF2-40B4-BE49-F238E27FC236}">
              <a16:creationId xmlns:a16="http://schemas.microsoft.com/office/drawing/2014/main" id="{00000000-0008-0000-1400-000005000000}"/>
            </a:ext>
          </a:extLst>
        </xdr:cNvPr>
        <xdr:cNvSpPr/>
      </xdr:nvSpPr>
      <xdr:spPr>
        <a:xfrm>
          <a:off x="6362700" y="4733925"/>
          <a:ext cx="2505075" cy="3619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25</xdr:row>
      <xdr:rowOff>9525</xdr:rowOff>
    </xdr:from>
    <xdr:to>
      <xdr:col>13</xdr:col>
      <xdr:colOff>552450</xdr:colOff>
      <xdr:row>25</xdr:row>
      <xdr:rowOff>390525</xdr:rowOff>
    </xdr:to>
    <xdr:sp macro="[0]!Rectangle2_Click" textlink="">
      <xdr:nvSpPr>
        <xdr:cNvPr id="8" name="Rectangle 7">
          <a:extLst>
            <a:ext uri="{FF2B5EF4-FFF2-40B4-BE49-F238E27FC236}">
              <a16:creationId xmlns:a16="http://schemas.microsoft.com/office/drawing/2014/main" id="{00000000-0008-0000-1400-000008000000}"/>
            </a:ext>
          </a:extLst>
        </xdr:cNvPr>
        <xdr:cNvSpPr/>
      </xdr:nvSpPr>
      <xdr:spPr>
        <a:xfrm>
          <a:off x="6362700" y="5114925"/>
          <a:ext cx="2505075"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19050</xdr:colOff>
      <xdr:row>26</xdr:row>
      <xdr:rowOff>9525</xdr:rowOff>
    </xdr:from>
    <xdr:to>
      <xdr:col>14</xdr:col>
      <xdr:colOff>0</xdr:colOff>
      <xdr:row>26</xdr:row>
      <xdr:rowOff>361950</xdr:rowOff>
    </xdr:to>
    <xdr:sp macro="[0]!Rectangle3_Click" textlink="">
      <xdr:nvSpPr>
        <xdr:cNvPr id="11" name="Rectangle 10">
          <a:extLst>
            <a:ext uri="{FF2B5EF4-FFF2-40B4-BE49-F238E27FC236}">
              <a16:creationId xmlns:a16="http://schemas.microsoft.com/office/drawing/2014/main" id="{00000000-0008-0000-1400-00000B000000}"/>
            </a:ext>
          </a:extLst>
        </xdr:cNvPr>
        <xdr:cNvSpPr/>
      </xdr:nvSpPr>
      <xdr:spPr>
        <a:xfrm>
          <a:off x="6381750" y="5514975"/>
          <a:ext cx="2495550"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9525</xdr:colOff>
      <xdr:row>27</xdr:row>
      <xdr:rowOff>9525</xdr:rowOff>
    </xdr:from>
    <xdr:to>
      <xdr:col>14</xdr:col>
      <xdr:colOff>0</xdr:colOff>
      <xdr:row>27</xdr:row>
      <xdr:rowOff>381000</xdr:rowOff>
    </xdr:to>
    <xdr:sp macro="[0]!Rectangle4_Click" textlink="">
      <xdr:nvSpPr>
        <xdr:cNvPr id="12" name="Rectangle 11">
          <a:extLst>
            <a:ext uri="{FF2B5EF4-FFF2-40B4-BE49-F238E27FC236}">
              <a16:creationId xmlns:a16="http://schemas.microsoft.com/office/drawing/2014/main" id="{00000000-0008-0000-1400-00000C000000}"/>
            </a:ext>
          </a:extLst>
        </xdr:cNvPr>
        <xdr:cNvSpPr/>
      </xdr:nvSpPr>
      <xdr:spPr>
        <a:xfrm>
          <a:off x="6372225" y="5886450"/>
          <a:ext cx="25050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24</xdr:row>
      <xdr:rowOff>9525</xdr:rowOff>
    </xdr:from>
    <xdr:to>
      <xdr:col>20</xdr:col>
      <xdr:colOff>0</xdr:colOff>
      <xdr:row>25</xdr:row>
      <xdr:rowOff>0</xdr:rowOff>
    </xdr:to>
    <xdr:sp macro="[0]!Rectangle5_Click" textlink="">
      <xdr:nvSpPr>
        <xdr:cNvPr id="13" name="Rectangle 12">
          <a:extLst>
            <a:ext uri="{FF2B5EF4-FFF2-40B4-BE49-F238E27FC236}">
              <a16:creationId xmlns:a16="http://schemas.microsoft.com/office/drawing/2014/main" id="{00000000-0008-0000-1400-00000D000000}"/>
            </a:ext>
          </a:extLst>
        </xdr:cNvPr>
        <xdr:cNvSpPr/>
      </xdr:nvSpPr>
      <xdr:spPr>
        <a:xfrm>
          <a:off x="8982075" y="4733925"/>
          <a:ext cx="2495550"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25</xdr:row>
      <xdr:rowOff>9525</xdr:rowOff>
    </xdr:from>
    <xdr:to>
      <xdr:col>19</xdr:col>
      <xdr:colOff>533400</xdr:colOff>
      <xdr:row>25</xdr:row>
      <xdr:rowOff>390525</xdr:rowOff>
    </xdr:to>
    <xdr:sp macro="[0]!Rectangle6_Click" textlink="">
      <xdr:nvSpPr>
        <xdr:cNvPr id="14" name="Rectangle 13">
          <a:extLst>
            <a:ext uri="{FF2B5EF4-FFF2-40B4-BE49-F238E27FC236}">
              <a16:creationId xmlns:a16="http://schemas.microsoft.com/office/drawing/2014/main" id="{00000000-0008-0000-1400-00000E000000}"/>
            </a:ext>
          </a:extLst>
        </xdr:cNvPr>
        <xdr:cNvSpPr/>
      </xdr:nvSpPr>
      <xdr:spPr>
        <a:xfrm>
          <a:off x="8982075" y="5114925"/>
          <a:ext cx="2486025"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xdr:colOff>
      <xdr:row>26</xdr:row>
      <xdr:rowOff>9525</xdr:rowOff>
    </xdr:from>
    <xdr:to>
      <xdr:col>20</xdr:col>
      <xdr:colOff>1</xdr:colOff>
      <xdr:row>26</xdr:row>
      <xdr:rowOff>361950</xdr:rowOff>
    </xdr:to>
    <xdr:sp macro="[0]!Rectangle7_Click" textlink="">
      <xdr:nvSpPr>
        <xdr:cNvPr id="15" name="Rectangle 14">
          <a:extLst>
            <a:ext uri="{FF2B5EF4-FFF2-40B4-BE49-F238E27FC236}">
              <a16:creationId xmlns:a16="http://schemas.microsoft.com/office/drawing/2014/main" id="{00000000-0008-0000-1400-00000F000000}"/>
            </a:ext>
          </a:extLst>
        </xdr:cNvPr>
        <xdr:cNvSpPr/>
      </xdr:nvSpPr>
      <xdr:spPr>
        <a:xfrm>
          <a:off x="8982076" y="5514975"/>
          <a:ext cx="2495550" cy="3524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27</xdr:row>
      <xdr:rowOff>9525</xdr:rowOff>
    </xdr:from>
    <xdr:to>
      <xdr:col>20</xdr:col>
      <xdr:colOff>0</xdr:colOff>
      <xdr:row>27</xdr:row>
      <xdr:rowOff>381000</xdr:rowOff>
    </xdr:to>
    <xdr:sp macro="[0]!Rectangle8_Click" textlink="">
      <xdr:nvSpPr>
        <xdr:cNvPr id="16" name="Rectangle 15">
          <a:extLst>
            <a:ext uri="{FF2B5EF4-FFF2-40B4-BE49-F238E27FC236}">
              <a16:creationId xmlns:a16="http://schemas.microsoft.com/office/drawing/2014/main" id="{00000000-0008-0000-1400-000010000000}"/>
            </a:ext>
          </a:extLst>
        </xdr:cNvPr>
        <xdr:cNvSpPr/>
      </xdr:nvSpPr>
      <xdr:spPr>
        <a:xfrm>
          <a:off x="8982075" y="5886450"/>
          <a:ext cx="2495550"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xdr:colOff>
      <xdr:row>24</xdr:row>
      <xdr:rowOff>9525</xdr:rowOff>
    </xdr:from>
    <xdr:to>
      <xdr:col>26</xdr:col>
      <xdr:colOff>1</xdr:colOff>
      <xdr:row>25</xdr:row>
      <xdr:rowOff>0</xdr:rowOff>
    </xdr:to>
    <xdr:sp macro="[0]!Rectangle9_Click" textlink="">
      <xdr:nvSpPr>
        <xdr:cNvPr id="17" name="Rectangle 16">
          <a:extLst>
            <a:ext uri="{FF2B5EF4-FFF2-40B4-BE49-F238E27FC236}">
              <a16:creationId xmlns:a16="http://schemas.microsoft.com/office/drawing/2014/main" id="{00000000-0008-0000-1400-000011000000}"/>
            </a:ext>
          </a:extLst>
        </xdr:cNvPr>
        <xdr:cNvSpPr/>
      </xdr:nvSpPr>
      <xdr:spPr>
        <a:xfrm>
          <a:off x="11630026" y="4733925"/>
          <a:ext cx="2476500"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9525</xdr:colOff>
      <xdr:row>25</xdr:row>
      <xdr:rowOff>9525</xdr:rowOff>
    </xdr:from>
    <xdr:to>
      <xdr:col>26</xdr:col>
      <xdr:colOff>0</xdr:colOff>
      <xdr:row>25</xdr:row>
      <xdr:rowOff>390525</xdr:rowOff>
    </xdr:to>
    <xdr:sp macro="[0]!Rectangle10_Click" textlink="">
      <xdr:nvSpPr>
        <xdr:cNvPr id="18" name="Rectangle 17">
          <a:extLst>
            <a:ext uri="{FF2B5EF4-FFF2-40B4-BE49-F238E27FC236}">
              <a16:creationId xmlns:a16="http://schemas.microsoft.com/office/drawing/2014/main" id="{00000000-0008-0000-1400-000012000000}"/>
            </a:ext>
          </a:extLst>
        </xdr:cNvPr>
        <xdr:cNvSpPr/>
      </xdr:nvSpPr>
      <xdr:spPr>
        <a:xfrm>
          <a:off x="11639550" y="5114925"/>
          <a:ext cx="2466975"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9525</xdr:colOff>
      <xdr:row>26</xdr:row>
      <xdr:rowOff>9525</xdr:rowOff>
    </xdr:from>
    <xdr:to>
      <xdr:col>25</xdr:col>
      <xdr:colOff>533400</xdr:colOff>
      <xdr:row>27</xdr:row>
      <xdr:rowOff>0</xdr:rowOff>
    </xdr:to>
    <xdr:sp macro="[0]!Rectangle11_Click" textlink="">
      <xdr:nvSpPr>
        <xdr:cNvPr id="19" name="Rectangle 18">
          <a:extLst>
            <a:ext uri="{FF2B5EF4-FFF2-40B4-BE49-F238E27FC236}">
              <a16:creationId xmlns:a16="http://schemas.microsoft.com/office/drawing/2014/main" id="{00000000-0008-0000-1400-000013000000}"/>
            </a:ext>
          </a:extLst>
        </xdr:cNvPr>
        <xdr:cNvSpPr/>
      </xdr:nvSpPr>
      <xdr:spPr>
        <a:xfrm>
          <a:off x="11639550" y="5514975"/>
          <a:ext cx="2457450" cy="3619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9525</xdr:colOff>
      <xdr:row>27</xdr:row>
      <xdr:rowOff>9525</xdr:rowOff>
    </xdr:from>
    <xdr:to>
      <xdr:col>26</xdr:col>
      <xdr:colOff>0</xdr:colOff>
      <xdr:row>27</xdr:row>
      <xdr:rowOff>381000</xdr:rowOff>
    </xdr:to>
    <xdr:sp macro="[0]!Rectangle12_Click" textlink="">
      <xdr:nvSpPr>
        <xdr:cNvPr id="20" name="Rectangle 19">
          <a:extLst>
            <a:ext uri="{FF2B5EF4-FFF2-40B4-BE49-F238E27FC236}">
              <a16:creationId xmlns:a16="http://schemas.microsoft.com/office/drawing/2014/main" id="{00000000-0008-0000-1400-000014000000}"/>
            </a:ext>
          </a:extLst>
        </xdr:cNvPr>
        <xdr:cNvSpPr/>
      </xdr:nvSpPr>
      <xdr:spPr>
        <a:xfrm>
          <a:off x="11639550" y="5886450"/>
          <a:ext cx="24669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581025</xdr:colOff>
      <xdr:row>12</xdr:row>
      <xdr:rowOff>104774</xdr:rowOff>
    </xdr:from>
    <xdr:to>
      <xdr:col>17</xdr:col>
      <xdr:colOff>85725</xdr:colOff>
      <xdr:row>37</xdr:row>
      <xdr:rowOff>114299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538162</xdr:colOff>
      <xdr:row>7</xdr:row>
      <xdr:rowOff>0</xdr:rowOff>
    </xdr:from>
    <xdr:to>
      <xdr:col>17</xdr:col>
      <xdr:colOff>233362</xdr:colOff>
      <xdr:row>18</xdr:row>
      <xdr:rowOff>161925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538162</xdr:colOff>
      <xdr:row>23</xdr:row>
      <xdr:rowOff>0</xdr:rowOff>
    </xdr:from>
    <xdr:to>
      <xdr:col>17</xdr:col>
      <xdr:colOff>233362</xdr:colOff>
      <xdr:row>34</xdr:row>
      <xdr:rowOff>161925</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271462</xdr:colOff>
      <xdr:row>38</xdr:row>
      <xdr:rowOff>0</xdr:rowOff>
    </xdr:from>
    <xdr:to>
      <xdr:col>17</xdr:col>
      <xdr:colOff>576262</xdr:colOff>
      <xdr:row>49</xdr:row>
      <xdr:rowOff>171450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538162</xdr:colOff>
      <xdr:row>55</xdr:row>
      <xdr:rowOff>0</xdr:rowOff>
    </xdr:from>
    <xdr:to>
      <xdr:col>17</xdr:col>
      <xdr:colOff>233362</xdr:colOff>
      <xdr:row>66</xdr:row>
      <xdr:rowOff>161925</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538162</xdr:colOff>
      <xdr:row>71</xdr:row>
      <xdr:rowOff>0</xdr:rowOff>
    </xdr:from>
    <xdr:to>
      <xdr:col>17</xdr:col>
      <xdr:colOff>233362</xdr:colOff>
      <xdr:row>82</xdr:row>
      <xdr:rowOff>161925</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538162</xdr:colOff>
      <xdr:row>87</xdr:row>
      <xdr:rowOff>0</xdr:rowOff>
    </xdr:from>
    <xdr:to>
      <xdr:col>17</xdr:col>
      <xdr:colOff>233362</xdr:colOff>
      <xdr:row>98</xdr:row>
      <xdr:rowOff>161925</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538162</xdr:colOff>
      <xdr:row>103</xdr:row>
      <xdr:rowOff>0</xdr:rowOff>
    </xdr:from>
    <xdr:to>
      <xdr:col>17</xdr:col>
      <xdr:colOff>233362</xdr:colOff>
      <xdr:row>114</xdr:row>
      <xdr:rowOff>161925</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566737</xdr:colOff>
      <xdr:row>135</xdr:row>
      <xdr:rowOff>57150</xdr:rowOff>
    </xdr:from>
    <xdr:to>
      <xdr:col>18</xdr:col>
      <xdr:colOff>261937</xdr:colOff>
      <xdr:row>147</xdr:row>
      <xdr:rowOff>19050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566737</xdr:colOff>
      <xdr:row>151</xdr:row>
      <xdr:rowOff>57150</xdr:rowOff>
    </xdr:from>
    <xdr:to>
      <xdr:col>18</xdr:col>
      <xdr:colOff>261937</xdr:colOff>
      <xdr:row>163</xdr:row>
      <xdr:rowOff>19050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185737</xdr:colOff>
      <xdr:row>118</xdr:row>
      <xdr:rowOff>104775</xdr:rowOff>
    </xdr:from>
    <xdr:to>
      <xdr:col>17</xdr:col>
      <xdr:colOff>490537</xdr:colOff>
      <xdr:row>132</xdr:row>
      <xdr:rowOff>152400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566737</xdr:colOff>
      <xdr:row>167</xdr:row>
      <xdr:rowOff>57150</xdr:rowOff>
    </xdr:from>
    <xdr:to>
      <xdr:col>18</xdr:col>
      <xdr:colOff>261937</xdr:colOff>
      <xdr:row>179</xdr:row>
      <xdr:rowOff>19050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566737</xdr:colOff>
      <xdr:row>183</xdr:row>
      <xdr:rowOff>57150</xdr:rowOff>
    </xdr:from>
    <xdr:to>
      <xdr:col>18</xdr:col>
      <xdr:colOff>261937</xdr:colOff>
      <xdr:row>195</xdr:row>
      <xdr:rowOff>19050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566737</xdr:colOff>
      <xdr:row>199</xdr:row>
      <xdr:rowOff>57150</xdr:rowOff>
    </xdr:from>
    <xdr:to>
      <xdr:col>18</xdr:col>
      <xdr:colOff>261937</xdr:colOff>
      <xdr:row>211</xdr:row>
      <xdr:rowOff>19050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566737</xdr:colOff>
      <xdr:row>215</xdr:row>
      <xdr:rowOff>57150</xdr:rowOff>
    </xdr:from>
    <xdr:to>
      <xdr:col>18</xdr:col>
      <xdr:colOff>261937</xdr:colOff>
      <xdr:row>227</xdr:row>
      <xdr:rowOff>19050</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566737</xdr:colOff>
      <xdr:row>231</xdr:row>
      <xdr:rowOff>57150</xdr:rowOff>
    </xdr:from>
    <xdr:to>
      <xdr:col>18</xdr:col>
      <xdr:colOff>261937</xdr:colOff>
      <xdr:row>243</xdr:row>
      <xdr:rowOff>19050</xdr:rowOff>
    </xdr:to>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566737</xdr:colOff>
      <xdr:row>247</xdr:row>
      <xdr:rowOff>57150</xdr:rowOff>
    </xdr:from>
    <xdr:to>
      <xdr:col>18</xdr:col>
      <xdr:colOff>261937</xdr:colOff>
      <xdr:row>259</xdr:row>
      <xdr:rowOff>19050</xdr:rowOff>
    </xdr:to>
    <xdr:graphicFrame macro="">
      <xdr:nvGraphicFramePr>
        <xdr:cNvPr id="19" name="Chart 18">
          <a:extLst>
            <a:ext uri="{FF2B5EF4-FFF2-40B4-BE49-F238E27FC236}">
              <a16:creationId xmlns:a16="http://schemas.microsoft.com/office/drawing/2014/main" id="{00000000-0008-0000-03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566737</xdr:colOff>
      <xdr:row>263</xdr:row>
      <xdr:rowOff>57150</xdr:rowOff>
    </xdr:from>
    <xdr:to>
      <xdr:col>18</xdr:col>
      <xdr:colOff>261937</xdr:colOff>
      <xdr:row>275</xdr:row>
      <xdr:rowOff>19050</xdr:rowOff>
    </xdr:to>
    <xdr:graphicFrame macro="">
      <xdr:nvGraphicFramePr>
        <xdr:cNvPr id="20" name="Chart 19">
          <a:extLst>
            <a:ext uri="{FF2B5EF4-FFF2-40B4-BE49-F238E27FC236}">
              <a16:creationId xmlns:a16="http://schemas.microsoft.com/office/drawing/2014/main" id="{00000000-0008-0000-0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566737</xdr:colOff>
      <xdr:row>279</xdr:row>
      <xdr:rowOff>57150</xdr:rowOff>
    </xdr:from>
    <xdr:to>
      <xdr:col>18</xdr:col>
      <xdr:colOff>261937</xdr:colOff>
      <xdr:row>291</xdr:row>
      <xdr:rowOff>19050</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566737</xdr:colOff>
      <xdr:row>295</xdr:row>
      <xdr:rowOff>57150</xdr:rowOff>
    </xdr:from>
    <xdr:to>
      <xdr:col>18</xdr:col>
      <xdr:colOff>261937</xdr:colOff>
      <xdr:row>307</xdr:row>
      <xdr:rowOff>19050</xdr:rowOff>
    </xdr:to>
    <xdr:graphicFrame macro="">
      <xdr:nvGraphicFramePr>
        <xdr:cNvPr id="22" name="Chart 21">
          <a:extLst>
            <a:ext uri="{FF2B5EF4-FFF2-40B4-BE49-F238E27FC236}">
              <a16:creationId xmlns:a16="http://schemas.microsoft.com/office/drawing/2014/main" id="{00000000-0008-0000-0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10</xdr:col>
      <xdr:colOff>566737</xdr:colOff>
      <xdr:row>311</xdr:row>
      <xdr:rowOff>57150</xdr:rowOff>
    </xdr:from>
    <xdr:to>
      <xdr:col>18</xdr:col>
      <xdr:colOff>261937</xdr:colOff>
      <xdr:row>323</xdr:row>
      <xdr:rowOff>19050</xdr:rowOff>
    </xdr:to>
    <xdr:graphicFrame macro="">
      <xdr:nvGraphicFramePr>
        <xdr:cNvPr id="23" name="Chart 22">
          <a:extLst>
            <a:ext uri="{FF2B5EF4-FFF2-40B4-BE49-F238E27FC236}">
              <a16:creationId xmlns:a16="http://schemas.microsoft.com/office/drawing/2014/main" id="{00000000-0008-0000-0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10</xdr:col>
      <xdr:colOff>566737</xdr:colOff>
      <xdr:row>327</xdr:row>
      <xdr:rowOff>57150</xdr:rowOff>
    </xdr:from>
    <xdr:to>
      <xdr:col>18</xdr:col>
      <xdr:colOff>261937</xdr:colOff>
      <xdr:row>339</xdr:row>
      <xdr:rowOff>19050</xdr:rowOff>
    </xdr:to>
    <xdr:graphicFrame macro="">
      <xdr:nvGraphicFramePr>
        <xdr:cNvPr id="24" name="Chart 23">
          <a:extLst>
            <a:ext uri="{FF2B5EF4-FFF2-40B4-BE49-F238E27FC236}">
              <a16:creationId xmlns:a16="http://schemas.microsoft.com/office/drawing/2014/main" id="{00000000-0008-0000-03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10</xdr:col>
      <xdr:colOff>566737</xdr:colOff>
      <xdr:row>343</xdr:row>
      <xdr:rowOff>57150</xdr:rowOff>
    </xdr:from>
    <xdr:to>
      <xdr:col>18</xdr:col>
      <xdr:colOff>261937</xdr:colOff>
      <xdr:row>355</xdr:row>
      <xdr:rowOff>19050</xdr:rowOff>
    </xdr:to>
    <xdr:graphicFrame macro="">
      <xdr:nvGraphicFramePr>
        <xdr:cNvPr id="25" name="Chart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10</xdr:col>
      <xdr:colOff>566737</xdr:colOff>
      <xdr:row>359</xdr:row>
      <xdr:rowOff>57150</xdr:rowOff>
    </xdr:from>
    <xdr:to>
      <xdr:col>18</xdr:col>
      <xdr:colOff>261937</xdr:colOff>
      <xdr:row>371</xdr:row>
      <xdr:rowOff>19050</xdr:rowOff>
    </xdr:to>
    <xdr:graphicFrame macro="">
      <xdr:nvGraphicFramePr>
        <xdr:cNvPr id="26" name="Chart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10</xdr:col>
      <xdr:colOff>566737</xdr:colOff>
      <xdr:row>375</xdr:row>
      <xdr:rowOff>57150</xdr:rowOff>
    </xdr:from>
    <xdr:to>
      <xdr:col>18</xdr:col>
      <xdr:colOff>261937</xdr:colOff>
      <xdr:row>387</xdr:row>
      <xdr:rowOff>19050</xdr:rowOff>
    </xdr:to>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10</xdr:col>
      <xdr:colOff>566737</xdr:colOff>
      <xdr:row>391</xdr:row>
      <xdr:rowOff>57150</xdr:rowOff>
    </xdr:from>
    <xdr:to>
      <xdr:col>18</xdr:col>
      <xdr:colOff>261937</xdr:colOff>
      <xdr:row>403</xdr:row>
      <xdr:rowOff>19050</xdr:rowOff>
    </xdr:to>
    <xdr:graphicFrame macro="">
      <xdr:nvGraphicFramePr>
        <xdr:cNvPr id="28" name="Chart 27">
          <a:extLst>
            <a:ext uri="{FF2B5EF4-FFF2-40B4-BE49-F238E27FC236}">
              <a16:creationId xmlns:a16="http://schemas.microsoft.com/office/drawing/2014/main" id="{00000000-0008-0000-03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10</xdr:col>
      <xdr:colOff>566737</xdr:colOff>
      <xdr:row>407</xdr:row>
      <xdr:rowOff>57150</xdr:rowOff>
    </xdr:from>
    <xdr:to>
      <xdr:col>18</xdr:col>
      <xdr:colOff>261937</xdr:colOff>
      <xdr:row>419</xdr:row>
      <xdr:rowOff>19050</xdr:rowOff>
    </xdr:to>
    <xdr:graphicFrame macro="">
      <xdr:nvGraphicFramePr>
        <xdr:cNvPr id="29" name="Chart 28">
          <a:extLst>
            <a:ext uri="{FF2B5EF4-FFF2-40B4-BE49-F238E27FC236}">
              <a16:creationId xmlns:a16="http://schemas.microsoft.com/office/drawing/2014/main" id="{00000000-0008-0000-0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10</xdr:col>
      <xdr:colOff>576262</xdr:colOff>
      <xdr:row>421</xdr:row>
      <xdr:rowOff>123825</xdr:rowOff>
    </xdr:from>
    <xdr:to>
      <xdr:col>18</xdr:col>
      <xdr:colOff>271462</xdr:colOff>
      <xdr:row>433</xdr:row>
      <xdr:rowOff>104775</xdr:rowOff>
    </xdr:to>
    <xdr:graphicFrame macro="">
      <xdr:nvGraphicFramePr>
        <xdr:cNvPr id="30" name="Chart 29">
          <a:extLst>
            <a:ext uri="{FF2B5EF4-FFF2-40B4-BE49-F238E27FC236}">
              <a16:creationId xmlns:a16="http://schemas.microsoft.com/office/drawing/2014/main" id="{00000000-0008-0000-03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10</xdr:col>
      <xdr:colOff>576262</xdr:colOff>
      <xdr:row>437</xdr:row>
      <xdr:rowOff>123825</xdr:rowOff>
    </xdr:from>
    <xdr:to>
      <xdr:col>18</xdr:col>
      <xdr:colOff>271462</xdr:colOff>
      <xdr:row>449</xdr:row>
      <xdr:rowOff>104775</xdr:rowOff>
    </xdr:to>
    <xdr:graphicFrame macro="">
      <xdr:nvGraphicFramePr>
        <xdr:cNvPr id="31" name="Chart 30">
          <a:extLst>
            <a:ext uri="{FF2B5EF4-FFF2-40B4-BE49-F238E27FC236}">
              <a16:creationId xmlns:a16="http://schemas.microsoft.com/office/drawing/2014/main" id="{00000000-0008-0000-03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461962</xdr:colOff>
      <xdr:row>6</xdr:row>
      <xdr:rowOff>0</xdr:rowOff>
    </xdr:from>
    <xdr:to>
      <xdr:col>20</xdr:col>
      <xdr:colOff>157162</xdr:colOff>
      <xdr:row>20</xdr:row>
      <xdr:rowOff>76200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461962</xdr:colOff>
      <xdr:row>19</xdr:row>
      <xdr:rowOff>19050</xdr:rowOff>
    </xdr:from>
    <xdr:to>
      <xdr:col>20</xdr:col>
      <xdr:colOff>157162</xdr:colOff>
      <xdr:row>33</xdr:row>
      <xdr:rowOff>95250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109537</xdr:colOff>
      <xdr:row>0</xdr:row>
      <xdr:rowOff>95250</xdr:rowOff>
    </xdr:from>
    <xdr:to>
      <xdr:col>12</xdr:col>
      <xdr:colOff>414337</xdr:colOff>
      <xdr:row>14</xdr:row>
      <xdr:rowOff>171450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14287</xdr:colOff>
      <xdr:row>30</xdr:row>
      <xdr:rowOff>133350</xdr:rowOff>
    </xdr:from>
    <xdr:to>
      <xdr:col>12</xdr:col>
      <xdr:colOff>319087</xdr:colOff>
      <xdr:row>45</xdr:row>
      <xdr:rowOff>19050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114300</xdr:colOff>
      <xdr:row>15</xdr:row>
      <xdr:rowOff>109537</xdr:rowOff>
    </xdr:from>
    <xdr:to>
      <xdr:col>12</xdr:col>
      <xdr:colOff>419100</xdr:colOff>
      <xdr:row>29</xdr:row>
      <xdr:rowOff>185737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400050</xdr:colOff>
      <xdr:row>9</xdr:row>
      <xdr:rowOff>176212</xdr:rowOff>
    </xdr:from>
    <xdr:to>
      <xdr:col>9</xdr:col>
      <xdr:colOff>95250</xdr:colOff>
      <xdr:row>24</xdr:row>
      <xdr:rowOff>61912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414337</xdr:colOff>
      <xdr:row>10</xdr:row>
      <xdr:rowOff>71437</xdr:rowOff>
    </xdr:from>
    <xdr:to>
      <xdr:col>18</xdr:col>
      <xdr:colOff>109537</xdr:colOff>
      <xdr:row>24</xdr:row>
      <xdr:rowOff>147637</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495300</xdr:colOff>
      <xdr:row>32</xdr:row>
      <xdr:rowOff>109537</xdr:rowOff>
    </xdr:from>
    <xdr:to>
      <xdr:col>8</xdr:col>
      <xdr:colOff>190500</xdr:colOff>
      <xdr:row>46</xdr:row>
      <xdr:rowOff>185737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290512</xdr:colOff>
      <xdr:row>33</xdr:row>
      <xdr:rowOff>33337</xdr:rowOff>
    </xdr:from>
    <xdr:to>
      <xdr:col>16</xdr:col>
      <xdr:colOff>595312</xdr:colOff>
      <xdr:row>47</xdr:row>
      <xdr:rowOff>109537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100012</xdr:colOff>
      <xdr:row>58</xdr:row>
      <xdr:rowOff>4762</xdr:rowOff>
    </xdr:from>
    <xdr:to>
      <xdr:col>8</xdr:col>
      <xdr:colOff>404812</xdr:colOff>
      <xdr:row>72</xdr:row>
      <xdr:rowOff>80962</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481012</xdr:colOff>
      <xdr:row>56</xdr:row>
      <xdr:rowOff>100012</xdr:rowOff>
    </xdr:from>
    <xdr:to>
      <xdr:col>17</xdr:col>
      <xdr:colOff>71437</xdr:colOff>
      <xdr:row>70</xdr:row>
      <xdr:rowOff>176212</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176212</xdr:colOff>
      <xdr:row>83</xdr:row>
      <xdr:rowOff>4762</xdr:rowOff>
    </xdr:from>
    <xdr:to>
      <xdr:col>9</xdr:col>
      <xdr:colOff>481012</xdr:colOff>
      <xdr:row>97</xdr:row>
      <xdr:rowOff>80962</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385762</xdr:colOff>
      <xdr:row>82</xdr:row>
      <xdr:rowOff>14287</xdr:rowOff>
    </xdr:from>
    <xdr:to>
      <xdr:col>17</xdr:col>
      <xdr:colOff>585787</xdr:colOff>
      <xdr:row>96</xdr:row>
      <xdr:rowOff>90487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33337</xdr:colOff>
      <xdr:row>105</xdr:row>
      <xdr:rowOff>166687</xdr:rowOff>
    </xdr:from>
    <xdr:to>
      <xdr:col>8</xdr:col>
      <xdr:colOff>338137</xdr:colOff>
      <xdr:row>120</xdr:row>
      <xdr:rowOff>52387</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204787</xdr:colOff>
      <xdr:row>106</xdr:row>
      <xdr:rowOff>4762</xdr:rowOff>
    </xdr:from>
    <xdr:to>
      <xdr:col>17</xdr:col>
      <xdr:colOff>404812</xdr:colOff>
      <xdr:row>120</xdr:row>
      <xdr:rowOff>80962</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52387</xdr:colOff>
      <xdr:row>129</xdr:row>
      <xdr:rowOff>80962</xdr:rowOff>
    </xdr:from>
    <xdr:to>
      <xdr:col>8</xdr:col>
      <xdr:colOff>357187</xdr:colOff>
      <xdr:row>143</xdr:row>
      <xdr:rowOff>157162</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547687</xdr:colOff>
      <xdr:row>129</xdr:row>
      <xdr:rowOff>71437</xdr:rowOff>
    </xdr:from>
    <xdr:to>
      <xdr:col>17</xdr:col>
      <xdr:colOff>138112</xdr:colOff>
      <xdr:row>143</xdr:row>
      <xdr:rowOff>147637</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438150</xdr:colOff>
      <xdr:row>16</xdr:row>
      <xdr:rowOff>133350</xdr:rowOff>
    </xdr:from>
    <xdr:to>
      <xdr:col>12</xdr:col>
      <xdr:colOff>123825</xdr:colOff>
      <xdr:row>31</xdr:row>
      <xdr:rowOff>19050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157162</xdr:colOff>
      <xdr:row>8</xdr:row>
      <xdr:rowOff>138112</xdr:rowOff>
    </xdr:from>
    <xdr:to>
      <xdr:col>8</xdr:col>
      <xdr:colOff>461962</xdr:colOff>
      <xdr:row>23</xdr:row>
      <xdr:rowOff>23812</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338137</xdr:colOff>
      <xdr:row>9</xdr:row>
      <xdr:rowOff>33337</xdr:rowOff>
    </xdr:from>
    <xdr:to>
      <xdr:col>17</xdr:col>
      <xdr:colOff>33337</xdr:colOff>
      <xdr:row>23</xdr:row>
      <xdr:rowOff>109537</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285750</xdr:colOff>
      <xdr:row>32</xdr:row>
      <xdr:rowOff>147637</xdr:rowOff>
    </xdr:from>
    <xdr:to>
      <xdr:col>8</xdr:col>
      <xdr:colOff>590550</xdr:colOff>
      <xdr:row>47</xdr:row>
      <xdr:rowOff>33337</xdr:rowOff>
    </xdr:to>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366712</xdr:colOff>
      <xdr:row>35</xdr:row>
      <xdr:rowOff>176212</xdr:rowOff>
    </xdr:from>
    <xdr:to>
      <xdr:col>20</xdr:col>
      <xdr:colOff>61912</xdr:colOff>
      <xdr:row>50</xdr:row>
      <xdr:rowOff>61912</xdr:rowOff>
    </xdr:to>
    <xdr:graphicFrame macro="">
      <xdr:nvGraphicFramePr>
        <xdr:cNvPr id="5" name="Chart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61912</xdr:colOff>
      <xdr:row>59</xdr:row>
      <xdr:rowOff>119062</xdr:rowOff>
    </xdr:from>
    <xdr:to>
      <xdr:col>9</xdr:col>
      <xdr:colOff>366712</xdr:colOff>
      <xdr:row>74</xdr:row>
      <xdr:rowOff>4762</xdr:rowOff>
    </xdr:to>
    <xdr:graphicFrame macro="">
      <xdr:nvGraphicFramePr>
        <xdr:cNvPr id="6" name="Chart 5">
          <a:extLst>
            <a:ext uri="{FF2B5EF4-FFF2-40B4-BE49-F238E27FC236}">
              <a16:creationId xmlns:a16="http://schemas.microsoft.com/office/drawing/2014/main" id="{00000000-0008-0000-0E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290512</xdr:colOff>
      <xdr:row>61</xdr:row>
      <xdr:rowOff>52387</xdr:rowOff>
    </xdr:from>
    <xdr:to>
      <xdr:col>21</xdr:col>
      <xdr:colOff>595312</xdr:colOff>
      <xdr:row>75</xdr:row>
      <xdr:rowOff>128587</xdr:rowOff>
    </xdr:to>
    <xdr:graphicFrame macro="">
      <xdr:nvGraphicFramePr>
        <xdr:cNvPr id="7" name="Chart 6">
          <a:extLst>
            <a:ext uri="{FF2B5EF4-FFF2-40B4-BE49-F238E27FC236}">
              <a16:creationId xmlns:a16="http://schemas.microsoft.com/office/drawing/2014/main" id="{00000000-0008-0000-0E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442912</xdr:colOff>
      <xdr:row>89</xdr:row>
      <xdr:rowOff>4762</xdr:rowOff>
    </xdr:from>
    <xdr:to>
      <xdr:col>9</xdr:col>
      <xdr:colOff>138112</xdr:colOff>
      <xdr:row>103</xdr:row>
      <xdr:rowOff>80962</xdr:rowOff>
    </xdr:to>
    <xdr:graphicFrame macro="">
      <xdr:nvGraphicFramePr>
        <xdr:cNvPr id="8" name="Chart 7">
          <a:extLst>
            <a:ext uri="{FF2B5EF4-FFF2-40B4-BE49-F238E27FC236}">
              <a16:creationId xmlns:a16="http://schemas.microsoft.com/office/drawing/2014/main" id="{00000000-0008-0000-0E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138112</xdr:colOff>
      <xdr:row>88</xdr:row>
      <xdr:rowOff>14287</xdr:rowOff>
    </xdr:from>
    <xdr:to>
      <xdr:col>18</xdr:col>
      <xdr:colOff>442912</xdr:colOff>
      <xdr:row>102</xdr:row>
      <xdr:rowOff>90487</xdr:rowOff>
    </xdr:to>
    <xdr:graphicFrame macro="">
      <xdr:nvGraphicFramePr>
        <xdr:cNvPr id="9" name="Chart 8">
          <a:extLst>
            <a:ext uri="{FF2B5EF4-FFF2-40B4-BE49-F238E27FC236}">
              <a16:creationId xmlns:a16="http://schemas.microsoft.com/office/drawing/2014/main" id="{00000000-0008-0000-0E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90487</xdr:colOff>
      <xdr:row>115</xdr:row>
      <xdr:rowOff>61912</xdr:rowOff>
    </xdr:from>
    <xdr:to>
      <xdr:col>9</xdr:col>
      <xdr:colOff>395287</xdr:colOff>
      <xdr:row>129</xdr:row>
      <xdr:rowOff>138112</xdr:rowOff>
    </xdr:to>
    <xdr:graphicFrame macro="">
      <xdr:nvGraphicFramePr>
        <xdr:cNvPr id="10" name="Chart 9">
          <a:extLst>
            <a:ext uri="{FF2B5EF4-FFF2-40B4-BE49-F238E27FC236}">
              <a16:creationId xmlns:a16="http://schemas.microsoft.com/office/drawing/2014/main" id="{00000000-0008-0000-0E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357187</xdr:colOff>
      <xdr:row>115</xdr:row>
      <xdr:rowOff>4762</xdr:rowOff>
    </xdr:from>
    <xdr:to>
      <xdr:col>19</xdr:col>
      <xdr:colOff>52387</xdr:colOff>
      <xdr:row>129</xdr:row>
      <xdr:rowOff>80962</xdr:rowOff>
    </xdr:to>
    <xdr:graphicFrame macro="">
      <xdr:nvGraphicFramePr>
        <xdr:cNvPr id="11" name="Chart 10">
          <a:extLst>
            <a:ext uri="{FF2B5EF4-FFF2-40B4-BE49-F238E27FC236}">
              <a16:creationId xmlns:a16="http://schemas.microsoft.com/office/drawing/2014/main" id="{00000000-0008-0000-0E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14287</xdr:colOff>
      <xdr:row>138</xdr:row>
      <xdr:rowOff>71437</xdr:rowOff>
    </xdr:from>
    <xdr:to>
      <xdr:col>8</xdr:col>
      <xdr:colOff>319087</xdr:colOff>
      <xdr:row>152</xdr:row>
      <xdr:rowOff>147637</xdr:rowOff>
    </xdr:to>
    <xdr:graphicFrame macro="">
      <xdr:nvGraphicFramePr>
        <xdr:cNvPr id="12" name="Chart 11">
          <a:extLst>
            <a:ext uri="{FF2B5EF4-FFF2-40B4-BE49-F238E27FC236}">
              <a16:creationId xmlns:a16="http://schemas.microsoft.com/office/drawing/2014/main" id="{00000000-0008-0000-0E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138112</xdr:colOff>
      <xdr:row>138</xdr:row>
      <xdr:rowOff>109537</xdr:rowOff>
    </xdr:from>
    <xdr:to>
      <xdr:col>17</xdr:col>
      <xdr:colOff>442912</xdr:colOff>
      <xdr:row>152</xdr:row>
      <xdr:rowOff>185737</xdr:rowOff>
    </xdr:to>
    <xdr:graphicFrame macro="">
      <xdr:nvGraphicFramePr>
        <xdr:cNvPr id="13" name="Chart 12">
          <a:extLst>
            <a:ext uri="{FF2B5EF4-FFF2-40B4-BE49-F238E27FC236}">
              <a16:creationId xmlns:a16="http://schemas.microsoft.com/office/drawing/2014/main" id="{00000000-0008-0000-0E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857250</xdr:colOff>
      <xdr:row>39</xdr:row>
      <xdr:rowOff>28575</xdr:rowOff>
    </xdr:from>
    <xdr:to>
      <xdr:col>2</xdr:col>
      <xdr:colOff>514350</xdr:colOff>
      <xdr:row>42</xdr:row>
      <xdr:rowOff>161925</xdr:rowOff>
    </xdr:to>
    <xdr:sp macro="[0]!Rectangle9_Click" textlink="">
      <xdr:nvSpPr>
        <xdr:cNvPr id="2" name="Rectangle 1">
          <a:extLst>
            <a:ext uri="{FF2B5EF4-FFF2-40B4-BE49-F238E27FC236}">
              <a16:creationId xmlns:a16="http://schemas.microsoft.com/office/drawing/2014/main" id="{00000000-0008-0000-1A00-000002000000}"/>
            </a:ext>
          </a:extLst>
        </xdr:cNvPr>
        <xdr:cNvSpPr/>
      </xdr:nvSpPr>
      <xdr:spPr>
        <a:xfrm>
          <a:off x="1466850" y="7458075"/>
          <a:ext cx="1476375" cy="7048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342900</xdr:colOff>
      <xdr:row>1</xdr:row>
      <xdr:rowOff>90486</xdr:rowOff>
    </xdr:from>
    <xdr:to>
      <xdr:col>13</xdr:col>
      <xdr:colOff>419100</xdr:colOff>
      <xdr:row>17</xdr:row>
      <xdr:rowOff>123825</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33337</xdr:colOff>
      <xdr:row>30</xdr:row>
      <xdr:rowOff>109537</xdr:rowOff>
    </xdr:from>
    <xdr:to>
      <xdr:col>13</xdr:col>
      <xdr:colOff>485775</xdr:colOff>
      <xdr:row>45</xdr:row>
      <xdr:rowOff>123825</xdr:rowOff>
    </xdr:to>
    <xdr:graphicFrame macro="">
      <xdr:nvGraphicFramePr>
        <xdr:cNvPr id="3" name="Chart 2">
          <a:extLst>
            <a:ext uri="{FF2B5EF4-FFF2-40B4-BE49-F238E27FC236}">
              <a16:creationId xmlns:a16="http://schemas.microsoft.com/office/drawing/2014/main" id="{00000000-0008-0000-1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323850</xdr:colOff>
      <xdr:row>52</xdr:row>
      <xdr:rowOff>147637</xdr:rowOff>
    </xdr:from>
    <xdr:to>
      <xdr:col>14</xdr:col>
      <xdr:colOff>0</xdr:colOff>
      <xdr:row>67</xdr:row>
      <xdr:rowOff>33337</xdr:rowOff>
    </xdr:to>
    <xdr:graphicFrame macro="">
      <xdr:nvGraphicFramePr>
        <xdr:cNvPr id="6" name="Chart 5">
          <a:extLst>
            <a:ext uri="{FF2B5EF4-FFF2-40B4-BE49-F238E27FC236}">
              <a16:creationId xmlns:a16="http://schemas.microsoft.com/office/drawing/2014/main" id="{00000000-0008-0000-1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423862</xdr:colOff>
      <xdr:row>71</xdr:row>
      <xdr:rowOff>100012</xdr:rowOff>
    </xdr:from>
    <xdr:to>
      <xdr:col>14</xdr:col>
      <xdr:colOff>100012</xdr:colOff>
      <xdr:row>85</xdr:row>
      <xdr:rowOff>176212</xdr:rowOff>
    </xdr:to>
    <xdr:graphicFrame macro="">
      <xdr:nvGraphicFramePr>
        <xdr:cNvPr id="7" name="Chart 6">
          <a:extLst>
            <a:ext uri="{FF2B5EF4-FFF2-40B4-BE49-F238E27FC236}">
              <a16:creationId xmlns:a16="http://schemas.microsoft.com/office/drawing/2014/main" id="{00000000-0008-0000-1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600075</xdr:colOff>
      <xdr:row>20</xdr:row>
      <xdr:rowOff>1</xdr:rowOff>
    </xdr:from>
    <xdr:to>
      <xdr:col>12</xdr:col>
      <xdr:colOff>295275</xdr:colOff>
      <xdr:row>30</xdr:row>
      <xdr:rowOff>57151</xdr:rowOff>
    </xdr:to>
    <xdr:graphicFrame macro="">
      <xdr:nvGraphicFramePr>
        <xdr:cNvPr id="8" name="Chart 7">
          <a:extLst>
            <a:ext uri="{FF2B5EF4-FFF2-40B4-BE49-F238E27FC236}">
              <a16:creationId xmlns:a16="http://schemas.microsoft.com/office/drawing/2014/main" id="{00000000-0008-0000-1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19050</xdr:colOff>
      <xdr:row>5</xdr:row>
      <xdr:rowOff>104775</xdr:rowOff>
    </xdr:from>
    <xdr:to>
      <xdr:col>10</xdr:col>
      <xdr:colOff>600075</xdr:colOff>
      <xdr:row>7</xdr:row>
      <xdr:rowOff>152400</xdr:rowOff>
    </xdr:to>
    <xdr:cxnSp macro="">
      <xdr:nvCxnSpPr>
        <xdr:cNvPr id="3" name="Straight Arrow Connector 2">
          <a:extLst>
            <a:ext uri="{FF2B5EF4-FFF2-40B4-BE49-F238E27FC236}">
              <a16:creationId xmlns:a16="http://schemas.microsoft.com/office/drawing/2014/main" id="{00000000-0008-0000-1C00-000003000000}"/>
            </a:ext>
          </a:extLst>
        </xdr:cNvPr>
        <xdr:cNvCxnSpPr/>
      </xdr:nvCxnSpPr>
      <xdr:spPr>
        <a:xfrm>
          <a:off x="7115175" y="1085850"/>
          <a:ext cx="581025" cy="4476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7</xdr:row>
      <xdr:rowOff>114300</xdr:rowOff>
    </xdr:from>
    <xdr:to>
      <xdr:col>11</xdr:col>
      <xdr:colOff>0</xdr:colOff>
      <xdr:row>7</xdr:row>
      <xdr:rowOff>133350</xdr:rowOff>
    </xdr:to>
    <xdr:cxnSp macro="">
      <xdr:nvCxnSpPr>
        <xdr:cNvPr id="4" name="Straight Arrow Connector 3">
          <a:extLst>
            <a:ext uri="{FF2B5EF4-FFF2-40B4-BE49-F238E27FC236}">
              <a16:creationId xmlns:a16="http://schemas.microsoft.com/office/drawing/2014/main" id="{00000000-0008-0000-1C00-000004000000}"/>
            </a:ext>
          </a:extLst>
        </xdr:cNvPr>
        <xdr:cNvCxnSpPr/>
      </xdr:nvCxnSpPr>
      <xdr:spPr>
        <a:xfrm>
          <a:off x="7105650" y="1495425"/>
          <a:ext cx="600075" cy="19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7</xdr:row>
      <xdr:rowOff>114300</xdr:rowOff>
    </xdr:from>
    <xdr:to>
      <xdr:col>10</xdr:col>
      <xdr:colOff>571500</xdr:colOff>
      <xdr:row>9</xdr:row>
      <xdr:rowOff>114300</xdr:rowOff>
    </xdr:to>
    <xdr:cxnSp macro="">
      <xdr:nvCxnSpPr>
        <xdr:cNvPr id="9" name="Straight Arrow Connector 8">
          <a:extLst>
            <a:ext uri="{FF2B5EF4-FFF2-40B4-BE49-F238E27FC236}">
              <a16:creationId xmlns:a16="http://schemas.microsoft.com/office/drawing/2014/main" id="{00000000-0008-0000-1C00-000009000000}"/>
            </a:ext>
          </a:extLst>
        </xdr:cNvPr>
        <xdr:cNvCxnSpPr/>
      </xdr:nvCxnSpPr>
      <xdr:spPr>
        <a:xfrm flipV="1">
          <a:off x="7086600" y="1495425"/>
          <a:ext cx="58102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590550</xdr:colOff>
      <xdr:row>7</xdr:row>
      <xdr:rowOff>114300</xdr:rowOff>
    </xdr:from>
    <xdr:to>
      <xdr:col>11</xdr:col>
      <xdr:colOff>9525</xdr:colOff>
      <xdr:row>11</xdr:row>
      <xdr:rowOff>95250</xdr:rowOff>
    </xdr:to>
    <xdr:cxnSp macro="">
      <xdr:nvCxnSpPr>
        <xdr:cNvPr id="12" name="Straight Arrow Connector 11">
          <a:extLst>
            <a:ext uri="{FF2B5EF4-FFF2-40B4-BE49-F238E27FC236}">
              <a16:creationId xmlns:a16="http://schemas.microsoft.com/office/drawing/2014/main" id="{00000000-0008-0000-1C00-00000C000000}"/>
            </a:ext>
          </a:extLst>
        </xdr:cNvPr>
        <xdr:cNvCxnSpPr/>
      </xdr:nvCxnSpPr>
      <xdr:spPr>
        <a:xfrm flipV="1">
          <a:off x="4638675" y="1495425"/>
          <a:ext cx="3076575" cy="781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29984</xdr:colOff>
      <xdr:row>4</xdr:row>
      <xdr:rowOff>9525</xdr:rowOff>
    </xdr:from>
    <xdr:to>
      <xdr:col>0</xdr:col>
      <xdr:colOff>2390775</xdr:colOff>
      <xdr:row>4</xdr:row>
      <xdr:rowOff>2771775</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29984" y="771525"/>
          <a:ext cx="2360791" cy="2762250"/>
        </a:xfrm>
        <a:prstGeom prst="rect">
          <a:avLst/>
        </a:prstGeom>
      </xdr:spPr>
    </xdr:pic>
    <xdr:clientData/>
  </xdr:twoCellAnchor>
  <xdr:twoCellAnchor editAs="oneCell">
    <xdr:from>
      <xdr:col>7</xdr:col>
      <xdr:colOff>57150</xdr:colOff>
      <xdr:row>19</xdr:row>
      <xdr:rowOff>95250</xdr:rowOff>
    </xdr:from>
    <xdr:to>
      <xdr:col>7</xdr:col>
      <xdr:colOff>1228590</xdr:colOff>
      <xdr:row>19</xdr:row>
      <xdr:rowOff>406252</xdr:rowOff>
    </xdr:to>
    <xdr:pic>
      <xdr:nvPicPr>
        <xdr:cNvPr id="10" name="Picture 9">
          <a:extLst>
            <a:ext uri="{FF2B5EF4-FFF2-40B4-BE49-F238E27FC236}">
              <a16:creationId xmlns:a16="http://schemas.microsoft.com/office/drawing/2014/main" id="{00000000-0008-0000-1E00-00000A000000}"/>
            </a:ext>
          </a:extLst>
        </xdr:cNvPr>
        <xdr:cNvPicPr>
          <a:picLocks noChangeAspect="1"/>
        </xdr:cNvPicPr>
      </xdr:nvPicPr>
      <xdr:blipFill>
        <a:blip xmlns:r="http://schemas.openxmlformats.org/officeDocument/2006/relationships" r:embed="rId2"/>
        <a:stretch>
          <a:fillRect/>
        </a:stretch>
      </xdr:blipFill>
      <xdr:spPr>
        <a:xfrm>
          <a:off x="7734300" y="19840575"/>
          <a:ext cx="1171440" cy="311002"/>
        </a:xfrm>
        <a:prstGeom prst="rect">
          <a:avLst/>
        </a:prstGeom>
      </xdr:spPr>
    </xdr:pic>
    <xdr:clientData/>
  </xdr:twoCellAnchor>
  <xdr:twoCellAnchor editAs="oneCell">
    <xdr:from>
      <xdr:col>7</xdr:col>
      <xdr:colOff>95250</xdr:colOff>
      <xdr:row>21</xdr:row>
      <xdr:rowOff>76200</xdr:rowOff>
    </xdr:from>
    <xdr:to>
      <xdr:col>7</xdr:col>
      <xdr:colOff>1190488</xdr:colOff>
      <xdr:row>21</xdr:row>
      <xdr:rowOff>371438</xdr:rowOff>
    </xdr:to>
    <xdr:pic>
      <xdr:nvPicPr>
        <xdr:cNvPr id="7" name="Picture 6">
          <a:extLst>
            <a:ext uri="{FF2B5EF4-FFF2-40B4-BE49-F238E27FC236}">
              <a16:creationId xmlns:a16="http://schemas.microsoft.com/office/drawing/2014/main" id="{00000000-0008-0000-1E00-000007000000}"/>
            </a:ext>
          </a:extLst>
        </xdr:cNvPr>
        <xdr:cNvPicPr>
          <a:picLocks noChangeAspect="1"/>
        </xdr:cNvPicPr>
      </xdr:nvPicPr>
      <xdr:blipFill>
        <a:blip xmlns:r="http://schemas.openxmlformats.org/officeDocument/2006/relationships" r:embed="rId3"/>
        <a:stretch>
          <a:fillRect/>
        </a:stretch>
      </xdr:blipFill>
      <xdr:spPr>
        <a:xfrm>
          <a:off x="7772400" y="20478750"/>
          <a:ext cx="1095238" cy="295238"/>
        </a:xfrm>
        <a:prstGeom prst="rect">
          <a:avLst/>
        </a:prstGeom>
      </xdr:spPr>
    </xdr:pic>
    <xdr:clientData/>
  </xdr:twoCellAnchor>
  <xdr:twoCellAnchor editAs="oneCell">
    <xdr:from>
      <xdr:col>7</xdr:col>
      <xdr:colOff>209549</xdr:colOff>
      <xdr:row>33</xdr:row>
      <xdr:rowOff>76200</xdr:rowOff>
    </xdr:from>
    <xdr:to>
      <xdr:col>7</xdr:col>
      <xdr:colOff>1115568</xdr:colOff>
      <xdr:row>33</xdr:row>
      <xdr:rowOff>404467</xdr:rowOff>
    </xdr:to>
    <xdr:pic>
      <xdr:nvPicPr>
        <xdr:cNvPr id="8" name="Picture 7">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4"/>
        <a:stretch>
          <a:fillRect/>
        </a:stretch>
      </xdr:blipFill>
      <xdr:spPr>
        <a:xfrm>
          <a:off x="7886699" y="23002875"/>
          <a:ext cx="906019" cy="328267"/>
        </a:xfrm>
        <a:prstGeom prst="rect">
          <a:avLst/>
        </a:prstGeom>
      </xdr:spPr>
    </xdr:pic>
    <xdr:clientData/>
  </xdr:twoCellAnchor>
  <xdr:twoCellAnchor editAs="oneCell">
    <xdr:from>
      <xdr:col>7</xdr:col>
      <xdr:colOff>284693</xdr:colOff>
      <xdr:row>35</xdr:row>
      <xdr:rowOff>66676</xdr:rowOff>
    </xdr:from>
    <xdr:to>
      <xdr:col>7</xdr:col>
      <xdr:colOff>1047750</xdr:colOff>
      <xdr:row>35</xdr:row>
      <xdr:rowOff>361950</xdr:rowOff>
    </xdr:to>
    <xdr:pic>
      <xdr:nvPicPr>
        <xdr:cNvPr id="12" name="Picture 11">
          <a:extLst>
            <a:ext uri="{FF2B5EF4-FFF2-40B4-BE49-F238E27FC236}">
              <a16:creationId xmlns:a16="http://schemas.microsoft.com/office/drawing/2014/main" id="{00000000-0008-0000-1E00-00000C000000}"/>
            </a:ext>
          </a:extLst>
        </xdr:cNvPr>
        <xdr:cNvPicPr>
          <a:picLocks noChangeAspect="1"/>
        </xdr:cNvPicPr>
      </xdr:nvPicPr>
      <xdr:blipFill>
        <a:blip xmlns:r="http://schemas.openxmlformats.org/officeDocument/2006/relationships" r:embed="rId5"/>
        <a:stretch>
          <a:fillRect/>
        </a:stretch>
      </xdr:blipFill>
      <xdr:spPr>
        <a:xfrm>
          <a:off x="7961843" y="23650576"/>
          <a:ext cx="763057" cy="295274"/>
        </a:xfrm>
        <a:prstGeom prst="rect">
          <a:avLst/>
        </a:prstGeom>
      </xdr:spPr>
    </xdr:pic>
    <xdr:clientData/>
  </xdr:twoCellAnchor>
  <xdr:twoCellAnchor editAs="oneCell">
    <xdr:from>
      <xdr:col>0</xdr:col>
      <xdr:colOff>272359</xdr:colOff>
      <xdr:row>4</xdr:row>
      <xdr:rowOff>209550</xdr:rowOff>
    </xdr:from>
    <xdr:to>
      <xdr:col>0</xdr:col>
      <xdr:colOff>2199829</xdr:colOff>
      <xdr:row>4</xdr:row>
      <xdr:rowOff>2666431</xdr:rowOff>
    </xdr:to>
    <xdr:pic>
      <xdr:nvPicPr>
        <xdr:cNvPr id="9" name="Picture 8">
          <a:extLst>
            <a:ext uri="{FF2B5EF4-FFF2-40B4-BE49-F238E27FC236}">
              <a16:creationId xmlns:a16="http://schemas.microsoft.com/office/drawing/2014/main" id="{00000000-0008-0000-1E00-000009000000}"/>
            </a:ext>
          </a:extLst>
        </xdr:cNvPr>
        <xdr:cNvPicPr>
          <a:picLocks noChangeAspect="1"/>
        </xdr:cNvPicPr>
      </xdr:nvPicPr>
      <xdr:blipFill>
        <a:blip xmlns:r="http://schemas.openxmlformats.org/officeDocument/2006/relationships" r:embed="rId6"/>
        <a:stretch>
          <a:fillRect/>
        </a:stretch>
      </xdr:blipFill>
      <xdr:spPr>
        <a:xfrm>
          <a:off x="272359" y="971550"/>
          <a:ext cx="1927470" cy="2456881"/>
        </a:xfrm>
        <a:prstGeom prst="rect">
          <a:avLst/>
        </a:prstGeom>
      </xdr:spPr>
    </xdr:pic>
    <xdr:clientData/>
  </xdr:twoCellAnchor>
  <xdr:twoCellAnchor editAs="oneCell">
    <xdr:from>
      <xdr:col>0</xdr:col>
      <xdr:colOff>578606</xdr:colOff>
      <xdr:row>5</xdr:row>
      <xdr:rowOff>47625</xdr:rowOff>
    </xdr:from>
    <xdr:to>
      <xdr:col>0</xdr:col>
      <xdr:colOff>1781175</xdr:colOff>
      <xdr:row>5</xdr:row>
      <xdr:rowOff>2843703</xdr:rowOff>
    </xdr:to>
    <xdr:pic>
      <xdr:nvPicPr>
        <xdr:cNvPr id="14" name="Picture 13">
          <a:extLst>
            <a:ext uri="{FF2B5EF4-FFF2-40B4-BE49-F238E27FC236}">
              <a16:creationId xmlns:a16="http://schemas.microsoft.com/office/drawing/2014/main" id="{00000000-0008-0000-1E00-00000E000000}"/>
            </a:ext>
          </a:extLst>
        </xdr:cNvPr>
        <xdr:cNvPicPr>
          <a:picLocks noChangeAspect="1"/>
        </xdr:cNvPicPr>
      </xdr:nvPicPr>
      <xdr:blipFill>
        <a:blip xmlns:r="http://schemas.openxmlformats.org/officeDocument/2006/relationships" r:embed="rId7"/>
        <a:stretch>
          <a:fillRect/>
        </a:stretch>
      </xdr:blipFill>
      <xdr:spPr>
        <a:xfrm>
          <a:off x="578606" y="3629025"/>
          <a:ext cx="1202569" cy="2796078"/>
        </a:xfrm>
        <a:prstGeom prst="rect">
          <a:avLst/>
        </a:prstGeom>
      </xdr:spPr>
    </xdr:pic>
    <xdr:clientData/>
  </xdr:twoCellAnchor>
  <xdr:twoCellAnchor editAs="oneCell">
    <xdr:from>
      <xdr:col>0</xdr:col>
      <xdr:colOff>396078</xdr:colOff>
      <xdr:row>6</xdr:row>
      <xdr:rowOff>161925</xdr:rowOff>
    </xdr:from>
    <xdr:to>
      <xdr:col>0</xdr:col>
      <xdr:colOff>1904654</xdr:colOff>
      <xdr:row>6</xdr:row>
      <xdr:rowOff>3256838</xdr:rowOff>
    </xdr:to>
    <xdr:pic>
      <xdr:nvPicPr>
        <xdr:cNvPr id="16" name="Picture 15">
          <a:extLst>
            <a:ext uri="{FF2B5EF4-FFF2-40B4-BE49-F238E27FC236}">
              <a16:creationId xmlns:a16="http://schemas.microsoft.com/office/drawing/2014/main" id="{00000000-0008-0000-1E00-000010000000}"/>
            </a:ext>
          </a:extLst>
        </xdr:cNvPr>
        <xdr:cNvPicPr>
          <a:picLocks noChangeAspect="1"/>
        </xdr:cNvPicPr>
      </xdr:nvPicPr>
      <xdr:blipFill>
        <a:blip xmlns:r="http://schemas.openxmlformats.org/officeDocument/2006/relationships" r:embed="rId8"/>
        <a:stretch>
          <a:fillRect/>
        </a:stretch>
      </xdr:blipFill>
      <xdr:spPr>
        <a:xfrm>
          <a:off x="396078" y="6638925"/>
          <a:ext cx="1508576" cy="3094913"/>
        </a:xfrm>
        <a:prstGeom prst="rect">
          <a:avLst/>
        </a:prstGeom>
      </xdr:spPr>
    </xdr:pic>
    <xdr:clientData/>
  </xdr:twoCellAnchor>
  <xdr:twoCellAnchor editAs="oneCell">
    <xdr:from>
      <xdr:col>0</xdr:col>
      <xdr:colOff>28575</xdr:colOff>
      <xdr:row>7</xdr:row>
      <xdr:rowOff>672703</xdr:rowOff>
    </xdr:from>
    <xdr:to>
      <xdr:col>1</xdr:col>
      <xdr:colOff>97541</xdr:colOff>
      <xdr:row>7</xdr:row>
      <xdr:rowOff>2448237</xdr:rowOff>
    </xdr:to>
    <xdr:pic>
      <xdr:nvPicPr>
        <xdr:cNvPr id="13" name="Picture 12">
          <a:extLst>
            <a:ext uri="{FF2B5EF4-FFF2-40B4-BE49-F238E27FC236}">
              <a16:creationId xmlns:a16="http://schemas.microsoft.com/office/drawing/2014/main" id="{00000000-0008-0000-1E00-00000D000000}"/>
            </a:ext>
          </a:extLst>
        </xdr:cNvPr>
        <xdr:cNvPicPr>
          <a:picLocks noChangeAspect="1"/>
        </xdr:cNvPicPr>
      </xdr:nvPicPr>
      <xdr:blipFill>
        <a:blip xmlns:r="http://schemas.openxmlformats.org/officeDocument/2006/relationships" r:embed="rId9"/>
        <a:stretch>
          <a:fillRect/>
        </a:stretch>
      </xdr:blipFill>
      <xdr:spPr>
        <a:xfrm>
          <a:off x="28575" y="10426303"/>
          <a:ext cx="2526416" cy="1775534"/>
        </a:xfrm>
        <a:prstGeom prst="rect">
          <a:avLst/>
        </a:prstGeom>
      </xdr:spPr>
    </xdr:pic>
    <xdr:clientData/>
  </xdr:twoCellAnchor>
  <xdr:twoCellAnchor editAs="oneCell">
    <xdr:from>
      <xdr:col>0</xdr:col>
      <xdr:colOff>57150</xdr:colOff>
      <xdr:row>7</xdr:row>
      <xdr:rowOff>672703</xdr:rowOff>
    </xdr:from>
    <xdr:to>
      <xdr:col>1</xdr:col>
      <xdr:colOff>126116</xdr:colOff>
      <xdr:row>7</xdr:row>
      <xdr:rowOff>2448237</xdr:rowOff>
    </xdr:to>
    <xdr:pic>
      <xdr:nvPicPr>
        <xdr:cNvPr id="15" name="Picture 14">
          <a:extLst>
            <a:ext uri="{FF2B5EF4-FFF2-40B4-BE49-F238E27FC236}">
              <a16:creationId xmlns:a16="http://schemas.microsoft.com/office/drawing/2014/main" id="{00000000-0008-0000-1E00-00000F000000}"/>
            </a:ext>
          </a:extLst>
        </xdr:cNvPr>
        <xdr:cNvPicPr>
          <a:picLocks noChangeAspect="1"/>
        </xdr:cNvPicPr>
      </xdr:nvPicPr>
      <xdr:blipFill>
        <a:blip xmlns:r="http://schemas.openxmlformats.org/officeDocument/2006/relationships" r:embed="rId9"/>
        <a:stretch>
          <a:fillRect/>
        </a:stretch>
      </xdr:blipFill>
      <xdr:spPr>
        <a:xfrm>
          <a:off x="57150" y="10426303"/>
          <a:ext cx="2526416" cy="1775534"/>
        </a:xfrm>
        <a:prstGeom prst="rect">
          <a:avLst/>
        </a:prstGeom>
      </xdr:spPr>
    </xdr:pic>
    <xdr:clientData/>
  </xdr:twoCellAnchor>
  <xdr:twoCellAnchor editAs="oneCell">
    <xdr:from>
      <xdr:col>0</xdr:col>
      <xdr:colOff>152400</xdr:colOff>
      <xdr:row>7</xdr:row>
      <xdr:rowOff>3052724</xdr:rowOff>
    </xdr:from>
    <xdr:to>
      <xdr:col>1</xdr:col>
      <xdr:colOff>266700</xdr:colOff>
      <xdr:row>9</xdr:row>
      <xdr:rowOff>0</xdr:rowOff>
    </xdr:to>
    <xdr:pic>
      <xdr:nvPicPr>
        <xdr:cNvPr id="17" name="Picture 16">
          <a:extLst>
            <a:ext uri="{FF2B5EF4-FFF2-40B4-BE49-F238E27FC236}">
              <a16:creationId xmlns:a16="http://schemas.microsoft.com/office/drawing/2014/main" id="{00000000-0008-0000-1E00-000011000000}"/>
            </a:ext>
          </a:extLst>
        </xdr:cNvPr>
        <xdr:cNvPicPr>
          <a:picLocks noChangeAspect="1"/>
        </xdr:cNvPicPr>
      </xdr:nvPicPr>
      <xdr:blipFill>
        <a:blip xmlns:r="http://schemas.openxmlformats.org/officeDocument/2006/relationships" r:embed="rId10"/>
        <a:stretch>
          <a:fillRect/>
        </a:stretch>
      </xdr:blipFill>
      <xdr:spPr>
        <a:xfrm>
          <a:off x="152400" y="12806324"/>
          <a:ext cx="2571750" cy="30813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AA35"/>
  <sheetViews>
    <sheetView tabSelected="1" zoomScaleNormal="100" workbookViewId="0">
      <selection activeCell="H22" sqref="H22"/>
    </sheetView>
  </sheetViews>
  <sheetFormatPr defaultRowHeight="15"/>
  <cols>
    <col min="1" max="1" width="0.7109375" customWidth="1"/>
    <col min="2" max="2" width="31.85546875" customWidth="1"/>
    <col min="3" max="3" width="22" customWidth="1"/>
    <col min="5" max="5" width="7.140625" customWidth="1"/>
    <col min="6" max="7" width="4.42578125" customWidth="1"/>
    <col min="8" max="8" width="10" customWidth="1"/>
    <col min="9" max="9" width="5.7109375" customWidth="1"/>
    <col min="10" max="10" width="5.28515625" customWidth="1"/>
    <col min="11" max="11" width="4.28515625" customWidth="1"/>
    <col min="12" max="12" width="6.140625" customWidth="1"/>
    <col min="13" max="13" width="13.5703125" customWidth="1"/>
    <col min="14" max="14" width="8.42578125" bestFit="1" customWidth="1"/>
    <col min="15" max="15" width="1.5703125" customWidth="1"/>
    <col min="16" max="16" width="4.140625" customWidth="1"/>
    <col min="17" max="17" width="4" customWidth="1"/>
    <col min="18" max="18" width="7.85546875" customWidth="1"/>
    <col min="19" max="19" width="13.28515625" customWidth="1"/>
    <col min="20" max="20" width="8.140625" customWidth="1"/>
    <col min="21" max="21" width="2.28515625" customWidth="1"/>
    <col min="22" max="23" width="4.5703125" customWidth="1"/>
    <col min="24" max="24" width="6.5703125" customWidth="1"/>
    <col min="25" max="25" width="13.28515625" customWidth="1"/>
    <col min="26" max="26" width="8.140625" customWidth="1"/>
    <col min="27" max="27" width="2.7109375" customWidth="1"/>
  </cols>
  <sheetData>
    <row r="1" spans="1:26" ht="6" customHeight="1" thickBot="1"/>
    <row r="2" spans="1:26" ht="15.75" thickBot="1">
      <c r="N2" s="196" t="s">
        <v>6</v>
      </c>
      <c r="O2" s="196"/>
      <c r="P2" s="196"/>
      <c r="Q2" s="196"/>
      <c r="S2" s="198" t="s">
        <v>927</v>
      </c>
      <c r="T2" s="199"/>
      <c r="U2" s="199"/>
      <c r="V2" s="199"/>
      <c r="W2" s="199"/>
      <c r="X2" s="199"/>
      <c r="Y2" s="199"/>
      <c r="Z2" s="200"/>
    </row>
    <row r="3" spans="1:26" ht="15.75" thickBot="1">
      <c r="A3" s="30"/>
      <c r="B3" s="114" t="s">
        <v>111</v>
      </c>
      <c r="C3" s="148" t="s">
        <v>109</v>
      </c>
      <c r="E3" s="222" t="str">
        <f>IF(C3="Gas","Mixed Gas","")</f>
        <v/>
      </c>
      <c r="F3" s="223"/>
      <c r="H3" s="226" t="str">
        <f>IF(C3="Gas","Steam","")</f>
        <v/>
      </c>
      <c r="N3" s="197"/>
      <c r="O3" s="197"/>
      <c r="P3" s="197"/>
      <c r="Q3" s="197"/>
      <c r="S3" s="201"/>
      <c r="T3" s="202"/>
      <c r="U3" s="202"/>
      <c r="V3" s="202"/>
      <c r="W3" s="202"/>
      <c r="X3" s="202"/>
      <c r="Y3" s="202"/>
      <c r="Z3" s="203"/>
    </row>
    <row r="4" spans="1:26" ht="15.75" thickBot="1">
      <c r="B4" s="114" t="s">
        <v>0</v>
      </c>
      <c r="C4" s="88" t="s">
        <v>2</v>
      </c>
      <c r="E4" s="224"/>
      <c r="F4" s="225"/>
      <c r="H4" s="227"/>
    </row>
    <row r="5" spans="1:26">
      <c r="B5" s="70" t="s">
        <v>1</v>
      </c>
      <c r="C5" s="88"/>
    </row>
    <row r="6" spans="1:26" ht="15.75" customHeight="1" thickBot="1">
      <c r="B6" s="119" t="s">
        <v>112</v>
      </c>
      <c r="C6" s="120"/>
      <c r="J6" s="90" t="s">
        <v>353</v>
      </c>
      <c r="K6" s="91"/>
      <c r="L6" s="91"/>
      <c r="M6" s="91"/>
      <c r="N6" s="92"/>
      <c r="P6" s="210" t="s">
        <v>366</v>
      </c>
      <c r="Q6" s="211"/>
      <c r="R6" s="211"/>
      <c r="S6" s="211"/>
      <c r="T6" s="211"/>
      <c r="U6" s="211"/>
      <c r="V6" s="211"/>
      <c r="W6" s="211"/>
      <c r="X6" s="211"/>
      <c r="Y6" s="211"/>
      <c r="Z6" s="212"/>
    </row>
    <row r="7" spans="1:26" ht="16.5" customHeight="1" thickTop="1">
      <c r="B7" s="73" t="s">
        <v>3</v>
      </c>
      <c r="C7" s="128"/>
      <c r="D7" s="84" t="s">
        <v>539</v>
      </c>
      <c r="F7" s="204" t="s">
        <v>360</v>
      </c>
      <c r="G7" s="205"/>
      <c r="H7" s="206"/>
      <c r="J7" s="93"/>
      <c r="K7" s="94"/>
      <c r="L7" s="94"/>
      <c r="M7" s="94"/>
      <c r="N7" s="95"/>
      <c r="P7" s="213" t="str">
        <f>IFERROR(VLOOKUP(N2,Descriptions!$B$6:$E$10,2,FALSE),"")</f>
        <v>PurgeMaster A61 flowmeters are low flow capacity  variable area flowmeters for both liquid and gas with an excellent selection of material and scale lengths in a single product family design. They feature a corrosion resistant, high strength stainless steel body, quick, easy snap-in tube construction and a safety tested operator protection shield.</v>
      </c>
      <c r="Q7" s="214"/>
      <c r="R7" s="214"/>
      <c r="S7" s="214"/>
      <c r="T7" s="214"/>
      <c r="U7" s="214"/>
      <c r="V7" s="214"/>
      <c r="W7" s="214"/>
      <c r="X7" s="214"/>
      <c r="Y7" s="214"/>
      <c r="Z7" s="215"/>
    </row>
    <row r="8" spans="1:26" ht="16.5" customHeight="1" thickBot="1">
      <c r="B8" s="73" t="s">
        <v>352</v>
      </c>
      <c r="C8" s="128">
        <v>1</v>
      </c>
      <c r="D8" s="84" t="s">
        <v>14</v>
      </c>
      <c r="F8" s="207"/>
      <c r="G8" s="208"/>
      <c r="H8" s="209"/>
      <c r="J8" s="93"/>
      <c r="K8" s="94"/>
      <c r="L8" s="94"/>
      <c r="M8" s="94"/>
      <c r="N8" s="95"/>
      <c r="P8" s="213"/>
      <c r="Q8" s="214"/>
      <c r="R8" s="214"/>
      <c r="S8" s="214"/>
      <c r="T8" s="214"/>
      <c r="U8" s="214"/>
      <c r="V8" s="214"/>
      <c r="W8" s="214"/>
      <c r="X8" s="214"/>
      <c r="Y8" s="214"/>
      <c r="Z8" s="215"/>
    </row>
    <row r="9" spans="1:26" ht="15.75" thickTop="1">
      <c r="B9" s="70" t="s">
        <v>4</v>
      </c>
      <c r="C9" s="128">
        <v>10</v>
      </c>
      <c r="D9" s="84" t="s">
        <v>174</v>
      </c>
      <c r="J9" s="93"/>
      <c r="K9" s="94"/>
      <c r="L9" s="94"/>
      <c r="M9" s="94"/>
      <c r="N9" s="95"/>
      <c r="P9" s="213"/>
      <c r="Q9" s="214"/>
      <c r="R9" s="214"/>
      <c r="S9" s="214"/>
      <c r="T9" s="214"/>
      <c r="U9" s="214"/>
      <c r="V9" s="214"/>
      <c r="W9" s="214"/>
      <c r="X9" s="214"/>
      <c r="Y9" s="214"/>
      <c r="Z9" s="215"/>
    </row>
    <row r="10" spans="1:26" ht="15.75" thickBot="1">
      <c r="B10" s="70" t="s">
        <v>5</v>
      </c>
      <c r="C10" s="128">
        <v>60</v>
      </c>
      <c r="D10" s="84" t="s">
        <v>182</v>
      </c>
      <c r="J10" s="93"/>
      <c r="K10" s="94"/>
      <c r="L10" s="94"/>
      <c r="M10" s="94"/>
      <c r="N10" s="95"/>
      <c r="P10" s="213"/>
      <c r="Q10" s="214"/>
      <c r="R10" s="214"/>
      <c r="S10" s="214"/>
      <c r="T10" s="214"/>
      <c r="U10" s="214"/>
      <c r="V10" s="214"/>
      <c r="W10" s="214"/>
      <c r="X10" s="214"/>
      <c r="Y10" s="214"/>
      <c r="Z10" s="215"/>
    </row>
    <row r="11" spans="1:26" ht="17.25" customHeight="1" thickTop="1">
      <c r="B11" s="73" t="s">
        <v>113</v>
      </c>
      <c r="C11" s="128">
        <v>990</v>
      </c>
      <c r="D11" s="84" t="s">
        <v>537</v>
      </c>
      <c r="F11" s="204" t="s">
        <v>361</v>
      </c>
      <c r="G11" s="205"/>
      <c r="H11" s="206"/>
      <c r="J11" s="93"/>
      <c r="K11" s="94"/>
      <c r="L11" s="94"/>
      <c r="M11" s="94"/>
      <c r="N11" s="95"/>
      <c r="P11" s="213"/>
      <c r="Q11" s="214"/>
      <c r="R11" s="214"/>
      <c r="S11" s="214"/>
      <c r="T11" s="214"/>
      <c r="U11" s="214"/>
      <c r="V11" s="214"/>
      <c r="W11" s="214"/>
      <c r="X11" s="214"/>
      <c r="Y11" s="214"/>
      <c r="Z11" s="215"/>
    </row>
    <row r="12" spans="1:26" ht="15.75" thickBot="1">
      <c r="B12" s="71" t="s">
        <v>116</v>
      </c>
      <c r="C12" s="128">
        <v>0.05</v>
      </c>
      <c r="D12" s="84" t="s">
        <v>33</v>
      </c>
      <c r="F12" s="207"/>
      <c r="G12" s="208"/>
      <c r="H12" s="209"/>
      <c r="J12" s="93"/>
      <c r="K12" s="94"/>
      <c r="L12" s="94"/>
      <c r="M12" s="94"/>
      <c r="N12" s="95"/>
    </row>
    <row r="13" spans="1:26" ht="15.75" customHeight="1" thickTop="1">
      <c r="B13" s="72"/>
      <c r="C13" s="44"/>
      <c r="J13" s="93"/>
      <c r="K13" s="94"/>
      <c r="L13" s="94"/>
      <c r="M13" s="94"/>
      <c r="N13" s="95"/>
      <c r="P13" s="216" t="s">
        <v>367</v>
      </c>
      <c r="Q13" s="217"/>
      <c r="R13" s="217"/>
      <c r="S13" s="217"/>
      <c r="T13" s="217"/>
      <c r="U13" s="217"/>
      <c r="V13" s="217"/>
      <c r="W13" s="217"/>
      <c r="X13" s="217"/>
      <c r="Y13" s="217"/>
      <c r="Z13" s="218"/>
    </row>
    <row r="14" spans="1:26" ht="15" customHeight="1">
      <c r="B14" s="71" t="s">
        <v>362</v>
      </c>
      <c r="C14" s="57" t="str">
        <f>IFERROR(ROUND('10A61 5" Calcs'!O46/VLOOKUP(D14,'Modified Inputs'!$L$15:$M$20,2,FALSE),4),"")</f>
        <v/>
      </c>
      <c r="D14" s="118" t="s">
        <v>186</v>
      </c>
      <c r="H14" s="121" t="s">
        <v>929</v>
      </c>
      <c r="J14" s="93"/>
      <c r="K14" s="94"/>
      <c r="L14" s="94"/>
      <c r="M14" s="94"/>
      <c r="N14" s="95"/>
      <c r="P14" s="168" t="str">
        <f>IFERROR(VLOOKUP(N2,Descriptions!$B$6:$E$10,3,FALSE),"")</f>
        <v xml:space="preserve">• Single or Dual Alarm Sensors
• Optional Needle Valve
• Optional Differential Pressure Regulator
• Operator Protection Shield
• Snap-in Removable Tube
• 1/4"  Threaded Connections
</v>
      </c>
      <c r="Q14" s="169"/>
      <c r="R14" s="169"/>
      <c r="S14" s="169"/>
      <c r="T14" s="169"/>
      <c r="U14" s="169" t="str">
        <f>IFERROR(VLOOKUP(N2,Descriptions!$B$6:$F$10,5,FALSE),"")</f>
        <v>• Snap-in Removable Tube
• 1/4"  Threaded Connections</v>
      </c>
      <c r="V14" s="169"/>
      <c r="W14" s="169"/>
      <c r="X14" s="169"/>
      <c r="Y14" s="169"/>
      <c r="Z14" s="174"/>
    </row>
    <row r="15" spans="1:26" ht="15.75" thickBot="1">
      <c r="C15" s="1"/>
      <c r="J15" s="93"/>
      <c r="K15" s="94"/>
      <c r="L15" s="94"/>
      <c r="M15" s="94"/>
      <c r="N15" s="95"/>
      <c r="P15" s="170"/>
      <c r="Q15" s="171"/>
      <c r="R15" s="171"/>
      <c r="S15" s="171"/>
      <c r="T15" s="171"/>
      <c r="U15" s="171"/>
      <c r="V15" s="171"/>
      <c r="W15" s="171"/>
      <c r="X15" s="171"/>
      <c r="Y15" s="171"/>
      <c r="Z15" s="175"/>
    </row>
    <row r="16" spans="1:26" ht="23.25" customHeight="1">
      <c r="B16" s="190" t="str">
        <f>IFERROR(VLOOKUP(H14,Assistant!F9:G18,2,FALSE),"")</f>
        <v/>
      </c>
      <c r="C16" s="191"/>
      <c r="J16" s="96"/>
      <c r="K16" s="97"/>
      <c r="L16" s="97"/>
      <c r="M16" s="97"/>
      <c r="N16" s="98"/>
      <c r="P16" s="172"/>
      <c r="Q16" s="173"/>
      <c r="R16" s="173"/>
      <c r="S16" s="173"/>
      <c r="T16" s="173"/>
      <c r="U16" s="173"/>
      <c r="V16" s="173"/>
      <c r="W16" s="173"/>
      <c r="X16" s="173"/>
      <c r="Y16" s="173"/>
      <c r="Z16" s="176"/>
    </row>
    <row r="17" spans="2:27">
      <c r="B17" s="192"/>
      <c r="C17" s="193"/>
    </row>
    <row r="18" spans="2:27">
      <c r="B18" s="192"/>
      <c r="C18" s="193"/>
      <c r="J18" s="219" t="s">
        <v>354</v>
      </c>
      <c r="K18" s="220"/>
      <c r="L18" s="220"/>
      <c r="M18" s="220"/>
      <c r="N18" s="220"/>
      <c r="O18" s="220"/>
      <c r="P18" s="220"/>
      <c r="Q18" s="220"/>
      <c r="R18" s="220"/>
      <c r="S18" s="220"/>
      <c r="T18" s="220"/>
      <c r="U18" s="220"/>
      <c r="V18" s="220"/>
      <c r="W18" s="220"/>
      <c r="X18" s="220"/>
      <c r="Y18" s="220"/>
      <c r="Z18" s="221"/>
    </row>
    <row r="19" spans="2:27">
      <c r="B19" s="192"/>
      <c r="C19" s="193"/>
      <c r="J19" s="213" t="str">
        <f>IFERROR(VLOOKUP(N2,Descriptions!$B$6:$E$10,4,FALSE),"")</f>
        <v>Alarms for the A61 can only be configured with SS or CA Floats. The 3" Meter has an accuracy of 10% while the 5" and 6" Meters provide an accuracy of 2%.</v>
      </c>
      <c r="K19" s="214"/>
      <c r="L19" s="214"/>
      <c r="M19" s="214"/>
      <c r="N19" s="214"/>
      <c r="O19" s="214"/>
      <c r="P19" s="214"/>
      <c r="Q19" s="214"/>
      <c r="R19" s="214"/>
      <c r="S19" s="214"/>
      <c r="T19" s="214"/>
      <c r="U19" s="214"/>
      <c r="V19" s="214"/>
      <c r="W19" s="214"/>
      <c r="X19" s="214"/>
      <c r="Y19" s="214"/>
      <c r="Z19" s="215"/>
    </row>
    <row r="20" spans="2:27">
      <c r="B20" s="192"/>
      <c r="C20" s="193"/>
      <c r="J20" s="213"/>
      <c r="K20" s="214"/>
      <c r="L20" s="214"/>
      <c r="M20" s="214"/>
      <c r="N20" s="214"/>
      <c r="O20" s="214"/>
      <c r="P20" s="214"/>
      <c r="Q20" s="214"/>
      <c r="R20" s="214"/>
      <c r="S20" s="214"/>
      <c r="T20" s="214"/>
      <c r="U20" s="214"/>
      <c r="V20" s="214"/>
      <c r="W20" s="214"/>
      <c r="X20" s="214"/>
      <c r="Y20" s="214"/>
      <c r="Z20" s="215"/>
    </row>
    <row r="21" spans="2:27" ht="15.75" thickBot="1">
      <c r="B21" s="194"/>
      <c r="C21" s="195"/>
    </row>
    <row r="22" spans="2:27">
      <c r="J22" s="177" t="str">
        <f>IF(N2="10A61",'10A61 Naming'!O3,
IF('VA Sizing'!N2="10A4","Standard Floats",
IF('VA Sizing'!N2="10A22","Standard Floats",
IF('VA Sizing'!N2="10A32","Standard Floats",""))))</f>
        <v>3" Scale</v>
      </c>
      <c r="K22" s="178"/>
      <c r="L22" s="178"/>
      <c r="M22" s="178"/>
      <c r="N22" s="179"/>
      <c r="P22" s="177" t="str">
        <f>IF(N2="10A61",'10A61 Naming'!P3,
IF('VA Sizing'!N2="10A4","Low Pressure Drop Floats",
IF('VA Sizing'!N2="10A22","Alarm Floats","")))</f>
        <v>5" Scale</v>
      </c>
      <c r="Q22" s="178"/>
      <c r="R22" s="178"/>
      <c r="S22" s="178"/>
      <c r="T22" s="179"/>
      <c r="V22" s="184" t="str">
        <f>IF(N2="10A61",'10A61 Naming'!Q3,
IF('VA Sizing'!N2="10A4","Additional Floats",
IF('VA Sizing'!N2="10A22","","")))</f>
        <v>10" Scale</v>
      </c>
      <c r="W22" s="185"/>
      <c r="X22" s="185"/>
      <c r="Y22" s="185"/>
      <c r="Z22" s="186"/>
    </row>
    <row r="23" spans="2:27">
      <c r="J23" s="180"/>
      <c r="K23" s="181"/>
      <c r="L23" s="181"/>
      <c r="M23" s="181"/>
      <c r="N23" s="182"/>
      <c r="P23" s="180"/>
      <c r="Q23" s="181"/>
      <c r="R23" s="181"/>
      <c r="S23" s="181"/>
      <c r="T23" s="182"/>
      <c r="V23" s="187" t="s">
        <v>928</v>
      </c>
      <c r="W23" s="188"/>
      <c r="X23" s="188"/>
      <c r="Y23" s="188"/>
      <c r="Z23" s="189"/>
    </row>
    <row r="24" spans="2:27">
      <c r="J24" s="162" t="s">
        <v>58</v>
      </c>
      <c r="K24" s="183"/>
      <c r="L24" s="163"/>
      <c r="M24" s="162" t="s">
        <v>343</v>
      </c>
      <c r="N24" s="163"/>
      <c r="O24" s="83"/>
      <c r="P24" s="162" t="s">
        <v>58</v>
      </c>
      <c r="Q24" s="183"/>
      <c r="R24" s="163"/>
      <c r="S24" s="162" t="s">
        <v>343</v>
      </c>
      <c r="T24" s="163"/>
      <c r="U24" s="83"/>
      <c r="V24" s="162" t="s">
        <v>58</v>
      </c>
      <c r="W24" s="183"/>
      <c r="X24" s="163"/>
      <c r="Y24" s="162" t="s">
        <v>343</v>
      </c>
      <c r="Z24" s="163"/>
      <c r="AA24" s="37"/>
    </row>
    <row r="25" spans="2:27" ht="30" customHeight="1">
      <c r="J25" s="164" t="str">
        <f>IF($N$2="10A61",'10A61 3" Gas+liquid Results'!H16,
IF($N$2="10A4",#REF!,
IF('VA Sizing'!$N$2="10A22",#REF!,
IF('VA Sizing'!$N$2="10A32",#REF!,""))))</f>
        <v>1/4-41-G-SA</v>
      </c>
      <c r="K25" s="158"/>
      <c r="L25" s="159"/>
      <c r="M25" s="125" t="str">
        <f>IF(N2="10A61",'10A61 3" Gas+liquid Results'!I16,
IF(N2="10A4",#REF!,
IF('VA Sizing'!N2="10A22",#REF!,
IF('VA Sizing'!$N$2="10A32",#REF!,""))))</f>
        <v>0 - 0.046</v>
      </c>
      <c r="N25" s="85" t="str">
        <f>IF(M25="","",$D$12)</f>
        <v>m3/h</v>
      </c>
      <c r="P25" s="157" t="str">
        <f>IF(N2="10A61",'10A61 5" + 6" Results'!H13,
IF(N2="10A4",#REF!,
IF('VA Sizing'!N2="10A22",#REF!,"")))</f>
        <v>1/4-20-CA</v>
      </c>
      <c r="Q25" s="158"/>
      <c r="R25" s="159"/>
      <c r="S25" s="125" t="str">
        <f>IF(N2="10A61",'10A61 5" + 6" Results'!I13,
IF(N2="10A4",#REF!,
IF('VA Sizing'!N2="10A22",#REF!,"")))</f>
        <v>0 - 0.05</v>
      </c>
      <c r="T25" s="85" t="str">
        <f>IF(S25="","",$D$12)</f>
        <v>m3/h</v>
      </c>
      <c r="V25" s="157" t="str">
        <f>IF(N2="10A61",'10A61 10" Results'!I16,
IF(AND(N2="10A4",V23="Alarm Floats"),#REF!,
IF(AND(N2="10A4",V23="Tantalum Floats (TA)"),#REF!,
IF(AND(N2="10A4",V23="Teflon Floats (PTFE)"),#REF!,
IF(AND(N2="10A4",V23="PVC Floats"),#REF!,"")))))</f>
        <v>1/4-40-G-6-BG</v>
      </c>
      <c r="W25" s="158"/>
      <c r="X25" s="159"/>
      <c r="Y25" s="125" t="str">
        <f>IF(N2="10A61",'10A61 10" Results'!J16,
IF(AND(N2="10A4",V23="Alarm Floats"),#REF!,
IF(AND(N2="10A4",V23="Tantalum Floats (TA)"),#REF!,
IF(AND(N2="10A4",V23="Teflon Floats (PTFE)"),#REF!,
IF(AND(N2="10A4",V23="PVC Floats"),#REF!,"")))))</f>
        <v>0 - 0.04</v>
      </c>
      <c r="Z25" s="85" t="str">
        <f>IF(Y25="","",$D$12)</f>
        <v>m3/h</v>
      </c>
    </row>
    <row r="26" spans="2:27" ht="31.5" customHeight="1">
      <c r="J26" s="165" t="str">
        <f>IF($N$2="10A61",'10A61 3" Gas+liquid Results'!H17,
IF($N$2="10A4",#REF!,
IF('VA Sizing'!$N$2="10A22",#REF!,
IF('VA Sizing'!$N$2="10A32",#REF!,""))))</f>
        <v>1/4-20-CA</v>
      </c>
      <c r="K26" s="166"/>
      <c r="L26" s="167"/>
      <c r="M26" s="124" t="str">
        <f>IF(N2="10A61",'10A61 3" Gas+liquid Results'!I17,
IF(N2="10A4",#REF!,
IF('VA Sizing'!N2="10A22",#REF!,
IF('VA Sizing'!$N$2="10A32",#REF!,""))))</f>
        <v>0 - 0.05</v>
      </c>
      <c r="N26" s="123" t="str">
        <f t="shared" ref="N26:N28" si="0">IF(M26="","",$D$12)</f>
        <v>m3/h</v>
      </c>
      <c r="P26" s="157" t="str">
        <f>IF(N2="10A61",'10A61 5" + 6" Results'!H14,
IF(N2="10A4",#REF!,
IF('VA Sizing'!N2="10A22",#REF!,"")))</f>
        <v>1/4-20-TA</v>
      </c>
      <c r="Q26" s="158"/>
      <c r="R26" s="159"/>
      <c r="S26" s="124" t="str">
        <f>IF(N2="10A61",'10A61 5" + 6" Results'!I14,
IF(N2="10A4",#REF!,
IF('VA Sizing'!N2="10A22",#REF!,"")))</f>
        <v>0 - 0.05</v>
      </c>
      <c r="T26" s="123" t="str">
        <f t="shared" ref="T26:T28" si="1">IF(S26="","",$D$12)</f>
        <v>m3/h</v>
      </c>
      <c r="V26" s="157" t="str">
        <f>IF(N2="10A61",'10A61 10" Results'!I17,
IF(AND(N2="10A4",V23="Alarm Floats"),#REF!,
IF(AND(N2="10A4",V23="Tantalum Floats (TA)"),#REF!,
IF(AND(N2="10A4",V23="Teflon Floats (PTFE)"),#REF!,
IF(AND(N2="10A4",V23="PVC Floats"),#REF!,"")))))</f>
        <v>1/4-40-G-6-SA</v>
      </c>
      <c r="W26" s="158"/>
      <c r="X26" s="159"/>
      <c r="Y26" s="124" t="str">
        <f>IF(N2="10A61",'10A61 10" Results'!J17,
IF(AND(N2="10A4",V23="Alarm Floats"),#REF!,
IF(AND(N2="10A4",V23="Tantalum Floats (TA)"),#REF!,
IF(AND(N2="10A4",V23="Teflon Floats (PTFE)"),#REF!,
IF(AND(N2="10A4",V23="PVC Floats"),#REF!,"")))))</f>
        <v>0 - 0.05</v>
      </c>
      <c r="Z26" s="123" t="str">
        <f t="shared" ref="Z26:Z28" si="2">IF(Y26="","",$D$12)</f>
        <v>m3/h</v>
      </c>
    </row>
    <row r="27" spans="2:27" ht="29.25" customHeight="1">
      <c r="J27" s="157" t="str">
        <f>IF($N$2="10A61",'10A61 3" Gas+liquid Results'!H18,
IF($N$2="10A4",#REF!,
IF('VA Sizing'!$N$2="10A22",#REF!,
IF('VA Sizing'!$N$2="10A32",#REF!,""))))</f>
        <v>1/4-20-TA</v>
      </c>
      <c r="K27" s="158"/>
      <c r="L27" s="159"/>
      <c r="M27" s="126" t="str">
        <f>IF(N2="10A61",'10A61 3" Gas+liquid Results'!I18,
IF(N2="10A4",#REF!,
IF('VA Sizing'!N2="10A22",#REF!,
IF('VA Sizing'!$N$2="10A32",#REF!,""))))</f>
        <v>0 - 0.054</v>
      </c>
      <c r="N27" s="82" t="str">
        <f t="shared" si="0"/>
        <v>m3/h</v>
      </c>
      <c r="P27" s="157" t="str">
        <f>IF(N2="10A61",'10A61 5" + 6" Results'!H15,
IF(N2="10A4",#REF!,
IF('VA Sizing'!N2="10A22",#REF!,"")))</f>
        <v>1/4-25-CA</v>
      </c>
      <c r="Q27" s="158"/>
      <c r="R27" s="159"/>
      <c r="S27" s="126" t="str">
        <f>IF(N2="10A61",'10A61 5" + 6" Results'!I15,
IF(N2="10A4",#REF!,
IF('VA Sizing'!N2="10A22",#REF!,"")))</f>
        <v>0 - 0.06</v>
      </c>
      <c r="T27" s="82" t="str">
        <f t="shared" si="1"/>
        <v>m3/h</v>
      </c>
      <c r="V27" s="157" t="str">
        <f>IF(N2="10A61",'10A61 10" Results'!I18,
IF(AND(N2="10A4",V23="Alarm Floats"),#REF!,
IF(AND(N2="10A4",V23="Tantalum Floats (TA)"),#REF!,
IF(AND(N2="10A4",V23="Teflon Floats (PTFE)"),#REF!,
IF(AND(N2="10A4",V23="PVC Floats"),#REF!,"")))))</f>
        <v>1/4-40-G-6-SS</v>
      </c>
      <c r="W27" s="158"/>
      <c r="X27" s="159"/>
      <c r="Y27" s="126" t="str">
        <f>IF(N2="10A61",'10A61 10" Results'!J18,
IF(AND(N2="10A4",V23="Alarm Floats"),#REF!,
IF(AND(N2="10A4",V23="Tantalum Floats (TA)"),#REF!,
IF(AND(N2="10A4",V23="Teflon Floats (PTFE)"),#REF!,
IF(AND(N2="10A4",V23="PVC Floats"),#REF!,"")))))</f>
        <v>0 - 0.08</v>
      </c>
      <c r="Z27" s="82" t="str">
        <f t="shared" si="2"/>
        <v>m3/h</v>
      </c>
    </row>
    <row r="28" spans="2:27" ht="30.75" customHeight="1">
      <c r="J28" s="157" t="str">
        <f>IF($N$2="10A61",'10A61 3" Gas+liquid Results'!H19,
IF($N$2="10A4",#REF!,
IF('VA Sizing'!$N$2="10A22",#REF!,
IF('VA Sizing'!$N$2="10A32",#REF!,""))))</f>
        <v>1/4-41-P-SA</v>
      </c>
      <c r="K28" s="158"/>
      <c r="L28" s="159"/>
      <c r="M28" s="126" t="str">
        <f>IF(N2="10A61",'10A61 3" Gas+liquid Results'!I19,
IF(N2="10A4",#REF!,
IF('VA Sizing'!N2="10A22",#REF!,
IF('VA Sizing'!$N$2="10A32",#REF!,""))))</f>
        <v>0 - 0.06</v>
      </c>
      <c r="N28" s="82" t="str">
        <f t="shared" si="0"/>
        <v>m3/h</v>
      </c>
      <c r="P28" s="157" t="str">
        <f>IF(N2="10A61",'10A61 5" + 6" Results'!H16,
IF(N2="10A4",#REF!,
IF('VA Sizing'!N2="10A22",#REF!,"")))</f>
        <v>1/4-25-TA</v>
      </c>
      <c r="Q28" s="158"/>
      <c r="R28" s="159"/>
      <c r="S28" s="126" t="str">
        <f>IF(N2="10A61",'10A61 5" + 6" Results'!I16,
IF(N2="10A4",#REF!,
IF('VA Sizing'!N2="10A22",#REF!,"")))</f>
        <v>0 - 0.07</v>
      </c>
      <c r="T28" s="82" t="str">
        <f t="shared" si="1"/>
        <v>m3/h</v>
      </c>
      <c r="V28" s="157" t="str">
        <f>IF(N2="10A61",'10A61 10" Results'!I19,
IF(AND(N2="10A4",V23="Alarm Floats"),#REF!,
IF(AND(N2="10A4",V23="Tantalum Floats (TA)"),#REF!,
IF(AND(N2="10A4",V23="Teflon Floats (PTFE)"),#REF!,
IF(AND(N2="10A4",V23="PVC Floats"),#REF!,"")))))</f>
        <v>1/4-40-G-6-CA</v>
      </c>
      <c r="W28" s="158"/>
      <c r="X28" s="159"/>
      <c r="Y28" s="126" t="str">
        <f>IF(N2="10A61",'10A61 10" Results'!J19,
IF(AND(N2="10A4",V23="Alarm Floats"),#REF!,
IF(AND(N2="10A4",V23="Tantalum Floats (TA)"),#REF!,
IF(AND(N2="10A4",V23="Teflon Floats (PTFE)"),#REF!,
IF(AND(N2="10A4",V23="PVC Floats"),#REF!,"")))))</f>
        <v>0 - 0.12</v>
      </c>
      <c r="Z28" s="82" t="str">
        <f t="shared" si="2"/>
        <v>m3/h</v>
      </c>
    </row>
    <row r="30" spans="2:27">
      <c r="J30" s="161" t="s">
        <v>357</v>
      </c>
      <c r="K30" s="161"/>
      <c r="L30" s="161"/>
      <c r="M30" s="161"/>
      <c r="N30" s="161"/>
      <c r="O30" s="161"/>
      <c r="P30" s="161"/>
      <c r="Q30" s="161"/>
      <c r="R30" s="161"/>
      <c r="S30" s="161"/>
      <c r="T30" s="161"/>
      <c r="U30" s="161"/>
      <c r="V30" s="161"/>
      <c r="W30" s="161"/>
      <c r="X30" s="161"/>
      <c r="Y30" s="161"/>
      <c r="Z30" s="161"/>
    </row>
    <row r="31" spans="2:27" ht="6.75" customHeight="1">
      <c r="J31" s="37"/>
      <c r="K31" s="37"/>
      <c r="L31" s="37"/>
      <c r="M31" s="37"/>
      <c r="N31" s="37"/>
      <c r="O31" s="37"/>
      <c r="P31" s="37"/>
      <c r="Q31" s="37"/>
      <c r="R31" s="37"/>
      <c r="S31" s="37"/>
      <c r="T31" s="37"/>
      <c r="U31" s="37"/>
      <c r="V31" s="37"/>
      <c r="W31" s="37"/>
      <c r="X31" s="37"/>
      <c r="Y31" s="37"/>
      <c r="Z31" s="37"/>
    </row>
    <row r="32" spans="2:27">
      <c r="J32" s="160" t="s">
        <v>358</v>
      </c>
      <c r="K32" s="160"/>
      <c r="L32" s="160"/>
      <c r="M32" s="160"/>
      <c r="N32" s="160"/>
      <c r="O32" s="160"/>
      <c r="P32" s="160"/>
      <c r="Q32" s="160"/>
      <c r="R32" s="160"/>
      <c r="S32" s="160"/>
      <c r="T32" s="160"/>
      <c r="U32" s="160"/>
      <c r="V32" s="160"/>
      <c r="W32" s="160"/>
      <c r="X32" s="160"/>
      <c r="Y32" s="160"/>
      <c r="Z32" s="160"/>
    </row>
    <row r="33" spans="4:26">
      <c r="J33" s="37"/>
      <c r="K33" s="37"/>
      <c r="L33" s="37"/>
      <c r="M33" s="37"/>
      <c r="N33" s="37"/>
      <c r="O33" s="37"/>
      <c r="P33" s="37"/>
      <c r="Q33" s="37"/>
      <c r="R33" s="37"/>
      <c r="S33" s="37"/>
      <c r="T33" s="37"/>
      <c r="U33" s="37"/>
      <c r="V33" s="37"/>
      <c r="W33" s="37"/>
      <c r="X33" s="37"/>
      <c r="Y33" s="37"/>
      <c r="Z33" s="37"/>
    </row>
    <row r="34" spans="4:26">
      <c r="D34" s="37"/>
    </row>
    <row r="35" spans="4:26">
      <c r="D35" s="37"/>
    </row>
  </sheetData>
  <mergeCells count="38">
    <mergeCell ref="B16:C21"/>
    <mergeCell ref="N2:Q3"/>
    <mergeCell ref="S2:Z3"/>
    <mergeCell ref="F7:H8"/>
    <mergeCell ref="F11:H12"/>
    <mergeCell ref="P6:Z6"/>
    <mergeCell ref="P7:Z11"/>
    <mergeCell ref="P13:Z13"/>
    <mergeCell ref="J18:Z18"/>
    <mergeCell ref="J19:Z20"/>
    <mergeCell ref="E3:F4"/>
    <mergeCell ref="H3:H4"/>
    <mergeCell ref="P26:R26"/>
    <mergeCell ref="P14:T16"/>
    <mergeCell ref="U14:Z16"/>
    <mergeCell ref="J22:N23"/>
    <mergeCell ref="P22:T23"/>
    <mergeCell ref="J24:L24"/>
    <mergeCell ref="P24:R24"/>
    <mergeCell ref="V24:X24"/>
    <mergeCell ref="V22:Z22"/>
    <mergeCell ref="V23:Z23"/>
    <mergeCell ref="P28:R28"/>
    <mergeCell ref="P27:R27"/>
    <mergeCell ref="J32:Z32"/>
    <mergeCell ref="J30:Z30"/>
    <mergeCell ref="S24:T24"/>
    <mergeCell ref="Y24:Z24"/>
    <mergeCell ref="V25:X25"/>
    <mergeCell ref="V26:X26"/>
    <mergeCell ref="V27:X27"/>
    <mergeCell ref="V28:X28"/>
    <mergeCell ref="M24:N24"/>
    <mergeCell ref="J25:L25"/>
    <mergeCell ref="J26:L26"/>
    <mergeCell ref="J27:L27"/>
    <mergeCell ref="J28:L28"/>
    <mergeCell ref="P25:R25"/>
  </mergeCells>
  <conditionalFormatting sqref="C3">
    <cfRule type="expression" dxfId="143" priority="133">
      <formula>$C$3=""</formula>
    </cfRule>
  </conditionalFormatting>
  <conditionalFormatting sqref="C4">
    <cfRule type="expression" dxfId="142" priority="130">
      <formula>AND($C$3="Gas",OR($C$4="Water",$C$4="Other"))</formula>
    </cfRule>
    <cfRule type="expression" dxfId="141" priority="131">
      <formula>AND($C$3="Liquid",AND(NOT($C$4="Water"),NOT($C$4="Other")))</formula>
    </cfRule>
    <cfRule type="expression" dxfId="140" priority="132">
      <formula>$C$4=""</formula>
    </cfRule>
  </conditionalFormatting>
  <conditionalFormatting sqref="B5:C5">
    <cfRule type="expression" dxfId="139" priority="70">
      <formula>AND($C$3="Gas",RIGHT($B$3,1)=" ")</formula>
    </cfRule>
    <cfRule type="expression" dxfId="138" priority="124">
      <formula>$C$3="Liquid"</formula>
    </cfRule>
  </conditionalFormatting>
  <conditionalFormatting sqref="B6:C6">
    <cfRule type="expression" dxfId="137" priority="123">
      <formula>AND($C$3="Gas",AND(NOT($C$4="Natural Gas"),NOT($C$4=" Other")))</formula>
    </cfRule>
    <cfRule type="expression" dxfId="136" priority="127">
      <formula>$C$3="Liquid"</formula>
    </cfRule>
  </conditionalFormatting>
  <conditionalFormatting sqref="B11:D11">
    <cfRule type="expression" dxfId="135" priority="8">
      <formula>AND($C$3="Gas",NOT($C$4="Natural Gas"),NOT($C$4=" Other"))</formula>
    </cfRule>
    <cfRule type="expression" dxfId="134" priority="13">
      <formula>AND($C$3="Gas",$C$6="at Reference Conditions",OR($C$4=" Other",$C$4="Natural Gas"))</formula>
    </cfRule>
  </conditionalFormatting>
  <conditionalFormatting sqref="B7:D7">
    <cfRule type="expression" dxfId="133" priority="17">
      <formula>AND($C$3="Gas",$C$4="Natural Gas",$C$6="at Reference Conditions")</formula>
    </cfRule>
    <cfRule type="expression" dxfId="132" priority="114">
      <formula>AND($C$3="Gas",NOT($C$4=" Other"),NOT($C$4="Natural Gas"))</formula>
    </cfRule>
    <cfRule type="expression" dxfId="131" priority="115">
      <formula>$C$3="Liquid"</formula>
    </cfRule>
    <cfRule type="expression" dxfId="130" priority="116">
      <formula>AND($C$3="Gas",$C$6="at Operating Conditions",OR($C$4=" Other",$C$4="Natural Gas"))</formula>
    </cfRule>
  </conditionalFormatting>
  <conditionalFormatting sqref="C5">
    <cfRule type="expression" dxfId="129" priority="129">
      <formula>$C$5=""</formula>
    </cfRule>
  </conditionalFormatting>
  <conditionalFormatting sqref="C6">
    <cfRule type="expression" dxfId="128" priority="128">
      <formula>$C$6=""</formula>
    </cfRule>
  </conditionalFormatting>
  <conditionalFormatting sqref="C7">
    <cfRule type="expression" dxfId="127" priority="125">
      <formula>$C$7=""</formula>
    </cfRule>
  </conditionalFormatting>
  <conditionalFormatting sqref="C8">
    <cfRule type="expression" dxfId="126" priority="121">
      <formula>$C$8=""</formula>
    </cfRule>
  </conditionalFormatting>
  <conditionalFormatting sqref="C9">
    <cfRule type="expression" dxfId="125" priority="120">
      <formula>$C$9=""</formula>
    </cfRule>
  </conditionalFormatting>
  <conditionalFormatting sqref="C10">
    <cfRule type="expression" dxfId="124" priority="119">
      <formula>$C$10=""</formula>
    </cfRule>
  </conditionalFormatting>
  <conditionalFormatting sqref="C11">
    <cfRule type="expression" dxfId="123" priority="126">
      <formula>$C$11=""</formula>
    </cfRule>
  </conditionalFormatting>
  <conditionalFormatting sqref="C12">
    <cfRule type="expression" dxfId="122" priority="117">
      <formula>$C$12=""</formula>
    </cfRule>
  </conditionalFormatting>
  <conditionalFormatting sqref="B8:D8">
    <cfRule type="expression" dxfId="121" priority="16">
      <formula>AND($C$3="Gas",$C$4="Natural Gas")</formula>
    </cfRule>
    <cfRule type="expression" dxfId="120" priority="112">
      <formula>AND($C$3="Gas",NOT($C$4="Natural Gas"),NOT($C$4=" Other"))</formula>
    </cfRule>
  </conditionalFormatting>
  <conditionalFormatting sqref="B14:D14">
    <cfRule type="expression" dxfId="119" priority="106">
      <formula>AND($C$3="Gas",$C$6="at Operating Conditions")</formula>
    </cfRule>
    <cfRule type="expression" dxfId="118" priority="108">
      <formula>$C$3="Liquid"</formula>
    </cfRule>
  </conditionalFormatting>
  <conditionalFormatting sqref="N2:Q3">
    <cfRule type="expression" dxfId="117" priority="3">
      <formula>$N$2="10A61"</formula>
    </cfRule>
    <cfRule type="expression" dxfId="116" priority="31">
      <formula>AND(NOT($C$12=""),NOT($D$12=""),$N$2="")</formula>
    </cfRule>
    <cfRule type="expression" dxfId="115" priority="105">
      <formula>$N$2=""</formula>
    </cfRule>
  </conditionalFormatting>
  <conditionalFormatting sqref="J25:L25">
    <cfRule type="expression" dxfId="114" priority="90">
      <formula>LEFT($J$25,1)=" "</formula>
    </cfRule>
    <cfRule type="expression" dxfId="113" priority="104">
      <formula>RIGHT($J$25,1)=" "</formula>
    </cfRule>
  </conditionalFormatting>
  <conditionalFormatting sqref="J26:L26">
    <cfRule type="expression" dxfId="112" priority="89">
      <formula>LEFT($J$26,1)=" "</formula>
    </cfRule>
    <cfRule type="expression" dxfId="111" priority="103">
      <formula>RIGHT($J$26,1)=" "</formula>
    </cfRule>
  </conditionalFormatting>
  <conditionalFormatting sqref="J27:L27">
    <cfRule type="expression" dxfId="110" priority="88">
      <formula>LEFT($J$27,1)=" "</formula>
    </cfRule>
    <cfRule type="expression" dxfId="109" priority="102">
      <formula>RIGHT($J$27,1)=" "</formula>
    </cfRule>
  </conditionalFormatting>
  <conditionalFormatting sqref="J28:L28">
    <cfRule type="expression" dxfId="108" priority="87">
      <formula>LEFT($J$28,1)=" "</formula>
    </cfRule>
    <cfRule type="expression" dxfId="107" priority="101">
      <formula>RIGHT($J$28,1)=" "</formula>
    </cfRule>
  </conditionalFormatting>
  <conditionalFormatting sqref="P25:R25">
    <cfRule type="expression" dxfId="106" priority="85">
      <formula>LEFT($P$25,1)=" "</formula>
    </cfRule>
    <cfRule type="expression" dxfId="105" priority="100">
      <formula>RIGHT($P$25,1)=" "</formula>
    </cfRule>
  </conditionalFormatting>
  <conditionalFormatting sqref="P26:R26">
    <cfRule type="expression" dxfId="104" priority="84">
      <formula>LEFT($P$26,1)=" "</formula>
    </cfRule>
    <cfRule type="expression" dxfId="103" priority="99">
      <formula>RIGHT($P$26,1)=" "</formula>
    </cfRule>
  </conditionalFormatting>
  <conditionalFormatting sqref="P27:R27">
    <cfRule type="expression" dxfId="102" priority="64">
      <formula>LEFT($P$27,1)=" "</formula>
    </cfRule>
    <cfRule type="expression" dxfId="101" priority="98">
      <formula>RIGHT($P$27,1)=" "</formula>
    </cfRule>
  </conditionalFormatting>
  <conditionalFormatting sqref="P28:R28">
    <cfRule type="expression" dxfId="100" priority="63">
      <formula>LEFT($P$28,1)=" "</formula>
    </cfRule>
    <cfRule type="expression" dxfId="99" priority="97">
      <formula>RIGHT($P$28,1)=" "</formula>
    </cfRule>
  </conditionalFormatting>
  <conditionalFormatting sqref="V25:X25">
    <cfRule type="expression" dxfId="98" priority="62">
      <formula>LEFT($V$25,1)=" "</formula>
    </cfRule>
    <cfRule type="expression" dxfId="97" priority="96">
      <formula>RIGHT($V$25,1)=" "</formula>
    </cfRule>
  </conditionalFormatting>
  <conditionalFormatting sqref="V26:X26">
    <cfRule type="expression" dxfId="96" priority="61">
      <formula>LEFT($V$26,1)=" "</formula>
    </cfRule>
    <cfRule type="expression" dxfId="95" priority="95">
      <formula>RIGHT($V$26,1)=" "</formula>
    </cfRule>
  </conditionalFormatting>
  <conditionalFormatting sqref="V27:X27">
    <cfRule type="expression" dxfId="94" priority="60">
      <formula>LEFT($V$27,1)=" "</formula>
    </cfRule>
    <cfRule type="expression" dxfId="93" priority="94">
      <formula>RIGHT($V$27,1)=" "</formula>
    </cfRule>
  </conditionalFormatting>
  <conditionalFormatting sqref="V28:X28">
    <cfRule type="expression" dxfId="92" priority="59">
      <formula>LEFT($V$28,1)=" "</formula>
    </cfRule>
    <cfRule type="expression" dxfId="91" priority="93">
      <formula>RIGHT($V$28,1)=" "</formula>
    </cfRule>
  </conditionalFormatting>
  <conditionalFormatting sqref="J30:Z30">
    <cfRule type="expression" dxfId="90" priority="83">
      <formula>$C$12=""</formula>
    </cfRule>
    <cfRule type="expression" dxfId="89" priority="91">
      <formula>OR(LEFT($J$25,1)=" ",LEFT($J$26,1)=" ",LEFT($J$27,1)=" ",LEFT($J$28,1)=" ",LEFT($P$25,1)=" ",LEFT($P$26,1)=" ",LEFT($P$27,1)=" ",LEFT($P$28,1)=" ",LEFT($V$25,1)=" ",LEFT($V$26,1)=" ",LEFT($V$27,1)=" ",LEFT($V$28,1)=" ")</formula>
    </cfRule>
  </conditionalFormatting>
  <conditionalFormatting sqref="J24:Z28 J22:Z23">
    <cfRule type="expression" dxfId="88" priority="58">
      <formula>AND($C$3="Liquid",OR($C$4="",$C$8=0,$C$8="",$C$11=0,$C$11="",$C$12=""))</formula>
    </cfRule>
  </conditionalFormatting>
  <conditionalFormatting sqref="A3">
    <cfRule type="expression" dxfId="87" priority="82">
      <formula>$H$14="$C$3"</formula>
    </cfRule>
  </conditionalFormatting>
  <conditionalFormatting sqref="A4">
    <cfRule type="expression" dxfId="86" priority="81">
      <formula>$H$14="$C$4"</formula>
    </cfRule>
  </conditionalFormatting>
  <conditionalFormatting sqref="A5">
    <cfRule type="expression" dxfId="85" priority="80">
      <formula>$H$14="$C$5"</formula>
    </cfRule>
  </conditionalFormatting>
  <conditionalFormatting sqref="A6">
    <cfRule type="expression" dxfId="84" priority="79">
      <formula>$H$14="$C$6"</formula>
    </cfRule>
  </conditionalFormatting>
  <conditionalFormatting sqref="A7">
    <cfRule type="expression" dxfId="83" priority="78">
      <formula>$H$14="$C$7"</formula>
    </cfRule>
  </conditionalFormatting>
  <conditionalFormatting sqref="A8">
    <cfRule type="expression" dxfId="82" priority="77">
      <formula>$H$14="$C$8"</formula>
    </cfRule>
  </conditionalFormatting>
  <conditionalFormatting sqref="A9">
    <cfRule type="expression" dxfId="81" priority="76">
      <formula>$H$14="$C$9"</formula>
    </cfRule>
  </conditionalFormatting>
  <conditionalFormatting sqref="A10">
    <cfRule type="expression" dxfId="80" priority="75">
      <formula>$H$14="$C$10"</formula>
    </cfRule>
  </conditionalFormatting>
  <conditionalFormatting sqref="A11">
    <cfRule type="expression" dxfId="79" priority="74">
      <formula>$H$14="$C$11"</formula>
    </cfRule>
  </conditionalFormatting>
  <conditionalFormatting sqref="A12">
    <cfRule type="expression" dxfId="78" priority="73">
      <formula>$H$14="$C$12"</formula>
    </cfRule>
  </conditionalFormatting>
  <conditionalFormatting sqref="B4:C4">
    <cfRule type="expression" dxfId="77" priority="71">
      <formula>AND($C$3="Gas",RIGHT($B$3,1)=" ")</formula>
    </cfRule>
    <cfRule type="expression" dxfId="76" priority="72">
      <formula>AND($C$3="Gas",RIGHT($B$4,1)=" ")</formula>
    </cfRule>
  </conditionalFormatting>
  <conditionalFormatting sqref="B9:D10">
    <cfRule type="expression" dxfId="75" priority="14">
      <formula>AND($C$3="Gas",RIGHT($B$3,1)=" ")</formula>
    </cfRule>
  </conditionalFormatting>
  <conditionalFormatting sqref="E3:F4">
    <cfRule type="expression" dxfId="74" priority="67">
      <formula>OR($C$3="",$C$3="Liquid")</formula>
    </cfRule>
    <cfRule type="expression" dxfId="73" priority="68">
      <formula>AND(RIGHT($B$4,1)=" ",$C$3="Gas")</formula>
    </cfRule>
  </conditionalFormatting>
  <conditionalFormatting sqref="H3:H4">
    <cfRule type="expression" dxfId="72" priority="65">
      <formula>OR($C$3="",$C$3="Liquid")</formula>
    </cfRule>
    <cfRule type="expression" dxfId="71" priority="66">
      <formula>AND($C$3="Gas",RIGHT($B$3,1)=" ")</formula>
    </cfRule>
  </conditionalFormatting>
  <conditionalFormatting sqref="J32:Z32">
    <cfRule type="expression" dxfId="70" priority="51">
      <formula>$C$12=""</formula>
    </cfRule>
    <cfRule type="expression" dxfId="69" priority="52">
      <formula>OR(RIGHT($J$25,1)=" ",RIGHT($J$26,1)=" ",RIGHT($J$27,1)=" ",RIGHT($J$28,1)=" ",RIGHT($P$25,1)=" ",RIGHT($P$26,1)=" ",RIGHT($P$27,1)=" ",RIGHT($P$28,1)=" ",RIGHT($V$25,1)=" ",RIGHT($V$26,1)=" ",RIGHT($V$27,1)=" ",RIGHT($V$28,1)=" ")</formula>
    </cfRule>
  </conditionalFormatting>
  <conditionalFormatting sqref="V23:Z23">
    <cfRule type="expression" dxfId="68" priority="48">
      <formula>NOT($N$2="10A4")</formula>
    </cfRule>
    <cfRule type="expression" dxfId="67" priority="49">
      <formula>AND($V$22="Additional Floats",NOT($V$23=""))</formula>
    </cfRule>
    <cfRule type="expression" dxfId="66" priority="50">
      <formula>AND($V$22="Additional Floats",$V$23="")</formula>
    </cfRule>
  </conditionalFormatting>
  <conditionalFormatting sqref="J22:Z28">
    <cfRule type="expression" dxfId="65" priority="35">
      <formula>$N$2=""</formula>
    </cfRule>
    <cfRule type="expression" dxfId="64" priority="53">
      <formula>$C$3=""</formula>
    </cfRule>
  </conditionalFormatting>
  <conditionalFormatting sqref="J22:Z28">
    <cfRule type="expression" dxfId="63" priority="54">
      <formula>AND($C$3="Gas",$C$4=" Other",$C$6="")</formula>
    </cfRule>
  </conditionalFormatting>
  <conditionalFormatting sqref="J22:Z28">
    <cfRule type="expression" dxfId="62" priority="55">
      <formula>AND($C$3="Gas",$C$4=" Other",$C$6="at Operating Conditions",OR($C$5="",$C$8="",$C$8=0,$C$9="",$C$10="",$C$11=0,$C$11="",$C$12="",$C$6=""))</formula>
    </cfRule>
  </conditionalFormatting>
  <conditionalFormatting sqref="J22:Z28">
    <cfRule type="expression" dxfId="61" priority="56">
      <formula>AND($C$3="Gas",$C$4=" Other",$C$6="at Reference Conditions",OR($C$5="",$C$7=0,$C$7="",$C$8="",$C$8=0,$C$9="",$C$10="",$C$12=""))</formula>
    </cfRule>
  </conditionalFormatting>
  <conditionalFormatting sqref="J22:Z28">
    <cfRule type="expression" dxfId="60" priority="57">
      <formula>AND($C$3="Gas",OR($C$4="",$C$5="",$C$9="",$C$10="",$C$12=""))</formula>
    </cfRule>
  </conditionalFormatting>
  <conditionalFormatting sqref="D12">
    <cfRule type="expression" dxfId="59" priority="4">
      <formula>AND($C$3="Liquid",OR($D$12="sccm",$D$12="scfm",$D$12="scfh",$D$12="scfs"))</formula>
    </cfRule>
    <cfRule type="expression" dxfId="58" priority="5">
      <formula>AND(OR($C$5="Normal",$C$5="Actual"),OR($D$12="sccm",$D$12="scfm",$D$12="scfh",$D$12="scfs"))</formula>
    </cfRule>
    <cfRule type="expression" dxfId="57" priority="7">
      <formula>AND($C$3="Gas",$C$5="Standard",OR($D$12="cc/min",$D$12="ft3/min",$D$12="ft3/h",$D$12="ft3/s"))</formula>
    </cfRule>
    <cfRule type="expression" dxfId="56" priority="29">
      <formula>AND($C$3="Gas",OR($C$5="Normal",$C$5="Standard"),OR($D$12="g/min",$D$12="g/h",$D$12="kg/min",$D$12="kg/h",$D$12="lb/min",$D$12="lb/h"))</formula>
    </cfRule>
    <cfRule type="expression" dxfId="55" priority="33">
      <formula>$D$12=""</formula>
    </cfRule>
  </conditionalFormatting>
  <conditionalFormatting sqref="D7">
    <cfRule type="expression" dxfId="54" priority="122">
      <formula>$D$7=""</formula>
    </cfRule>
  </conditionalFormatting>
  <conditionalFormatting sqref="D8">
    <cfRule type="expression" dxfId="53" priority="113">
      <formula>$D$8=""</formula>
    </cfRule>
  </conditionalFormatting>
  <conditionalFormatting sqref="D9">
    <cfRule type="expression" dxfId="52" priority="69">
      <formula>$D$9=""</formula>
    </cfRule>
  </conditionalFormatting>
  <conditionalFormatting sqref="D10">
    <cfRule type="expression" dxfId="51" priority="15">
      <formula>$D$10=""</formula>
    </cfRule>
  </conditionalFormatting>
  <conditionalFormatting sqref="D11">
    <cfRule type="expression" dxfId="50" priority="111">
      <formula>$D$11=""</formula>
    </cfRule>
    <cfRule type="expression" dxfId="49" priority="118">
      <formula>AND($C$3="Gas",$D$11="S.G.")</formula>
    </cfRule>
  </conditionalFormatting>
  <conditionalFormatting sqref="H25">
    <cfRule type="expression" dxfId="48" priority="2">
      <formula>$H$25="hello"</formula>
    </cfRule>
  </conditionalFormatting>
  <conditionalFormatting sqref="V22:Z22">
    <cfRule type="expression" dxfId="47" priority="1">
      <formula>1=1</formula>
    </cfRule>
  </conditionalFormatting>
  <printOptions horizontalCentered="1" verticalCentered="1"/>
  <pageMargins left="0.7" right="0.7" top="0.75" bottom="0.75" header="0.3" footer="0.3"/>
  <pageSetup scale="57" orientation="landscape" r:id="rId1"/>
  <ignoredErrors>
    <ignoredError sqref="T25:T28 N25:N28 Z25:Z28" evalError="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7" id="{E0B82372-53D4-43E9-81A4-C60670586CE0}">
            <xm:f>SizingSummary!$K$12=1</xm:f>
            <x14:dxf>
              <fill>
                <patternFill>
                  <bgColor theme="8" tint="0.39994506668294322"/>
                </patternFill>
              </fill>
              <border>
                <vertical/>
                <horizontal/>
              </border>
            </x14:dxf>
          </x14:cfRule>
          <xm:sqref>J25:N25</xm:sqref>
        </x14:conditionalFormatting>
        <x14:conditionalFormatting xmlns:xm="http://schemas.microsoft.com/office/excel/2006/main">
          <x14:cfRule type="expression" priority="46" id="{E186C296-D8C2-41E0-8FA0-001751FBD6FC}">
            <xm:f>SizingSummary!$K$13=1</xm:f>
            <x14:dxf>
              <fill>
                <patternFill>
                  <bgColor theme="8" tint="0.39994506668294322"/>
                </patternFill>
              </fill>
            </x14:dxf>
          </x14:cfRule>
          <xm:sqref>J26:N26</xm:sqref>
        </x14:conditionalFormatting>
        <x14:conditionalFormatting xmlns:xm="http://schemas.microsoft.com/office/excel/2006/main">
          <x14:cfRule type="expression" priority="45" id="{6FB34CA8-3126-46BF-AC3B-CC37027E26EC}">
            <xm:f>SizingSummary!$K$14=1</xm:f>
            <x14:dxf>
              <fill>
                <patternFill>
                  <bgColor theme="8" tint="0.39994506668294322"/>
                </patternFill>
              </fill>
            </x14:dxf>
          </x14:cfRule>
          <xm:sqref>J27:N27</xm:sqref>
        </x14:conditionalFormatting>
        <x14:conditionalFormatting xmlns:xm="http://schemas.microsoft.com/office/excel/2006/main">
          <x14:cfRule type="expression" priority="44" id="{CE349577-2D05-4B49-BD2D-B990B23B00D6}">
            <xm:f>SizingSummary!$K$15=1</xm:f>
            <x14:dxf>
              <fill>
                <patternFill>
                  <bgColor theme="8" tint="0.39994506668294322"/>
                </patternFill>
              </fill>
            </x14:dxf>
          </x14:cfRule>
          <xm:sqref>J28:N28</xm:sqref>
        </x14:conditionalFormatting>
        <x14:conditionalFormatting xmlns:xm="http://schemas.microsoft.com/office/excel/2006/main">
          <x14:cfRule type="expression" priority="43" id="{2B8FFE4A-A57D-4FC3-A5E0-17BF489EA5C4}">
            <xm:f>SizingSummary!$L$12=1</xm:f>
            <x14:dxf>
              <fill>
                <patternFill>
                  <bgColor theme="8" tint="0.39994506668294322"/>
                </patternFill>
              </fill>
            </x14:dxf>
          </x14:cfRule>
          <xm:sqref>P25:T25</xm:sqref>
        </x14:conditionalFormatting>
        <x14:conditionalFormatting xmlns:xm="http://schemas.microsoft.com/office/excel/2006/main">
          <x14:cfRule type="expression" priority="42" id="{03B6526C-9E71-4350-8788-1B73E5EF853E}">
            <xm:f>SizingSummary!$L$13=1</xm:f>
            <x14:dxf>
              <fill>
                <patternFill>
                  <bgColor theme="8" tint="0.39994506668294322"/>
                </patternFill>
              </fill>
            </x14:dxf>
          </x14:cfRule>
          <xm:sqref>P26:T26</xm:sqref>
        </x14:conditionalFormatting>
        <x14:conditionalFormatting xmlns:xm="http://schemas.microsoft.com/office/excel/2006/main">
          <x14:cfRule type="expression" priority="41" id="{BFA4CE87-139F-4481-9540-1083A9795AFA}">
            <xm:f>SizingSummary!$L$14=1</xm:f>
            <x14:dxf>
              <fill>
                <patternFill>
                  <bgColor theme="8" tint="0.39994506668294322"/>
                </patternFill>
              </fill>
            </x14:dxf>
          </x14:cfRule>
          <xm:sqref>P27:T27</xm:sqref>
        </x14:conditionalFormatting>
        <x14:conditionalFormatting xmlns:xm="http://schemas.microsoft.com/office/excel/2006/main">
          <x14:cfRule type="expression" priority="40" id="{A3A9B5B0-C21B-4278-87C2-D07491A8090A}">
            <xm:f>SizingSummary!$L$15=1</xm:f>
            <x14:dxf>
              <fill>
                <patternFill>
                  <bgColor theme="8" tint="0.39994506668294322"/>
                </patternFill>
              </fill>
            </x14:dxf>
          </x14:cfRule>
          <xm:sqref>P28:T28</xm:sqref>
        </x14:conditionalFormatting>
        <x14:conditionalFormatting xmlns:xm="http://schemas.microsoft.com/office/excel/2006/main">
          <x14:cfRule type="expression" priority="39" id="{49F707F3-08A9-4579-BEAD-0C4E3E76F9BA}">
            <xm:f>SizingSummary!$M$12=1</xm:f>
            <x14:dxf>
              <fill>
                <patternFill>
                  <bgColor theme="8" tint="0.39994506668294322"/>
                </patternFill>
              </fill>
            </x14:dxf>
          </x14:cfRule>
          <xm:sqref>V25:Z25</xm:sqref>
        </x14:conditionalFormatting>
        <x14:conditionalFormatting xmlns:xm="http://schemas.microsoft.com/office/excel/2006/main">
          <x14:cfRule type="expression" priority="38" id="{E35B8403-AD8E-4E2A-9A28-0CF698B463EB}">
            <xm:f>SizingSummary!$M$13=1</xm:f>
            <x14:dxf>
              <fill>
                <patternFill>
                  <bgColor theme="8" tint="0.39994506668294322"/>
                </patternFill>
              </fill>
            </x14:dxf>
          </x14:cfRule>
          <xm:sqref>V26:Z26</xm:sqref>
        </x14:conditionalFormatting>
        <x14:conditionalFormatting xmlns:xm="http://schemas.microsoft.com/office/excel/2006/main">
          <x14:cfRule type="expression" priority="37" id="{75F10741-4815-4F42-8E0A-8301605D72B1}">
            <xm:f>SizingSummary!$M$14=1</xm:f>
            <x14:dxf>
              <fill>
                <patternFill>
                  <bgColor theme="8" tint="0.39994506668294322"/>
                </patternFill>
              </fill>
            </x14:dxf>
          </x14:cfRule>
          <xm:sqref>V27:Z27</xm:sqref>
        </x14:conditionalFormatting>
        <x14:conditionalFormatting xmlns:xm="http://schemas.microsoft.com/office/excel/2006/main">
          <x14:cfRule type="expression" priority="36" id="{8079A93C-C87C-4AAA-B911-2FF510A07032}">
            <xm:f>SizingSummary!$M$15=1</xm:f>
            <x14:dxf>
              <fill>
                <patternFill>
                  <bgColor theme="8" tint="0.39994506668294322"/>
                </patternFill>
              </fill>
            </x14:dxf>
          </x14:cfRule>
          <xm:sqref>V28:Z28</xm:sqref>
        </x14:conditionalFormatting>
      </x14:conditionalFormattings>
    </ext>
    <ext xmlns:x14="http://schemas.microsoft.com/office/spreadsheetml/2009/9/main" uri="{CCE6A557-97BC-4b89-ADB6-D9C93CAAB3DF}">
      <x14:dataValidations xmlns:xm="http://schemas.microsoft.com/office/excel/2006/main" count="12">
        <x14:dataValidation type="list" allowBlank="1" showInputMessage="1" showErrorMessage="1">
          <x14:formula1>
            <xm:f>'Modified Inputs'!$B$2:$B$3</xm:f>
          </x14:formula1>
          <xm:sqref>C3</xm:sqref>
        </x14:dataValidation>
        <x14:dataValidation type="list" allowBlank="1" showInputMessage="1" showErrorMessage="1">
          <x14:formula1>
            <xm:f>'Modified Inputs'!$D$2:$D$4</xm:f>
          </x14:formula1>
          <xm:sqref>C5</xm:sqref>
        </x14:dataValidation>
        <x14:dataValidation type="list" allowBlank="1" showInputMessage="1" showErrorMessage="1">
          <x14:formula1>
            <xm:f>'Modified Inputs'!$E$2:$E$3</xm:f>
          </x14:formula1>
          <xm:sqref>C6</xm:sqref>
        </x14:dataValidation>
        <x14:dataValidation type="list" allowBlank="1" showInputMessage="1" showErrorMessage="1">
          <x14:formula1>
            <xm:f>'Modified Inputs'!$F$9:$F$20</xm:f>
          </x14:formula1>
          <xm:sqref>D9</xm:sqref>
        </x14:dataValidation>
        <x14:dataValidation type="list" allowBlank="1" showInputMessage="1" showErrorMessage="1">
          <x14:formula1>
            <xm:f>'Modified Inputs'!$G$9:$G$10</xm:f>
          </x14:formula1>
          <xm:sqref>D10</xm:sqref>
        </x14:dataValidation>
        <x14:dataValidation type="list" allowBlank="1" showInputMessage="1" showErrorMessage="1">
          <x14:formula1>
            <xm:f>'Modified Inputs'!$H$9:$H$14</xm:f>
          </x14:formula1>
          <xm:sqref>D7</xm:sqref>
        </x14:dataValidation>
        <x14:dataValidation type="list" allowBlank="1" showInputMessage="1" showErrorMessage="1">
          <x14:formula1>
            <xm:f>'Modified Inputs'!$I$7:$I$32</xm:f>
          </x14:formula1>
          <xm:sqref>D12</xm:sqref>
        </x14:dataValidation>
        <x14:dataValidation type="list" allowBlank="1" showInputMessage="1" showErrorMessage="1">
          <x14:formula1>
            <xm:f>'Modified Inputs'!$D$39:$D$42</xm:f>
          </x14:formula1>
          <xm:sqref>V23:Z23</xm:sqref>
        </x14:dataValidation>
        <x14:dataValidation type="list" allowBlank="1" showInputMessage="1" showErrorMessage="1">
          <x14:formula1>
            <xm:f>'Modified Inputs'!$L$15:$L$20</xm:f>
          </x14:formula1>
          <xm:sqref>D14</xm:sqref>
        </x14:dataValidation>
        <x14:dataValidation type="list" allowBlank="1" showInputMessage="1" showErrorMessage="1">
          <x14:formula1>
            <xm:f>'Modified Inputs'!$C$2:$C$28</xm:f>
          </x14:formula1>
          <xm:sqref>C4</xm:sqref>
        </x14:dataValidation>
        <x14:dataValidation type="list" allowBlank="1" showInputMessage="1" showErrorMessage="1">
          <x14:formula1>
            <xm:f>'Modified Inputs'!$G$5:$G$6</xm:f>
          </x14:formula1>
          <xm:sqref>D8</xm:sqref>
        </x14:dataValidation>
        <x14:dataValidation type="list" allowBlank="1" showInputMessage="1" showErrorMessage="1">
          <x14:formula1>
            <xm:f>'Modified Inputs'!$H$8:$H$14</xm:f>
          </x14:formula1>
          <xm:sqref>D11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234"/>
  <sheetViews>
    <sheetView showGridLines="0" showRowColHeaders="0" topLeftCell="C1" workbookViewId="0">
      <selection activeCell="N2" sqref="N2:Q3"/>
    </sheetView>
  </sheetViews>
  <sheetFormatPr defaultRowHeight="15"/>
  <cols>
    <col min="2" max="2" width="20.42578125" bestFit="1" customWidth="1"/>
    <col min="3" max="3" width="18.42578125" bestFit="1" customWidth="1"/>
    <col min="4" max="4" width="18.140625" bestFit="1" customWidth="1"/>
    <col min="5" max="5" width="18.42578125" bestFit="1" customWidth="1"/>
    <col min="6" max="6" width="18.140625" bestFit="1" customWidth="1"/>
    <col min="7" max="7" width="20.140625" customWidth="1"/>
    <col min="8" max="8" width="22.140625" customWidth="1"/>
  </cols>
  <sheetData>
    <row r="2" spans="2:6">
      <c r="B2" s="228" t="s">
        <v>56</v>
      </c>
      <c r="C2" s="229"/>
      <c r="D2" s="229"/>
      <c r="E2" s="229"/>
      <c r="F2" s="230"/>
    </row>
    <row r="3" spans="2:6">
      <c r="B3" s="5" t="s">
        <v>15</v>
      </c>
      <c r="C3" s="5" t="s">
        <v>16</v>
      </c>
      <c r="D3" s="5" t="s">
        <v>54</v>
      </c>
      <c r="E3" s="5" t="s">
        <v>55</v>
      </c>
      <c r="F3" s="13" t="s">
        <v>57</v>
      </c>
    </row>
    <row r="4" spans="2:6">
      <c r="B4" s="6" t="s">
        <v>25</v>
      </c>
      <c r="C4" s="5" t="s">
        <v>21</v>
      </c>
      <c r="D4" s="5">
        <v>0.4</v>
      </c>
      <c r="E4" s="5">
        <v>94.87</v>
      </c>
      <c r="F4" s="4">
        <v>10</v>
      </c>
    </row>
    <row r="5" spans="2:6">
      <c r="B5" s="5"/>
      <c r="C5" s="5"/>
      <c r="D5" s="5">
        <v>0.41</v>
      </c>
      <c r="E5" s="5">
        <v>93.7</v>
      </c>
      <c r="F5" s="4">
        <v>10</v>
      </c>
    </row>
    <row r="6" spans="2:6">
      <c r="B6" s="5"/>
      <c r="C6" s="5"/>
      <c r="D6" s="5">
        <v>0.42</v>
      </c>
      <c r="E6" s="5">
        <v>92.58</v>
      </c>
      <c r="F6" s="4">
        <v>10</v>
      </c>
    </row>
    <row r="7" spans="2:6">
      <c r="B7" s="5"/>
      <c r="C7" s="5"/>
      <c r="D7" s="5">
        <v>0.43</v>
      </c>
      <c r="E7" s="5">
        <v>91.5</v>
      </c>
      <c r="F7" s="4">
        <v>10</v>
      </c>
    </row>
    <row r="8" spans="2:6">
      <c r="B8" s="5"/>
      <c r="C8" s="5"/>
      <c r="D8" s="5">
        <v>0.44</v>
      </c>
      <c r="E8" s="5">
        <v>90.45</v>
      </c>
      <c r="F8" s="4">
        <v>10</v>
      </c>
    </row>
    <row r="9" spans="2:6">
      <c r="B9" s="5"/>
      <c r="C9" s="5"/>
      <c r="D9" s="5">
        <v>0.45</v>
      </c>
      <c r="E9" s="5">
        <v>89.44</v>
      </c>
      <c r="F9" s="4">
        <v>10</v>
      </c>
    </row>
    <row r="10" spans="2:6">
      <c r="B10" s="5"/>
      <c r="C10" s="5"/>
      <c r="D10" s="5">
        <v>0.46</v>
      </c>
      <c r="E10" s="5">
        <v>88.47</v>
      </c>
      <c r="F10" s="4">
        <v>10</v>
      </c>
    </row>
    <row r="11" spans="2:6">
      <c r="B11" s="5"/>
      <c r="C11" s="5"/>
      <c r="D11" s="5">
        <v>0.47</v>
      </c>
      <c r="E11" s="5">
        <v>87.52</v>
      </c>
      <c r="F11" s="4">
        <v>10</v>
      </c>
    </row>
    <row r="12" spans="2:6">
      <c r="B12" s="5"/>
      <c r="C12" s="5"/>
      <c r="D12" s="5">
        <v>0.48</v>
      </c>
      <c r="E12" s="5">
        <v>86.6</v>
      </c>
      <c r="F12" s="4">
        <v>10</v>
      </c>
    </row>
    <row r="13" spans="2:6">
      <c r="B13" s="5"/>
      <c r="C13" s="5"/>
      <c r="D13" s="5">
        <v>0.49</v>
      </c>
      <c r="E13" s="5">
        <v>85.71</v>
      </c>
      <c r="F13" s="4">
        <v>10</v>
      </c>
    </row>
    <row r="14" spans="2:6">
      <c r="B14" s="5"/>
      <c r="C14" s="5"/>
      <c r="D14" s="5">
        <v>0.5</v>
      </c>
      <c r="E14" s="5">
        <v>84.85</v>
      </c>
      <c r="F14" s="4">
        <v>10</v>
      </c>
    </row>
    <row r="15" spans="2:6">
      <c r="B15" s="5"/>
      <c r="C15" s="5"/>
      <c r="D15" s="5">
        <v>0.50999999999999901</v>
      </c>
      <c r="E15" s="5">
        <v>84.02</v>
      </c>
      <c r="F15" s="4">
        <v>10</v>
      </c>
    </row>
    <row r="16" spans="2:6">
      <c r="B16" s="5"/>
      <c r="C16" s="5"/>
      <c r="D16" s="5">
        <v>0.51999999999999902</v>
      </c>
      <c r="E16" s="5">
        <v>83.21</v>
      </c>
      <c r="F16" s="4">
        <v>10</v>
      </c>
    </row>
    <row r="17" spans="2:6">
      <c r="B17" s="5"/>
      <c r="C17" s="5"/>
      <c r="D17" s="5">
        <v>0.52999999999999903</v>
      </c>
      <c r="E17" s="5">
        <v>82.42</v>
      </c>
      <c r="F17" s="4">
        <v>10</v>
      </c>
    </row>
    <row r="18" spans="2:6">
      <c r="B18" s="5"/>
      <c r="C18" s="5"/>
      <c r="D18" s="5">
        <v>0.53999999999999904</v>
      </c>
      <c r="E18" s="5">
        <v>81.650000000000006</v>
      </c>
      <c r="F18" s="4">
        <v>10</v>
      </c>
    </row>
    <row r="19" spans="2:6">
      <c r="B19" s="5"/>
      <c r="C19" s="5"/>
      <c r="D19" s="5">
        <v>0.54999999999999905</v>
      </c>
      <c r="E19" s="5">
        <v>80.900000000000006</v>
      </c>
      <c r="F19" s="4">
        <v>10</v>
      </c>
    </row>
    <row r="20" spans="2:6">
      <c r="B20" s="5"/>
      <c r="C20" s="5"/>
      <c r="D20" s="5">
        <v>0.55999999999999905</v>
      </c>
      <c r="E20" s="5">
        <v>80.180000000000007</v>
      </c>
      <c r="F20" s="4">
        <v>10</v>
      </c>
    </row>
    <row r="21" spans="2:6">
      <c r="B21" s="5"/>
      <c r="C21" s="5"/>
      <c r="D21" s="5">
        <v>0.56999999999999895</v>
      </c>
      <c r="E21" s="5">
        <v>79.47</v>
      </c>
      <c r="F21" s="4">
        <v>10</v>
      </c>
    </row>
    <row r="22" spans="2:6">
      <c r="B22" s="5"/>
      <c r="C22" s="5"/>
      <c r="D22" s="5">
        <v>0.57999999999999896</v>
      </c>
      <c r="E22" s="5">
        <v>78.78</v>
      </c>
      <c r="F22" s="4">
        <v>10</v>
      </c>
    </row>
    <row r="23" spans="2:6">
      <c r="B23" s="5"/>
      <c r="C23" s="5"/>
      <c r="D23" s="5">
        <v>0.58999999999999897</v>
      </c>
      <c r="E23" s="5">
        <v>78.11</v>
      </c>
      <c r="F23" s="4">
        <v>10</v>
      </c>
    </row>
    <row r="24" spans="2:6">
      <c r="B24" s="5"/>
      <c r="C24" s="5"/>
      <c r="D24" s="5">
        <v>0.59999999999999898</v>
      </c>
      <c r="E24" s="5">
        <v>77.459999999999994</v>
      </c>
      <c r="F24" s="4">
        <v>10</v>
      </c>
    </row>
    <row r="25" spans="2:6">
      <c r="B25" s="5"/>
      <c r="C25" s="5"/>
      <c r="D25" s="5">
        <v>0.60999999999999899</v>
      </c>
      <c r="E25" s="5">
        <v>76.819999999999993</v>
      </c>
      <c r="F25" s="4">
        <v>10</v>
      </c>
    </row>
    <row r="26" spans="2:6">
      <c r="B26" s="5"/>
      <c r="C26" s="5"/>
      <c r="D26" s="5">
        <v>0.619999999999999</v>
      </c>
      <c r="E26" s="5">
        <v>76.2</v>
      </c>
      <c r="F26" s="4">
        <v>10</v>
      </c>
    </row>
    <row r="27" spans="2:6">
      <c r="B27" s="5"/>
      <c r="C27" s="5"/>
      <c r="D27" s="5">
        <v>0.62999999999999901</v>
      </c>
      <c r="E27" s="5">
        <v>75.59</v>
      </c>
      <c r="F27" s="4">
        <v>10</v>
      </c>
    </row>
    <row r="28" spans="2:6">
      <c r="B28" s="5"/>
      <c r="C28" s="5"/>
      <c r="D28" s="5">
        <v>0.63999999999999901</v>
      </c>
      <c r="E28" s="5">
        <v>75</v>
      </c>
      <c r="F28" s="4">
        <v>10</v>
      </c>
    </row>
    <row r="29" spans="2:6">
      <c r="B29" s="5"/>
      <c r="C29" s="5"/>
      <c r="D29" s="5">
        <v>0.64999999999999902</v>
      </c>
      <c r="E29" s="5">
        <v>74.42</v>
      </c>
      <c r="F29" s="4">
        <v>10</v>
      </c>
    </row>
    <row r="30" spans="2:6">
      <c r="B30" s="5"/>
      <c r="C30" s="5"/>
      <c r="D30" s="5">
        <v>0.65999999999999903</v>
      </c>
      <c r="E30" s="5">
        <v>73.849999999999994</v>
      </c>
      <c r="F30" s="4">
        <v>10</v>
      </c>
    </row>
    <row r="31" spans="2:6">
      <c r="B31" s="5"/>
      <c r="C31" s="5"/>
      <c r="D31" s="5">
        <v>0.66999999999999904</v>
      </c>
      <c r="E31" s="5">
        <v>73.3</v>
      </c>
      <c r="F31" s="4">
        <v>10</v>
      </c>
    </row>
    <row r="32" spans="2:6">
      <c r="B32" s="5"/>
      <c r="C32" s="5"/>
      <c r="D32" s="5">
        <v>0.67999999999999905</v>
      </c>
      <c r="E32" s="5">
        <v>72.760000000000005</v>
      </c>
      <c r="F32" s="4">
        <v>10</v>
      </c>
    </row>
    <row r="33" spans="2:6">
      <c r="B33" s="5"/>
      <c r="C33" s="5"/>
      <c r="D33" s="5">
        <v>0.68999999999999895</v>
      </c>
      <c r="E33" s="5">
        <v>72.23</v>
      </c>
      <c r="F33" s="4">
        <v>10</v>
      </c>
    </row>
    <row r="34" spans="2:6">
      <c r="B34" s="5"/>
      <c r="C34" s="5"/>
      <c r="D34" s="5">
        <v>0.69999999999999896</v>
      </c>
      <c r="E34" s="5">
        <v>71.709999999999994</v>
      </c>
      <c r="F34" s="4">
        <v>10</v>
      </c>
    </row>
    <row r="35" spans="2:6">
      <c r="B35" s="5"/>
      <c r="C35" s="5"/>
      <c r="D35" s="5">
        <v>0.70999999999999897</v>
      </c>
      <c r="E35" s="5">
        <v>71.209999999999994</v>
      </c>
      <c r="F35" s="4">
        <v>10</v>
      </c>
    </row>
    <row r="36" spans="2:6">
      <c r="B36" s="5"/>
      <c r="C36" s="5"/>
      <c r="D36" s="5">
        <v>0.71999999999999897</v>
      </c>
      <c r="E36" s="5">
        <v>70.709999999999994</v>
      </c>
      <c r="F36" s="4">
        <v>10</v>
      </c>
    </row>
    <row r="37" spans="2:6">
      <c r="B37" s="5"/>
      <c r="C37" s="5"/>
      <c r="D37" s="5">
        <v>0.72999999999999798</v>
      </c>
      <c r="E37" s="5">
        <v>70.22</v>
      </c>
      <c r="F37" s="4">
        <v>10</v>
      </c>
    </row>
    <row r="38" spans="2:6">
      <c r="B38" s="5"/>
      <c r="C38" s="5"/>
      <c r="D38" s="5">
        <v>0.73999999999999799</v>
      </c>
      <c r="E38" s="5">
        <v>69.75</v>
      </c>
      <c r="F38" s="4">
        <v>10</v>
      </c>
    </row>
    <row r="39" spans="2:6">
      <c r="B39" s="5"/>
      <c r="C39" s="5"/>
      <c r="D39" s="5">
        <v>0.749999999999998</v>
      </c>
      <c r="E39" s="5">
        <v>69.28</v>
      </c>
      <c r="F39" s="4">
        <v>10</v>
      </c>
    </row>
    <row r="40" spans="2:6">
      <c r="B40" s="5"/>
      <c r="C40" s="5"/>
      <c r="D40" s="5">
        <v>0.75999999999999801</v>
      </c>
      <c r="E40" s="5">
        <v>68.819999999999993</v>
      </c>
      <c r="F40" s="4">
        <v>10</v>
      </c>
    </row>
    <row r="41" spans="2:6">
      <c r="B41" s="5"/>
      <c r="C41" s="5"/>
      <c r="D41" s="5">
        <v>0.76999999999999802</v>
      </c>
      <c r="E41" s="5">
        <v>68.38</v>
      </c>
      <c r="F41" s="4">
        <v>10</v>
      </c>
    </row>
    <row r="42" spans="2:6">
      <c r="B42" s="5"/>
      <c r="C42" s="5"/>
      <c r="D42" s="5">
        <v>0.77999999999999803</v>
      </c>
      <c r="E42" s="5">
        <v>67.94</v>
      </c>
      <c r="F42" s="4">
        <v>10</v>
      </c>
    </row>
    <row r="43" spans="2:6">
      <c r="B43" s="5"/>
      <c r="C43" s="5"/>
      <c r="D43" s="5">
        <v>0.78999999999999804</v>
      </c>
      <c r="E43" s="5">
        <v>67.510000000000005</v>
      </c>
      <c r="F43" s="4">
        <v>10</v>
      </c>
    </row>
    <row r="44" spans="2:6">
      <c r="B44" s="5"/>
      <c r="C44" s="5"/>
      <c r="D44" s="5">
        <v>0.79999999999999805</v>
      </c>
      <c r="E44" s="5">
        <v>67.08</v>
      </c>
      <c r="F44" s="4">
        <v>10</v>
      </c>
    </row>
    <row r="45" spans="2:6">
      <c r="B45" s="5"/>
      <c r="C45" s="5"/>
      <c r="D45" s="5">
        <v>0.80999999999999805</v>
      </c>
      <c r="E45" s="5">
        <v>66.67</v>
      </c>
      <c r="F45" s="4">
        <v>10</v>
      </c>
    </row>
    <row r="46" spans="2:6">
      <c r="B46" s="5"/>
      <c r="C46" s="5"/>
      <c r="D46" s="5">
        <v>0.81999999999999795</v>
      </c>
      <c r="E46" s="5">
        <v>66.260000000000005</v>
      </c>
      <c r="F46" s="4">
        <v>10</v>
      </c>
    </row>
    <row r="47" spans="2:6">
      <c r="B47" s="5"/>
      <c r="C47" s="5"/>
      <c r="D47" s="5">
        <v>0.82999999999999796</v>
      </c>
      <c r="E47" s="5">
        <v>65.86</v>
      </c>
      <c r="F47" s="4">
        <v>10</v>
      </c>
    </row>
    <row r="48" spans="2:6">
      <c r="B48" s="5"/>
      <c r="C48" s="5"/>
      <c r="D48" s="5">
        <v>0.83999999999999797</v>
      </c>
      <c r="E48" s="5">
        <v>65.47</v>
      </c>
      <c r="F48" s="4">
        <v>10</v>
      </c>
    </row>
    <row r="49" spans="2:6">
      <c r="B49" s="5"/>
      <c r="C49" s="5"/>
      <c r="D49" s="5">
        <v>0.84999999999999798</v>
      </c>
      <c r="E49" s="5">
        <v>65.08</v>
      </c>
      <c r="F49" s="4">
        <v>10</v>
      </c>
    </row>
    <row r="50" spans="2:6">
      <c r="B50" s="5"/>
      <c r="C50" s="5"/>
      <c r="D50" s="5">
        <v>0.85999999999999799</v>
      </c>
      <c r="E50" s="5">
        <v>64.7</v>
      </c>
      <c r="F50" s="4">
        <v>10</v>
      </c>
    </row>
    <row r="51" spans="2:6">
      <c r="B51" s="5"/>
      <c r="C51" s="5"/>
      <c r="D51" s="5">
        <v>0.869999999999998</v>
      </c>
      <c r="E51" s="5">
        <v>64.33</v>
      </c>
      <c r="F51" s="4">
        <v>10</v>
      </c>
    </row>
    <row r="52" spans="2:6">
      <c r="B52" s="5"/>
      <c r="C52" s="5"/>
      <c r="D52" s="5">
        <v>0.87999999999999801</v>
      </c>
      <c r="E52" s="5">
        <v>63.96</v>
      </c>
      <c r="F52" s="4">
        <v>10</v>
      </c>
    </row>
    <row r="53" spans="2:6">
      <c r="B53" s="5"/>
      <c r="C53" s="5"/>
      <c r="D53" s="5">
        <v>0.88999999999999801</v>
      </c>
      <c r="E53" s="5">
        <v>63.6</v>
      </c>
      <c r="F53" s="4">
        <v>10</v>
      </c>
    </row>
    <row r="54" spans="2:6">
      <c r="B54" s="5"/>
      <c r="C54" s="5"/>
      <c r="D54" s="5">
        <v>0.89999999999999802</v>
      </c>
      <c r="E54" s="5">
        <v>63.25</v>
      </c>
      <c r="F54" s="4">
        <v>10</v>
      </c>
    </row>
    <row r="55" spans="2:6">
      <c r="B55" s="5"/>
      <c r="C55" s="5"/>
      <c r="D55" s="5">
        <v>0.90999999999999803</v>
      </c>
      <c r="E55" s="5">
        <v>62.9</v>
      </c>
      <c r="F55" s="4">
        <v>10</v>
      </c>
    </row>
    <row r="56" spans="2:6">
      <c r="B56" s="5"/>
      <c r="C56" s="5"/>
      <c r="D56" s="5">
        <v>0.91999999999999804</v>
      </c>
      <c r="E56" s="5">
        <v>62.55</v>
      </c>
      <c r="F56" s="4">
        <v>10</v>
      </c>
    </row>
    <row r="57" spans="2:6">
      <c r="B57" s="5"/>
      <c r="C57" s="5"/>
      <c r="D57" s="5">
        <v>0.92999999999999805</v>
      </c>
      <c r="E57" s="5">
        <v>62.22</v>
      </c>
      <c r="F57" s="4">
        <v>8</v>
      </c>
    </row>
    <row r="58" spans="2:6">
      <c r="B58" s="5"/>
      <c r="C58" s="5"/>
      <c r="D58" s="5">
        <v>0.93999999999999695</v>
      </c>
      <c r="E58" s="5">
        <v>61.89</v>
      </c>
      <c r="F58" s="4">
        <v>8</v>
      </c>
    </row>
    <row r="59" spans="2:6">
      <c r="B59" s="5"/>
      <c r="C59" s="5"/>
      <c r="D59" s="5">
        <v>0.94999999999999696</v>
      </c>
      <c r="E59" s="5">
        <v>61.56</v>
      </c>
      <c r="F59" s="4">
        <v>8</v>
      </c>
    </row>
    <row r="60" spans="2:6">
      <c r="B60" s="5"/>
      <c r="C60" s="5"/>
      <c r="D60" s="5">
        <v>0.95999999999999697</v>
      </c>
      <c r="E60" s="5">
        <v>61.24</v>
      </c>
      <c r="F60" s="4">
        <v>8</v>
      </c>
    </row>
    <row r="61" spans="2:6">
      <c r="B61" s="5"/>
      <c r="C61" s="5"/>
      <c r="D61" s="5">
        <v>0.96999999999999698</v>
      </c>
      <c r="E61" s="5">
        <v>60.92</v>
      </c>
      <c r="F61" s="4">
        <v>8</v>
      </c>
    </row>
    <row r="62" spans="2:6">
      <c r="B62" s="5"/>
      <c r="C62" s="5"/>
      <c r="D62" s="5">
        <v>0.97999999999999698</v>
      </c>
      <c r="E62" s="5">
        <v>60.61</v>
      </c>
      <c r="F62" s="4">
        <v>8</v>
      </c>
    </row>
    <row r="63" spans="2:6">
      <c r="B63" s="5"/>
      <c r="C63" s="5"/>
      <c r="D63" s="5">
        <v>0.98999999999999699</v>
      </c>
      <c r="E63" s="5">
        <v>60.3</v>
      </c>
      <c r="F63" s="4">
        <v>8</v>
      </c>
    </row>
    <row r="64" spans="2:6">
      <c r="B64" s="5"/>
      <c r="C64" s="5"/>
      <c r="D64" s="5">
        <v>0.999999999999997</v>
      </c>
      <c r="E64" s="5">
        <v>60</v>
      </c>
      <c r="F64" s="4">
        <v>8</v>
      </c>
    </row>
    <row r="65" spans="2:6">
      <c r="B65" s="7"/>
      <c r="C65" s="7"/>
      <c r="D65" s="5">
        <v>1.01</v>
      </c>
      <c r="E65" s="4">
        <v>59.7</v>
      </c>
      <c r="F65" s="4">
        <v>8</v>
      </c>
    </row>
    <row r="66" spans="2:6">
      <c r="B66" s="7"/>
      <c r="C66" s="7"/>
      <c r="D66" s="5">
        <v>1.02</v>
      </c>
      <c r="E66" s="4">
        <v>59.41</v>
      </c>
      <c r="F66" s="4">
        <v>8</v>
      </c>
    </row>
    <row r="67" spans="2:6">
      <c r="B67" s="7"/>
      <c r="C67" s="7"/>
      <c r="D67" s="5">
        <v>1.03</v>
      </c>
      <c r="E67" s="4">
        <v>59.12</v>
      </c>
      <c r="F67" s="4">
        <v>8</v>
      </c>
    </row>
    <row r="68" spans="2:6">
      <c r="B68" s="7"/>
      <c r="C68" s="7"/>
      <c r="D68" s="5">
        <v>1.04</v>
      </c>
      <c r="E68" s="4">
        <v>58.83</v>
      </c>
      <c r="F68" s="4">
        <v>8</v>
      </c>
    </row>
    <row r="69" spans="2:6">
      <c r="B69" s="7"/>
      <c r="C69" s="7"/>
      <c r="D69" s="5">
        <v>1.05</v>
      </c>
      <c r="E69" s="4">
        <v>58.55</v>
      </c>
      <c r="F69" s="4">
        <v>8</v>
      </c>
    </row>
    <row r="70" spans="2:6">
      <c r="B70" s="7"/>
      <c r="C70" s="7"/>
      <c r="D70" s="5">
        <v>1.06</v>
      </c>
      <c r="E70" s="4">
        <v>58.28</v>
      </c>
      <c r="F70" s="4">
        <v>8</v>
      </c>
    </row>
    <row r="71" spans="2:6">
      <c r="B71" s="7"/>
      <c r="C71" s="7"/>
      <c r="D71" s="5">
        <v>1.07</v>
      </c>
      <c r="E71" s="4">
        <v>58</v>
      </c>
      <c r="F71" s="4">
        <v>8</v>
      </c>
    </row>
    <row r="72" spans="2:6">
      <c r="B72" s="7"/>
      <c r="C72" s="7"/>
      <c r="D72" s="5">
        <v>1.08</v>
      </c>
      <c r="E72" s="4">
        <v>57.74</v>
      </c>
      <c r="F72" s="4">
        <v>8</v>
      </c>
    </row>
    <row r="73" spans="2:6">
      <c r="B73" s="7"/>
      <c r="C73" s="7"/>
      <c r="D73" s="5">
        <v>1.0900000000000001</v>
      </c>
      <c r="E73" s="4">
        <v>57.47</v>
      </c>
      <c r="F73" s="4">
        <v>8</v>
      </c>
    </row>
    <row r="74" spans="2:6">
      <c r="B74" s="7"/>
      <c r="C74" s="7"/>
      <c r="D74" s="5">
        <v>1.1000000000000001</v>
      </c>
      <c r="E74" s="4">
        <v>57.21</v>
      </c>
      <c r="F74" s="4">
        <v>8</v>
      </c>
    </row>
    <row r="75" spans="2:6">
      <c r="B75" s="7"/>
      <c r="C75" s="7"/>
      <c r="D75" s="5">
        <v>1.1100000000000001</v>
      </c>
      <c r="E75" s="4">
        <v>56.95</v>
      </c>
      <c r="F75" s="4">
        <v>8</v>
      </c>
    </row>
    <row r="76" spans="2:6">
      <c r="B76" s="7"/>
      <c r="C76" s="7"/>
      <c r="D76" s="5">
        <v>1.1200000000000001</v>
      </c>
      <c r="E76" s="4">
        <v>56.69</v>
      </c>
      <c r="F76" s="4">
        <v>8</v>
      </c>
    </row>
    <row r="77" spans="2:6">
      <c r="B77" s="7"/>
      <c r="C77" s="7"/>
      <c r="D77" s="5">
        <v>1.1299999999999999</v>
      </c>
      <c r="E77" s="4">
        <v>56.44</v>
      </c>
      <c r="F77" s="4">
        <v>8</v>
      </c>
    </row>
    <row r="78" spans="2:6">
      <c r="B78" s="7"/>
      <c r="C78" s="7"/>
      <c r="D78" s="5">
        <v>1.1399999999999999</v>
      </c>
      <c r="E78" s="4">
        <v>56.2</v>
      </c>
      <c r="F78" s="4">
        <v>8</v>
      </c>
    </row>
    <row r="79" spans="2:6">
      <c r="B79" s="7"/>
      <c r="C79" s="7"/>
      <c r="D79" s="5">
        <v>1.1499999999999999</v>
      </c>
      <c r="E79" s="4">
        <v>55.95</v>
      </c>
      <c r="F79" s="4">
        <v>8</v>
      </c>
    </row>
    <row r="80" spans="2:6">
      <c r="B80" s="7"/>
      <c r="C80" s="7"/>
      <c r="D80" s="5">
        <v>1.1599999999999999</v>
      </c>
      <c r="E80" s="4">
        <v>55.71</v>
      </c>
      <c r="F80" s="4">
        <v>8</v>
      </c>
    </row>
    <row r="81" spans="2:6">
      <c r="B81" s="7"/>
      <c r="C81" s="7"/>
      <c r="D81" s="5">
        <v>1.17</v>
      </c>
      <c r="E81" s="4">
        <v>55.47</v>
      </c>
      <c r="F81" s="4">
        <v>8</v>
      </c>
    </row>
    <row r="82" spans="2:6">
      <c r="B82" s="7"/>
      <c r="C82" s="7"/>
      <c r="D82" s="5">
        <v>1.18</v>
      </c>
      <c r="E82" s="4">
        <v>55.23</v>
      </c>
      <c r="F82" s="4">
        <v>8</v>
      </c>
    </row>
    <row r="83" spans="2:6">
      <c r="B83" s="7"/>
      <c r="C83" s="7"/>
      <c r="D83" s="5">
        <v>1.19</v>
      </c>
      <c r="E83" s="4">
        <v>55</v>
      </c>
      <c r="F83" s="4">
        <v>8</v>
      </c>
    </row>
    <row r="84" spans="2:6">
      <c r="B84" s="7"/>
      <c r="C84" s="7"/>
      <c r="D84" s="5">
        <v>1.2</v>
      </c>
      <c r="E84" s="4">
        <v>54.77</v>
      </c>
      <c r="F84" s="4">
        <v>8</v>
      </c>
    </row>
    <row r="85" spans="2:6">
      <c r="B85" s="7"/>
      <c r="C85" s="7"/>
      <c r="D85" s="5">
        <v>1.21</v>
      </c>
      <c r="E85" s="4">
        <v>54.55</v>
      </c>
      <c r="F85" s="4">
        <v>8</v>
      </c>
    </row>
    <row r="86" spans="2:6">
      <c r="B86" s="7"/>
      <c r="C86" s="7"/>
      <c r="D86" s="5">
        <v>1.22</v>
      </c>
      <c r="E86" s="4">
        <v>54.32</v>
      </c>
      <c r="F86" s="4">
        <v>8</v>
      </c>
    </row>
    <row r="87" spans="2:6">
      <c r="B87" s="7"/>
      <c r="C87" s="7"/>
      <c r="D87" s="5">
        <v>1.23</v>
      </c>
      <c r="E87" s="4">
        <v>54.1</v>
      </c>
      <c r="F87" s="4">
        <v>8</v>
      </c>
    </row>
    <row r="88" spans="2:6">
      <c r="B88" s="7"/>
      <c r="C88" s="7"/>
      <c r="D88" s="5">
        <v>1.24</v>
      </c>
      <c r="E88" s="4">
        <v>53.88</v>
      </c>
      <c r="F88" s="4">
        <v>8</v>
      </c>
    </row>
    <row r="89" spans="2:6">
      <c r="B89" s="7"/>
      <c r="C89" s="7"/>
      <c r="D89" s="5">
        <v>1.25</v>
      </c>
      <c r="E89" s="4">
        <v>53.67</v>
      </c>
      <c r="F89" s="4">
        <v>8</v>
      </c>
    </row>
    <row r="90" spans="2:6">
      <c r="B90" s="7"/>
      <c r="C90" s="7"/>
      <c r="D90" s="5">
        <v>1.26</v>
      </c>
      <c r="E90" s="4">
        <v>53.45</v>
      </c>
      <c r="F90" s="4">
        <v>8</v>
      </c>
    </row>
    <row r="91" spans="2:6">
      <c r="B91" s="7"/>
      <c r="C91" s="7"/>
      <c r="D91" s="5">
        <v>1.27</v>
      </c>
      <c r="E91" s="4">
        <v>53.24</v>
      </c>
      <c r="F91" s="4">
        <v>8</v>
      </c>
    </row>
    <row r="92" spans="2:6">
      <c r="B92" s="7"/>
      <c r="C92" s="7"/>
      <c r="D92" s="5">
        <v>1.28</v>
      </c>
      <c r="E92" s="4">
        <v>53.03</v>
      </c>
      <c r="F92" s="4">
        <v>8</v>
      </c>
    </row>
    <row r="93" spans="2:6">
      <c r="B93" s="7"/>
      <c r="C93" s="7"/>
      <c r="D93" s="5">
        <v>1.29</v>
      </c>
      <c r="E93" s="4">
        <v>52.83</v>
      </c>
      <c r="F93" s="4">
        <v>8</v>
      </c>
    </row>
    <row r="94" spans="2:6">
      <c r="B94" s="7"/>
      <c r="C94" s="7"/>
      <c r="D94" s="5">
        <v>1.3</v>
      </c>
      <c r="E94" s="4">
        <v>52.62</v>
      </c>
      <c r="F94" s="4">
        <v>8</v>
      </c>
    </row>
    <row r="95" spans="2:6">
      <c r="B95" s="7"/>
      <c r="C95" s="7"/>
      <c r="D95" s="5">
        <v>1.31</v>
      </c>
      <c r="E95" s="4">
        <v>52.42</v>
      </c>
      <c r="F95" s="4">
        <v>8</v>
      </c>
    </row>
    <row r="96" spans="2:6">
      <c r="B96" s="7"/>
      <c r="C96" s="7"/>
      <c r="D96" s="5">
        <v>1.32</v>
      </c>
      <c r="E96" s="4">
        <v>52.22</v>
      </c>
      <c r="F96" s="4">
        <v>8</v>
      </c>
    </row>
    <row r="97" spans="2:6">
      <c r="B97" s="7"/>
      <c r="C97" s="7"/>
      <c r="D97" s="5">
        <v>1.33</v>
      </c>
      <c r="E97" s="4">
        <v>52.03</v>
      </c>
      <c r="F97" s="4">
        <v>8</v>
      </c>
    </row>
    <row r="98" spans="2:6">
      <c r="B98" s="7"/>
      <c r="C98" s="7"/>
      <c r="D98" s="5">
        <v>1.34</v>
      </c>
      <c r="E98" s="4">
        <v>51.83</v>
      </c>
      <c r="F98" s="4">
        <v>8</v>
      </c>
    </row>
    <row r="99" spans="2:6">
      <c r="B99" s="7"/>
      <c r="C99" s="7"/>
      <c r="D99" s="5">
        <v>1.35</v>
      </c>
      <c r="E99" s="4">
        <v>51.64</v>
      </c>
      <c r="F99" s="4">
        <v>8</v>
      </c>
    </row>
    <row r="100" spans="2:6">
      <c r="B100" s="7"/>
      <c r="C100" s="7"/>
      <c r="D100" s="5">
        <v>1.36</v>
      </c>
      <c r="E100" s="4">
        <v>51.45</v>
      </c>
      <c r="F100" s="4">
        <v>8</v>
      </c>
    </row>
    <row r="101" spans="2:6">
      <c r="B101" s="7"/>
      <c r="C101" s="7"/>
      <c r="D101" s="5">
        <v>1.37</v>
      </c>
      <c r="E101" s="4">
        <v>51.26</v>
      </c>
      <c r="F101" s="4">
        <v>8</v>
      </c>
    </row>
    <row r="102" spans="2:6">
      <c r="B102" s="7"/>
      <c r="C102" s="7"/>
      <c r="D102" s="5">
        <v>1.38</v>
      </c>
      <c r="E102" s="4">
        <v>51.08</v>
      </c>
      <c r="F102" s="4">
        <v>8</v>
      </c>
    </row>
    <row r="103" spans="2:6">
      <c r="B103" s="7"/>
      <c r="C103" s="7"/>
      <c r="D103" s="5">
        <v>1.39</v>
      </c>
      <c r="E103" s="4">
        <v>50.89</v>
      </c>
      <c r="F103" s="4">
        <v>6</v>
      </c>
    </row>
    <row r="104" spans="2:6">
      <c r="B104" s="7"/>
      <c r="C104" s="7"/>
      <c r="D104" s="5">
        <v>1.4</v>
      </c>
      <c r="E104" s="4">
        <v>50.71</v>
      </c>
      <c r="F104" s="4">
        <v>6</v>
      </c>
    </row>
    <row r="105" spans="2:6">
      <c r="B105" s="7"/>
      <c r="C105" s="7"/>
      <c r="D105" s="5">
        <v>1.41</v>
      </c>
      <c r="E105" s="4">
        <v>50.53</v>
      </c>
      <c r="F105" s="4">
        <v>6</v>
      </c>
    </row>
    <row r="106" spans="2:6">
      <c r="B106" s="7"/>
      <c r="C106" s="7"/>
      <c r="D106" s="5">
        <v>1.42</v>
      </c>
      <c r="E106" s="4">
        <v>50.35</v>
      </c>
      <c r="F106" s="4">
        <v>6</v>
      </c>
    </row>
    <row r="107" spans="2:6">
      <c r="B107" s="7"/>
      <c r="C107" s="7"/>
      <c r="D107" s="5">
        <v>1.43</v>
      </c>
      <c r="E107" s="4">
        <v>50.17</v>
      </c>
      <c r="F107" s="4">
        <v>6</v>
      </c>
    </row>
    <row r="108" spans="2:6">
      <c r="B108" s="7"/>
      <c r="C108" s="7"/>
      <c r="D108" s="5">
        <v>1.44</v>
      </c>
      <c r="E108" s="4">
        <v>50</v>
      </c>
      <c r="F108" s="4">
        <v>6</v>
      </c>
    </row>
    <row r="109" spans="2:6">
      <c r="B109" s="7"/>
      <c r="C109" s="7"/>
      <c r="D109" s="5">
        <v>1.45</v>
      </c>
      <c r="E109" s="4">
        <v>49.83</v>
      </c>
      <c r="F109" s="4">
        <v>6</v>
      </c>
    </row>
    <row r="110" spans="2:6">
      <c r="B110" s="7"/>
      <c r="C110" s="7"/>
      <c r="D110" s="5">
        <v>1.46</v>
      </c>
      <c r="E110" s="4">
        <v>49.66</v>
      </c>
      <c r="F110" s="4">
        <v>6</v>
      </c>
    </row>
    <row r="111" spans="2:6">
      <c r="B111" s="7"/>
      <c r="C111" s="7"/>
      <c r="D111" s="5">
        <v>1.46999999999999</v>
      </c>
      <c r="E111" s="4">
        <v>49.49</v>
      </c>
      <c r="F111" s="4">
        <v>6</v>
      </c>
    </row>
    <row r="112" spans="2:6">
      <c r="B112" s="7"/>
      <c r="C112" s="7"/>
      <c r="D112" s="5">
        <v>1.47999999999999</v>
      </c>
      <c r="E112" s="4">
        <v>49.32</v>
      </c>
      <c r="F112" s="4">
        <v>6</v>
      </c>
    </row>
    <row r="113" spans="2:6">
      <c r="B113" s="7"/>
      <c r="C113" s="7"/>
      <c r="D113" s="5">
        <v>1.48999999999999</v>
      </c>
      <c r="E113" s="4">
        <v>49.15</v>
      </c>
      <c r="F113" s="4">
        <v>6</v>
      </c>
    </row>
    <row r="114" spans="2:6">
      <c r="B114" s="7"/>
      <c r="C114" s="7"/>
      <c r="D114" s="5">
        <v>1.49999999999999</v>
      </c>
      <c r="E114" s="4">
        <v>48.99</v>
      </c>
      <c r="F114" s="4">
        <v>6</v>
      </c>
    </row>
    <row r="121" spans="2:6">
      <c r="B121" s="14" t="s">
        <v>56</v>
      </c>
      <c r="C121" s="15"/>
      <c r="D121" s="15"/>
      <c r="E121" s="15"/>
      <c r="F121" s="16"/>
    </row>
    <row r="122" spans="2:6">
      <c r="B122" s="5" t="s">
        <v>54</v>
      </c>
      <c r="C122" s="6" t="s">
        <v>22</v>
      </c>
      <c r="D122" s="5" t="s">
        <v>18</v>
      </c>
    </row>
    <row r="123" spans="2:6">
      <c r="B123" s="5"/>
      <c r="C123" s="5" t="s">
        <v>55</v>
      </c>
      <c r="D123" s="13" t="s">
        <v>57</v>
      </c>
    </row>
    <row r="124" spans="2:6">
      <c r="B124" s="5">
        <v>0.4</v>
      </c>
      <c r="C124" s="5">
        <v>1.2649999999999999</v>
      </c>
      <c r="D124" s="4">
        <v>0.15</v>
      </c>
    </row>
    <row r="125" spans="2:6">
      <c r="B125" s="5">
        <v>0.41</v>
      </c>
      <c r="C125" s="5">
        <v>1.2490000000000001</v>
      </c>
      <c r="D125" s="4"/>
    </row>
    <row r="126" spans="2:6">
      <c r="B126" s="5">
        <v>0.42</v>
      </c>
      <c r="C126" s="5">
        <v>1.234</v>
      </c>
      <c r="D126" s="4"/>
    </row>
    <row r="127" spans="2:6">
      <c r="B127" s="5">
        <v>0.43</v>
      </c>
      <c r="C127" s="5">
        <v>1.22</v>
      </c>
      <c r="D127" s="4"/>
    </row>
    <row r="128" spans="2:6">
      <c r="B128" s="5">
        <v>0.44</v>
      </c>
      <c r="C128" s="5">
        <v>1.206</v>
      </c>
      <c r="D128" s="4"/>
    </row>
    <row r="129" spans="2:4">
      <c r="B129" s="5">
        <v>0.45</v>
      </c>
      <c r="C129" s="5">
        <v>1.1930000000000001</v>
      </c>
      <c r="D129" s="4"/>
    </row>
    <row r="130" spans="2:4">
      <c r="B130" s="5">
        <v>0.46</v>
      </c>
      <c r="C130" s="5">
        <v>1.18</v>
      </c>
      <c r="D130" s="4"/>
    </row>
    <row r="131" spans="2:4">
      <c r="B131" s="5">
        <v>0.47</v>
      </c>
      <c r="C131" s="5">
        <v>1.167</v>
      </c>
      <c r="D131" s="4"/>
    </row>
    <row r="132" spans="2:4">
      <c r="B132" s="5">
        <v>0.48</v>
      </c>
      <c r="C132" s="5">
        <v>1.155</v>
      </c>
      <c r="D132" s="4"/>
    </row>
    <row r="133" spans="2:4">
      <c r="B133" s="5">
        <v>0.49</v>
      </c>
      <c r="C133" s="5">
        <v>1.143</v>
      </c>
      <c r="D133" s="4"/>
    </row>
    <row r="134" spans="2:4">
      <c r="B134" s="5">
        <v>0.5</v>
      </c>
      <c r="C134" s="5">
        <v>1.131</v>
      </c>
      <c r="D134" s="4"/>
    </row>
    <row r="135" spans="2:4">
      <c r="B135" s="5">
        <v>0.50999999999999901</v>
      </c>
      <c r="C135" s="5">
        <v>1.1200000000000001</v>
      </c>
      <c r="D135" s="4"/>
    </row>
    <row r="136" spans="2:4">
      <c r="B136" s="5">
        <v>0.51999999999999902</v>
      </c>
      <c r="C136" s="5">
        <v>1.109</v>
      </c>
      <c r="D136" s="4"/>
    </row>
    <row r="137" spans="2:4">
      <c r="B137" s="5">
        <v>0.52999999999999903</v>
      </c>
      <c r="C137" s="5">
        <v>1.099</v>
      </c>
      <c r="D137" s="4"/>
    </row>
    <row r="138" spans="2:4">
      <c r="B138" s="5">
        <v>0.53999999999999904</v>
      </c>
      <c r="C138" s="5">
        <v>1.089</v>
      </c>
      <c r="D138" s="4"/>
    </row>
    <row r="139" spans="2:4">
      <c r="B139" s="5">
        <v>0.54999999999999905</v>
      </c>
      <c r="C139" s="5">
        <v>1.079</v>
      </c>
      <c r="D139" s="4"/>
    </row>
    <row r="140" spans="2:4">
      <c r="B140" s="5">
        <v>0.55999999999999905</v>
      </c>
      <c r="C140" s="5">
        <v>1.069</v>
      </c>
      <c r="D140" s="4"/>
    </row>
    <row r="141" spans="2:4">
      <c r="B141" s="5">
        <v>0.56999999999999895</v>
      </c>
      <c r="C141" s="5">
        <v>1.06</v>
      </c>
      <c r="D141" s="4"/>
    </row>
    <row r="142" spans="2:4">
      <c r="B142" s="5">
        <v>0.57999999999999896</v>
      </c>
      <c r="C142" s="5">
        <v>1.05</v>
      </c>
      <c r="D142" s="4"/>
    </row>
    <row r="143" spans="2:4">
      <c r="B143" s="5">
        <v>0.58999999999999897</v>
      </c>
      <c r="C143" s="5">
        <v>1.05</v>
      </c>
      <c r="D143" s="4"/>
    </row>
    <row r="144" spans="2:4">
      <c r="B144" s="5">
        <v>0.59999999999999898</v>
      </c>
      <c r="C144" s="5">
        <v>1.05</v>
      </c>
      <c r="D144" s="4"/>
    </row>
    <row r="145" spans="2:4">
      <c r="B145" s="5">
        <v>0.60999999999999899</v>
      </c>
      <c r="C145" s="5">
        <v>1.024</v>
      </c>
      <c r="D145" s="4">
        <v>0.1</v>
      </c>
    </row>
    <row r="146" spans="2:4">
      <c r="B146" s="5">
        <v>0.619999999999999</v>
      </c>
      <c r="C146" s="5">
        <v>1.016</v>
      </c>
      <c r="D146" s="4"/>
    </row>
    <row r="147" spans="2:4">
      <c r="B147" s="5">
        <v>0.62999999999999901</v>
      </c>
      <c r="C147" s="5">
        <v>1.008</v>
      </c>
      <c r="D147" s="4"/>
    </row>
    <row r="148" spans="2:4">
      <c r="B148" s="5">
        <v>0.63999999999999901</v>
      </c>
      <c r="C148" s="5">
        <v>1</v>
      </c>
      <c r="D148" s="4"/>
    </row>
    <row r="149" spans="2:4">
      <c r="B149" s="5">
        <v>0.64999999999999902</v>
      </c>
      <c r="C149" s="5">
        <v>0.99229999999999996</v>
      </c>
      <c r="D149" s="4"/>
    </row>
    <row r="150" spans="2:4">
      <c r="B150" s="5">
        <v>0.65999999999999903</v>
      </c>
      <c r="C150" s="5">
        <v>0.98470000000000002</v>
      </c>
      <c r="D150" s="4"/>
    </row>
    <row r="151" spans="2:4">
      <c r="B151" s="5">
        <v>0.66999999999999904</v>
      </c>
      <c r="C151" s="5">
        <v>0.97740000000000005</v>
      </c>
      <c r="D151" s="4"/>
    </row>
    <row r="152" spans="2:4">
      <c r="B152" s="5">
        <v>0.67999999999999905</v>
      </c>
      <c r="C152" s="5">
        <v>0.97009999999999996</v>
      </c>
      <c r="D152" s="4"/>
    </row>
    <row r="153" spans="2:4">
      <c r="B153" s="5">
        <v>0.68999999999999895</v>
      </c>
      <c r="C153" s="5">
        <v>0.96309999999999996</v>
      </c>
      <c r="D153" s="4"/>
    </row>
    <row r="154" spans="2:4">
      <c r="B154" s="5">
        <v>0.69999999999999896</v>
      </c>
      <c r="C154" s="5">
        <v>0.95620000000000005</v>
      </c>
      <c r="D154" s="4"/>
    </row>
    <row r="155" spans="2:4">
      <c r="B155" s="5">
        <v>0.70999999999999897</v>
      </c>
      <c r="C155" s="5">
        <v>0.94940000000000002</v>
      </c>
      <c r="D155" s="4"/>
    </row>
    <row r="156" spans="2:4">
      <c r="B156" s="5">
        <v>0.71999999999999897</v>
      </c>
      <c r="C156" s="5">
        <v>0.94279999999999997</v>
      </c>
      <c r="D156" s="4"/>
    </row>
    <row r="157" spans="2:4">
      <c r="B157" s="5">
        <v>0.72999999999999798</v>
      </c>
      <c r="C157" s="5">
        <v>0.93630000000000002</v>
      </c>
      <c r="D157" s="4"/>
    </row>
    <row r="158" spans="2:4">
      <c r="B158" s="5">
        <v>0.73999999999999799</v>
      </c>
      <c r="C158" s="5">
        <v>0.93</v>
      </c>
      <c r="D158" s="4"/>
    </row>
    <row r="159" spans="2:4">
      <c r="B159" s="5">
        <v>0.749999999999998</v>
      </c>
      <c r="C159" s="5">
        <v>0.92379999999999995</v>
      </c>
      <c r="D159" s="4"/>
    </row>
    <row r="160" spans="2:4">
      <c r="B160" s="5">
        <v>0.75999999999999801</v>
      </c>
      <c r="C160" s="5">
        <v>0.91769999999999996</v>
      </c>
      <c r="D160" s="4"/>
    </row>
    <row r="161" spans="2:4">
      <c r="B161" s="5">
        <v>0.76999999999999802</v>
      </c>
      <c r="C161" s="5">
        <v>0.91169999999999995</v>
      </c>
      <c r="D161" s="4"/>
    </row>
    <row r="162" spans="2:4">
      <c r="B162" s="5">
        <v>0.77999999999999803</v>
      </c>
      <c r="C162" s="5">
        <v>0.90580000000000005</v>
      </c>
      <c r="D162" s="4"/>
    </row>
    <row r="163" spans="2:4">
      <c r="B163" s="5">
        <v>0.78999999999999804</v>
      </c>
      <c r="C163" s="5">
        <v>0.90010000000000001</v>
      </c>
      <c r="D163" s="4"/>
    </row>
    <row r="164" spans="2:4">
      <c r="B164" s="5">
        <v>0.79999999999999805</v>
      </c>
      <c r="C164" s="5">
        <v>0.89439999999999997</v>
      </c>
      <c r="D164" s="4"/>
    </row>
    <row r="165" spans="2:4">
      <c r="B165" s="5">
        <v>0.80999999999999805</v>
      </c>
      <c r="C165" s="5">
        <v>0.88890000000000002</v>
      </c>
      <c r="D165" s="4"/>
    </row>
    <row r="166" spans="2:4">
      <c r="B166" s="5">
        <v>0.81999999999999795</v>
      </c>
      <c r="C166" s="5">
        <v>0.88349999999999995</v>
      </c>
      <c r="D166" s="4"/>
    </row>
    <row r="167" spans="2:4">
      <c r="B167" s="5">
        <v>0.82999999999999796</v>
      </c>
      <c r="C167" s="5">
        <v>0.87809999999999999</v>
      </c>
      <c r="D167" s="4"/>
    </row>
    <row r="168" spans="2:4">
      <c r="B168" s="5">
        <v>0.83999999999999797</v>
      </c>
      <c r="C168" s="5">
        <v>0.87290000000000001</v>
      </c>
      <c r="D168" s="4"/>
    </row>
    <row r="169" spans="2:4">
      <c r="B169" s="5">
        <v>0.84999999999999798</v>
      </c>
      <c r="C169" s="5">
        <v>0.86770000000000003</v>
      </c>
      <c r="D169" s="4"/>
    </row>
    <row r="170" spans="2:4">
      <c r="B170" s="5">
        <v>0.85999999999999799</v>
      </c>
      <c r="C170" s="5">
        <v>0.86270000000000002</v>
      </c>
      <c r="D170" s="4"/>
    </row>
    <row r="171" spans="2:4">
      <c r="B171" s="5">
        <v>0.869999999999998</v>
      </c>
      <c r="C171" s="5">
        <v>0.85770000000000002</v>
      </c>
      <c r="D171" s="4"/>
    </row>
    <row r="172" spans="2:4">
      <c r="B172" s="5">
        <v>0.87999999999999801</v>
      </c>
      <c r="C172" s="5">
        <v>0.8528</v>
      </c>
      <c r="D172" s="4"/>
    </row>
    <row r="173" spans="2:4">
      <c r="B173" s="5">
        <v>0.88999999999999801</v>
      </c>
      <c r="C173" s="5">
        <v>0.84799999999999998</v>
      </c>
      <c r="D173" s="4"/>
    </row>
    <row r="174" spans="2:4">
      <c r="B174" s="5">
        <v>0.89999999999999802</v>
      </c>
      <c r="C174" s="5">
        <v>0.84330000000000005</v>
      </c>
      <c r="D174" s="4"/>
    </row>
    <row r="175" spans="2:4">
      <c r="B175" s="5">
        <v>0.90999999999999803</v>
      </c>
      <c r="C175" s="5">
        <v>0.83860000000000001</v>
      </c>
      <c r="D175" s="4"/>
    </row>
    <row r="176" spans="2:4">
      <c r="B176" s="5">
        <v>0.91999999999999804</v>
      </c>
      <c r="C176" s="5">
        <v>0.83409999999999995</v>
      </c>
      <c r="D176" s="4"/>
    </row>
    <row r="177" spans="2:4">
      <c r="B177" s="5">
        <v>0.92999999999999805</v>
      </c>
      <c r="C177" s="5">
        <v>0.8296</v>
      </c>
      <c r="D177" s="4"/>
    </row>
    <row r="178" spans="2:4">
      <c r="B178" s="5">
        <v>0.93999999999999695</v>
      </c>
      <c r="C178" s="5">
        <v>0.82509999999999994</v>
      </c>
      <c r="D178" s="4"/>
    </row>
    <row r="179" spans="2:4">
      <c r="B179" s="5">
        <v>0.94999999999999696</v>
      </c>
      <c r="C179" s="5">
        <v>0.82079999999999997</v>
      </c>
      <c r="D179" s="4"/>
    </row>
    <row r="180" spans="2:4">
      <c r="B180" s="5">
        <v>0.95999999999999697</v>
      </c>
      <c r="C180" s="5">
        <v>0.8165</v>
      </c>
      <c r="D180" s="4"/>
    </row>
    <row r="181" spans="2:4">
      <c r="B181" s="5">
        <v>0.96999999999999698</v>
      </c>
      <c r="C181" s="5">
        <v>0.81230000000000002</v>
      </c>
      <c r="D181" s="4"/>
    </row>
    <row r="182" spans="2:4">
      <c r="B182" s="5">
        <v>0.97999999999999698</v>
      </c>
      <c r="C182" s="5">
        <v>0.80810000000000004</v>
      </c>
      <c r="D182" s="4"/>
    </row>
    <row r="183" spans="2:4">
      <c r="B183" s="5">
        <v>0.98999999999999699</v>
      </c>
      <c r="C183" s="5">
        <v>0.80400000000000005</v>
      </c>
      <c r="D183" s="4"/>
    </row>
    <row r="184" spans="2:4">
      <c r="B184" s="5">
        <v>0.999999999999997</v>
      </c>
      <c r="C184" s="5">
        <v>0.8</v>
      </c>
      <c r="D184" s="4"/>
    </row>
    <row r="185" spans="2:4">
      <c r="B185" s="5">
        <v>1.01</v>
      </c>
      <c r="C185" s="4"/>
      <c r="D185" s="4"/>
    </row>
    <row r="186" spans="2:4">
      <c r="B186" s="5">
        <v>1.02</v>
      </c>
      <c r="C186" s="4"/>
      <c r="D186" s="4"/>
    </row>
    <row r="187" spans="2:4">
      <c r="B187" s="5">
        <v>1.03</v>
      </c>
      <c r="C187" s="4"/>
      <c r="D187" s="4"/>
    </row>
    <row r="188" spans="2:4">
      <c r="B188" s="5">
        <v>1.04</v>
      </c>
      <c r="C188" s="4"/>
      <c r="D188" s="4"/>
    </row>
    <row r="189" spans="2:4">
      <c r="B189" s="5">
        <v>1.05</v>
      </c>
      <c r="C189" s="4"/>
      <c r="D189" s="4"/>
    </row>
    <row r="190" spans="2:4">
      <c r="B190" s="5">
        <v>1.06</v>
      </c>
      <c r="C190" s="4"/>
      <c r="D190" s="4"/>
    </row>
    <row r="191" spans="2:4">
      <c r="B191" s="5">
        <v>1.07</v>
      </c>
      <c r="C191" s="4"/>
      <c r="D191" s="4"/>
    </row>
    <row r="192" spans="2:4">
      <c r="B192" s="5">
        <v>1.08</v>
      </c>
      <c r="C192" s="4"/>
      <c r="D192" s="4"/>
    </row>
    <row r="193" spans="2:4">
      <c r="B193" s="5">
        <v>1.0900000000000001</v>
      </c>
      <c r="C193" s="4"/>
      <c r="D193" s="4"/>
    </row>
    <row r="194" spans="2:4">
      <c r="B194" s="5">
        <v>1.1000000000000001</v>
      </c>
      <c r="C194" s="4"/>
      <c r="D194" s="4"/>
    </row>
    <row r="195" spans="2:4">
      <c r="B195" s="5">
        <v>1.1100000000000001</v>
      </c>
      <c r="C195" s="4"/>
      <c r="D195" s="4"/>
    </row>
    <row r="196" spans="2:4">
      <c r="B196" s="5">
        <v>1.1200000000000001</v>
      </c>
      <c r="C196" s="4"/>
      <c r="D196" s="4"/>
    </row>
    <row r="197" spans="2:4">
      <c r="B197" s="5">
        <v>1.1299999999999999</v>
      </c>
      <c r="C197" s="4"/>
      <c r="D197" s="4"/>
    </row>
    <row r="198" spans="2:4">
      <c r="B198" s="5">
        <v>1.1399999999999999</v>
      </c>
      <c r="C198" s="4"/>
      <c r="D198" s="4"/>
    </row>
    <row r="199" spans="2:4">
      <c r="B199" s="5">
        <v>1.1499999999999999</v>
      </c>
      <c r="C199" s="4"/>
      <c r="D199" s="4"/>
    </row>
    <row r="200" spans="2:4">
      <c r="B200" s="5">
        <v>1.1599999999999999</v>
      </c>
      <c r="C200" s="4"/>
      <c r="D200" s="4"/>
    </row>
    <row r="201" spans="2:4">
      <c r="B201" s="5">
        <v>1.17</v>
      </c>
      <c r="C201" s="4"/>
      <c r="D201" s="4"/>
    </row>
    <row r="202" spans="2:4">
      <c r="B202" s="5">
        <v>1.18</v>
      </c>
      <c r="C202" s="4"/>
      <c r="D202" s="4"/>
    </row>
    <row r="203" spans="2:4">
      <c r="B203" s="5">
        <v>1.19</v>
      </c>
      <c r="C203" s="4"/>
      <c r="D203" s="4"/>
    </row>
    <row r="204" spans="2:4">
      <c r="B204" s="5">
        <v>1.2</v>
      </c>
      <c r="C204" s="4"/>
      <c r="D204" s="4"/>
    </row>
    <row r="205" spans="2:4">
      <c r="B205" s="5">
        <v>1.21</v>
      </c>
      <c r="C205" s="4"/>
      <c r="D205" s="4"/>
    </row>
    <row r="206" spans="2:4">
      <c r="B206" s="5">
        <v>1.22</v>
      </c>
      <c r="C206" s="4"/>
      <c r="D206" s="4"/>
    </row>
    <row r="207" spans="2:4">
      <c r="B207" s="5">
        <v>1.23</v>
      </c>
      <c r="C207" s="4"/>
      <c r="D207" s="4"/>
    </row>
    <row r="208" spans="2:4">
      <c r="B208" s="5">
        <v>1.24</v>
      </c>
      <c r="C208" s="4"/>
      <c r="D208" s="4"/>
    </row>
    <row r="209" spans="2:4">
      <c r="B209" s="5">
        <v>1.25</v>
      </c>
      <c r="C209" s="4"/>
      <c r="D209" s="4"/>
    </row>
    <row r="210" spans="2:4">
      <c r="B210" s="5">
        <v>1.26</v>
      </c>
      <c r="C210" s="4"/>
      <c r="D210" s="4"/>
    </row>
    <row r="211" spans="2:4">
      <c r="B211" s="5">
        <v>1.27</v>
      </c>
      <c r="C211" s="4"/>
      <c r="D211" s="4"/>
    </row>
    <row r="212" spans="2:4">
      <c r="B212" s="5">
        <v>1.28</v>
      </c>
      <c r="C212" s="4"/>
      <c r="D212" s="4"/>
    </row>
    <row r="213" spans="2:4">
      <c r="B213" s="5">
        <v>1.29</v>
      </c>
      <c r="C213" s="4"/>
      <c r="D213" s="4"/>
    </row>
    <row r="214" spans="2:4">
      <c r="B214" s="5">
        <v>1.3</v>
      </c>
      <c r="C214" s="4"/>
      <c r="D214" s="4"/>
    </row>
    <row r="215" spans="2:4">
      <c r="B215" s="5">
        <v>1.31</v>
      </c>
      <c r="C215" s="4"/>
      <c r="D215" s="4"/>
    </row>
    <row r="216" spans="2:4">
      <c r="B216" s="5">
        <v>1.32</v>
      </c>
      <c r="C216" s="4"/>
      <c r="D216" s="4"/>
    </row>
    <row r="217" spans="2:4">
      <c r="B217" s="5">
        <v>1.33</v>
      </c>
      <c r="C217" s="4"/>
      <c r="D217" s="4"/>
    </row>
    <row r="218" spans="2:4">
      <c r="B218" s="5">
        <v>1.34</v>
      </c>
      <c r="C218" s="4"/>
      <c r="D218" s="4"/>
    </row>
    <row r="219" spans="2:4">
      <c r="B219" s="5">
        <v>1.35</v>
      </c>
      <c r="C219" s="4"/>
      <c r="D219" s="4"/>
    </row>
    <row r="220" spans="2:4">
      <c r="B220" s="5">
        <v>1.36</v>
      </c>
      <c r="C220" s="4"/>
      <c r="D220" s="4"/>
    </row>
    <row r="221" spans="2:4">
      <c r="B221" s="5">
        <v>1.37</v>
      </c>
      <c r="C221" s="4"/>
      <c r="D221" s="4"/>
    </row>
    <row r="222" spans="2:4">
      <c r="B222" s="5">
        <v>1.38</v>
      </c>
      <c r="C222" s="4"/>
      <c r="D222" s="4"/>
    </row>
    <row r="223" spans="2:4">
      <c r="B223" s="5">
        <v>1.39</v>
      </c>
      <c r="C223" s="4"/>
      <c r="D223" s="4"/>
    </row>
    <row r="224" spans="2:4">
      <c r="B224" s="5">
        <v>1.4</v>
      </c>
      <c r="C224" s="4"/>
      <c r="D224" s="4"/>
    </row>
    <row r="225" spans="2:4">
      <c r="B225" s="5">
        <v>1.41</v>
      </c>
      <c r="C225" s="4"/>
      <c r="D225" s="4"/>
    </row>
    <row r="226" spans="2:4">
      <c r="B226" s="5">
        <v>1.42</v>
      </c>
      <c r="C226" s="4"/>
      <c r="D226" s="4"/>
    </row>
    <row r="227" spans="2:4">
      <c r="B227" s="5">
        <v>1.43</v>
      </c>
      <c r="C227" s="4"/>
      <c r="D227" s="4"/>
    </row>
    <row r="228" spans="2:4">
      <c r="B228" s="5">
        <v>1.44</v>
      </c>
      <c r="C228" s="4"/>
      <c r="D228" s="4"/>
    </row>
    <row r="229" spans="2:4">
      <c r="B229" s="5">
        <v>1.45</v>
      </c>
      <c r="C229" s="4"/>
      <c r="D229" s="4"/>
    </row>
    <row r="230" spans="2:4">
      <c r="B230" s="5">
        <v>1.46</v>
      </c>
      <c r="C230" s="4"/>
      <c r="D230" s="4"/>
    </row>
    <row r="231" spans="2:4">
      <c r="B231" s="5">
        <v>1.46999999999999</v>
      </c>
      <c r="C231" s="4"/>
      <c r="D231" s="4"/>
    </row>
    <row r="232" spans="2:4">
      <c r="B232" s="5">
        <v>1.47999999999999</v>
      </c>
      <c r="C232" s="4"/>
      <c r="D232" s="4"/>
    </row>
    <row r="233" spans="2:4">
      <c r="B233" s="5">
        <v>1.48999999999999</v>
      </c>
      <c r="C233" s="4"/>
      <c r="D233" s="4"/>
    </row>
    <row r="234" spans="2:4">
      <c r="B234" s="5">
        <v>1.49999999999999</v>
      </c>
      <c r="C234" s="4"/>
      <c r="D234" s="4"/>
    </row>
  </sheetData>
  <mergeCells count="1">
    <mergeCell ref="B2:F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BI121"/>
  <sheetViews>
    <sheetView showGridLines="0" showRowColHeaders="0" workbookViewId="0">
      <pane ySplit="4" topLeftCell="A5" activePane="bottomLeft" state="frozen"/>
      <selection activeCell="N2" sqref="N2:Q3"/>
      <selection pane="bottomLeft" activeCell="N2" sqref="N2:Q3"/>
    </sheetView>
  </sheetViews>
  <sheetFormatPr defaultRowHeight="15"/>
  <cols>
    <col min="3" max="3" width="7.42578125" customWidth="1"/>
    <col min="4" max="4" width="5" customWidth="1"/>
    <col min="5" max="5" width="18.42578125" bestFit="1" customWidth="1"/>
    <col min="6" max="6" width="16.42578125" customWidth="1"/>
    <col min="7" max="7" width="10.85546875" customWidth="1"/>
    <col min="8" max="8" width="8.85546875" bestFit="1" customWidth="1"/>
    <col min="9" max="9" width="9.42578125" bestFit="1" customWidth="1"/>
    <col min="10" max="10" width="4" bestFit="1" customWidth="1"/>
    <col min="11" max="11" width="7.5703125" bestFit="1" customWidth="1"/>
    <col min="12" max="12" width="4" bestFit="1" customWidth="1"/>
    <col min="13" max="13" width="7.5703125" bestFit="1" customWidth="1"/>
    <col min="14" max="14" width="4" bestFit="1" customWidth="1"/>
    <col min="15" max="15" width="6" bestFit="1" customWidth="1"/>
    <col min="16" max="16" width="4" bestFit="1" customWidth="1"/>
    <col min="17" max="17" width="6" bestFit="1" customWidth="1"/>
    <col min="18" max="18" width="4" bestFit="1" customWidth="1"/>
    <col min="19" max="19" width="6" bestFit="1" customWidth="1"/>
    <col min="20" max="20" width="2.5703125" customWidth="1"/>
    <col min="21" max="21" width="6" bestFit="1" customWidth="1"/>
    <col min="22" max="22" width="3.28515625" customWidth="1"/>
    <col min="23" max="23" width="1.85546875" customWidth="1"/>
    <col min="24" max="24" width="4" bestFit="1" customWidth="1"/>
    <col min="25" max="25" width="6" bestFit="1" customWidth="1"/>
    <col min="26" max="26" width="1.42578125" customWidth="1"/>
    <col min="27" max="27" width="2" customWidth="1"/>
    <col min="28" max="28" width="2.140625" customWidth="1"/>
    <col min="29" max="29" width="3.140625" customWidth="1"/>
    <col min="30" max="30" width="1.85546875" customWidth="1"/>
    <col min="31" max="31" width="2.5703125" customWidth="1"/>
    <col min="32" max="32" width="4.85546875" customWidth="1"/>
    <col min="33" max="33" width="4.42578125" customWidth="1"/>
    <col min="34" max="34" width="4" customWidth="1"/>
    <col min="35" max="35" width="2.5703125" customWidth="1"/>
    <col min="36" max="36" width="2.85546875" customWidth="1"/>
    <col min="37" max="37" width="2.42578125" customWidth="1"/>
    <col min="38" max="38" width="3.5703125" customWidth="1"/>
    <col min="39" max="39" width="2.7109375" customWidth="1"/>
    <col min="40" max="40" width="2.28515625" customWidth="1"/>
    <col min="41" max="41" width="1.5703125" customWidth="1"/>
    <col min="42" max="42" width="2.5703125" customWidth="1"/>
    <col min="43" max="44" width="2.28515625" customWidth="1"/>
    <col min="45" max="45" width="2.140625" customWidth="1"/>
    <col min="46" max="46" width="3.140625" customWidth="1"/>
    <col min="47" max="47" width="2.28515625" customWidth="1"/>
    <col min="48" max="48" width="4.140625" customWidth="1"/>
    <col min="49" max="49" width="2.85546875" customWidth="1"/>
    <col min="50" max="50" width="2.42578125" customWidth="1"/>
    <col min="51" max="51" width="1.28515625" customWidth="1"/>
    <col min="52" max="53" width="2.7109375" customWidth="1"/>
    <col min="54" max="54" width="3" customWidth="1"/>
    <col min="55" max="55" width="2.85546875" customWidth="1"/>
    <col min="56" max="56" width="4.5703125" customWidth="1"/>
    <col min="57" max="57" width="2" customWidth="1"/>
    <col min="58" max="58" width="2.85546875" customWidth="1"/>
    <col min="59" max="59" width="1.42578125" customWidth="1"/>
  </cols>
  <sheetData>
    <row r="2" spans="1:61">
      <c r="C2" s="17" t="s">
        <v>59</v>
      </c>
      <c r="D2" s="18"/>
      <c r="E2" s="229" t="s">
        <v>58</v>
      </c>
      <c r="F2" s="229"/>
      <c r="G2" s="15"/>
      <c r="H2" s="15"/>
      <c r="I2" s="16"/>
    </row>
    <row r="3" spans="1:61">
      <c r="A3" t="s">
        <v>64</v>
      </c>
      <c r="B3" t="s">
        <v>60</v>
      </c>
      <c r="C3" s="17"/>
      <c r="D3" s="18"/>
      <c r="E3" s="231" t="s">
        <v>61</v>
      </c>
      <c r="F3" s="231"/>
      <c r="G3" s="43" t="s">
        <v>62</v>
      </c>
      <c r="H3" s="43"/>
      <c r="I3" s="43"/>
    </row>
    <row r="4" spans="1:61">
      <c r="A4">
        <v>0.42</v>
      </c>
      <c r="B4">
        <f>'10A61 3" Density LINEST'!D19</f>
        <v>1</v>
      </c>
      <c r="C4" s="5" t="s">
        <v>54</v>
      </c>
      <c r="D4" s="5" t="s">
        <v>13</v>
      </c>
      <c r="E4" s="232" t="s">
        <v>75</v>
      </c>
      <c r="F4" s="233"/>
      <c r="G4" s="234"/>
      <c r="H4" s="235" t="s">
        <v>78</v>
      </c>
      <c r="I4" s="236"/>
      <c r="J4" s="235" t="s">
        <v>79</v>
      </c>
      <c r="K4" s="236"/>
      <c r="L4" s="235" t="s">
        <v>82</v>
      </c>
      <c r="M4" s="236"/>
      <c r="N4" s="235" t="s">
        <v>83</v>
      </c>
      <c r="O4" s="236"/>
      <c r="P4" s="235" t="s">
        <v>81</v>
      </c>
      <c r="Q4" s="236"/>
      <c r="R4" s="235" t="s">
        <v>84</v>
      </c>
      <c r="S4" s="236"/>
      <c r="T4" s="235" t="s">
        <v>85</v>
      </c>
      <c r="U4" s="236"/>
      <c r="V4" s="235" t="s">
        <v>86</v>
      </c>
      <c r="W4" s="236"/>
      <c r="X4" s="235" t="s">
        <v>87</v>
      </c>
      <c r="Y4" s="236"/>
      <c r="Z4" s="235" t="s">
        <v>88</v>
      </c>
      <c r="AA4" s="236"/>
      <c r="AB4" s="235" t="s">
        <v>89</v>
      </c>
      <c r="AC4" s="236"/>
      <c r="AD4" s="235" t="s">
        <v>90</v>
      </c>
      <c r="AE4" s="236"/>
      <c r="AF4" s="235" t="s">
        <v>91</v>
      </c>
      <c r="AG4" s="236"/>
      <c r="AH4" s="235" t="s">
        <v>92</v>
      </c>
      <c r="AI4" s="236"/>
      <c r="AJ4" s="235" t="s">
        <v>93</v>
      </c>
      <c r="AK4" s="236"/>
      <c r="AL4" s="235" t="s">
        <v>94</v>
      </c>
      <c r="AM4" s="236"/>
      <c r="AN4" s="235" t="s">
        <v>95</v>
      </c>
      <c r="AO4" s="236"/>
      <c r="AP4" s="235" t="s">
        <v>96</v>
      </c>
      <c r="AQ4" s="236"/>
      <c r="AR4" s="235" t="s">
        <v>97</v>
      </c>
      <c r="AS4" s="236"/>
      <c r="AT4" s="235" t="s">
        <v>98</v>
      </c>
      <c r="AU4" s="236"/>
      <c r="AV4" s="235" t="s">
        <v>99</v>
      </c>
      <c r="AW4" s="236"/>
      <c r="AX4" s="235" t="s">
        <v>100</v>
      </c>
      <c r="AY4" s="236"/>
      <c r="AZ4" s="235" t="s">
        <v>101</v>
      </c>
      <c r="BA4" s="236"/>
      <c r="BB4" s="235" t="s">
        <v>102</v>
      </c>
      <c r="BC4" s="236"/>
      <c r="BD4" s="235" t="s">
        <v>103</v>
      </c>
      <c r="BE4" s="236"/>
      <c r="BF4" s="235" t="s">
        <v>104</v>
      </c>
      <c r="BG4" s="236"/>
      <c r="BH4" s="235" t="s">
        <v>105</v>
      </c>
      <c r="BI4" s="236"/>
    </row>
    <row r="5" spans="1:61">
      <c r="C5" s="5"/>
      <c r="D5" s="5"/>
      <c r="E5" s="5" t="s">
        <v>55</v>
      </c>
      <c r="F5" s="13" t="s">
        <v>57</v>
      </c>
      <c r="G5" t="s">
        <v>63</v>
      </c>
      <c r="H5" s="20" t="s">
        <v>13</v>
      </c>
      <c r="I5" s="20" t="s">
        <v>53</v>
      </c>
      <c r="J5" s="19"/>
    </row>
    <row r="6" spans="1:61">
      <c r="A6" s="20"/>
      <c r="C6" s="26">
        <v>0.4</v>
      </c>
      <c r="D6" s="26">
        <v>0.5</v>
      </c>
      <c r="E6" s="26">
        <v>11.97</v>
      </c>
      <c r="F6" s="28">
        <v>1.5</v>
      </c>
      <c r="G6" s="27"/>
      <c r="H6" s="20">
        <v>0.5</v>
      </c>
      <c r="I6" s="20">
        <v>19.18</v>
      </c>
      <c r="J6" s="20">
        <v>0.5</v>
      </c>
      <c r="K6" s="20">
        <v>37.25</v>
      </c>
      <c r="L6" s="20">
        <v>0.5</v>
      </c>
      <c r="M6" s="20">
        <v>61.81</v>
      </c>
      <c r="N6" s="20">
        <v>0.5</v>
      </c>
      <c r="O6" s="20">
        <v>67.03</v>
      </c>
      <c r="P6" s="20">
        <v>0.5</v>
      </c>
      <c r="Q6" s="20">
        <v>67.62</v>
      </c>
      <c r="R6" s="20">
        <v>0.5</v>
      </c>
      <c r="S6" s="20">
        <v>97.36</v>
      </c>
      <c r="T6" s="20">
        <v>0.5</v>
      </c>
      <c r="U6" s="20">
        <v>157.1</v>
      </c>
      <c r="V6" s="20">
        <v>0.5</v>
      </c>
      <c r="W6" s="20">
        <v>230.5</v>
      </c>
      <c r="X6" s="20">
        <v>0.5</v>
      </c>
      <c r="Y6" s="20">
        <v>245.6</v>
      </c>
      <c r="Z6" s="20">
        <v>0.5</v>
      </c>
      <c r="AA6" s="20">
        <v>292.8</v>
      </c>
      <c r="AB6" s="20">
        <v>0.5</v>
      </c>
      <c r="AC6" s="20">
        <v>431.6</v>
      </c>
      <c r="AD6" s="20">
        <v>0.5</v>
      </c>
      <c r="AE6" s="20">
        <v>456.8</v>
      </c>
      <c r="AF6" s="20">
        <v>0.5</v>
      </c>
      <c r="AG6" s="20">
        <v>649.20000000000005</v>
      </c>
      <c r="AH6" s="20">
        <v>0.5</v>
      </c>
      <c r="AI6" s="20">
        <v>667.8</v>
      </c>
      <c r="AJ6" s="20">
        <v>0.5</v>
      </c>
      <c r="AK6" s="20">
        <v>949.7</v>
      </c>
      <c r="AL6" s="20">
        <v>0.5</v>
      </c>
      <c r="AM6" s="20">
        <v>980.8</v>
      </c>
      <c r="AN6" s="20">
        <v>0.5</v>
      </c>
      <c r="AO6" s="20">
        <v>1006</v>
      </c>
      <c r="AP6" s="20">
        <v>0.5</v>
      </c>
      <c r="AQ6" s="20">
        <v>1352</v>
      </c>
      <c r="AR6" s="20">
        <v>0.5</v>
      </c>
      <c r="AS6" s="20">
        <v>1382</v>
      </c>
      <c r="AT6" s="20">
        <v>0.5</v>
      </c>
      <c r="AU6" s="20">
        <v>1462</v>
      </c>
      <c r="AV6" s="20">
        <v>0.5</v>
      </c>
      <c r="AW6" s="20">
        <v>1744</v>
      </c>
      <c r="AX6" s="20">
        <v>0.5</v>
      </c>
      <c r="AY6" s="20">
        <v>2056</v>
      </c>
      <c r="AZ6" s="20">
        <v>0.5</v>
      </c>
      <c r="BA6" s="20">
        <v>2595</v>
      </c>
      <c r="BB6" s="20">
        <v>0.5</v>
      </c>
      <c r="BC6" s="20">
        <v>2933</v>
      </c>
      <c r="BD6" s="20">
        <v>0.5</v>
      </c>
      <c r="BE6" s="20">
        <v>3111</v>
      </c>
      <c r="BF6" s="20">
        <v>0.5</v>
      </c>
      <c r="BG6" s="20">
        <v>6329</v>
      </c>
      <c r="BH6" s="20">
        <v>0.5</v>
      </c>
      <c r="BI6" s="20">
        <v>3837</v>
      </c>
    </row>
    <row r="7" spans="1:61">
      <c r="A7" s="20"/>
      <c r="C7" s="26">
        <v>0.4</v>
      </c>
      <c r="D7" s="26">
        <v>0.6</v>
      </c>
      <c r="E7" s="26">
        <v>10.1</v>
      </c>
      <c r="F7" s="28">
        <v>1</v>
      </c>
      <c r="G7" s="27"/>
      <c r="H7" s="20">
        <v>0.6</v>
      </c>
      <c r="I7" s="20">
        <v>16.48</v>
      </c>
      <c r="J7" s="20">
        <v>0.6</v>
      </c>
      <c r="K7" s="20">
        <v>32.61</v>
      </c>
      <c r="L7" s="20">
        <v>0.6</v>
      </c>
      <c r="M7" s="20">
        <v>56.32</v>
      </c>
      <c r="N7" s="20">
        <v>0.6</v>
      </c>
      <c r="O7" s="20">
        <v>61.08</v>
      </c>
      <c r="P7" s="20">
        <v>0.6</v>
      </c>
      <c r="Q7" s="20">
        <v>61.14</v>
      </c>
      <c r="R7" s="20">
        <v>0.6</v>
      </c>
      <c r="S7" s="20">
        <v>90.24</v>
      </c>
      <c r="T7" s="20">
        <v>0.6</v>
      </c>
      <c r="U7" s="20">
        <v>151.19999999999999</v>
      </c>
      <c r="V7" s="20">
        <v>0.6</v>
      </c>
      <c r="W7" s="20">
        <v>223.2</v>
      </c>
      <c r="X7" s="20">
        <v>0.6</v>
      </c>
      <c r="Y7" s="20">
        <v>237.7</v>
      </c>
      <c r="Z7" s="20">
        <v>0.6</v>
      </c>
      <c r="AA7" s="20">
        <v>275</v>
      </c>
      <c r="AB7" s="20">
        <v>0.6</v>
      </c>
      <c r="AC7" s="20">
        <v>416.3</v>
      </c>
      <c r="AD7" s="20">
        <v>0.6</v>
      </c>
      <c r="AE7" s="20">
        <v>441.1</v>
      </c>
      <c r="AF7" s="20">
        <v>0.6</v>
      </c>
      <c r="AG7" s="20">
        <v>639</v>
      </c>
      <c r="AH7" s="20">
        <v>0.6</v>
      </c>
      <c r="AI7" s="20">
        <v>651</v>
      </c>
      <c r="AJ7" s="20">
        <v>0.6</v>
      </c>
      <c r="AK7" s="20">
        <v>937.3</v>
      </c>
      <c r="AL7" s="20">
        <v>0.6</v>
      </c>
      <c r="AM7" s="20">
        <v>964</v>
      </c>
      <c r="AN7" s="20">
        <v>0.6</v>
      </c>
      <c r="AO7" s="20">
        <v>992.9</v>
      </c>
      <c r="AP7" s="20">
        <v>0.6</v>
      </c>
      <c r="AQ7" s="20">
        <v>1326</v>
      </c>
      <c r="AR7" s="20">
        <v>0.6</v>
      </c>
      <c r="AS7" s="20">
        <v>1370</v>
      </c>
      <c r="AT7" s="20">
        <v>0.6</v>
      </c>
      <c r="AU7" s="20">
        <v>1449</v>
      </c>
      <c r="AV7" s="20">
        <v>0.6</v>
      </c>
      <c r="AW7" s="20">
        <v>1714</v>
      </c>
      <c r="AX7" s="20">
        <v>0.6</v>
      </c>
      <c r="AY7" s="20">
        <v>2014</v>
      </c>
      <c r="AZ7" s="20">
        <v>0.6</v>
      </c>
      <c r="BA7" s="20">
        <v>2578</v>
      </c>
      <c r="BB7" s="20">
        <v>0.6</v>
      </c>
      <c r="BC7" s="20">
        <v>2884</v>
      </c>
      <c r="BD7" s="20">
        <v>0.6</v>
      </c>
      <c r="BE7" s="20">
        <v>3058</v>
      </c>
      <c r="BF7" s="20">
        <v>0.6</v>
      </c>
      <c r="BG7" s="20">
        <v>3605</v>
      </c>
      <c r="BH7" s="20">
        <v>0.6</v>
      </c>
      <c r="BI7" s="20">
        <v>3811</v>
      </c>
    </row>
    <row r="8" spans="1:61">
      <c r="A8" s="20"/>
      <c r="C8" s="26">
        <v>0.4</v>
      </c>
      <c r="D8" s="26">
        <v>1</v>
      </c>
      <c r="E8" s="26">
        <v>6.202</v>
      </c>
      <c r="F8" s="28">
        <v>0.8</v>
      </c>
      <c r="G8" s="27"/>
      <c r="H8" s="20">
        <v>0.7</v>
      </c>
      <c r="I8" s="20">
        <v>14.43</v>
      </c>
      <c r="J8" s="20">
        <v>0.7</v>
      </c>
      <c r="K8" s="20">
        <v>28.96</v>
      </c>
      <c r="L8" s="20">
        <v>0.7</v>
      </c>
      <c r="M8" s="20">
        <v>50.99</v>
      </c>
      <c r="N8" s="20">
        <v>0.7</v>
      </c>
      <c r="O8" s="20">
        <v>55.96</v>
      </c>
      <c r="P8" s="20">
        <v>0.7</v>
      </c>
      <c r="Q8" s="20">
        <v>55.72</v>
      </c>
      <c r="R8" s="20">
        <v>0.7</v>
      </c>
      <c r="S8" s="20">
        <v>84.12</v>
      </c>
      <c r="T8" s="20">
        <v>0.7</v>
      </c>
      <c r="U8" s="20">
        <v>144.5</v>
      </c>
      <c r="V8" s="20">
        <v>0.7</v>
      </c>
      <c r="W8" s="20">
        <v>216.5</v>
      </c>
      <c r="X8" s="20">
        <v>0.7</v>
      </c>
      <c r="Y8" s="20">
        <v>231</v>
      </c>
      <c r="Z8" s="20">
        <v>0.7</v>
      </c>
      <c r="AA8" s="20">
        <v>257.10000000000002</v>
      </c>
      <c r="AB8" s="20">
        <v>0.7</v>
      </c>
      <c r="AC8" s="20">
        <v>401.9</v>
      </c>
      <c r="AD8" s="20">
        <v>0.7</v>
      </c>
      <c r="AE8" s="20">
        <v>426.8</v>
      </c>
      <c r="AF8" s="20">
        <v>0.7</v>
      </c>
      <c r="AG8" s="20">
        <v>628.4</v>
      </c>
      <c r="AH8" s="20">
        <v>0.7</v>
      </c>
      <c r="AI8" s="20">
        <v>634.79999999999995</v>
      </c>
      <c r="AJ8" s="20">
        <v>0.7</v>
      </c>
      <c r="AK8" s="20">
        <v>921.1</v>
      </c>
      <c r="AL8" s="20">
        <v>0.7</v>
      </c>
      <c r="AM8" s="20">
        <v>950.5</v>
      </c>
      <c r="AN8" s="20">
        <v>0.7</v>
      </c>
      <c r="AO8" s="20">
        <v>979.3</v>
      </c>
      <c r="AP8" s="20">
        <v>0.7</v>
      </c>
      <c r="AQ8" s="20">
        <v>1302</v>
      </c>
      <c r="AR8" s="20">
        <v>0.7</v>
      </c>
      <c r="AS8" s="20">
        <v>1354</v>
      </c>
      <c r="AT8" s="20">
        <v>0.7</v>
      </c>
      <c r="AU8" s="20">
        <v>1436</v>
      </c>
      <c r="AV8" s="20">
        <v>0.7</v>
      </c>
      <c r="AW8" s="20">
        <v>1688</v>
      </c>
      <c r="AX8" s="20">
        <v>0.7</v>
      </c>
      <c r="AY8" s="20">
        <v>1981</v>
      </c>
      <c r="AZ8" s="20">
        <v>0.7</v>
      </c>
      <c r="BA8" s="20">
        <v>2555</v>
      </c>
      <c r="BB8" s="20">
        <v>0.7</v>
      </c>
      <c r="BC8" s="20">
        <v>2838</v>
      </c>
      <c r="BD8" s="20">
        <v>0.7</v>
      </c>
      <c r="BE8" s="20">
        <v>3012</v>
      </c>
      <c r="BF8" s="20">
        <v>0.7</v>
      </c>
      <c r="BG8" s="20">
        <v>3584</v>
      </c>
      <c r="BH8" s="20">
        <v>0.7</v>
      </c>
      <c r="BI8" s="20">
        <v>3790</v>
      </c>
    </row>
    <row r="9" spans="1:61">
      <c r="A9" s="20"/>
      <c r="C9" s="26">
        <v>0.4</v>
      </c>
      <c r="D9" s="26">
        <v>1.3</v>
      </c>
      <c r="E9" s="26">
        <v>4.8520000000000003</v>
      </c>
      <c r="F9" s="28">
        <v>0.6</v>
      </c>
      <c r="G9" s="29">
        <f>'10A61 Liquid 3" ViscosityLINEST'!J7</f>
        <v>6.2020000000000337</v>
      </c>
      <c r="H9" s="20">
        <v>0.8</v>
      </c>
      <c r="I9" s="20">
        <v>12.69</v>
      </c>
      <c r="J9" s="20">
        <v>0.8</v>
      </c>
      <c r="K9" s="19">
        <v>25.92</v>
      </c>
      <c r="L9" s="20">
        <v>0.8</v>
      </c>
      <c r="M9" s="19">
        <v>46.26</v>
      </c>
      <c r="N9" s="20">
        <v>0.8</v>
      </c>
      <c r="O9" s="19">
        <v>50.76</v>
      </c>
      <c r="P9" s="20">
        <v>0.8</v>
      </c>
      <c r="Q9" s="19">
        <v>49.62</v>
      </c>
      <c r="R9" s="20">
        <v>0.8</v>
      </c>
      <c r="S9" s="19">
        <v>77.67</v>
      </c>
      <c r="T9" s="20">
        <v>0.8</v>
      </c>
      <c r="U9" s="19">
        <v>136.69999999999999</v>
      </c>
      <c r="V9" s="20">
        <v>0.8</v>
      </c>
      <c r="W9" s="19">
        <v>210.5</v>
      </c>
      <c r="X9" s="20">
        <v>0.8</v>
      </c>
      <c r="Y9" s="19">
        <v>224.6</v>
      </c>
      <c r="Z9" s="20">
        <v>0.8</v>
      </c>
      <c r="AA9" s="19">
        <v>238.6</v>
      </c>
      <c r="AB9" s="20">
        <v>0.8</v>
      </c>
      <c r="AC9" s="19">
        <v>383.8</v>
      </c>
      <c r="AD9" s="20">
        <v>0.8</v>
      </c>
      <c r="AE9" s="19">
        <v>413.1</v>
      </c>
      <c r="AF9" s="20">
        <v>0.8</v>
      </c>
      <c r="AG9" s="19">
        <v>612.5</v>
      </c>
      <c r="AH9" s="20">
        <v>0.8</v>
      </c>
      <c r="AI9" s="19">
        <v>618.29999999999995</v>
      </c>
      <c r="AJ9" s="20">
        <v>0.8</v>
      </c>
      <c r="AK9" s="19">
        <v>904</v>
      </c>
      <c r="AL9" s="20">
        <v>0.8</v>
      </c>
      <c r="AM9" s="19">
        <v>939.5</v>
      </c>
      <c r="AN9" s="20">
        <v>0.8</v>
      </c>
      <c r="AO9" s="19">
        <v>961.1</v>
      </c>
      <c r="AP9" s="20">
        <v>0.8</v>
      </c>
      <c r="AQ9" s="19">
        <v>1270</v>
      </c>
      <c r="AR9" s="20">
        <v>0.8</v>
      </c>
      <c r="AS9" s="19">
        <v>1337</v>
      </c>
      <c r="AT9" s="20">
        <v>0.8</v>
      </c>
      <c r="AU9" s="19">
        <v>1417</v>
      </c>
      <c r="AV9" s="20">
        <v>0.8</v>
      </c>
      <c r="AW9" s="19">
        <v>1667</v>
      </c>
      <c r="AX9" s="20">
        <v>0.8</v>
      </c>
      <c r="AY9" s="19">
        <v>1953</v>
      </c>
      <c r="AZ9" s="20">
        <v>0.8</v>
      </c>
      <c r="BA9" s="19">
        <v>2522</v>
      </c>
      <c r="BB9" s="20">
        <v>0.8</v>
      </c>
      <c r="BC9" s="19">
        <v>2795</v>
      </c>
      <c r="BD9" s="20">
        <v>0.8</v>
      </c>
      <c r="BE9" s="19">
        <v>2967</v>
      </c>
      <c r="BF9" s="20">
        <v>0.8</v>
      </c>
      <c r="BG9" s="19">
        <v>3567</v>
      </c>
      <c r="BH9" s="20">
        <v>0.8</v>
      </c>
      <c r="BI9" s="19">
        <v>3771</v>
      </c>
    </row>
    <row r="10" spans="1:61">
      <c r="A10" s="20"/>
      <c r="C10" s="26">
        <v>0.4</v>
      </c>
      <c r="D10" s="26">
        <v>1.5</v>
      </c>
      <c r="E10" s="26">
        <v>4.1900000000000004</v>
      </c>
      <c r="F10" s="28">
        <v>0.4</v>
      </c>
      <c r="G10" s="27"/>
      <c r="H10" s="20">
        <v>0.9</v>
      </c>
      <c r="I10" s="20">
        <v>11.32</v>
      </c>
      <c r="J10" s="19">
        <v>0.9</v>
      </c>
      <c r="K10" s="19">
        <v>23.5</v>
      </c>
      <c r="L10" s="19">
        <v>0.9</v>
      </c>
      <c r="M10" s="19">
        <v>42.45</v>
      </c>
      <c r="N10" s="19">
        <v>0.9</v>
      </c>
      <c r="O10" s="19">
        <v>46.59</v>
      </c>
      <c r="P10" s="19">
        <v>0.9</v>
      </c>
      <c r="Q10" s="19">
        <v>44.8</v>
      </c>
      <c r="R10" s="19">
        <v>0.9</v>
      </c>
      <c r="S10" s="19">
        <v>72.400000000000006</v>
      </c>
      <c r="T10" s="19">
        <v>0.9</v>
      </c>
      <c r="U10" s="19">
        <v>130.19999999999999</v>
      </c>
      <c r="V10" s="19">
        <v>0.9</v>
      </c>
      <c r="W10" s="19">
        <v>205.3</v>
      </c>
      <c r="X10" s="19">
        <v>0.9</v>
      </c>
      <c r="Y10" s="19">
        <v>219.1</v>
      </c>
      <c r="Z10" s="19">
        <v>0.9</v>
      </c>
      <c r="AA10" s="19">
        <v>223.4</v>
      </c>
      <c r="AB10" s="19">
        <v>0.9</v>
      </c>
      <c r="AC10" s="19">
        <v>368.6</v>
      </c>
      <c r="AD10" s="19">
        <v>0.9</v>
      </c>
      <c r="AE10" s="19">
        <v>401.3</v>
      </c>
      <c r="AF10" s="19">
        <v>0.9</v>
      </c>
      <c r="AG10" s="19">
        <v>598.9</v>
      </c>
      <c r="AH10" s="19">
        <v>0.9</v>
      </c>
      <c r="AI10" s="19">
        <v>604.1</v>
      </c>
      <c r="AJ10" s="19">
        <v>0.9</v>
      </c>
      <c r="AK10" s="19">
        <v>889.2</v>
      </c>
      <c r="AL10" s="19">
        <v>0.9</v>
      </c>
      <c r="AM10" s="19">
        <v>930</v>
      </c>
      <c r="AN10" s="19">
        <v>0.9</v>
      </c>
      <c r="AO10" s="19">
        <v>945.4</v>
      </c>
      <c r="AP10" s="19">
        <v>0.9</v>
      </c>
      <c r="AQ10" s="19">
        <v>1243</v>
      </c>
      <c r="AR10" s="19">
        <v>0.9</v>
      </c>
      <c r="AS10" s="19">
        <v>1322</v>
      </c>
      <c r="AT10" s="19">
        <v>0.9</v>
      </c>
      <c r="AU10" s="19">
        <v>1402</v>
      </c>
      <c r="AV10" s="19">
        <v>0.9</v>
      </c>
      <c r="AW10" s="19">
        <v>1649</v>
      </c>
      <c r="AX10" s="19">
        <v>0.9</v>
      </c>
      <c r="AY10" s="19">
        <v>1930</v>
      </c>
      <c r="AZ10" s="19">
        <v>0.9</v>
      </c>
      <c r="BA10" s="19">
        <v>2493</v>
      </c>
      <c r="BB10" s="19">
        <v>0.9</v>
      </c>
      <c r="BC10" s="19">
        <v>2758</v>
      </c>
      <c r="BD10" s="19">
        <v>0.9</v>
      </c>
      <c r="BE10" s="19">
        <v>2928</v>
      </c>
      <c r="BF10" s="19">
        <v>0.9</v>
      </c>
      <c r="BG10" s="19">
        <v>3552</v>
      </c>
      <c r="BH10" s="19">
        <v>0.9</v>
      </c>
      <c r="BI10" s="19">
        <v>3756</v>
      </c>
    </row>
    <row r="11" spans="1:61">
      <c r="A11" s="20"/>
      <c r="C11" s="5">
        <v>0.4</v>
      </c>
      <c r="D11" s="5">
        <v>2</v>
      </c>
      <c r="E11" s="5">
        <v>3.1030000000000002</v>
      </c>
      <c r="F11" s="4">
        <v>0.4</v>
      </c>
      <c r="H11" s="20">
        <v>1</v>
      </c>
      <c r="I11" s="20">
        <v>10.25</v>
      </c>
      <c r="J11" s="20">
        <v>1</v>
      </c>
      <c r="K11" s="19">
        <v>21.49</v>
      </c>
      <c r="L11" s="20">
        <v>1</v>
      </c>
      <c r="M11" s="19">
        <v>38.93</v>
      </c>
      <c r="N11" s="20">
        <v>1</v>
      </c>
      <c r="O11" s="19">
        <v>42.96</v>
      </c>
      <c r="P11" s="20">
        <v>1</v>
      </c>
      <c r="Q11" s="19">
        <v>40.89</v>
      </c>
      <c r="R11" s="20">
        <v>1</v>
      </c>
      <c r="S11" s="19">
        <v>66.12</v>
      </c>
      <c r="T11" s="20">
        <v>1</v>
      </c>
      <c r="U11" s="19">
        <v>124.3</v>
      </c>
      <c r="V11" s="20">
        <v>1</v>
      </c>
      <c r="W11" s="19">
        <v>197</v>
      </c>
      <c r="X11" s="20">
        <v>1</v>
      </c>
      <c r="Y11" s="19">
        <v>212.5</v>
      </c>
      <c r="Z11" s="20">
        <v>1</v>
      </c>
      <c r="AA11" s="19">
        <v>210.1</v>
      </c>
      <c r="AB11" s="20">
        <v>1</v>
      </c>
      <c r="AC11" s="19">
        <v>347.8</v>
      </c>
      <c r="AD11" s="20">
        <v>1</v>
      </c>
      <c r="AE11" s="19">
        <v>390.2</v>
      </c>
      <c r="AF11" s="20">
        <v>1</v>
      </c>
      <c r="AG11" s="19">
        <v>593.70000000000005</v>
      </c>
      <c r="AH11" s="20">
        <v>1</v>
      </c>
      <c r="AI11" s="19">
        <v>590.70000000000005</v>
      </c>
      <c r="AJ11" s="20">
        <v>1</v>
      </c>
      <c r="AK11" s="19">
        <v>871.5</v>
      </c>
      <c r="AL11" s="20">
        <v>1</v>
      </c>
      <c r="AM11" s="19">
        <v>920.4</v>
      </c>
      <c r="AN11" s="20">
        <v>1</v>
      </c>
      <c r="AO11" s="19">
        <v>929.4</v>
      </c>
      <c r="AP11" s="20">
        <v>1</v>
      </c>
      <c r="AQ11" s="19">
        <v>1219</v>
      </c>
      <c r="AR11" s="20">
        <v>1</v>
      </c>
      <c r="AS11" s="19">
        <v>1310</v>
      </c>
      <c r="AT11" s="20">
        <v>1</v>
      </c>
      <c r="AU11" s="19">
        <v>1388</v>
      </c>
      <c r="AV11" s="20">
        <v>1</v>
      </c>
      <c r="AW11" s="19">
        <v>1625</v>
      </c>
      <c r="AX11" s="20">
        <v>1</v>
      </c>
      <c r="AY11" s="19">
        <v>1907</v>
      </c>
      <c r="AZ11" s="20">
        <v>1</v>
      </c>
      <c r="BA11" s="19">
        <v>2468</v>
      </c>
      <c r="BB11" s="20">
        <v>1</v>
      </c>
      <c r="BC11" s="19">
        <v>2727</v>
      </c>
      <c r="BD11" s="20">
        <v>1</v>
      </c>
      <c r="BE11" s="19">
        <v>2894</v>
      </c>
      <c r="BF11" s="20">
        <v>1</v>
      </c>
      <c r="BG11" s="19">
        <v>3519</v>
      </c>
      <c r="BH11" s="20">
        <v>1</v>
      </c>
      <c r="BI11" s="19">
        <v>3732</v>
      </c>
    </row>
    <row r="12" spans="1:61">
      <c r="A12" s="20"/>
      <c r="C12" s="5">
        <v>0.4</v>
      </c>
      <c r="D12" s="5">
        <v>2.5</v>
      </c>
      <c r="E12" s="5">
        <v>2.5169999999999999</v>
      </c>
      <c r="F12" s="4">
        <v>0.2</v>
      </c>
      <c r="H12" s="20">
        <v>1.5</v>
      </c>
      <c r="I12" s="20">
        <v>6.9809999999999999</v>
      </c>
      <c r="J12" s="20">
        <v>1.5</v>
      </c>
      <c r="K12" s="19">
        <v>14.56</v>
      </c>
      <c r="L12" s="20">
        <v>1.5</v>
      </c>
      <c r="M12" s="19">
        <v>27.44</v>
      </c>
      <c r="N12" s="20">
        <v>1.5</v>
      </c>
      <c r="O12" s="19">
        <v>30.49</v>
      </c>
      <c r="P12" s="20">
        <v>1.5</v>
      </c>
      <c r="Q12" s="19">
        <v>28.17</v>
      </c>
      <c r="R12" s="20">
        <v>1.5</v>
      </c>
      <c r="S12" s="19">
        <v>46.24</v>
      </c>
      <c r="T12" s="20">
        <v>1.5</v>
      </c>
      <c r="U12" s="19">
        <v>94.19</v>
      </c>
      <c r="V12" s="20">
        <v>1.5</v>
      </c>
      <c r="W12" s="19">
        <v>163.5</v>
      </c>
      <c r="X12" s="20">
        <v>1.5</v>
      </c>
      <c r="Y12" s="19">
        <v>178.2</v>
      </c>
      <c r="Z12" s="20">
        <v>1.5</v>
      </c>
      <c r="AA12" s="19">
        <v>154.9</v>
      </c>
      <c r="AB12" s="20">
        <v>1.5</v>
      </c>
      <c r="AC12" s="19">
        <v>273.10000000000002</v>
      </c>
      <c r="AD12" s="20">
        <v>1.5</v>
      </c>
      <c r="AE12" s="19">
        <v>326.39999999999998</v>
      </c>
      <c r="AF12" s="20">
        <v>1.5</v>
      </c>
      <c r="AG12" s="19">
        <v>521.29999999999995</v>
      </c>
      <c r="AH12" s="20">
        <v>1.5</v>
      </c>
      <c r="AI12" s="19">
        <v>499.6</v>
      </c>
      <c r="AJ12" s="20">
        <v>1.5</v>
      </c>
      <c r="AK12" s="19">
        <v>793.4</v>
      </c>
      <c r="AL12" s="20">
        <v>1.5</v>
      </c>
      <c r="AM12" s="19">
        <v>845.9</v>
      </c>
      <c r="AN12" s="20">
        <v>1.5</v>
      </c>
      <c r="AO12" s="19">
        <v>852.8</v>
      </c>
      <c r="AP12" s="20">
        <v>1.5</v>
      </c>
      <c r="AQ12" s="19">
        <v>1119</v>
      </c>
      <c r="AR12" s="20">
        <v>1.5</v>
      </c>
      <c r="AS12" s="19">
        <v>1252</v>
      </c>
      <c r="AT12" s="20">
        <v>1.5</v>
      </c>
      <c r="AU12" s="19">
        <v>1335</v>
      </c>
      <c r="AV12" s="20">
        <v>1.5</v>
      </c>
      <c r="AW12" s="19">
        <v>1526</v>
      </c>
      <c r="AX12" s="20">
        <v>1.5</v>
      </c>
      <c r="AY12" s="19">
        <v>1769</v>
      </c>
      <c r="AZ12" s="20">
        <v>1.5</v>
      </c>
      <c r="BA12" s="19">
        <v>2362</v>
      </c>
      <c r="BB12" s="20">
        <v>1.5</v>
      </c>
      <c r="BC12" s="19">
        <v>2595</v>
      </c>
      <c r="BD12" s="20">
        <v>1.5</v>
      </c>
      <c r="BE12" s="19">
        <v>2766</v>
      </c>
      <c r="BF12" s="20">
        <v>1.5</v>
      </c>
      <c r="BG12" s="19">
        <v>3384</v>
      </c>
      <c r="BH12" s="20">
        <v>1.5</v>
      </c>
      <c r="BI12" s="19">
        <v>3589</v>
      </c>
    </row>
    <row r="13" spans="1:61">
      <c r="A13" s="20"/>
      <c r="C13" s="5">
        <v>0.4</v>
      </c>
      <c r="D13" s="5">
        <v>3</v>
      </c>
      <c r="E13" s="5">
        <v>2.12</v>
      </c>
      <c r="F13" s="4">
        <v>0.2</v>
      </c>
      <c r="H13" s="20">
        <v>2</v>
      </c>
      <c r="I13" s="20">
        <v>5.2380000000000004</v>
      </c>
      <c r="J13" s="20">
        <v>2</v>
      </c>
      <c r="K13" s="19">
        <v>11.08</v>
      </c>
      <c r="L13" s="20">
        <v>2</v>
      </c>
      <c r="M13" s="19">
        <v>20.82</v>
      </c>
      <c r="N13" s="20">
        <v>2</v>
      </c>
      <c r="O13" s="19">
        <v>23.12</v>
      </c>
      <c r="P13" s="20">
        <v>2</v>
      </c>
      <c r="Q13" s="19">
        <v>21.79</v>
      </c>
      <c r="R13" s="20">
        <v>2</v>
      </c>
      <c r="S13" s="19">
        <v>35.409999999999997</v>
      </c>
      <c r="T13" s="20">
        <v>2</v>
      </c>
      <c r="U13" s="19">
        <v>73.319999999999993</v>
      </c>
      <c r="V13" s="20">
        <v>2</v>
      </c>
      <c r="W13" s="19">
        <v>134.30000000000001</v>
      </c>
      <c r="X13" s="20">
        <v>2</v>
      </c>
      <c r="Y13" s="19">
        <v>148.4</v>
      </c>
      <c r="Z13" s="20">
        <v>2</v>
      </c>
      <c r="AA13" s="19">
        <v>123.2</v>
      </c>
      <c r="AB13" s="20">
        <v>2</v>
      </c>
      <c r="AC13" s="19">
        <v>219.9</v>
      </c>
      <c r="AD13" s="20">
        <v>2</v>
      </c>
      <c r="AE13" s="19">
        <v>271.10000000000002</v>
      </c>
      <c r="AF13" s="20">
        <v>2</v>
      </c>
      <c r="AG13" s="19">
        <v>458.9</v>
      </c>
      <c r="AH13" s="20">
        <v>2</v>
      </c>
      <c r="AI13" s="19">
        <v>424.8</v>
      </c>
      <c r="AJ13" s="20">
        <v>2</v>
      </c>
      <c r="AK13" s="19">
        <v>704.3</v>
      </c>
      <c r="AL13" s="20">
        <v>2</v>
      </c>
      <c r="AM13" s="19">
        <v>787.2</v>
      </c>
      <c r="AN13" s="20">
        <v>2</v>
      </c>
      <c r="AO13" s="19">
        <v>765.7</v>
      </c>
      <c r="AP13" s="20">
        <v>2</v>
      </c>
      <c r="AQ13" s="19">
        <v>1030</v>
      </c>
      <c r="AR13" s="20">
        <v>2</v>
      </c>
      <c r="AS13" s="19">
        <v>1179</v>
      </c>
      <c r="AT13" s="20">
        <v>2</v>
      </c>
      <c r="AU13" s="19">
        <v>1261</v>
      </c>
      <c r="AV13" s="20">
        <v>2</v>
      </c>
      <c r="AW13" s="19">
        <v>1442</v>
      </c>
      <c r="AX13" s="20">
        <v>2</v>
      </c>
      <c r="AY13" s="19">
        <v>1675</v>
      </c>
      <c r="AZ13" s="20">
        <v>2</v>
      </c>
      <c r="BA13" s="19">
        <v>2268</v>
      </c>
      <c r="BB13" s="20">
        <v>2</v>
      </c>
      <c r="BC13" s="19">
        <v>2461</v>
      </c>
      <c r="BD13" s="20">
        <v>2</v>
      </c>
      <c r="BE13" s="19">
        <v>2622</v>
      </c>
      <c r="BF13" s="20">
        <v>2</v>
      </c>
      <c r="BG13" s="19">
        <v>3280</v>
      </c>
      <c r="BH13" s="20">
        <v>2</v>
      </c>
      <c r="BI13" s="19">
        <v>3487</v>
      </c>
    </row>
    <row r="14" spans="1:61">
      <c r="A14" s="20"/>
      <c r="C14" s="5">
        <v>0.4</v>
      </c>
      <c r="D14" s="5">
        <v>3.4</v>
      </c>
      <c r="E14" s="5">
        <v>1.88</v>
      </c>
      <c r="F14" s="4">
        <v>0.2</v>
      </c>
      <c r="G14" s="24">
        <f>'10A61 Liquid 3" ViscosityLINEST'!J8</f>
        <v>6.3268170426065318</v>
      </c>
      <c r="H14" s="20">
        <v>2.5</v>
      </c>
      <c r="I14" s="20">
        <v>4.1470000000000002</v>
      </c>
      <c r="J14" s="20">
        <v>2.5</v>
      </c>
      <c r="K14" s="22">
        <v>8.9969999999999999</v>
      </c>
      <c r="L14" s="20">
        <v>2.5</v>
      </c>
      <c r="M14" s="23">
        <v>16.84</v>
      </c>
      <c r="N14" s="20">
        <v>2.5</v>
      </c>
      <c r="O14" s="19">
        <v>18.7</v>
      </c>
      <c r="P14" s="20">
        <v>2.5</v>
      </c>
      <c r="Q14" s="19">
        <v>17.440000000000001</v>
      </c>
      <c r="R14" s="20">
        <v>2.5</v>
      </c>
      <c r="S14" s="19">
        <v>29.01</v>
      </c>
      <c r="T14" s="20">
        <v>2.5</v>
      </c>
      <c r="U14" s="19">
        <v>59.67</v>
      </c>
      <c r="V14" s="20">
        <v>2.5</v>
      </c>
      <c r="W14" s="19">
        <v>110.6</v>
      </c>
      <c r="X14" s="20">
        <v>2.5</v>
      </c>
      <c r="Y14" s="19">
        <v>122.3</v>
      </c>
      <c r="Z14" s="20">
        <v>2.5</v>
      </c>
      <c r="AA14" s="19">
        <v>100.7</v>
      </c>
      <c r="AB14" s="20">
        <v>2.5</v>
      </c>
      <c r="AC14" s="19">
        <v>183.8</v>
      </c>
      <c r="AD14" s="20">
        <v>2.5</v>
      </c>
      <c r="AE14" s="19">
        <v>226.8</v>
      </c>
      <c r="AF14" s="20">
        <v>2.5</v>
      </c>
      <c r="AG14" s="19">
        <v>400.6</v>
      </c>
      <c r="AH14" s="20">
        <v>2.5</v>
      </c>
      <c r="AI14" s="19">
        <v>362.6</v>
      </c>
      <c r="AJ14" s="20">
        <v>2.5</v>
      </c>
      <c r="AK14" s="19">
        <v>621.79999999999995</v>
      </c>
      <c r="AL14" s="20">
        <v>2.5</v>
      </c>
      <c r="AM14" s="19">
        <v>722.8</v>
      </c>
      <c r="AN14" s="20">
        <v>2.5</v>
      </c>
      <c r="AO14" s="19">
        <v>676.1</v>
      </c>
      <c r="AP14" s="20">
        <v>2.5</v>
      </c>
      <c r="AQ14" s="19">
        <v>961.7</v>
      </c>
      <c r="AR14" s="20">
        <v>2.5</v>
      </c>
      <c r="AS14" s="19">
        <v>1116</v>
      </c>
      <c r="AT14" s="20">
        <v>2.5</v>
      </c>
      <c r="AU14" s="19">
        <v>1194</v>
      </c>
      <c r="AV14" s="20">
        <v>2.5</v>
      </c>
      <c r="AW14" s="19">
        <v>1376</v>
      </c>
      <c r="AX14" s="20">
        <v>2.5</v>
      </c>
      <c r="AY14" s="19">
        <v>1572</v>
      </c>
      <c r="AZ14" s="20">
        <v>2.5</v>
      </c>
      <c r="BA14" s="19">
        <v>2165</v>
      </c>
      <c r="BB14" s="20">
        <v>2.5</v>
      </c>
      <c r="BC14" s="19">
        <v>2360</v>
      </c>
      <c r="BD14" s="20">
        <v>2.5</v>
      </c>
      <c r="BE14" s="19">
        <v>2516</v>
      </c>
      <c r="BF14" s="20">
        <v>2.5</v>
      </c>
      <c r="BG14" s="19">
        <v>3180</v>
      </c>
      <c r="BH14" s="20">
        <v>2.5</v>
      </c>
      <c r="BI14" s="19">
        <v>3381</v>
      </c>
    </row>
    <row r="15" spans="1:61">
      <c r="A15" s="20"/>
      <c r="C15" s="5"/>
      <c r="D15" s="5"/>
      <c r="E15" s="5"/>
      <c r="F15" s="4"/>
      <c r="G15" s="24"/>
      <c r="H15" s="20">
        <v>3</v>
      </c>
      <c r="I15" s="20">
        <v>3.4910000000000001</v>
      </c>
      <c r="J15" s="20">
        <v>3</v>
      </c>
      <c r="K15" s="22">
        <v>7.4080000000000004</v>
      </c>
      <c r="L15" s="20">
        <v>3</v>
      </c>
      <c r="M15" s="23">
        <v>14.18</v>
      </c>
      <c r="N15" s="20">
        <v>3</v>
      </c>
      <c r="O15" s="19">
        <v>15.73</v>
      </c>
      <c r="P15" s="20">
        <v>3</v>
      </c>
      <c r="Q15" s="19">
        <v>14.52</v>
      </c>
      <c r="R15" s="20">
        <v>3</v>
      </c>
      <c r="S15" s="19">
        <v>24.38</v>
      </c>
      <c r="T15" s="20">
        <v>3</v>
      </c>
      <c r="U15" s="19">
        <v>50.34</v>
      </c>
      <c r="V15" s="20">
        <v>3</v>
      </c>
      <c r="W15" s="19">
        <v>93.92</v>
      </c>
      <c r="X15" s="20">
        <v>3</v>
      </c>
      <c r="Y15" s="19">
        <v>104.1</v>
      </c>
      <c r="Z15" s="20">
        <v>3</v>
      </c>
      <c r="AA15" s="19">
        <v>85.18</v>
      </c>
      <c r="AB15" s="20">
        <v>3</v>
      </c>
      <c r="AC15" s="19">
        <v>157.6</v>
      </c>
      <c r="AD15" s="20">
        <v>3</v>
      </c>
      <c r="AE15" s="19">
        <v>192.6</v>
      </c>
      <c r="AF15" s="20">
        <v>3</v>
      </c>
      <c r="AG15" s="19">
        <v>349.8</v>
      </c>
      <c r="AH15" s="20">
        <v>3</v>
      </c>
      <c r="AI15" s="19">
        <v>313.5</v>
      </c>
      <c r="AJ15" s="20">
        <v>3</v>
      </c>
      <c r="AK15" s="19">
        <v>553.79999999999995</v>
      </c>
      <c r="AL15" s="20">
        <v>3</v>
      </c>
      <c r="AM15" s="19">
        <v>659.3</v>
      </c>
      <c r="AN15" s="20">
        <v>3</v>
      </c>
      <c r="AO15" s="19">
        <v>607</v>
      </c>
      <c r="AP15" s="20">
        <v>3</v>
      </c>
      <c r="AQ15" s="19">
        <v>899.8</v>
      </c>
      <c r="AR15" s="20">
        <v>3</v>
      </c>
      <c r="AS15" s="19">
        <v>1054</v>
      </c>
      <c r="AT15" s="20">
        <v>3</v>
      </c>
      <c r="AU15" s="19">
        <v>1135</v>
      </c>
      <c r="AV15" s="20">
        <v>3</v>
      </c>
      <c r="AW15" s="19">
        <v>1302</v>
      </c>
      <c r="AX15" s="20">
        <v>3</v>
      </c>
      <c r="AY15" s="19">
        <v>1490</v>
      </c>
      <c r="AZ15" s="20">
        <v>3</v>
      </c>
      <c r="BA15" s="19">
        <v>2093</v>
      </c>
      <c r="BB15" s="20">
        <v>3</v>
      </c>
      <c r="BC15" s="19">
        <v>2261</v>
      </c>
      <c r="BD15" s="20">
        <v>3</v>
      </c>
      <c r="BE15" s="19">
        <v>2422</v>
      </c>
      <c r="BF15" s="20">
        <v>3</v>
      </c>
      <c r="BG15" s="19">
        <v>3081</v>
      </c>
      <c r="BH15" s="20">
        <v>3</v>
      </c>
      <c r="BI15" s="19">
        <v>3287</v>
      </c>
    </row>
    <row r="16" spans="1:61">
      <c r="A16" s="20"/>
      <c r="C16" s="5"/>
      <c r="D16" s="5"/>
      <c r="E16" s="5"/>
      <c r="F16" s="8"/>
      <c r="G16" s="24"/>
      <c r="H16" s="20">
        <v>3.5</v>
      </c>
      <c r="I16" s="20">
        <v>3.024</v>
      </c>
      <c r="J16" s="20">
        <v>3.5</v>
      </c>
      <c r="K16" s="22">
        <v>6.2949999999999999</v>
      </c>
      <c r="L16" s="20">
        <v>3.5</v>
      </c>
      <c r="M16" s="23">
        <v>12.28</v>
      </c>
      <c r="N16" s="20">
        <v>3.5</v>
      </c>
      <c r="O16" s="19">
        <v>13.63</v>
      </c>
      <c r="P16" s="20">
        <v>3.5</v>
      </c>
      <c r="Q16" s="19">
        <v>12.54</v>
      </c>
      <c r="R16" s="20">
        <v>3.5</v>
      </c>
      <c r="S16" s="19">
        <v>20.77</v>
      </c>
      <c r="T16" s="20">
        <v>3.5</v>
      </c>
      <c r="U16" s="19">
        <v>43.82</v>
      </c>
      <c r="V16" s="20">
        <v>3.5</v>
      </c>
      <c r="W16" s="19">
        <v>81.459999999999994</v>
      </c>
      <c r="X16" s="20">
        <v>3.5</v>
      </c>
      <c r="Y16" s="19">
        <v>90.33</v>
      </c>
      <c r="Z16" s="20">
        <v>3.5</v>
      </c>
      <c r="AA16" s="19">
        <v>73.680000000000007</v>
      </c>
      <c r="AB16" s="20">
        <v>3.5</v>
      </c>
      <c r="AC16" s="19">
        <v>137.1</v>
      </c>
      <c r="AD16" s="20">
        <v>3.5</v>
      </c>
      <c r="AE16" s="19">
        <v>166.2</v>
      </c>
      <c r="AF16" s="20">
        <v>3.5</v>
      </c>
      <c r="AG16" s="19">
        <v>309.2</v>
      </c>
      <c r="AH16" s="20">
        <v>3.5</v>
      </c>
      <c r="AI16" s="19">
        <v>276.8</v>
      </c>
      <c r="AJ16" s="20">
        <v>3.5</v>
      </c>
      <c r="AK16" s="19">
        <v>496.4</v>
      </c>
      <c r="AL16" s="20">
        <v>3.5</v>
      </c>
      <c r="AM16" s="19">
        <v>601</v>
      </c>
      <c r="AN16" s="20">
        <v>3.5</v>
      </c>
      <c r="AO16" s="19">
        <v>544.1</v>
      </c>
      <c r="AP16" s="20">
        <v>3.5</v>
      </c>
      <c r="AQ16" s="19">
        <v>846.2</v>
      </c>
      <c r="AR16" s="20">
        <v>3.5</v>
      </c>
      <c r="AS16" s="19">
        <v>993.8</v>
      </c>
      <c r="AT16" s="20">
        <v>3.5</v>
      </c>
      <c r="AU16" s="19">
        <v>1070</v>
      </c>
      <c r="AV16" s="20">
        <v>3.5</v>
      </c>
      <c r="AW16" s="19">
        <v>1233</v>
      </c>
      <c r="AX16" s="20">
        <v>3.5</v>
      </c>
      <c r="AY16" s="19">
        <v>1422</v>
      </c>
      <c r="AZ16" s="20">
        <v>3.5</v>
      </c>
      <c r="BA16" s="19">
        <v>2029</v>
      </c>
      <c r="BB16" s="20">
        <v>3.5</v>
      </c>
      <c r="BC16" s="19">
        <v>2164</v>
      </c>
      <c r="BD16" s="20">
        <v>3.5</v>
      </c>
      <c r="BE16" s="19">
        <v>2318</v>
      </c>
      <c r="BF16" s="20">
        <v>3.5</v>
      </c>
      <c r="BG16" s="19">
        <v>2984</v>
      </c>
      <c r="BH16" s="20">
        <v>3.5</v>
      </c>
      <c r="BI16" s="19">
        <v>3184</v>
      </c>
    </row>
    <row r="17" spans="1:61">
      <c r="A17" s="20"/>
      <c r="C17" s="5"/>
      <c r="D17" s="5"/>
      <c r="E17" s="5"/>
      <c r="F17" s="8"/>
      <c r="G17" s="24"/>
      <c r="H17" s="20">
        <v>4</v>
      </c>
      <c r="I17" s="20">
        <v>2.6629999999999998</v>
      </c>
      <c r="J17" s="20">
        <v>4</v>
      </c>
      <c r="K17" s="22">
        <v>5.54</v>
      </c>
      <c r="L17" s="20">
        <v>4</v>
      </c>
      <c r="M17" s="23">
        <v>10.66</v>
      </c>
      <c r="N17" s="20">
        <v>4</v>
      </c>
      <c r="O17" s="19">
        <v>11.94</v>
      </c>
      <c r="P17" s="20">
        <v>4</v>
      </c>
      <c r="Q17" s="19">
        <v>10.97</v>
      </c>
      <c r="R17" s="20">
        <v>4</v>
      </c>
      <c r="S17" s="19">
        <v>18.25</v>
      </c>
      <c r="T17" s="20">
        <v>4</v>
      </c>
      <c r="U17" s="19">
        <v>39.049999999999997</v>
      </c>
      <c r="V17" s="20">
        <v>4</v>
      </c>
      <c r="W17" s="19">
        <v>71.930000000000007</v>
      </c>
      <c r="X17" s="20">
        <v>4</v>
      </c>
      <c r="Y17" s="19">
        <v>79.81</v>
      </c>
      <c r="Z17" s="20">
        <v>4</v>
      </c>
      <c r="AA17" s="19">
        <v>64.8</v>
      </c>
      <c r="AB17" s="20">
        <v>4</v>
      </c>
      <c r="AC17" s="19">
        <v>121.1</v>
      </c>
      <c r="AD17" s="20">
        <v>4</v>
      </c>
      <c r="AE17" s="19">
        <v>145.5</v>
      </c>
      <c r="AF17" s="20">
        <v>4</v>
      </c>
      <c r="AG17" s="19">
        <v>274.3</v>
      </c>
      <c r="AH17" s="20">
        <v>4</v>
      </c>
      <c r="AI17" s="19">
        <v>249.4</v>
      </c>
      <c r="AJ17" s="20">
        <v>4</v>
      </c>
      <c r="AK17" s="19">
        <v>446.3</v>
      </c>
      <c r="AL17" s="20">
        <v>4</v>
      </c>
      <c r="AM17" s="19">
        <v>548.4</v>
      </c>
      <c r="AN17" s="20">
        <v>4</v>
      </c>
      <c r="AO17" s="19">
        <v>492.5</v>
      </c>
      <c r="AP17" s="20">
        <v>4</v>
      </c>
      <c r="AQ17" s="19">
        <v>801.2</v>
      </c>
      <c r="AR17" s="20">
        <v>4</v>
      </c>
      <c r="AS17" s="19">
        <v>929.2</v>
      </c>
      <c r="AT17" s="20">
        <v>4</v>
      </c>
      <c r="AU17" s="19">
        <v>1010</v>
      </c>
      <c r="AV17" s="20">
        <v>4</v>
      </c>
      <c r="AW17" s="19">
        <v>1161</v>
      </c>
      <c r="AX17" s="20">
        <v>4</v>
      </c>
      <c r="AY17" s="19">
        <v>1361</v>
      </c>
      <c r="AZ17" s="20">
        <v>4</v>
      </c>
      <c r="BA17" s="19">
        <v>1960</v>
      </c>
      <c r="BB17" s="20">
        <v>4</v>
      </c>
      <c r="BC17" s="19">
        <v>2081</v>
      </c>
      <c r="BD17" s="20">
        <v>4</v>
      </c>
      <c r="BE17" s="19">
        <v>2231</v>
      </c>
      <c r="BF17" s="20">
        <v>4</v>
      </c>
      <c r="BG17" s="19">
        <v>2911</v>
      </c>
      <c r="BH17" s="20">
        <v>4</v>
      </c>
      <c r="BI17" s="19">
        <v>3101</v>
      </c>
    </row>
    <row r="18" spans="1:61">
      <c r="A18" s="20"/>
      <c r="C18" s="5"/>
      <c r="D18" s="5"/>
      <c r="E18" s="5"/>
      <c r="F18" s="8"/>
      <c r="G18" s="24"/>
      <c r="H18" s="20">
        <v>4.5</v>
      </c>
      <c r="I18" s="20">
        <v>2.379</v>
      </c>
      <c r="J18" s="20">
        <v>4.5</v>
      </c>
      <c r="K18" s="22">
        <v>4.9630000000000001</v>
      </c>
      <c r="L18" s="20">
        <v>4.5</v>
      </c>
      <c r="M18" s="23">
        <v>9.3390000000000004</v>
      </c>
      <c r="N18" s="20">
        <v>4.5</v>
      </c>
      <c r="O18" s="19">
        <v>10.47</v>
      </c>
      <c r="P18" s="20">
        <v>4.5</v>
      </c>
      <c r="Q18" s="19">
        <v>9.7539999999999996</v>
      </c>
      <c r="R18" s="20">
        <v>4.5</v>
      </c>
      <c r="S18" s="19">
        <v>16.309999999999999</v>
      </c>
      <c r="T18" s="20">
        <v>4.5</v>
      </c>
      <c r="U18" s="19">
        <v>34.56</v>
      </c>
      <c r="V18" s="20">
        <v>4.5</v>
      </c>
      <c r="W18" s="19">
        <v>64.430000000000007</v>
      </c>
      <c r="X18" s="20">
        <v>4.5</v>
      </c>
      <c r="Y18" s="19">
        <v>71.489999999999995</v>
      </c>
      <c r="Z18" s="20">
        <v>4.5</v>
      </c>
      <c r="AA18" s="19">
        <v>57.86</v>
      </c>
      <c r="AB18" s="20">
        <v>4.5</v>
      </c>
      <c r="AC18" s="19">
        <v>108.8</v>
      </c>
      <c r="AD18" s="20">
        <v>4.5</v>
      </c>
      <c r="AE18" s="19">
        <v>129.4</v>
      </c>
      <c r="AF18" s="20">
        <v>4.5</v>
      </c>
      <c r="AG18" s="19">
        <v>245.9</v>
      </c>
      <c r="AH18" s="20">
        <v>4.5</v>
      </c>
      <c r="AI18" s="19">
        <v>224.2</v>
      </c>
      <c r="AJ18" s="20">
        <v>4.5</v>
      </c>
      <c r="AK18" s="19">
        <v>404.5</v>
      </c>
      <c r="AL18" s="20">
        <v>4.5</v>
      </c>
      <c r="AM18" s="19">
        <v>499.1</v>
      </c>
      <c r="AN18" s="20">
        <v>4.5</v>
      </c>
      <c r="AO18" s="19">
        <v>446.4</v>
      </c>
      <c r="AP18" s="20">
        <v>4.5</v>
      </c>
      <c r="AQ18" s="19">
        <v>763.3</v>
      </c>
      <c r="AR18" s="20">
        <v>4.5</v>
      </c>
      <c r="AS18" s="19">
        <v>870.5</v>
      </c>
      <c r="AT18" s="20">
        <v>4.5</v>
      </c>
      <c r="AU18" s="19">
        <v>946.3</v>
      </c>
      <c r="AV18" s="20">
        <v>4.5</v>
      </c>
      <c r="AW18" s="19">
        <v>1097</v>
      </c>
      <c r="AX18" s="20">
        <v>4.5</v>
      </c>
      <c r="AY18" s="19">
        <v>1298</v>
      </c>
      <c r="AZ18" s="20">
        <v>4.5</v>
      </c>
      <c r="BA18" s="19">
        <v>1881</v>
      </c>
      <c r="BB18" s="20">
        <v>4.5</v>
      </c>
      <c r="BC18" s="19">
        <v>2010</v>
      </c>
      <c r="BD18" s="20">
        <v>4.5</v>
      </c>
      <c r="BE18" s="19">
        <v>2155</v>
      </c>
      <c r="BF18" s="20">
        <v>4.5</v>
      </c>
      <c r="BG18" s="19">
        <v>2851</v>
      </c>
      <c r="BH18" s="20">
        <v>4.5</v>
      </c>
      <c r="BI18" s="19">
        <v>3037</v>
      </c>
    </row>
    <row r="19" spans="1:61">
      <c r="C19" s="5"/>
      <c r="D19" s="5"/>
      <c r="E19" s="5"/>
      <c r="F19" s="8"/>
      <c r="G19" s="24"/>
      <c r="H19" s="45"/>
      <c r="I19" s="20"/>
      <c r="J19" s="20">
        <v>5</v>
      </c>
      <c r="K19" s="22">
        <v>4.4000000000000004</v>
      </c>
      <c r="L19" s="20">
        <v>5</v>
      </c>
      <c r="M19" s="23">
        <v>8.4250000000000007</v>
      </c>
      <c r="N19" s="20">
        <v>5</v>
      </c>
      <c r="O19" s="19">
        <v>9.36</v>
      </c>
      <c r="P19" s="20">
        <v>5</v>
      </c>
      <c r="Q19" s="19">
        <v>8.7789999999999999</v>
      </c>
      <c r="R19" s="20">
        <v>5</v>
      </c>
      <c r="S19" s="19">
        <v>14.69</v>
      </c>
      <c r="T19" s="20">
        <v>5</v>
      </c>
      <c r="U19" s="19">
        <v>30.97</v>
      </c>
      <c r="V19" s="20">
        <v>5</v>
      </c>
      <c r="W19" s="19">
        <v>58.88</v>
      </c>
      <c r="X19" s="20">
        <v>5</v>
      </c>
      <c r="Y19" s="19">
        <v>65.010000000000005</v>
      </c>
      <c r="Z19" s="20">
        <v>5</v>
      </c>
      <c r="AA19" s="19">
        <v>52.27</v>
      </c>
      <c r="AB19" s="20">
        <v>5</v>
      </c>
      <c r="AC19" s="19">
        <v>98.3</v>
      </c>
      <c r="AD19" s="20">
        <v>5</v>
      </c>
      <c r="AE19" s="19">
        <v>116.5</v>
      </c>
      <c r="AF19" s="20">
        <v>5</v>
      </c>
      <c r="AG19" s="19">
        <v>221.5</v>
      </c>
      <c r="AH19" s="20">
        <v>5</v>
      </c>
      <c r="AI19" s="19">
        <v>203.9</v>
      </c>
      <c r="AJ19" s="20">
        <v>5</v>
      </c>
      <c r="AK19" s="19">
        <v>372.8</v>
      </c>
      <c r="AL19" s="20">
        <v>5</v>
      </c>
      <c r="AM19" s="19">
        <v>458.8</v>
      </c>
      <c r="AN19" s="20">
        <v>5</v>
      </c>
      <c r="AO19" s="19">
        <v>409.9</v>
      </c>
      <c r="AP19" s="20">
        <v>5</v>
      </c>
      <c r="AQ19" s="19">
        <v>717.3</v>
      </c>
      <c r="AR19" s="20">
        <v>5</v>
      </c>
      <c r="AS19" s="19">
        <v>811.9</v>
      </c>
      <c r="AT19" s="20">
        <v>5</v>
      </c>
      <c r="AU19" s="19">
        <v>888.3</v>
      </c>
      <c r="AV19" s="20">
        <v>5</v>
      </c>
      <c r="AW19" s="19">
        <v>1037</v>
      </c>
      <c r="AX19" s="20">
        <v>5</v>
      </c>
      <c r="AY19" s="19">
        <v>1245</v>
      </c>
      <c r="AZ19" s="20">
        <v>5</v>
      </c>
      <c r="BA19" s="19">
        <v>1812</v>
      </c>
      <c r="BB19" s="20">
        <v>5</v>
      </c>
      <c r="BC19" s="19">
        <v>1944</v>
      </c>
      <c r="BD19" s="20">
        <v>5</v>
      </c>
      <c r="BE19" s="19">
        <v>2087</v>
      </c>
      <c r="BF19" s="20">
        <v>5</v>
      </c>
      <c r="BG19" s="19">
        <v>2780</v>
      </c>
      <c r="BH19" s="20">
        <v>5</v>
      </c>
      <c r="BI19" s="19">
        <v>2973</v>
      </c>
    </row>
    <row r="20" spans="1:61">
      <c r="C20" s="5"/>
      <c r="D20" s="5"/>
      <c r="E20" s="5"/>
      <c r="F20" s="8"/>
      <c r="G20" s="24"/>
      <c r="H20" s="45"/>
      <c r="I20" s="20"/>
      <c r="J20" s="23"/>
      <c r="K20" s="22"/>
      <c r="L20" s="22"/>
      <c r="M20" s="23"/>
      <c r="N20" s="21"/>
    </row>
    <row r="21" spans="1:61">
      <c r="C21" s="5"/>
      <c r="D21" s="5"/>
      <c r="E21" s="5"/>
      <c r="F21" s="4"/>
      <c r="H21" s="45"/>
      <c r="I21" s="20"/>
      <c r="J21" s="25"/>
    </row>
    <row r="22" spans="1:61">
      <c r="C22" s="5"/>
      <c r="D22" s="5"/>
      <c r="E22" s="5"/>
      <c r="F22" s="4"/>
      <c r="H22" s="45"/>
      <c r="I22" s="20"/>
      <c r="J22" s="25"/>
    </row>
    <row r="23" spans="1:61">
      <c r="C23" s="26">
        <v>0.59999999999999898</v>
      </c>
      <c r="D23" s="26">
        <v>0.5</v>
      </c>
      <c r="E23" s="26">
        <v>10.57</v>
      </c>
      <c r="F23" s="28">
        <v>1.5</v>
      </c>
      <c r="G23" s="27"/>
      <c r="H23" s="20">
        <v>0.5</v>
      </c>
      <c r="I23" s="20">
        <v>17.46</v>
      </c>
      <c r="J23" s="20">
        <v>0.5</v>
      </c>
      <c r="K23" s="20">
        <v>33.659999999999997</v>
      </c>
      <c r="L23" s="20">
        <v>0.5</v>
      </c>
      <c r="M23" s="20">
        <v>54.81</v>
      </c>
      <c r="N23" s="20">
        <v>0.5</v>
      </c>
      <c r="O23" s="20">
        <v>59.16</v>
      </c>
      <c r="P23" s="20">
        <v>0.5</v>
      </c>
      <c r="Q23" s="20">
        <v>56.04</v>
      </c>
      <c r="R23" s="20">
        <v>0.5</v>
      </c>
      <c r="S23" s="20">
        <v>81.84</v>
      </c>
      <c r="T23" s="20">
        <v>0.5</v>
      </c>
      <c r="U23" s="20">
        <v>131.19999999999999</v>
      </c>
      <c r="V23" s="20">
        <v>0.5</v>
      </c>
      <c r="W23" s="20">
        <v>191.8</v>
      </c>
      <c r="X23" s="20">
        <v>0.5</v>
      </c>
      <c r="Y23" s="20">
        <v>203.5</v>
      </c>
      <c r="Z23" s="20">
        <v>0.5</v>
      </c>
      <c r="AA23" s="20">
        <v>233.3</v>
      </c>
      <c r="AB23" s="20">
        <v>0.5</v>
      </c>
      <c r="AC23" s="20">
        <v>352.9</v>
      </c>
      <c r="AD23" s="20">
        <v>0.5</v>
      </c>
      <c r="AE23" s="20">
        <v>357.7</v>
      </c>
      <c r="AF23" s="20">
        <v>0.5</v>
      </c>
      <c r="AG23" s="20">
        <v>523.20000000000005</v>
      </c>
      <c r="AH23" s="20">
        <v>0.5</v>
      </c>
      <c r="AI23" s="20">
        <v>548.4</v>
      </c>
      <c r="AJ23" s="20">
        <v>0.5</v>
      </c>
      <c r="AK23" s="20">
        <v>776.9</v>
      </c>
      <c r="AL23" s="20">
        <v>0.5</v>
      </c>
      <c r="AM23" s="20">
        <v>800.6</v>
      </c>
      <c r="AN23" s="20">
        <v>0.5</v>
      </c>
      <c r="AO23" s="20">
        <v>821.3</v>
      </c>
      <c r="AP23" s="20">
        <v>0.5</v>
      </c>
      <c r="AQ23" s="20">
        <v>1093</v>
      </c>
      <c r="AR23" s="20">
        <v>0.5</v>
      </c>
      <c r="AS23" s="20">
        <v>1134</v>
      </c>
      <c r="AT23" s="20">
        <v>0.5</v>
      </c>
      <c r="AU23" s="20">
        <v>1202</v>
      </c>
      <c r="AV23" s="20">
        <v>0.5</v>
      </c>
      <c r="AW23" s="20">
        <v>1401</v>
      </c>
      <c r="AX23" s="20">
        <v>0.5</v>
      </c>
      <c r="AY23" s="20">
        <v>1689</v>
      </c>
      <c r="AZ23" s="20">
        <v>0.5</v>
      </c>
      <c r="BA23" s="20">
        <v>2106</v>
      </c>
      <c r="BB23" s="20">
        <v>0.5</v>
      </c>
      <c r="BC23" s="20">
        <v>2408</v>
      </c>
      <c r="BD23" s="20">
        <v>0.5</v>
      </c>
      <c r="BE23" s="20">
        <v>2547</v>
      </c>
      <c r="BF23" s="20">
        <v>0.5</v>
      </c>
      <c r="BG23" s="20">
        <v>2953</v>
      </c>
      <c r="BH23" s="20">
        <v>0.5</v>
      </c>
      <c r="BI23" s="20">
        <v>3118</v>
      </c>
    </row>
    <row r="24" spans="1:61">
      <c r="C24" s="26"/>
      <c r="D24" s="26">
        <v>0.6</v>
      </c>
      <c r="E24" s="26">
        <v>9.0860000000000003</v>
      </c>
      <c r="F24" s="28">
        <v>1</v>
      </c>
      <c r="G24" s="27"/>
      <c r="H24" s="20">
        <v>0.6</v>
      </c>
      <c r="I24" s="20">
        <v>15.11</v>
      </c>
      <c r="J24" s="20">
        <v>0.6</v>
      </c>
      <c r="K24" s="20">
        <v>30.17</v>
      </c>
      <c r="L24" s="20">
        <v>0.6</v>
      </c>
      <c r="M24" s="20">
        <v>50.47</v>
      </c>
      <c r="N24" s="20">
        <v>0.6</v>
      </c>
      <c r="O24" s="20">
        <v>54.8</v>
      </c>
      <c r="P24" s="20">
        <v>0.6</v>
      </c>
      <c r="Q24" s="20">
        <v>51.95</v>
      </c>
      <c r="R24" s="20">
        <v>0.6</v>
      </c>
      <c r="S24" s="20">
        <v>76.98</v>
      </c>
      <c r="T24" s="20">
        <v>0.6</v>
      </c>
      <c r="U24" s="20">
        <v>126.7</v>
      </c>
      <c r="V24" s="20">
        <v>0.6</v>
      </c>
      <c r="W24" s="20">
        <v>187.4</v>
      </c>
      <c r="X24" s="20">
        <v>0.6</v>
      </c>
      <c r="Y24" s="20">
        <v>199.8</v>
      </c>
      <c r="Z24" s="20">
        <v>0.6</v>
      </c>
      <c r="AA24" s="20">
        <v>223.2</v>
      </c>
      <c r="AB24" s="20">
        <v>0.6</v>
      </c>
      <c r="AC24" s="20">
        <v>341.9</v>
      </c>
      <c r="AD24" s="20">
        <v>0.6</v>
      </c>
      <c r="AE24" s="20">
        <v>350.2</v>
      </c>
      <c r="AF24" s="20">
        <v>0.6</v>
      </c>
      <c r="AG24" s="20">
        <v>514.6</v>
      </c>
      <c r="AH24" s="20">
        <v>0.6</v>
      </c>
      <c r="AI24" s="20">
        <v>538.6</v>
      </c>
      <c r="AJ24" s="20">
        <v>0.6</v>
      </c>
      <c r="AK24" s="20">
        <v>770.8</v>
      </c>
      <c r="AL24" s="20">
        <v>0.6</v>
      </c>
      <c r="AM24" s="20">
        <v>790.8</v>
      </c>
      <c r="AN24" s="20">
        <v>0.6</v>
      </c>
      <c r="AO24" s="20">
        <v>817.1</v>
      </c>
      <c r="AP24" s="20">
        <v>0.6</v>
      </c>
      <c r="AQ24" s="20">
        <v>1071</v>
      </c>
      <c r="AR24" s="20">
        <v>0.6</v>
      </c>
      <c r="AS24" s="20">
        <v>1121</v>
      </c>
      <c r="AT24" s="20">
        <v>0.6</v>
      </c>
      <c r="AU24" s="20">
        <v>1187</v>
      </c>
      <c r="AV24" s="20">
        <v>0.6</v>
      </c>
      <c r="AW24" s="20">
        <v>1383</v>
      </c>
      <c r="AX24" s="20">
        <v>0.6</v>
      </c>
      <c r="AY24" s="20">
        <v>1658</v>
      </c>
      <c r="AZ24" s="20">
        <v>0.6</v>
      </c>
      <c r="BA24" s="20">
        <v>2092</v>
      </c>
      <c r="BB24" s="20">
        <v>0.6</v>
      </c>
      <c r="BC24" s="20">
        <v>2382</v>
      </c>
      <c r="BD24" s="20">
        <v>0.6</v>
      </c>
      <c r="BE24" s="20">
        <v>2527</v>
      </c>
      <c r="BF24" s="20">
        <v>0.6</v>
      </c>
      <c r="BG24" s="20">
        <v>2944</v>
      </c>
      <c r="BH24" s="20">
        <v>0.6</v>
      </c>
      <c r="BI24" s="20">
        <v>3115</v>
      </c>
    </row>
    <row r="25" spans="1:61">
      <c r="C25" s="26"/>
      <c r="D25" s="26">
        <v>0.9</v>
      </c>
      <c r="E25" s="26">
        <v>6.1680000000000001</v>
      </c>
      <c r="F25" s="28">
        <v>0.8</v>
      </c>
      <c r="G25" s="27"/>
      <c r="H25" s="20">
        <v>0.7</v>
      </c>
      <c r="I25" s="20">
        <v>13.29</v>
      </c>
      <c r="J25" s="20">
        <v>0.7</v>
      </c>
      <c r="K25" s="20">
        <v>26.96</v>
      </c>
      <c r="L25" s="20">
        <v>0.7</v>
      </c>
      <c r="M25" s="20">
        <v>46.65</v>
      </c>
      <c r="N25" s="20">
        <v>0.7</v>
      </c>
      <c r="O25" s="20">
        <v>50.65</v>
      </c>
      <c r="P25" s="20">
        <v>0.7</v>
      </c>
      <c r="Q25" s="20">
        <v>47.52</v>
      </c>
      <c r="R25" s="20">
        <v>0.7</v>
      </c>
      <c r="S25" s="20">
        <v>72.19</v>
      </c>
      <c r="T25" s="20">
        <v>0.7</v>
      </c>
      <c r="U25" s="20">
        <v>122.7</v>
      </c>
      <c r="V25" s="20">
        <v>0.7</v>
      </c>
      <c r="W25" s="20">
        <v>182.3</v>
      </c>
      <c r="X25" s="20">
        <v>0.7</v>
      </c>
      <c r="Y25" s="20">
        <v>194.4</v>
      </c>
      <c r="Z25" s="20">
        <v>0.7</v>
      </c>
      <c r="AA25" s="20">
        <v>211.7</v>
      </c>
      <c r="AB25" s="20">
        <v>0.7</v>
      </c>
      <c r="AC25" s="20">
        <v>331.6</v>
      </c>
      <c r="AD25" s="20">
        <v>0.7</v>
      </c>
      <c r="AE25" s="20">
        <v>340</v>
      </c>
      <c r="AF25" s="20">
        <v>0.7</v>
      </c>
      <c r="AG25" s="20">
        <v>507.8</v>
      </c>
      <c r="AH25" s="20">
        <v>0.7</v>
      </c>
      <c r="AI25" s="20">
        <v>527.1</v>
      </c>
      <c r="AJ25" s="20">
        <v>0.7</v>
      </c>
      <c r="AK25" s="20">
        <v>762.3</v>
      </c>
      <c r="AL25" s="20">
        <v>0.7</v>
      </c>
      <c r="AM25" s="20">
        <v>779.3</v>
      </c>
      <c r="AN25" s="20">
        <v>0.7</v>
      </c>
      <c r="AO25" s="20">
        <v>808.1</v>
      </c>
      <c r="AP25" s="20">
        <v>0.7</v>
      </c>
      <c r="AQ25" s="20">
        <v>1054</v>
      </c>
      <c r="AR25" s="20">
        <v>0.7</v>
      </c>
      <c r="AS25" s="20">
        <v>1113</v>
      </c>
      <c r="AT25" s="20">
        <v>0.7</v>
      </c>
      <c r="AU25" s="20">
        <v>1178</v>
      </c>
      <c r="AV25" s="20">
        <v>0.7</v>
      </c>
      <c r="AW25" s="20">
        <v>1362</v>
      </c>
      <c r="AX25" s="20">
        <v>0.7</v>
      </c>
      <c r="AY25" s="20">
        <v>1630</v>
      </c>
      <c r="AZ25" s="20">
        <v>0.7</v>
      </c>
      <c r="BA25" s="20">
        <v>2080</v>
      </c>
      <c r="BB25" s="20">
        <v>0.7</v>
      </c>
      <c r="BC25" s="20">
        <v>2348</v>
      </c>
      <c r="BD25" s="20">
        <v>0.7</v>
      </c>
      <c r="BE25" s="20">
        <v>2492</v>
      </c>
      <c r="BF25" s="20">
        <v>0.7</v>
      </c>
      <c r="BG25" s="20">
        <v>2927</v>
      </c>
      <c r="BH25" s="20">
        <v>0.7</v>
      </c>
      <c r="BI25" s="20">
        <v>3097</v>
      </c>
    </row>
    <row r="26" spans="1:61">
      <c r="C26" s="26"/>
      <c r="D26" s="26">
        <v>1.1000000000000001</v>
      </c>
      <c r="E26" s="26">
        <v>5.0970000000000004</v>
      </c>
      <c r="F26" s="28">
        <v>0.6</v>
      </c>
      <c r="G26" s="27"/>
      <c r="H26" s="20">
        <v>0.8</v>
      </c>
      <c r="I26" s="20">
        <v>11.89</v>
      </c>
      <c r="J26" s="20">
        <v>0.8</v>
      </c>
      <c r="K26" s="19">
        <v>24.45</v>
      </c>
      <c r="L26" s="20">
        <v>0.8</v>
      </c>
      <c r="M26" s="19">
        <v>43.27</v>
      </c>
      <c r="N26" s="20">
        <v>0.8</v>
      </c>
      <c r="O26" s="19">
        <v>47.31</v>
      </c>
      <c r="P26" s="20">
        <v>0.8</v>
      </c>
      <c r="Q26" s="19">
        <v>43.88</v>
      </c>
      <c r="R26" s="20">
        <v>0.8</v>
      </c>
      <c r="S26" s="19">
        <v>68.28</v>
      </c>
      <c r="T26" s="20">
        <v>0.8</v>
      </c>
      <c r="U26" s="19">
        <v>119.2</v>
      </c>
      <c r="V26" s="20">
        <v>0.8</v>
      </c>
      <c r="W26" s="19">
        <v>177.8</v>
      </c>
      <c r="X26" s="20">
        <v>0.8</v>
      </c>
      <c r="Y26" s="19">
        <v>189.8</v>
      </c>
      <c r="Z26" s="20">
        <v>0.8</v>
      </c>
      <c r="AA26" s="19">
        <v>199.9</v>
      </c>
      <c r="AB26" s="20">
        <v>0.8</v>
      </c>
      <c r="AC26" s="19">
        <v>323</v>
      </c>
      <c r="AD26" s="20">
        <v>0.8</v>
      </c>
      <c r="AE26" s="19">
        <v>330.4</v>
      </c>
      <c r="AF26" s="20">
        <v>0.8</v>
      </c>
      <c r="AG26" s="19">
        <v>502</v>
      </c>
      <c r="AH26" s="20">
        <v>0.8</v>
      </c>
      <c r="AI26" s="19">
        <v>517.20000000000005</v>
      </c>
      <c r="AJ26" s="20">
        <v>0.8</v>
      </c>
      <c r="AK26" s="19">
        <v>753.4</v>
      </c>
      <c r="AL26" s="20">
        <v>0.8</v>
      </c>
      <c r="AM26" s="19">
        <v>769.5</v>
      </c>
      <c r="AN26" s="20">
        <v>0.8</v>
      </c>
      <c r="AO26" s="19">
        <v>800.4</v>
      </c>
      <c r="AP26" s="20">
        <v>0.8</v>
      </c>
      <c r="AQ26" s="19">
        <v>1040</v>
      </c>
      <c r="AR26" s="20">
        <v>0.8</v>
      </c>
      <c r="AS26" s="19">
        <v>1104</v>
      </c>
      <c r="AT26" s="20">
        <v>0.8</v>
      </c>
      <c r="AU26" s="19">
        <v>1171</v>
      </c>
      <c r="AV26" s="20">
        <v>0.8</v>
      </c>
      <c r="AW26" s="19">
        <v>1345</v>
      </c>
      <c r="AX26" s="20">
        <v>0.8</v>
      </c>
      <c r="AY26" s="19">
        <v>1605</v>
      </c>
      <c r="AZ26" s="20">
        <v>0.8</v>
      </c>
      <c r="BA26" s="19">
        <v>2069</v>
      </c>
      <c r="BB26" s="20">
        <v>0.8</v>
      </c>
      <c r="BC26" s="19">
        <v>2317</v>
      </c>
      <c r="BD26" s="20">
        <v>0.8</v>
      </c>
      <c r="BE26" s="19">
        <v>2461</v>
      </c>
      <c r="BF26" s="20">
        <v>0.8</v>
      </c>
      <c r="BG26" s="19">
        <v>2913</v>
      </c>
      <c r="BH26" s="20">
        <v>0.8</v>
      </c>
      <c r="BI26" s="19">
        <v>3082</v>
      </c>
    </row>
    <row r="27" spans="1:61">
      <c r="C27" s="26"/>
      <c r="D27" s="26">
        <v>1.4</v>
      </c>
      <c r="E27" s="26">
        <v>4.0629999999999997</v>
      </c>
      <c r="F27" s="28">
        <v>0.4</v>
      </c>
      <c r="G27" s="27">
        <f>'10A61 Liquid 3" ViscosityLINEST'!J9</f>
        <v>5.5743909512296312</v>
      </c>
      <c r="H27" s="19">
        <v>0.9</v>
      </c>
      <c r="I27" s="20">
        <v>10.63</v>
      </c>
      <c r="J27" s="19">
        <v>0.9</v>
      </c>
      <c r="K27" s="19">
        <v>22.17</v>
      </c>
      <c r="L27" s="19">
        <v>0.9</v>
      </c>
      <c r="M27" s="19">
        <v>39.71</v>
      </c>
      <c r="N27" s="19">
        <v>0.9</v>
      </c>
      <c r="O27" s="19">
        <v>43.63</v>
      </c>
      <c r="P27" s="19">
        <v>0.9</v>
      </c>
      <c r="Q27" s="19">
        <v>39.799999999999997</v>
      </c>
      <c r="R27" s="19">
        <v>0.9</v>
      </c>
      <c r="S27" s="19">
        <v>63.73</v>
      </c>
      <c r="T27" s="19">
        <v>0.9</v>
      </c>
      <c r="U27" s="19">
        <v>113.5</v>
      </c>
      <c r="V27" s="19">
        <v>0.9</v>
      </c>
      <c r="W27" s="19">
        <v>173.5</v>
      </c>
      <c r="X27" s="19">
        <v>0.9</v>
      </c>
      <c r="Y27" s="19">
        <v>185.3</v>
      </c>
      <c r="Z27" s="19">
        <v>0.9</v>
      </c>
      <c r="AA27" s="19">
        <v>187.1</v>
      </c>
      <c r="AB27" s="19">
        <v>0.9</v>
      </c>
      <c r="AC27" s="19">
        <v>310.5</v>
      </c>
      <c r="AD27" s="19">
        <v>0.9</v>
      </c>
      <c r="AE27" s="19">
        <v>321.10000000000002</v>
      </c>
      <c r="AF27" s="19">
        <v>0.9</v>
      </c>
      <c r="AG27" s="19">
        <v>491.2</v>
      </c>
      <c r="AH27" s="19">
        <v>0.9</v>
      </c>
      <c r="AI27" s="19">
        <v>505.3</v>
      </c>
      <c r="AJ27" s="19">
        <v>0.9</v>
      </c>
      <c r="AK27" s="19">
        <v>741.1</v>
      </c>
      <c r="AL27" s="19">
        <v>0.9</v>
      </c>
      <c r="AM27" s="19">
        <v>761.7</v>
      </c>
      <c r="AN27" s="19">
        <v>0.9</v>
      </c>
      <c r="AO27" s="19">
        <v>788.5</v>
      </c>
      <c r="AP27" s="19">
        <v>0.9</v>
      </c>
      <c r="AQ27" s="19">
        <v>1018</v>
      </c>
      <c r="AR27" s="19">
        <v>0.9</v>
      </c>
      <c r="AS27" s="19">
        <v>1092</v>
      </c>
      <c r="AT27" s="19">
        <v>0.9</v>
      </c>
      <c r="AU27" s="19">
        <v>1159</v>
      </c>
      <c r="AV27" s="19">
        <v>0.9</v>
      </c>
      <c r="AW27" s="19">
        <v>1330</v>
      </c>
      <c r="AX27" s="19">
        <v>0.9</v>
      </c>
      <c r="AY27" s="19">
        <v>1586</v>
      </c>
      <c r="AZ27" s="19">
        <v>0.9</v>
      </c>
      <c r="BA27" s="19">
        <v>2046</v>
      </c>
      <c r="BB27" s="19">
        <v>0.9</v>
      </c>
      <c r="BC27" s="19">
        <v>2286</v>
      </c>
      <c r="BD27" s="19">
        <v>0.9</v>
      </c>
      <c r="BE27" s="19">
        <v>2429</v>
      </c>
      <c r="BF27" s="19">
        <v>0.9</v>
      </c>
      <c r="BG27" s="19">
        <v>2901</v>
      </c>
      <c r="BH27" s="19">
        <v>0.9</v>
      </c>
      <c r="BI27" s="19">
        <v>3069</v>
      </c>
    </row>
    <row r="28" spans="1:61">
      <c r="C28" s="26"/>
      <c r="D28" s="26">
        <v>1.9</v>
      </c>
      <c r="E28" s="26">
        <v>2.9689999999999999</v>
      </c>
      <c r="F28" s="28">
        <v>0.2</v>
      </c>
      <c r="G28" s="27"/>
      <c r="H28" s="20">
        <v>1</v>
      </c>
      <c r="I28" s="20">
        <v>9.6010000000000009</v>
      </c>
      <c r="J28" s="20">
        <v>1</v>
      </c>
      <c r="K28" s="19">
        <v>20.309999999999999</v>
      </c>
      <c r="L28" s="20">
        <v>1</v>
      </c>
      <c r="M28" s="19">
        <v>36.770000000000003</v>
      </c>
      <c r="N28" s="20">
        <v>1</v>
      </c>
      <c r="O28" s="19">
        <v>40.4</v>
      </c>
      <c r="P28" s="20">
        <v>1</v>
      </c>
      <c r="Q28" s="19">
        <v>36.32</v>
      </c>
      <c r="R28" s="20">
        <v>1</v>
      </c>
      <c r="S28" s="19">
        <v>59.84</v>
      </c>
      <c r="T28" s="20">
        <v>1</v>
      </c>
      <c r="U28" s="19">
        <v>108.6</v>
      </c>
      <c r="V28" s="20">
        <v>1</v>
      </c>
      <c r="W28" s="19">
        <v>169.7</v>
      </c>
      <c r="X28" s="20">
        <v>1</v>
      </c>
      <c r="Y28" s="19">
        <v>181.3</v>
      </c>
      <c r="Z28" s="20">
        <v>1</v>
      </c>
      <c r="AA28" s="19">
        <v>176.5</v>
      </c>
      <c r="AB28" s="20">
        <v>1</v>
      </c>
      <c r="AC28" s="19">
        <v>299.39999999999998</v>
      </c>
      <c r="AD28" s="20">
        <v>1</v>
      </c>
      <c r="AE28" s="19">
        <v>312.89999999999998</v>
      </c>
      <c r="AF28" s="20">
        <v>1</v>
      </c>
      <c r="AG28" s="19">
        <v>481.4</v>
      </c>
      <c r="AH28" s="20">
        <v>1</v>
      </c>
      <c r="AI28" s="19">
        <v>494.4</v>
      </c>
      <c r="AJ28" s="20">
        <v>1</v>
      </c>
      <c r="AK28" s="19">
        <v>730.2</v>
      </c>
      <c r="AL28" s="20">
        <v>1</v>
      </c>
      <c r="AM28" s="19">
        <v>754.8</v>
      </c>
      <c r="AN28" s="20">
        <v>1</v>
      </c>
      <c r="AO28" s="19">
        <v>777</v>
      </c>
      <c r="AP28" s="20">
        <v>1</v>
      </c>
      <c r="AQ28" s="19">
        <v>998.5</v>
      </c>
      <c r="AR28" s="20">
        <v>1</v>
      </c>
      <c r="AS28" s="19">
        <v>1081</v>
      </c>
      <c r="AT28" s="20">
        <v>1</v>
      </c>
      <c r="AU28" s="19">
        <v>1147</v>
      </c>
      <c r="AV28" s="20">
        <v>1</v>
      </c>
      <c r="AW28" s="19">
        <v>1317</v>
      </c>
      <c r="AX28" s="20">
        <v>1</v>
      </c>
      <c r="AY28" s="19">
        <v>1568</v>
      </c>
      <c r="AZ28" s="20">
        <v>1</v>
      </c>
      <c r="BA28" s="19">
        <v>2025</v>
      </c>
      <c r="BB28" s="20">
        <v>1</v>
      </c>
      <c r="BC28" s="19">
        <v>2259</v>
      </c>
      <c r="BD28" s="20">
        <v>1</v>
      </c>
      <c r="BE28" s="19">
        <v>2400</v>
      </c>
      <c r="BF28" s="20">
        <v>1</v>
      </c>
      <c r="BG28" s="19">
        <v>2890</v>
      </c>
      <c r="BH28" s="20">
        <v>1</v>
      </c>
      <c r="BI28" s="19">
        <v>3057</v>
      </c>
    </row>
    <row r="29" spans="1:61">
      <c r="C29" s="5"/>
      <c r="D29" s="5">
        <v>2.5</v>
      </c>
      <c r="E29" s="5">
        <v>2.258</v>
      </c>
      <c r="F29" s="4">
        <v>0.2</v>
      </c>
      <c r="H29" s="20">
        <v>1.5</v>
      </c>
      <c r="I29" s="20">
        <v>6.5229999999999997</v>
      </c>
      <c r="J29" s="20">
        <v>1.5</v>
      </c>
      <c r="K29" s="19">
        <v>14.06</v>
      </c>
      <c r="L29" s="20">
        <v>1.5</v>
      </c>
      <c r="M29" s="19">
        <v>26.52</v>
      </c>
      <c r="N29" s="20">
        <v>1.5</v>
      </c>
      <c r="O29" s="19">
        <v>29.3</v>
      </c>
      <c r="P29" s="20">
        <v>1.5</v>
      </c>
      <c r="Q29" s="19">
        <v>25.26</v>
      </c>
      <c r="R29" s="20">
        <v>1.5</v>
      </c>
      <c r="S29" s="19">
        <v>42.91</v>
      </c>
      <c r="T29" s="20">
        <v>1.5</v>
      </c>
      <c r="U29" s="19">
        <v>88.03</v>
      </c>
      <c r="V29" s="20">
        <v>1.5</v>
      </c>
      <c r="W29" s="19">
        <v>146.4</v>
      </c>
      <c r="X29" s="20">
        <v>1.5</v>
      </c>
      <c r="Y29" s="19">
        <v>158.1</v>
      </c>
      <c r="Z29" s="20">
        <v>1.5</v>
      </c>
      <c r="AA29" s="19">
        <v>135</v>
      </c>
      <c r="AB29" s="20">
        <v>1.5</v>
      </c>
      <c r="AC29" s="19">
        <v>242.5</v>
      </c>
      <c r="AD29" s="20">
        <v>1.5</v>
      </c>
      <c r="AE29" s="19">
        <v>272.8</v>
      </c>
      <c r="AF29" s="20">
        <v>1.5</v>
      </c>
      <c r="AG29" s="19">
        <v>437.7</v>
      </c>
      <c r="AH29" s="20">
        <v>1.5</v>
      </c>
      <c r="AI29" s="19">
        <v>441.7</v>
      </c>
      <c r="AJ29" s="20">
        <v>1.5</v>
      </c>
      <c r="AK29" s="19">
        <v>678</v>
      </c>
      <c r="AL29" s="20">
        <v>1.5</v>
      </c>
      <c r="AM29" s="19">
        <v>711.6</v>
      </c>
      <c r="AN29" s="20">
        <v>1.5</v>
      </c>
      <c r="AO29" s="19">
        <v>723.7</v>
      </c>
      <c r="AP29" s="20">
        <v>1.5</v>
      </c>
      <c r="AQ29" s="19">
        <v>926</v>
      </c>
      <c r="AR29" s="20">
        <v>1.5</v>
      </c>
      <c r="AS29" s="19">
        <v>1043</v>
      </c>
      <c r="AT29" s="20">
        <v>1.5</v>
      </c>
      <c r="AU29" s="19">
        <v>1106</v>
      </c>
      <c r="AV29" s="20">
        <v>1.5</v>
      </c>
      <c r="AW29" s="19">
        <v>1249</v>
      </c>
      <c r="AX29" s="20">
        <v>1.5</v>
      </c>
      <c r="AY29" s="19">
        <v>1476</v>
      </c>
      <c r="AZ29" s="20">
        <v>1.5</v>
      </c>
      <c r="BA29" s="19">
        <v>1949</v>
      </c>
      <c r="BB29" s="20">
        <v>1.5</v>
      </c>
      <c r="BC29" s="19">
        <v>2164</v>
      </c>
      <c r="BD29" s="20">
        <v>1.5</v>
      </c>
      <c r="BE29" s="19">
        <v>2298</v>
      </c>
      <c r="BF29" s="20">
        <v>1.5</v>
      </c>
      <c r="BG29" s="19">
        <v>2796</v>
      </c>
      <c r="BH29" s="20">
        <v>1.5</v>
      </c>
      <c r="BI29" s="19">
        <v>2968</v>
      </c>
    </row>
    <row r="30" spans="1:61">
      <c r="C30" s="5"/>
      <c r="D30" s="5">
        <v>3</v>
      </c>
      <c r="E30" s="5">
        <v>1.905</v>
      </c>
      <c r="F30" s="4">
        <v>0.2</v>
      </c>
      <c r="H30" s="20">
        <v>2</v>
      </c>
      <c r="I30" s="20">
        <v>4.9820000000000002</v>
      </c>
      <c r="J30" s="20">
        <v>2</v>
      </c>
      <c r="K30" s="19">
        <v>10.69</v>
      </c>
      <c r="L30" s="20">
        <v>2</v>
      </c>
      <c r="M30" s="19">
        <v>20.36</v>
      </c>
      <c r="N30" s="20">
        <v>2</v>
      </c>
      <c r="O30" s="19">
        <v>22.66</v>
      </c>
      <c r="P30" s="20">
        <v>2</v>
      </c>
      <c r="Q30" s="19">
        <v>19.32</v>
      </c>
      <c r="R30" s="20">
        <v>2</v>
      </c>
      <c r="S30" s="19">
        <v>33.03</v>
      </c>
      <c r="T30" s="20">
        <v>2</v>
      </c>
      <c r="U30" s="19">
        <v>69.680000000000007</v>
      </c>
      <c r="V30" s="20">
        <v>2</v>
      </c>
      <c r="W30" s="19">
        <v>125.5</v>
      </c>
      <c r="X30" s="20">
        <v>2</v>
      </c>
      <c r="Y30" s="19">
        <v>136.9</v>
      </c>
      <c r="Z30" s="20">
        <v>2</v>
      </c>
      <c r="AA30" s="19">
        <v>106.7</v>
      </c>
      <c r="AB30" s="20">
        <v>2</v>
      </c>
      <c r="AC30" s="19">
        <v>199.9</v>
      </c>
      <c r="AD30" s="20">
        <v>2</v>
      </c>
      <c r="AE30" s="19">
        <v>231.5</v>
      </c>
      <c r="AF30" s="20">
        <v>2</v>
      </c>
      <c r="AG30" s="19">
        <v>396</v>
      </c>
      <c r="AH30" s="20">
        <v>2</v>
      </c>
      <c r="AI30" s="19">
        <v>381.1</v>
      </c>
      <c r="AJ30" s="20">
        <v>2</v>
      </c>
      <c r="AK30" s="19">
        <v>623.29999999999995</v>
      </c>
      <c r="AL30" s="20">
        <v>2</v>
      </c>
      <c r="AM30" s="19">
        <v>665.4</v>
      </c>
      <c r="AN30" s="20">
        <v>2</v>
      </c>
      <c r="AO30" s="19">
        <v>670.6</v>
      </c>
      <c r="AP30" s="20">
        <v>2</v>
      </c>
      <c r="AQ30" s="19">
        <v>859.5</v>
      </c>
      <c r="AR30" s="20">
        <v>2</v>
      </c>
      <c r="AS30" s="19">
        <v>997.5</v>
      </c>
      <c r="AT30" s="20">
        <v>2</v>
      </c>
      <c r="AU30" s="19">
        <v>1064</v>
      </c>
      <c r="AV30" s="20">
        <v>2</v>
      </c>
      <c r="AW30" s="19">
        <v>1182</v>
      </c>
      <c r="AX30" s="20">
        <v>2</v>
      </c>
      <c r="AY30" s="19">
        <v>1399</v>
      </c>
      <c r="AZ30" s="20">
        <v>2</v>
      </c>
      <c r="BA30" s="19">
        <v>1877</v>
      </c>
      <c r="BB30" s="20">
        <v>2</v>
      </c>
      <c r="BC30" s="19">
        <v>2069</v>
      </c>
      <c r="BD30" s="20">
        <v>2</v>
      </c>
      <c r="BE30" s="19">
        <v>2207</v>
      </c>
      <c r="BF30" s="20">
        <v>2</v>
      </c>
      <c r="BG30" s="19">
        <v>2721</v>
      </c>
      <c r="BH30" s="20">
        <v>2</v>
      </c>
      <c r="BI30" s="19">
        <v>2888</v>
      </c>
    </row>
    <row r="31" spans="1:61">
      <c r="C31" s="5"/>
      <c r="D31" s="5">
        <v>3.8</v>
      </c>
      <c r="E31" s="5">
        <v>1.522</v>
      </c>
      <c r="F31" s="4">
        <v>0.15</v>
      </c>
      <c r="H31" s="20">
        <v>2.5</v>
      </c>
      <c r="I31" s="20">
        <v>3.9329999999999998</v>
      </c>
      <c r="J31" s="20">
        <v>2.5</v>
      </c>
      <c r="K31" s="19">
        <v>8.65</v>
      </c>
      <c r="L31" s="20">
        <v>2.5</v>
      </c>
      <c r="M31" s="19">
        <v>16.45</v>
      </c>
      <c r="N31" s="20">
        <v>2.5</v>
      </c>
      <c r="O31" s="19">
        <v>18.29</v>
      </c>
      <c r="P31" s="20">
        <v>2.5</v>
      </c>
      <c r="Q31" s="19">
        <v>15.9</v>
      </c>
      <c r="R31" s="20">
        <v>2.5</v>
      </c>
      <c r="S31" s="19">
        <v>26.83</v>
      </c>
      <c r="T31" s="20">
        <v>2.5</v>
      </c>
      <c r="U31" s="19">
        <v>57.26</v>
      </c>
      <c r="V31" s="20">
        <v>2.5</v>
      </c>
      <c r="W31" s="19">
        <v>106.3</v>
      </c>
      <c r="X31" s="20">
        <v>2.5</v>
      </c>
      <c r="Y31" s="19">
        <v>117.7</v>
      </c>
      <c r="Z31" s="20">
        <v>2.5</v>
      </c>
      <c r="AA31" s="19">
        <v>88.74</v>
      </c>
      <c r="AB31" s="20">
        <v>2.5</v>
      </c>
      <c r="AC31" s="19">
        <v>137.5</v>
      </c>
      <c r="AD31" s="20">
        <v>2.5</v>
      </c>
      <c r="AE31" s="19">
        <v>196.8</v>
      </c>
      <c r="AF31" s="20">
        <v>2.5</v>
      </c>
      <c r="AG31" s="19">
        <v>354.3</v>
      </c>
      <c r="AH31" s="20">
        <v>2.5</v>
      </c>
      <c r="AI31" s="19">
        <v>334.2</v>
      </c>
      <c r="AJ31" s="20">
        <v>2.5</v>
      </c>
      <c r="AK31" s="19">
        <v>562.4</v>
      </c>
      <c r="AL31" s="20">
        <v>2.5</v>
      </c>
      <c r="AM31" s="19">
        <v>626.1</v>
      </c>
      <c r="AN31" s="20">
        <v>2.5</v>
      </c>
      <c r="AO31" s="19">
        <v>612.20000000000005</v>
      </c>
      <c r="AP31" s="20">
        <v>2.5</v>
      </c>
      <c r="AQ31" s="19">
        <v>805.3</v>
      </c>
      <c r="AR31" s="20">
        <v>2.5</v>
      </c>
      <c r="AS31" s="19">
        <v>949.7</v>
      </c>
      <c r="AT31" s="20">
        <v>2.5</v>
      </c>
      <c r="AU31" s="19">
        <v>1016</v>
      </c>
      <c r="AV31" s="20">
        <v>2.5</v>
      </c>
      <c r="AW31" s="19">
        <v>1134</v>
      </c>
      <c r="AX31" s="20">
        <v>2.5</v>
      </c>
      <c r="AY31" s="19">
        <v>1336</v>
      </c>
      <c r="AZ31" s="20">
        <v>2.5</v>
      </c>
      <c r="BA31" s="19">
        <v>1814</v>
      </c>
      <c r="BB31" s="20">
        <v>2.5</v>
      </c>
      <c r="BC31" s="19">
        <v>1985</v>
      </c>
      <c r="BD31" s="20">
        <v>2.5</v>
      </c>
      <c r="BE31" s="19">
        <v>2117</v>
      </c>
      <c r="BF31" s="20">
        <v>2.5</v>
      </c>
      <c r="BG31" s="19">
        <v>2650</v>
      </c>
      <c r="BH31" s="20">
        <v>2.5</v>
      </c>
      <c r="BI31" s="19">
        <v>2819</v>
      </c>
    </row>
    <row r="32" spans="1:61">
      <c r="C32" s="5"/>
      <c r="D32" s="5">
        <v>4</v>
      </c>
      <c r="E32" s="5">
        <v>1.45</v>
      </c>
      <c r="F32" s="4">
        <v>0.15</v>
      </c>
      <c r="G32">
        <f>'10A61 Liquid 3" ViscosityLINEST'!J10</f>
        <v>5.353075266838319</v>
      </c>
      <c r="H32" s="20">
        <v>3</v>
      </c>
      <c r="I32" s="20">
        <v>3.2639999999999998</v>
      </c>
      <c r="J32" s="20">
        <v>3</v>
      </c>
      <c r="K32" s="19">
        <v>7.298</v>
      </c>
      <c r="L32" s="20">
        <v>3</v>
      </c>
      <c r="M32" s="19">
        <v>13.83</v>
      </c>
      <c r="N32" s="20">
        <v>3</v>
      </c>
      <c r="O32" s="19">
        <v>15.38</v>
      </c>
      <c r="P32" s="20">
        <v>3</v>
      </c>
      <c r="Q32" s="19">
        <v>13.16</v>
      </c>
      <c r="R32" s="20">
        <v>3</v>
      </c>
      <c r="S32" s="19">
        <v>22.85</v>
      </c>
      <c r="T32" s="20">
        <v>3</v>
      </c>
      <c r="U32" s="19">
        <v>48.39</v>
      </c>
      <c r="V32" s="20">
        <v>3</v>
      </c>
      <c r="W32" s="19">
        <v>90.85</v>
      </c>
      <c r="X32" s="20">
        <v>3</v>
      </c>
      <c r="Y32" s="19">
        <v>100.5</v>
      </c>
      <c r="Z32" s="20">
        <v>3</v>
      </c>
      <c r="AA32" s="19">
        <v>75.27</v>
      </c>
      <c r="AB32" s="20">
        <v>3</v>
      </c>
      <c r="AC32" s="19">
        <v>144.9</v>
      </c>
      <c r="AD32" s="20">
        <v>3</v>
      </c>
      <c r="AE32" s="19">
        <v>170.1</v>
      </c>
      <c r="AF32" s="20">
        <v>3</v>
      </c>
      <c r="AG32" s="19">
        <v>316</v>
      </c>
      <c r="AH32" s="20">
        <v>3</v>
      </c>
      <c r="AI32" s="19">
        <v>293.60000000000002</v>
      </c>
      <c r="AJ32" s="20">
        <v>3</v>
      </c>
      <c r="AK32" s="19">
        <v>508</v>
      </c>
      <c r="AL32" s="20">
        <v>3</v>
      </c>
      <c r="AM32" s="19">
        <v>584</v>
      </c>
      <c r="AN32" s="20">
        <v>3</v>
      </c>
      <c r="AO32" s="19">
        <v>553</v>
      </c>
      <c r="AP32" s="20">
        <v>3</v>
      </c>
      <c r="AQ32" s="19">
        <v>760.9</v>
      </c>
      <c r="AR32" s="20">
        <v>3</v>
      </c>
      <c r="AS32" s="19">
        <v>908.3</v>
      </c>
      <c r="AT32" s="20">
        <v>3</v>
      </c>
      <c r="AU32" s="19">
        <v>972</v>
      </c>
      <c r="AV32" s="20">
        <v>3</v>
      </c>
      <c r="AW32" s="19">
        <v>1090</v>
      </c>
      <c r="AX32" s="20">
        <v>3</v>
      </c>
      <c r="AY32" s="19">
        <v>1269</v>
      </c>
      <c r="AZ32" s="20">
        <v>3</v>
      </c>
      <c r="BA32" s="19">
        <v>1747</v>
      </c>
      <c r="BB32" s="20">
        <v>3</v>
      </c>
      <c r="BC32" s="19">
        <v>1919</v>
      </c>
      <c r="BD32" s="20">
        <v>3</v>
      </c>
      <c r="BE32" s="19">
        <v>2047</v>
      </c>
      <c r="BF32" s="20">
        <v>3</v>
      </c>
      <c r="BG32" s="19">
        <v>2584</v>
      </c>
      <c r="BH32" s="20">
        <v>3</v>
      </c>
      <c r="BI32" s="19">
        <v>2749</v>
      </c>
    </row>
    <row r="33" spans="3:61">
      <c r="C33" s="5"/>
      <c r="D33" s="5"/>
      <c r="E33" s="5"/>
      <c r="F33" s="8"/>
      <c r="H33" s="20">
        <v>3.5</v>
      </c>
      <c r="I33" s="20">
        <v>2.8220000000000001</v>
      </c>
      <c r="J33" s="20">
        <v>3.5</v>
      </c>
      <c r="K33" s="19">
        <v>6.21</v>
      </c>
      <c r="L33" s="20">
        <v>3.5</v>
      </c>
      <c r="M33" s="19">
        <v>11.95</v>
      </c>
      <c r="N33" s="20">
        <v>3.5</v>
      </c>
      <c r="O33" s="19">
        <v>13.28</v>
      </c>
      <c r="P33" s="20">
        <v>3.5</v>
      </c>
      <c r="Q33" s="19">
        <v>11.28</v>
      </c>
      <c r="R33" s="20">
        <v>3.5</v>
      </c>
      <c r="S33" s="19">
        <v>19.739999999999998</v>
      </c>
      <c r="T33" s="20">
        <v>3.5</v>
      </c>
      <c r="U33" s="19">
        <v>41.92</v>
      </c>
      <c r="V33" s="20">
        <v>3.5</v>
      </c>
      <c r="W33" s="19">
        <v>79.150000000000006</v>
      </c>
      <c r="X33" s="20">
        <v>3.5</v>
      </c>
      <c r="Y33" s="19">
        <v>87.87</v>
      </c>
      <c r="Z33" s="20">
        <v>3.5</v>
      </c>
      <c r="AA33" s="19">
        <v>65.290000000000006</v>
      </c>
      <c r="AB33" s="20">
        <v>3.5</v>
      </c>
      <c r="AC33" s="19">
        <v>127.3</v>
      </c>
      <c r="AD33" s="20">
        <v>3.5</v>
      </c>
      <c r="AE33" s="19">
        <v>147.6</v>
      </c>
      <c r="AF33" s="20">
        <v>3.5</v>
      </c>
      <c r="AG33" s="19">
        <v>281.89999999999998</v>
      </c>
      <c r="AH33" s="20">
        <v>3.5</v>
      </c>
      <c r="AI33" s="19">
        <v>260.10000000000002</v>
      </c>
      <c r="AJ33" s="20">
        <v>3.5</v>
      </c>
      <c r="AK33" s="19">
        <v>462.5</v>
      </c>
      <c r="AL33" s="20">
        <v>3.5</v>
      </c>
      <c r="AM33" s="19">
        <v>541.70000000000005</v>
      </c>
      <c r="AN33" s="20">
        <v>3.5</v>
      </c>
      <c r="AO33" s="19">
        <v>507.4</v>
      </c>
      <c r="AP33" s="20">
        <v>3.5</v>
      </c>
      <c r="AQ33" s="19">
        <v>719.6</v>
      </c>
      <c r="AR33" s="20">
        <v>3.5</v>
      </c>
      <c r="AS33" s="19">
        <v>868.5</v>
      </c>
      <c r="AT33" s="20">
        <v>3.5</v>
      </c>
      <c r="AU33" s="19">
        <v>936</v>
      </c>
      <c r="AV33" s="20">
        <v>3.5</v>
      </c>
      <c r="AW33" s="19">
        <v>1040</v>
      </c>
      <c r="AX33" s="20">
        <v>3.5</v>
      </c>
      <c r="AY33" s="19">
        <v>1213</v>
      </c>
      <c r="AZ33" s="20">
        <v>3.5</v>
      </c>
      <c r="BA33" s="19">
        <v>1697</v>
      </c>
      <c r="BB33" s="20">
        <v>3.5</v>
      </c>
      <c r="BC33" s="19">
        <v>1855</v>
      </c>
      <c r="BD33" s="20">
        <v>3.5</v>
      </c>
      <c r="BE33" s="19">
        <v>1989</v>
      </c>
      <c r="BF33" s="20">
        <v>3.5</v>
      </c>
      <c r="BG33" s="19">
        <v>2520</v>
      </c>
      <c r="BH33" s="20">
        <v>3.5</v>
      </c>
      <c r="BI33" s="19">
        <v>2690</v>
      </c>
    </row>
    <row r="34" spans="3:61">
      <c r="C34" s="5"/>
      <c r="D34" s="5"/>
      <c r="E34" s="5"/>
      <c r="F34" s="8"/>
      <c r="H34" s="20">
        <v>4</v>
      </c>
      <c r="I34" s="20">
        <v>2.4910000000000001</v>
      </c>
      <c r="J34" s="20">
        <v>4</v>
      </c>
      <c r="K34" s="19">
        <v>5.351</v>
      </c>
      <c r="L34" s="20">
        <v>4</v>
      </c>
      <c r="M34" s="19">
        <v>10.56</v>
      </c>
      <c r="N34" s="20">
        <v>4</v>
      </c>
      <c r="O34" s="19">
        <v>11.73</v>
      </c>
      <c r="P34" s="20">
        <v>4</v>
      </c>
      <c r="Q34" s="19">
        <v>9.9390000000000001</v>
      </c>
      <c r="R34" s="20">
        <v>4</v>
      </c>
      <c r="S34" s="19">
        <v>17.190000000000001</v>
      </c>
      <c r="T34" s="20">
        <v>4</v>
      </c>
      <c r="U34" s="19">
        <v>37.020000000000003</v>
      </c>
      <c r="V34" s="20">
        <v>4</v>
      </c>
      <c r="W34" s="19">
        <v>69.97</v>
      </c>
      <c r="X34" s="20">
        <v>4</v>
      </c>
      <c r="Y34" s="19">
        <v>77.69</v>
      </c>
      <c r="Z34" s="20">
        <v>4</v>
      </c>
      <c r="AA34" s="19">
        <v>57.59</v>
      </c>
      <c r="AB34" s="20">
        <v>4</v>
      </c>
      <c r="AC34" s="19">
        <v>112.8</v>
      </c>
      <c r="AD34" s="20">
        <v>4</v>
      </c>
      <c r="AE34" s="19">
        <v>129.9</v>
      </c>
      <c r="AF34" s="20">
        <v>4</v>
      </c>
      <c r="AG34" s="19">
        <v>253.4</v>
      </c>
      <c r="AH34" s="20">
        <v>4</v>
      </c>
      <c r="AI34" s="19">
        <v>232.8</v>
      </c>
      <c r="AJ34" s="20">
        <v>4</v>
      </c>
      <c r="AK34" s="19">
        <v>420.7</v>
      </c>
      <c r="AL34" s="20">
        <v>4</v>
      </c>
      <c r="AM34" s="19">
        <v>502.8</v>
      </c>
      <c r="AN34" s="20">
        <v>4</v>
      </c>
      <c r="AO34" s="19">
        <v>461.7</v>
      </c>
      <c r="AP34" s="20">
        <v>4</v>
      </c>
      <c r="AQ34" s="19">
        <v>682.3</v>
      </c>
      <c r="AR34" s="20">
        <v>4</v>
      </c>
      <c r="AS34" s="19">
        <v>825.2</v>
      </c>
      <c r="AT34" s="20">
        <v>4</v>
      </c>
      <c r="AU34" s="19">
        <v>889.7</v>
      </c>
      <c r="AV34" s="20">
        <v>4</v>
      </c>
      <c r="AW34" s="19">
        <v>992.3</v>
      </c>
      <c r="AX34" s="20">
        <v>4</v>
      </c>
      <c r="AY34" s="19">
        <v>1166</v>
      </c>
      <c r="AZ34" s="20">
        <v>4</v>
      </c>
      <c r="BA34" s="19">
        <v>1657</v>
      </c>
      <c r="BB34" s="20">
        <v>4</v>
      </c>
      <c r="BC34" s="19">
        <v>1796</v>
      </c>
      <c r="BD34" s="20">
        <v>4</v>
      </c>
      <c r="BE34" s="19">
        <v>1915</v>
      </c>
      <c r="BF34" s="20">
        <v>4</v>
      </c>
      <c r="BG34" s="19">
        <v>2451</v>
      </c>
      <c r="BH34" s="20">
        <v>4</v>
      </c>
      <c r="BI34" s="19">
        <v>2617</v>
      </c>
    </row>
    <row r="35" spans="3:61">
      <c r="C35" s="5"/>
      <c r="D35" s="5"/>
      <c r="E35" s="5"/>
      <c r="F35" s="8"/>
      <c r="H35" s="20">
        <v>4.5</v>
      </c>
      <c r="I35" s="20">
        <v>2.23</v>
      </c>
      <c r="J35" s="20">
        <v>4.5</v>
      </c>
      <c r="K35" s="19">
        <v>4.7789999999999999</v>
      </c>
      <c r="L35" s="20">
        <v>4.5</v>
      </c>
      <c r="M35" s="19">
        <v>9.43</v>
      </c>
      <c r="N35" s="20">
        <v>4.5</v>
      </c>
      <c r="O35" s="19">
        <v>10.51</v>
      </c>
      <c r="P35" s="20">
        <v>4.5</v>
      </c>
      <c r="Q35" s="19">
        <v>8.8420000000000005</v>
      </c>
      <c r="R35" s="20">
        <v>4.5</v>
      </c>
      <c r="S35" s="19">
        <v>15.27</v>
      </c>
      <c r="T35" s="20">
        <v>4.5</v>
      </c>
      <c r="U35" s="19">
        <v>33.51</v>
      </c>
      <c r="V35" s="20">
        <v>4.5</v>
      </c>
      <c r="W35" s="19">
        <v>62.74</v>
      </c>
      <c r="X35" s="20">
        <v>4.5</v>
      </c>
      <c r="Y35" s="19">
        <v>69.680000000000007</v>
      </c>
      <c r="Z35" s="20">
        <v>4.5</v>
      </c>
      <c r="AA35" s="19">
        <v>51.42</v>
      </c>
      <c r="AB35" s="20">
        <v>4.5</v>
      </c>
      <c r="AC35" s="19">
        <v>101.4</v>
      </c>
      <c r="AD35" s="20">
        <v>4.5</v>
      </c>
      <c r="AE35" s="19">
        <v>115.6</v>
      </c>
      <c r="AF35" s="20">
        <v>4.5</v>
      </c>
      <c r="AG35" s="19">
        <v>229.3</v>
      </c>
      <c r="AH35" s="20">
        <v>4.5</v>
      </c>
      <c r="AI35" s="19">
        <v>212.6</v>
      </c>
      <c r="AJ35" s="20">
        <v>4.5</v>
      </c>
      <c r="AK35" s="19">
        <v>386.2</v>
      </c>
      <c r="AL35" s="20">
        <v>4.5</v>
      </c>
      <c r="AM35" s="19">
        <v>464.4</v>
      </c>
      <c r="AN35" s="20">
        <v>4.5</v>
      </c>
      <c r="AO35" s="19">
        <v>424.7</v>
      </c>
      <c r="AP35" s="20">
        <v>4.5</v>
      </c>
      <c r="AQ35" s="19">
        <v>650.6</v>
      </c>
      <c r="AR35" s="20">
        <v>4.5</v>
      </c>
      <c r="AS35" s="19">
        <v>786.8</v>
      </c>
      <c r="AT35" s="20">
        <v>4.5</v>
      </c>
      <c r="AU35" s="19">
        <v>850.5</v>
      </c>
      <c r="AV35" s="20">
        <v>4.5</v>
      </c>
      <c r="AW35" s="19">
        <v>946.5</v>
      </c>
      <c r="AX35" s="20">
        <v>4.5</v>
      </c>
      <c r="AY35" s="19">
        <v>1123</v>
      </c>
      <c r="AZ35" s="20">
        <v>4.5</v>
      </c>
      <c r="BA35" s="19">
        <v>1610</v>
      </c>
      <c r="BB35" s="20">
        <v>4.5</v>
      </c>
      <c r="BC35" s="19">
        <v>1727</v>
      </c>
      <c r="BD35" s="20">
        <v>4.5</v>
      </c>
      <c r="BE35" s="19">
        <v>1852</v>
      </c>
      <c r="BF35" s="20">
        <v>4.5</v>
      </c>
      <c r="BG35" s="19">
        <v>2393</v>
      </c>
      <c r="BH35" s="20">
        <v>4.5</v>
      </c>
      <c r="BI35" s="19">
        <v>2554</v>
      </c>
    </row>
    <row r="36" spans="3:61">
      <c r="C36" s="5"/>
      <c r="D36" s="5"/>
      <c r="E36" s="5"/>
      <c r="F36" s="8"/>
      <c r="H36" s="20">
        <v>5</v>
      </c>
      <c r="I36" s="20">
        <v>2.016</v>
      </c>
      <c r="J36" s="20">
        <v>5</v>
      </c>
      <c r="K36" s="19">
        <v>4.3250000000000002</v>
      </c>
      <c r="L36" s="20">
        <v>5</v>
      </c>
      <c r="M36" s="19">
        <v>8.3800000000000008</v>
      </c>
      <c r="N36" s="20">
        <v>5</v>
      </c>
      <c r="O36" s="19">
        <v>9.4049999999999994</v>
      </c>
      <c r="P36" s="20">
        <v>5</v>
      </c>
      <c r="Q36" s="19">
        <v>7.9580000000000002</v>
      </c>
      <c r="R36" s="20">
        <v>5</v>
      </c>
      <c r="S36" s="19">
        <v>13.82</v>
      </c>
      <c r="T36" s="20">
        <v>5</v>
      </c>
      <c r="U36" s="19">
        <v>30.38</v>
      </c>
      <c r="V36" s="20">
        <v>5</v>
      </c>
      <c r="W36" s="19">
        <v>56.86</v>
      </c>
      <c r="X36" s="20">
        <v>5</v>
      </c>
      <c r="Y36" s="19">
        <v>63.17</v>
      </c>
      <c r="Z36" s="20">
        <v>5</v>
      </c>
      <c r="AA36" s="19">
        <v>46.47</v>
      </c>
      <c r="AB36" s="20">
        <v>5</v>
      </c>
      <c r="AC36" s="19">
        <v>91.94</v>
      </c>
      <c r="AD36" s="20">
        <v>5</v>
      </c>
      <c r="AE36" s="19">
        <v>104.1</v>
      </c>
      <c r="AF36" s="20">
        <v>5</v>
      </c>
      <c r="AG36" s="19">
        <v>207.9</v>
      </c>
      <c r="AH36" s="20">
        <v>5</v>
      </c>
      <c r="AI36" s="19">
        <v>194.9</v>
      </c>
      <c r="AJ36" s="20">
        <v>5</v>
      </c>
      <c r="AK36" s="19">
        <v>353.7</v>
      </c>
      <c r="AL36" s="20">
        <v>5</v>
      </c>
      <c r="AM36" s="19">
        <v>430.1</v>
      </c>
      <c r="AN36" s="20">
        <v>5</v>
      </c>
      <c r="AO36" s="19">
        <v>390.9</v>
      </c>
      <c r="AP36" s="20">
        <v>5</v>
      </c>
      <c r="AQ36" s="19">
        <v>622.9</v>
      </c>
      <c r="AR36" s="20">
        <v>5</v>
      </c>
      <c r="AS36" s="19">
        <v>742.2</v>
      </c>
      <c r="AT36" s="20">
        <v>5</v>
      </c>
      <c r="AU36" s="19">
        <v>807.7</v>
      </c>
      <c r="AV36" s="20">
        <v>5</v>
      </c>
      <c r="AW36" s="19">
        <v>899.7</v>
      </c>
      <c r="AX36" s="20">
        <v>5</v>
      </c>
      <c r="AY36" s="19">
        <v>1082</v>
      </c>
      <c r="AZ36" s="20">
        <v>5</v>
      </c>
      <c r="BA36" s="19">
        <v>1561</v>
      </c>
      <c r="BB36" s="20">
        <v>5</v>
      </c>
      <c r="BC36" s="19">
        <v>1674</v>
      </c>
      <c r="BD36" s="20">
        <v>5</v>
      </c>
      <c r="BE36" s="19">
        <v>1796</v>
      </c>
      <c r="BF36" s="20">
        <v>5</v>
      </c>
      <c r="BG36" s="19">
        <v>2349</v>
      </c>
      <c r="BH36" s="20">
        <v>5</v>
      </c>
      <c r="BI36" s="19">
        <v>2504</v>
      </c>
    </row>
    <row r="37" spans="3:61">
      <c r="C37" s="5"/>
      <c r="D37" s="5"/>
      <c r="E37" s="5"/>
      <c r="F37" s="8"/>
      <c r="H37" s="20"/>
      <c r="I37" s="20"/>
      <c r="J37" s="25"/>
    </row>
    <row r="38" spans="3:61">
      <c r="C38" s="5"/>
      <c r="D38" s="5"/>
      <c r="E38" s="5"/>
      <c r="F38" s="8"/>
      <c r="H38" s="20"/>
      <c r="I38" s="20"/>
      <c r="J38" s="25"/>
    </row>
    <row r="39" spans="3:61">
      <c r="C39" s="5"/>
      <c r="D39" s="5"/>
      <c r="E39" s="5"/>
      <c r="F39" s="8"/>
      <c r="H39" s="20"/>
      <c r="I39" s="20"/>
      <c r="J39" s="25"/>
    </row>
    <row r="40" spans="3:61">
      <c r="C40" s="5"/>
      <c r="D40" s="5"/>
      <c r="E40" s="5"/>
      <c r="F40" s="4"/>
      <c r="H40" s="20"/>
      <c r="I40" s="20"/>
      <c r="J40" s="25"/>
    </row>
    <row r="41" spans="3:61">
      <c r="C41" s="26">
        <v>0.79999999999999805</v>
      </c>
      <c r="D41" s="26">
        <v>0.5</v>
      </c>
      <c r="E41" s="26">
        <v>9.343</v>
      </c>
      <c r="F41" s="28">
        <v>1</v>
      </c>
      <c r="H41" s="20">
        <v>0.5</v>
      </c>
      <c r="I41" s="20">
        <v>15.93</v>
      </c>
      <c r="J41" s="20">
        <v>0.5</v>
      </c>
      <c r="K41" s="20">
        <v>30.73</v>
      </c>
      <c r="L41" s="20">
        <v>0.5</v>
      </c>
      <c r="M41" s="20">
        <v>49.67</v>
      </c>
      <c r="N41" s="20">
        <v>0.5</v>
      </c>
      <c r="O41" s="20">
        <v>53.05</v>
      </c>
      <c r="P41" s="20">
        <v>0.5</v>
      </c>
      <c r="Q41" s="20">
        <v>47.71</v>
      </c>
      <c r="R41" s="20">
        <v>0.5</v>
      </c>
      <c r="S41" s="20">
        <v>70.400000000000006</v>
      </c>
      <c r="T41" s="20">
        <v>0.5</v>
      </c>
      <c r="U41" s="20">
        <v>114.8</v>
      </c>
      <c r="V41" s="20">
        <v>0.5</v>
      </c>
      <c r="W41" s="20">
        <v>166.9</v>
      </c>
      <c r="X41" s="20">
        <v>0.5</v>
      </c>
      <c r="Y41" s="20">
        <v>177.3</v>
      </c>
      <c r="Z41" s="20">
        <v>0.5</v>
      </c>
      <c r="AA41" s="20">
        <v>192.7</v>
      </c>
      <c r="AB41" s="20">
        <v>0.5</v>
      </c>
      <c r="AC41" s="20">
        <v>301.2</v>
      </c>
      <c r="AD41" s="20">
        <v>0.5</v>
      </c>
      <c r="AE41" s="20">
        <v>292.8</v>
      </c>
      <c r="AF41" s="20">
        <v>0.5</v>
      </c>
      <c r="AG41" s="20">
        <v>444.2</v>
      </c>
      <c r="AH41" s="20">
        <v>0.5</v>
      </c>
      <c r="AI41" s="20">
        <v>472.9</v>
      </c>
      <c r="AJ41" s="20">
        <v>0.5</v>
      </c>
      <c r="AK41" s="20">
        <v>670.5</v>
      </c>
      <c r="AL41" s="20">
        <v>0.5</v>
      </c>
      <c r="AM41" s="20">
        <v>688.3</v>
      </c>
      <c r="AN41" s="20">
        <v>0.5</v>
      </c>
      <c r="AO41" s="20">
        <v>711.1</v>
      </c>
      <c r="AP41" s="20">
        <v>0.5</v>
      </c>
      <c r="AQ41" s="20">
        <v>929.8</v>
      </c>
      <c r="AR41" s="20">
        <v>0.5</v>
      </c>
      <c r="AS41" s="20">
        <v>984.1</v>
      </c>
      <c r="AT41" s="20">
        <v>0.5</v>
      </c>
      <c r="AU41" s="20">
        <v>1040</v>
      </c>
      <c r="AV41" s="20">
        <v>0.5</v>
      </c>
      <c r="AW41" s="20">
        <v>1182</v>
      </c>
      <c r="AX41" s="20">
        <v>0.5</v>
      </c>
      <c r="AY41" s="20">
        <v>1461</v>
      </c>
      <c r="AZ41" s="20">
        <v>0.5</v>
      </c>
      <c r="BA41" s="20">
        <v>1807</v>
      </c>
      <c r="BB41" s="20">
        <v>0.5</v>
      </c>
      <c r="BC41" s="20">
        <v>2081</v>
      </c>
      <c r="BD41" s="20">
        <v>0.5</v>
      </c>
      <c r="BE41" s="20">
        <v>2205</v>
      </c>
      <c r="BF41" s="20">
        <v>0.5</v>
      </c>
      <c r="BG41" s="20">
        <v>2540</v>
      </c>
      <c r="BH41" s="20">
        <v>0.5</v>
      </c>
      <c r="BI41" s="20">
        <v>2684</v>
      </c>
    </row>
    <row r="42" spans="3:61">
      <c r="C42" s="26"/>
      <c r="D42" s="26">
        <v>0.6</v>
      </c>
      <c r="E42" s="26">
        <v>8.0280000000000005</v>
      </c>
      <c r="F42" s="28">
        <v>1</v>
      </c>
      <c r="H42" s="20">
        <v>0.6</v>
      </c>
      <c r="I42" s="20">
        <v>13.95</v>
      </c>
      <c r="J42" s="20">
        <v>0.6</v>
      </c>
      <c r="K42" s="20">
        <v>28</v>
      </c>
      <c r="L42" s="20">
        <v>0.6</v>
      </c>
      <c r="M42" s="20">
        <v>46.27</v>
      </c>
      <c r="N42" s="20">
        <v>0.6</v>
      </c>
      <c r="O42" s="20">
        <v>50</v>
      </c>
      <c r="P42" s="20">
        <v>0.6</v>
      </c>
      <c r="Q42" s="20">
        <v>44.22</v>
      </c>
      <c r="R42" s="20">
        <v>0.6</v>
      </c>
      <c r="S42" s="20">
        <v>67.760000000000005</v>
      </c>
      <c r="T42" s="20">
        <v>0.6</v>
      </c>
      <c r="U42" s="20">
        <v>111.1</v>
      </c>
      <c r="V42" s="20">
        <v>0.6</v>
      </c>
      <c r="W42" s="20">
        <v>164.3</v>
      </c>
      <c r="X42" s="20">
        <v>0.6</v>
      </c>
      <c r="Y42" s="20">
        <v>174.4</v>
      </c>
      <c r="Z42" s="20">
        <v>0.6</v>
      </c>
      <c r="AA42" s="20">
        <v>185.8</v>
      </c>
      <c r="AB42" s="20">
        <v>0.6</v>
      </c>
      <c r="AC42" s="20">
        <v>293.60000000000002</v>
      </c>
      <c r="AD42" s="20">
        <v>0.6</v>
      </c>
      <c r="AE42" s="20">
        <v>288.2</v>
      </c>
      <c r="AF42" s="20">
        <v>0.6</v>
      </c>
      <c r="AG42" s="20">
        <v>436.6</v>
      </c>
      <c r="AH42" s="20">
        <v>0.6</v>
      </c>
      <c r="AI42" s="20">
        <v>466.8</v>
      </c>
      <c r="AJ42" s="20">
        <v>0.6</v>
      </c>
      <c r="AK42" s="20">
        <v>667.5</v>
      </c>
      <c r="AL42" s="20">
        <v>0.6</v>
      </c>
      <c r="AM42" s="20">
        <v>682.2</v>
      </c>
      <c r="AN42" s="20">
        <v>0.6</v>
      </c>
      <c r="AO42" s="20">
        <v>706.2</v>
      </c>
      <c r="AP42" s="20">
        <v>0.6</v>
      </c>
      <c r="AQ42" s="20">
        <v>910.8</v>
      </c>
      <c r="AR42" s="20">
        <v>0.6</v>
      </c>
      <c r="AS42" s="20">
        <v>972.2</v>
      </c>
      <c r="AT42" s="20">
        <v>0.6</v>
      </c>
      <c r="AU42" s="20">
        <v>1031</v>
      </c>
      <c r="AV42" s="20">
        <v>0.6</v>
      </c>
      <c r="AW42" s="20">
        <v>1174</v>
      </c>
      <c r="AX42" s="20">
        <v>0.6</v>
      </c>
      <c r="AY42" s="20">
        <v>1436</v>
      </c>
      <c r="AZ42" s="20">
        <v>0.6</v>
      </c>
      <c r="BA42" s="20">
        <v>1795</v>
      </c>
      <c r="BB42" s="20">
        <v>0.6</v>
      </c>
      <c r="BC42" s="20">
        <v>2067</v>
      </c>
      <c r="BD42" s="20">
        <v>0.6</v>
      </c>
      <c r="BE42" s="20">
        <v>2189</v>
      </c>
      <c r="BF42" s="20">
        <v>0.6</v>
      </c>
      <c r="BG42" s="20">
        <v>2540</v>
      </c>
      <c r="BH42" s="20">
        <v>0.6</v>
      </c>
      <c r="BI42" s="20">
        <v>2684</v>
      </c>
    </row>
    <row r="43" spans="3:61">
      <c r="C43" s="26"/>
      <c r="D43" s="26">
        <v>0.8</v>
      </c>
      <c r="E43" s="26">
        <v>6.17</v>
      </c>
      <c r="F43" s="28">
        <v>0.8</v>
      </c>
      <c r="H43" s="20">
        <v>0.7</v>
      </c>
      <c r="I43" s="20">
        <v>12.27</v>
      </c>
      <c r="J43" s="20">
        <v>0.7</v>
      </c>
      <c r="K43" s="20">
        <v>25.33</v>
      </c>
      <c r="L43" s="20">
        <v>0.7</v>
      </c>
      <c r="M43" s="20">
        <v>43.02</v>
      </c>
      <c r="N43" s="20">
        <v>0.7</v>
      </c>
      <c r="O43" s="20">
        <v>46.76</v>
      </c>
      <c r="P43" s="20">
        <v>0.7</v>
      </c>
      <c r="Q43" s="20">
        <v>41.12</v>
      </c>
      <c r="R43" s="20">
        <v>0.7</v>
      </c>
      <c r="S43" s="20">
        <v>63.58</v>
      </c>
      <c r="T43" s="20">
        <v>0.7</v>
      </c>
      <c r="U43" s="20">
        <v>107.7</v>
      </c>
      <c r="V43" s="20">
        <v>0.7</v>
      </c>
      <c r="W43" s="20">
        <v>160.69999999999999</v>
      </c>
      <c r="X43" s="20">
        <v>0.7</v>
      </c>
      <c r="Y43" s="20">
        <v>171.4</v>
      </c>
      <c r="Z43" s="20">
        <v>0.7</v>
      </c>
      <c r="AA43" s="20">
        <v>176.9</v>
      </c>
      <c r="AB43" s="20">
        <v>0.7</v>
      </c>
      <c r="AC43" s="20">
        <v>284.89999999999998</v>
      </c>
      <c r="AD43" s="20">
        <v>0.7</v>
      </c>
      <c r="AE43" s="20">
        <v>280.60000000000002</v>
      </c>
      <c r="AF43" s="20">
        <v>0.7</v>
      </c>
      <c r="AG43" s="20">
        <v>430.8</v>
      </c>
      <c r="AH43" s="20">
        <v>0.7</v>
      </c>
      <c r="AI43" s="20">
        <v>458.6</v>
      </c>
      <c r="AJ43" s="20">
        <v>0.7</v>
      </c>
      <c r="AK43" s="20">
        <v>662</v>
      </c>
      <c r="AL43" s="20">
        <v>0.7</v>
      </c>
      <c r="AM43" s="20">
        <v>674</v>
      </c>
      <c r="AN43" s="20">
        <v>0.7</v>
      </c>
      <c r="AO43" s="20">
        <v>702.3</v>
      </c>
      <c r="AP43" s="20">
        <v>0.7</v>
      </c>
      <c r="AQ43" s="20">
        <v>896.3</v>
      </c>
      <c r="AR43" s="20">
        <v>0.7</v>
      </c>
      <c r="AS43" s="20">
        <v>963.6</v>
      </c>
      <c r="AT43" s="20">
        <v>0.7</v>
      </c>
      <c r="AU43" s="20">
        <v>1021</v>
      </c>
      <c r="AV43" s="20">
        <v>0.7</v>
      </c>
      <c r="AW43" s="20">
        <v>1157</v>
      </c>
      <c r="AX43" s="20">
        <v>0.7</v>
      </c>
      <c r="AY43" s="20">
        <v>1413</v>
      </c>
      <c r="AZ43" s="20">
        <v>0.7</v>
      </c>
      <c r="BA43" s="20">
        <v>1785</v>
      </c>
      <c r="BB43" s="20">
        <v>0.7</v>
      </c>
      <c r="BC43" s="20">
        <v>2045</v>
      </c>
      <c r="BD43" s="20">
        <v>0.7</v>
      </c>
      <c r="BE43" s="20">
        <v>2127</v>
      </c>
      <c r="BF43" s="20">
        <v>0.7</v>
      </c>
      <c r="BG43" s="20">
        <v>2530</v>
      </c>
      <c r="BH43" s="20">
        <v>0.7</v>
      </c>
      <c r="BI43" s="20">
        <v>2679</v>
      </c>
    </row>
    <row r="44" spans="3:61">
      <c r="C44" s="26"/>
      <c r="D44" s="26">
        <v>1</v>
      </c>
      <c r="E44" s="26">
        <v>4.9829999999999997</v>
      </c>
      <c r="F44" s="28">
        <v>0.6</v>
      </c>
      <c r="H44" s="20">
        <v>0.8</v>
      </c>
      <c r="I44" s="20">
        <v>10.98</v>
      </c>
      <c r="J44" s="20">
        <v>0.8</v>
      </c>
      <c r="K44" s="19">
        <v>22.98</v>
      </c>
      <c r="L44" s="20">
        <v>0.8</v>
      </c>
      <c r="M44" s="19">
        <v>40.19</v>
      </c>
      <c r="N44" s="20">
        <v>0.8</v>
      </c>
      <c r="O44" s="19">
        <v>43.68</v>
      </c>
      <c r="P44" s="20">
        <v>0.8</v>
      </c>
      <c r="Q44" s="19">
        <v>37.97</v>
      </c>
      <c r="R44" s="20">
        <v>0.8</v>
      </c>
      <c r="S44" s="19">
        <v>60.13</v>
      </c>
      <c r="T44" s="20">
        <v>0.8</v>
      </c>
      <c r="U44" s="19">
        <v>104.8</v>
      </c>
      <c r="V44" s="20">
        <v>0.8</v>
      </c>
      <c r="W44" s="19">
        <v>156.9</v>
      </c>
      <c r="X44" s="20">
        <v>0.8</v>
      </c>
      <c r="Y44" s="19">
        <v>167.4</v>
      </c>
      <c r="Z44" s="20">
        <v>0.8</v>
      </c>
      <c r="AA44" s="19">
        <v>169</v>
      </c>
      <c r="AB44" s="20">
        <v>0.8</v>
      </c>
      <c r="AC44" s="19">
        <v>277.39999999999998</v>
      </c>
      <c r="AD44" s="20">
        <v>0.8</v>
      </c>
      <c r="AE44" s="19">
        <v>273.60000000000002</v>
      </c>
      <c r="AF44" s="20">
        <v>0.8</v>
      </c>
      <c r="AG44" s="19">
        <v>425.8</v>
      </c>
      <c r="AH44" s="20">
        <v>0.8</v>
      </c>
      <c r="AI44" s="19">
        <v>450.1</v>
      </c>
      <c r="AJ44" s="20">
        <v>0.8</v>
      </c>
      <c r="AK44" s="19">
        <v>655.7</v>
      </c>
      <c r="AL44" s="20">
        <v>0.8</v>
      </c>
      <c r="AM44" s="19">
        <v>665.5</v>
      </c>
      <c r="AN44" s="20">
        <v>0.8</v>
      </c>
      <c r="AO44" s="19">
        <v>695.7</v>
      </c>
      <c r="AP44" s="20">
        <v>0.8</v>
      </c>
      <c r="AQ44" s="19">
        <v>883.9</v>
      </c>
      <c r="AR44" s="20">
        <v>0.8</v>
      </c>
      <c r="AS44" s="19">
        <v>957.3</v>
      </c>
      <c r="AT44" s="20">
        <v>0.8</v>
      </c>
      <c r="AU44" s="19">
        <v>1014</v>
      </c>
      <c r="AV44" s="20">
        <v>0.8</v>
      </c>
      <c r="AW44" s="19">
        <v>1142</v>
      </c>
      <c r="AX44" s="20">
        <v>0.8</v>
      </c>
      <c r="AY44" s="19">
        <v>1392</v>
      </c>
      <c r="AZ44" s="20">
        <v>0.8</v>
      </c>
      <c r="BA44" s="19">
        <v>1777</v>
      </c>
      <c r="BB44" s="20">
        <v>0.8</v>
      </c>
      <c r="BC44" s="19">
        <v>2020</v>
      </c>
      <c r="BD44" s="20">
        <v>0.8</v>
      </c>
      <c r="BE44" s="19">
        <v>2145</v>
      </c>
      <c r="BF44" s="20">
        <v>0.8</v>
      </c>
      <c r="BG44" s="19">
        <v>2518</v>
      </c>
      <c r="BH44" s="20">
        <v>0.8</v>
      </c>
      <c r="BI44" s="19">
        <v>2666</v>
      </c>
    </row>
    <row r="45" spans="3:61">
      <c r="C45" s="26"/>
      <c r="D45" s="26">
        <v>1.2</v>
      </c>
      <c r="E45" s="26">
        <v>4.1900000000000004</v>
      </c>
      <c r="F45" s="28">
        <v>0.4</v>
      </c>
      <c r="H45" s="19">
        <v>0.9</v>
      </c>
      <c r="I45" s="20">
        <v>9.9559999999999995</v>
      </c>
      <c r="J45" s="19">
        <v>0.9</v>
      </c>
      <c r="K45" s="19">
        <v>21.09</v>
      </c>
      <c r="L45" s="19">
        <v>0.9</v>
      </c>
      <c r="M45" s="19">
        <v>37.74</v>
      </c>
      <c r="N45" s="19">
        <v>0.9</v>
      </c>
      <c r="O45" s="19">
        <v>41.13</v>
      </c>
      <c r="P45" s="19">
        <v>0.9</v>
      </c>
      <c r="Q45" s="19">
        <v>35.28</v>
      </c>
      <c r="R45" s="19">
        <v>0.9</v>
      </c>
      <c r="S45" s="19">
        <v>57.25</v>
      </c>
      <c r="T45" s="19">
        <v>0.9</v>
      </c>
      <c r="U45" s="19">
        <v>102.2</v>
      </c>
      <c r="V45" s="19">
        <v>0.9</v>
      </c>
      <c r="W45" s="19">
        <v>153.6</v>
      </c>
      <c r="X45" s="19">
        <v>0.9</v>
      </c>
      <c r="Y45" s="19">
        <v>163.9</v>
      </c>
      <c r="Z45" s="19">
        <v>0.9</v>
      </c>
      <c r="AA45" s="19">
        <v>159.1</v>
      </c>
      <c r="AB45" s="19">
        <v>0.9</v>
      </c>
      <c r="AC45" s="19">
        <v>271.10000000000002</v>
      </c>
      <c r="AD45" s="19">
        <v>0.9</v>
      </c>
      <c r="AE45" s="19">
        <v>266.2</v>
      </c>
      <c r="AF45" s="19">
        <v>0.9</v>
      </c>
      <c r="AG45" s="19">
        <v>421.5</v>
      </c>
      <c r="AH45" s="19">
        <v>0.9</v>
      </c>
      <c r="AI45" s="19">
        <v>442.7</v>
      </c>
      <c r="AJ45" s="19">
        <v>0.9</v>
      </c>
      <c r="AK45" s="19">
        <v>649.70000000000005</v>
      </c>
      <c r="AL45" s="19">
        <v>0.9</v>
      </c>
      <c r="AM45" s="19">
        <v>658.1</v>
      </c>
      <c r="AN45" s="19">
        <v>0.9</v>
      </c>
      <c r="AO45" s="19">
        <v>689.8</v>
      </c>
      <c r="AP45" s="19">
        <v>0.9</v>
      </c>
      <c r="AQ45" s="19">
        <v>873.1</v>
      </c>
      <c r="AR45" s="19">
        <v>0.9</v>
      </c>
      <c r="AS45" s="19">
        <v>951.2</v>
      </c>
      <c r="AT45" s="19">
        <v>0.9</v>
      </c>
      <c r="AU45" s="19">
        <v>1008</v>
      </c>
      <c r="AV45" s="19">
        <v>0.9</v>
      </c>
      <c r="AW45" s="19">
        <v>1129</v>
      </c>
      <c r="AX45" s="19">
        <v>0.9</v>
      </c>
      <c r="AY45" s="19">
        <v>1373</v>
      </c>
      <c r="AZ45" s="19">
        <v>0.9</v>
      </c>
      <c r="BA45" s="19">
        <v>1769</v>
      </c>
      <c r="BB45" s="19">
        <v>0.9</v>
      </c>
      <c r="BC45" s="19">
        <v>1997</v>
      </c>
      <c r="BD45" s="19">
        <v>0.9</v>
      </c>
      <c r="BE45" s="19">
        <v>2122</v>
      </c>
      <c r="BF45" s="19">
        <v>0.9</v>
      </c>
      <c r="BG45" s="19">
        <v>2507</v>
      </c>
      <c r="BH45" s="19">
        <v>0.9</v>
      </c>
      <c r="BI45" s="19">
        <v>2654</v>
      </c>
    </row>
    <row r="46" spans="3:61">
      <c r="C46" s="26"/>
      <c r="D46" s="26">
        <v>1.7</v>
      </c>
      <c r="E46" s="26">
        <v>3.0219999999999998</v>
      </c>
      <c r="F46" s="28">
        <v>0.2</v>
      </c>
      <c r="G46">
        <f>'10A61 Liquid 3" ViscosityLINEST'!J11</f>
        <v>4.97324995672885</v>
      </c>
      <c r="H46" s="20">
        <v>1</v>
      </c>
      <c r="I46" s="20">
        <v>8.9969999999999999</v>
      </c>
      <c r="J46" s="20">
        <v>1</v>
      </c>
      <c r="K46" s="19">
        <v>19.329999999999998</v>
      </c>
      <c r="L46" s="20">
        <v>1</v>
      </c>
      <c r="M46" s="19">
        <v>34.950000000000003</v>
      </c>
      <c r="N46" s="20">
        <v>1</v>
      </c>
      <c r="O46" s="19">
        <v>38.44</v>
      </c>
      <c r="P46" s="20">
        <v>1</v>
      </c>
      <c r="Q46" s="19">
        <v>32.200000000000003</v>
      </c>
      <c r="R46" s="20">
        <v>1</v>
      </c>
      <c r="S46" s="19">
        <v>53.79</v>
      </c>
      <c r="T46" s="20">
        <v>1</v>
      </c>
      <c r="U46" s="19">
        <v>97.96</v>
      </c>
      <c r="V46" s="20">
        <v>1</v>
      </c>
      <c r="W46" s="19">
        <v>150.19999999999999</v>
      </c>
      <c r="X46" s="20">
        <v>1</v>
      </c>
      <c r="Y46" s="19">
        <v>160.6</v>
      </c>
      <c r="Z46" s="20">
        <v>1</v>
      </c>
      <c r="AA46" s="19">
        <v>150</v>
      </c>
      <c r="AB46" s="20">
        <v>1</v>
      </c>
      <c r="AC46" s="19">
        <v>261.5</v>
      </c>
      <c r="AD46" s="20">
        <v>1</v>
      </c>
      <c r="AE46" s="19">
        <v>259.39999999999998</v>
      </c>
      <c r="AF46" s="20">
        <v>1</v>
      </c>
      <c r="AG46" s="19">
        <v>413.2</v>
      </c>
      <c r="AH46" s="20">
        <v>1</v>
      </c>
      <c r="AI46" s="19">
        <v>433.8</v>
      </c>
      <c r="AJ46" s="20">
        <v>1</v>
      </c>
      <c r="AK46" s="19">
        <v>640.1</v>
      </c>
      <c r="AL46" s="20">
        <v>1</v>
      </c>
      <c r="AM46" s="19">
        <v>652.1</v>
      </c>
      <c r="AN46" s="20">
        <v>1</v>
      </c>
      <c r="AO46" s="19">
        <v>681.7</v>
      </c>
      <c r="AP46" s="20">
        <v>1</v>
      </c>
      <c r="AQ46" s="19">
        <v>856.5</v>
      </c>
      <c r="AR46" s="20">
        <v>1</v>
      </c>
      <c r="AS46" s="19">
        <v>941.7</v>
      </c>
      <c r="AT46" s="20">
        <v>1</v>
      </c>
      <c r="AU46" s="19">
        <v>1000</v>
      </c>
      <c r="AV46" s="20">
        <v>1</v>
      </c>
      <c r="AW46" s="19">
        <v>1118</v>
      </c>
      <c r="AX46" s="20">
        <v>1</v>
      </c>
      <c r="AY46" s="19">
        <v>1358</v>
      </c>
      <c r="AZ46" s="20">
        <v>1</v>
      </c>
      <c r="BA46" s="19">
        <v>1752</v>
      </c>
      <c r="BB46" s="20">
        <v>1</v>
      </c>
      <c r="BC46" s="19">
        <v>1973</v>
      </c>
      <c r="BD46" s="20">
        <v>1</v>
      </c>
      <c r="BE46" s="19">
        <v>2098</v>
      </c>
      <c r="BF46" s="20">
        <v>1</v>
      </c>
      <c r="BG46" s="19">
        <v>2497</v>
      </c>
      <c r="BH46" s="20">
        <v>1</v>
      </c>
      <c r="BI46" s="19">
        <v>2644</v>
      </c>
    </row>
    <row r="47" spans="3:61">
      <c r="C47" s="26"/>
      <c r="D47" s="26">
        <v>2</v>
      </c>
      <c r="E47" s="26">
        <v>2.5409999999999999</v>
      </c>
      <c r="F47" s="28">
        <v>0.2</v>
      </c>
      <c r="H47" s="20">
        <v>1.5</v>
      </c>
      <c r="I47" s="20">
        <v>6.1029999999999998</v>
      </c>
      <c r="J47" s="20">
        <v>1.5</v>
      </c>
      <c r="K47" s="19">
        <v>13.62</v>
      </c>
      <c r="L47" s="20">
        <v>1.5</v>
      </c>
      <c r="M47" s="19">
        <v>25.56</v>
      </c>
      <c r="N47" s="20">
        <v>1.5</v>
      </c>
      <c r="O47" s="19">
        <v>28.27</v>
      </c>
      <c r="P47" s="20">
        <v>1.5</v>
      </c>
      <c r="Q47" s="19">
        <v>22.5</v>
      </c>
      <c r="R47" s="20">
        <v>1.5</v>
      </c>
      <c r="S47" s="19">
        <v>39.78</v>
      </c>
      <c r="T47" s="20">
        <v>1.5</v>
      </c>
      <c r="U47" s="19">
        <v>81.28</v>
      </c>
      <c r="V47" s="20">
        <v>1.5</v>
      </c>
      <c r="W47" s="19">
        <v>133.30000000000001</v>
      </c>
      <c r="X47" s="20">
        <v>1.5</v>
      </c>
      <c r="Y47" s="19">
        <v>144.1</v>
      </c>
      <c r="Z47" s="20">
        <v>1.5</v>
      </c>
      <c r="AA47" s="19">
        <v>116.1</v>
      </c>
      <c r="AB47" s="20">
        <v>1.5</v>
      </c>
      <c r="AC47" s="19">
        <v>217</v>
      </c>
      <c r="AD47" s="20">
        <v>1.5</v>
      </c>
      <c r="AE47" s="19">
        <v>228.7</v>
      </c>
      <c r="AF47" s="20">
        <v>1.5</v>
      </c>
      <c r="AG47" s="19">
        <v>378</v>
      </c>
      <c r="AH47" s="20">
        <v>1.5</v>
      </c>
      <c r="AI47" s="19">
        <v>394.7</v>
      </c>
      <c r="AJ47" s="20">
        <v>1.5</v>
      </c>
      <c r="AK47" s="19">
        <v>599</v>
      </c>
      <c r="AL47" s="20">
        <v>1.5</v>
      </c>
      <c r="AM47" s="19">
        <v>623.20000000000005</v>
      </c>
      <c r="AN47" s="20">
        <v>1.5</v>
      </c>
      <c r="AO47" s="19">
        <v>639.9</v>
      </c>
      <c r="AP47" s="20">
        <v>1.5</v>
      </c>
      <c r="AQ47" s="19">
        <v>794.5</v>
      </c>
      <c r="AR47" s="20">
        <v>1.5</v>
      </c>
      <c r="AS47" s="19">
        <v>907.4</v>
      </c>
      <c r="AT47" s="20">
        <v>1.5</v>
      </c>
      <c r="AU47" s="19">
        <v>963.5</v>
      </c>
      <c r="AV47" s="20">
        <v>1.5</v>
      </c>
      <c r="AW47" s="19">
        <v>1066</v>
      </c>
      <c r="AX47" s="20">
        <v>1.5</v>
      </c>
      <c r="AY47" s="19">
        <v>1292</v>
      </c>
      <c r="AZ47" s="20">
        <v>1.5</v>
      </c>
      <c r="BA47" s="19">
        <v>1685</v>
      </c>
      <c r="BB47" s="20">
        <v>1.5</v>
      </c>
      <c r="BC47" s="19">
        <v>1888</v>
      </c>
      <c r="BD47" s="20">
        <v>1.5</v>
      </c>
      <c r="BE47" s="19">
        <v>2006</v>
      </c>
      <c r="BF47" s="20">
        <v>1.5</v>
      </c>
      <c r="BG47" s="19">
        <v>2437</v>
      </c>
      <c r="BH47" s="20">
        <v>1.5</v>
      </c>
      <c r="BI47" s="19">
        <v>2588</v>
      </c>
    </row>
    <row r="48" spans="3:61">
      <c r="C48" s="5"/>
      <c r="D48" s="5">
        <v>2.5</v>
      </c>
      <c r="E48" s="5">
        <v>2.0169999999999999</v>
      </c>
      <c r="F48" s="4">
        <v>0.2</v>
      </c>
      <c r="H48" s="20">
        <v>2</v>
      </c>
      <c r="I48" s="20">
        <v>4.6509999999999998</v>
      </c>
      <c r="J48" s="20">
        <v>2</v>
      </c>
      <c r="K48" s="19">
        <v>10.33</v>
      </c>
      <c r="L48" s="20">
        <v>2</v>
      </c>
      <c r="M48" s="19">
        <v>19.98</v>
      </c>
      <c r="N48" s="20">
        <v>2</v>
      </c>
      <c r="O48" s="19">
        <v>22.25</v>
      </c>
      <c r="P48" s="20">
        <v>2</v>
      </c>
      <c r="Q48" s="19">
        <v>17.23</v>
      </c>
      <c r="R48" s="20">
        <v>2</v>
      </c>
      <c r="S48" s="19">
        <v>30.81</v>
      </c>
      <c r="T48" s="20">
        <v>2</v>
      </c>
      <c r="U48" s="19">
        <v>66.66</v>
      </c>
      <c r="V48" s="20">
        <v>2</v>
      </c>
      <c r="W48" s="19">
        <v>117.2</v>
      </c>
      <c r="X48" s="20">
        <v>2</v>
      </c>
      <c r="Y48" s="19">
        <v>127.8</v>
      </c>
      <c r="Z48" s="20">
        <v>2</v>
      </c>
      <c r="AA48" s="19">
        <v>92.72</v>
      </c>
      <c r="AB48" s="20">
        <v>2</v>
      </c>
      <c r="AC48" s="19">
        <v>182</v>
      </c>
      <c r="AD48" s="20">
        <v>2</v>
      </c>
      <c r="AE48" s="19">
        <v>198</v>
      </c>
      <c r="AF48" s="20">
        <v>2</v>
      </c>
      <c r="AG48" s="19">
        <v>347.4</v>
      </c>
      <c r="AH48" s="20">
        <v>2</v>
      </c>
      <c r="AI48" s="19">
        <v>350.1</v>
      </c>
      <c r="AJ48" s="20">
        <v>2</v>
      </c>
      <c r="AK48" s="19">
        <v>561.9</v>
      </c>
      <c r="AL48" s="20">
        <v>2</v>
      </c>
      <c r="AM48" s="19">
        <v>586.79999999999995</v>
      </c>
      <c r="AN48" s="20">
        <v>2</v>
      </c>
      <c r="AO48" s="19">
        <v>604.6</v>
      </c>
      <c r="AP48" s="20">
        <v>2</v>
      </c>
      <c r="AQ48" s="19">
        <v>745.6</v>
      </c>
      <c r="AR48" s="20">
        <v>2</v>
      </c>
      <c r="AS48" s="19">
        <v>880.6</v>
      </c>
      <c r="AT48" s="20">
        <v>2</v>
      </c>
      <c r="AU48" s="19">
        <v>939.8</v>
      </c>
      <c r="AV48" s="20">
        <v>2</v>
      </c>
      <c r="AW48" s="19">
        <v>1017</v>
      </c>
      <c r="AX48" s="20">
        <v>2</v>
      </c>
      <c r="AY48" s="19">
        <v>1225</v>
      </c>
      <c r="AZ48" s="20">
        <v>2</v>
      </c>
      <c r="BA48" s="19">
        <v>1633</v>
      </c>
      <c r="BB48" s="20">
        <v>2</v>
      </c>
      <c r="BC48" s="19">
        <v>1825</v>
      </c>
      <c r="BD48" s="20">
        <v>2</v>
      </c>
      <c r="BE48" s="19">
        <v>1947</v>
      </c>
      <c r="BF48" s="20">
        <v>2</v>
      </c>
      <c r="BG48" s="19">
        <v>2370</v>
      </c>
      <c r="BH48" s="20">
        <v>2</v>
      </c>
      <c r="BI48" s="19">
        <v>2517</v>
      </c>
    </row>
    <row r="49" spans="3:61">
      <c r="C49" s="5"/>
      <c r="D49" s="5">
        <v>3</v>
      </c>
      <c r="E49" s="5">
        <v>1.698</v>
      </c>
      <c r="F49" s="4">
        <v>0.2</v>
      </c>
      <c r="H49" s="20">
        <v>2.5</v>
      </c>
      <c r="I49" s="20">
        <v>3.7509999999999999</v>
      </c>
      <c r="J49" s="20">
        <v>2.5</v>
      </c>
      <c r="K49" s="19">
        <v>8.3559999999999999</v>
      </c>
      <c r="L49" s="20">
        <v>2.5</v>
      </c>
      <c r="M49" s="19">
        <v>16.11</v>
      </c>
      <c r="N49" s="20">
        <v>2.5</v>
      </c>
      <c r="O49" s="19">
        <v>17.96</v>
      </c>
      <c r="P49" s="20">
        <v>2.5</v>
      </c>
      <c r="Q49" s="19">
        <v>14.13</v>
      </c>
      <c r="R49" s="20">
        <v>2.5</v>
      </c>
      <c r="S49" s="19">
        <v>25.06</v>
      </c>
      <c r="T49" s="20">
        <v>2.5</v>
      </c>
      <c r="U49" s="19">
        <v>54.91</v>
      </c>
      <c r="V49" s="20">
        <v>2.5</v>
      </c>
      <c r="W49" s="19">
        <v>102.5</v>
      </c>
      <c r="X49" s="20">
        <v>2.5</v>
      </c>
      <c r="Y49" s="19">
        <v>112</v>
      </c>
      <c r="Z49" s="20">
        <v>2.5</v>
      </c>
      <c r="AA49" s="19">
        <v>77.569999999999993</v>
      </c>
      <c r="AB49" s="20">
        <v>2.5</v>
      </c>
      <c r="AC49" s="19">
        <v>154.6</v>
      </c>
      <c r="AD49" s="20">
        <v>2.5</v>
      </c>
      <c r="AE49" s="19">
        <v>170.6</v>
      </c>
      <c r="AF49" s="20">
        <v>2.5</v>
      </c>
      <c r="AG49" s="19">
        <v>316.89999999999998</v>
      </c>
      <c r="AH49" s="20">
        <v>2.5</v>
      </c>
      <c r="AI49" s="19">
        <v>309.10000000000002</v>
      </c>
      <c r="AJ49" s="20">
        <v>2.5</v>
      </c>
      <c r="AK49" s="19">
        <v>520.29999999999995</v>
      </c>
      <c r="AL49" s="20">
        <v>2.5</v>
      </c>
      <c r="AM49" s="19">
        <v>555.6</v>
      </c>
      <c r="AN49" s="20">
        <v>2.5</v>
      </c>
      <c r="AO49" s="19">
        <v>560.29999999999995</v>
      </c>
      <c r="AP49" s="20">
        <v>2.5</v>
      </c>
      <c r="AQ49" s="19">
        <v>699.5</v>
      </c>
      <c r="AR49" s="20">
        <v>2.5</v>
      </c>
      <c r="AS49" s="19">
        <v>843.8</v>
      </c>
      <c r="AT49" s="20">
        <v>2.5</v>
      </c>
      <c r="AU49" s="19">
        <v>901.1</v>
      </c>
      <c r="AV49" s="20">
        <v>2.5</v>
      </c>
      <c r="AW49" s="19">
        <v>971.8</v>
      </c>
      <c r="AX49" s="20">
        <v>2.5</v>
      </c>
      <c r="AY49" s="19">
        <v>1175</v>
      </c>
      <c r="AZ49" s="20">
        <v>2.5</v>
      </c>
      <c r="BA49" s="19">
        <v>1583</v>
      </c>
      <c r="BB49" s="20">
        <v>2.5</v>
      </c>
      <c r="BC49" s="19">
        <v>1751</v>
      </c>
      <c r="BD49" s="20">
        <v>2.5</v>
      </c>
      <c r="BE49" s="19">
        <v>1869</v>
      </c>
      <c r="BF49" s="20">
        <v>2.5</v>
      </c>
      <c r="BG49" s="19">
        <v>2321</v>
      </c>
      <c r="BH49" s="20">
        <v>2.5</v>
      </c>
      <c r="BI49" s="19">
        <v>2465</v>
      </c>
    </row>
    <row r="50" spans="3:61">
      <c r="C50" s="5"/>
      <c r="D50" s="5">
        <v>3.4</v>
      </c>
      <c r="E50" s="5">
        <v>1.5109999999999999</v>
      </c>
      <c r="F50" s="4">
        <v>0.15</v>
      </c>
      <c r="H50" s="20">
        <v>3</v>
      </c>
      <c r="I50" s="20">
        <v>3.0579999999999998</v>
      </c>
      <c r="J50" s="20">
        <v>3</v>
      </c>
      <c r="K50" s="19">
        <v>7.0389999999999997</v>
      </c>
      <c r="L50" s="20">
        <v>3</v>
      </c>
      <c r="M50" s="19">
        <v>13.55</v>
      </c>
      <c r="N50" s="20">
        <v>3</v>
      </c>
      <c r="O50" s="19">
        <v>15.08</v>
      </c>
      <c r="P50" s="20">
        <v>3</v>
      </c>
      <c r="Q50" s="19">
        <v>11.84</v>
      </c>
      <c r="R50" s="20">
        <v>3</v>
      </c>
      <c r="S50" s="19">
        <v>21.13</v>
      </c>
      <c r="T50" s="20">
        <v>3</v>
      </c>
      <c r="U50" s="19">
        <v>46.62</v>
      </c>
      <c r="V50" s="20">
        <v>3</v>
      </c>
      <c r="W50" s="19">
        <v>87.89</v>
      </c>
      <c r="X50" s="20">
        <v>3</v>
      </c>
      <c r="Y50" s="19">
        <v>97.43</v>
      </c>
      <c r="Z50" s="20">
        <v>3</v>
      </c>
      <c r="AA50" s="19">
        <v>65.8</v>
      </c>
      <c r="AB50" s="20">
        <v>3</v>
      </c>
      <c r="AC50" s="19">
        <v>132.80000000000001</v>
      </c>
      <c r="AD50" s="20">
        <v>3</v>
      </c>
      <c r="AE50" s="19">
        <v>147.5</v>
      </c>
      <c r="AF50" s="20">
        <v>3</v>
      </c>
      <c r="AG50" s="19">
        <v>286.5</v>
      </c>
      <c r="AH50" s="20">
        <v>3</v>
      </c>
      <c r="AI50" s="19">
        <v>275.10000000000002</v>
      </c>
      <c r="AJ50" s="20">
        <v>3</v>
      </c>
      <c r="AK50" s="19">
        <v>471.5</v>
      </c>
      <c r="AL50" s="20">
        <v>3</v>
      </c>
      <c r="AM50" s="19">
        <v>524.29999999999995</v>
      </c>
      <c r="AN50" s="20">
        <v>3</v>
      </c>
      <c r="AO50" s="19">
        <v>513.9</v>
      </c>
      <c r="AP50" s="20">
        <v>3</v>
      </c>
      <c r="AQ50" s="19">
        <v>662.8</v>
      </c>
      <c r="AR50" s="20">
        <v>3</v>
      </c>
      <c r="AS50" s="19">
        <v>807.7</v>
      </c>
      <c r="AT50" s="20">
        <v>3</v>
      </c>
      <c r="AU50" s="19">
        <v>865.1</v>
      </c>
      <c r="AV50" s="20">
        <v>3</v>
      </c>
      <c r="AW50" s="19">
        <v>941.1</v>
      </c>
      <c r="AX50" s="20">
        <v>3</v>
      </c>
      <c r="AY50" s="19">
        <v>1125</v>
      </c>
      <c r="AZ50" s="20">
        <v>3</v>
      </c>
      <c r="BA50" s="19">
        <v>1533</v>
      </c>
      <c r="BB50" s="20">
        <v>3</v>
      </c>
      <c r="BC50" s="19">
        <v>1693</v>
      </c>
      <c r="BD50" s="20">
        <v>3</v>
      </c>
      <c r="BE50" s="19">
        <v>1807</v>
      </c>
      <c r="BF50" s="20">
        <v>3</v>
      </c>
      <c r="BG50" s="19">
        <v>2264</v>
      </c>
      <c r="BH50" s="20">
        <v>3</v>
      </c>
      <c r="BI50" s="19">
        <v>2411</v>
      </c>
    </row>
    <row r="51" spans="3:61">
      <c r="C51" s="5"/>
      <c r="D51" s="5">
        <v>4</v>
      </c>
      <c r="E51" s="5">
        <v>1.2949999999999999</v>
      </c>
      <c r="F51" s="4">
        <v>0.15</v>
      </c>
      <c r="H51" s="20">
        <v>3.5</v>
      </c>
      <c r="I51" s="20">
        <v>2.637</v>
      </c>
      <c r="J51" s="20">
        <v>3.5</v>
      </c>
      <c r="K51" s="19">
        <v>6.0960000000000001</v>
      </c>
      <c r="L51" s="20">
        <v>3.5</v>
      </c>
      <c r="M51" s="19">
        <v>11.7</v>
      </c>
      <c r="N51" s="20">
        <v>3.5</v>
      </c>
      <c r="O51" s="19">
        <v>13.03</v>
      </c>
      <c r="P51" s="20">
        <v>3.5</v>
      </c>
      <c r="Q51" s="19">
        <v>10.09</v>
      </c>
      <c r="R51" s="20">
        <v>3.5</v>
      </c>
      <c r="S51" s="19">
        <v>18.54</v>
      </c>
      <c r="T51" s="20">
        <v>3.5</v>
      </c>
      <c r="U51" s="19">
        <v>40.43</v>
      </c>
      <c r="V51" s="20">
        <v>3.5</v>
      </c>
      <c r="W51" s="19">
        <v>76.88</v>
      </c>
      <c r="X51" s="20">
        <v>3.5</v>
      </c>
      <c r="Y51" s="19">
        <v>85.52</v>
      </c>
      <c r="Z51" s="20">
        <v>3.5</v>
      </c>
      <c r="AA51" s="19">
        <v>57.17</v>
      </c>
      <c r="AB51" s="20">
        <v>3.5</v>
      </c>
      <c r="AC51" s="19">
        <v>117.9</v>
      </c>
      <c r="AD51" s="20">
        <v>3.5</v>
      </c>
      <c r="AE51" s="19">
        <v>129.30000000000001</v>
      </c>
      <c r="AF51" s="20">
        <v>3.5</v>
      </c>
      <c r="AG51" s="19">
        <v>258.3</v>
      </c>
      <c r="AH51" s="20">
        <v>3.5</v>
      </c>
      <c r="AI51" s="19">
        <v>246.6</v>
      </c>
      <c r="AJ51" s="20">
        <v>3.5</v>
      </c>
      <c r="AK51" s="19">
        <v>432.7</v>
      </c>
      <c r="AL51" s="20">
        <v>3.5</v>
      </c>
      <c r="AM51" s="19">
        <v>494.3</v>
      </c>
      <c r="AN51" s="20">
        <v>3.5</v>
      </c>
      <c r="AO51" s="19">
        <v>471.5</v>
      </c>
      <c r="AP51" s="20">
        <v>3.5</v>
      </c>
      <c r="AQ51" s="19">
        <v>630.9</v>
      </c>
      <c r="AR51" s="20">
        <v>3.5</v>
      </c>
      <c r="AS51" s="19">
        <v>777.8</v>
      </c>
      <c r="AT51" s="20">
        <v>3.5</v>
      </c>
      <c r="AU51" s="19">
        <v>833.1</v>
      </c>
      <c r="AV51" s="20">
        <v>3.5</v>
      </c>
      <c r="AW51" s="19">
        <v>906.2</v>
      </c>
      <c r="AX51" s="20">
        <v>3.5</v>
      </c>
      <c r="AY51" s="19">
        <v>1077</v>
      </c>
      <c r="AZ51" s="20">
        <v>3.5</v>
      </c>
      <c r="BA51" s="19">
        <v>1485</v>
      </c>
      <c r="BB51" s="20">
        <v>3.5</v>
      </c>
      <c r="BC51" s="19">
        <v>1645</v>
      </c>
      <c r="BD51" s="20">
        <v>3.5</v>
      </c>
      <c r="BE51" s="19">
        <v>1756</v>
      </c>
      <c r="BF51" s="20">
        <v>3.5</v>
      </c>
      <c r="BG51" s="19">
        <v>2216</v>
      </c>
      <c r="BH51" s="20">
        <v>3.5</v>
      </c>
      <c r="BI51" s="19">
        <v>2360</v>
      </c>
    </row>
    <row r="52" spans="3:61">
      <c r="C52" s="5"/>
      <c r="D52" s="5">
        <v>4.4000000000000004</v>
      </c>
      <c r="E52" s="5">
        <v>1.1819999999999999</v>
      </c>
      <c r="F52" s="4">
        <v>0.15</v>
      </c>
      <c r="G52">
        <f>'10A61 Liquid 3" ViscosityLINEST'!J12</f>
        <v>4.8629594804816776</v>
      </c>
      <c r="H52" s="20">
        <v>4</v>
      </c>
      <c r="I52" s="20">
        <v>2.3260000000000001</v>
      </c>
      <c r="J52" s="20">
        <v>4</v>
      </c>
      <c r="K52" s="19">
        <v>5.2850000000000001</v>
      </c>
      <c r="L52" s="20">
        <v>4</v>
      </c>
      <c r="M52" s="19">
        <v>10.31</v>
      </c>
      <c r="N52" s="20">
        <v>4</v>
      </c>
      <c r="O52" s="19">
        <v>11.47</v>
      </c>
      <c r="P52" s="20">
        <v>4</v>
      </c>
      <c r="Q52" s="19">
        <v>8.8740000000000006</v>
      </c>
      <c r="R52" s="20">
        <v>4</v>
      </c>
      <c r="S52" s="19">
        <v>16.239999999999998</v>
      </c>
      <c r="T52" s="20">
        <v>4</v>
      </c>
      <c r="U52" s="19">
        <v>35.700000000000003</v>
      </c>
      <c r="V52" s="20">
        <v>4</v>
      </c>
      <c r="W52" s="19">
        <v>68.27</v>
      </c>
      <c r="X52" s="20">
        <v>4</v>
      </c>
      <c r="Y52" s="19">
        <v>75.89</v>
      </c>
      <c r="Z52" s="20">
        <v>4</v>
      </c>
      <c r="AA52" s="19">
        <v>50.53</v>
      </c>
      <c r="AB52" s="20">
        <v>4</v>
      </c>
      <c r="AC52" s="19">
        <v>105</v>
      </c>
      <c r="AD52" s="20">
        <v>4</v>
      </c>
      <c r="AE52" s="19">
        <v>114.2</v>
      </c>
      <c r="AF52" s="20">
        <v>4</v>
      </c>
      <c r="AG52" s="19">
        <v>233</v>
      </c>
      <c r="AH52" s="20">
        <v>4</v>
      </c>
      <c r="AI52" s="19">
        <v>221.6</v>
      </c>
      <c r="AJ52" s="20">
        <v>4</v>
      </c>
      <c r="AK52" s="19">
        <v>398.7</v>
      </c>
      <c r="AL52" s="20">
        <v>4</v>
      </c>
      <c r="AM52" s="19">
        <v>461.9</v>
      </c>
      <c r="AN52" s="20">
        <v>4</v>
      </c>
      <c r="AO52" s="19">
        <v>437.7</v>
      </c>
      <c r="AP52" s="20">
        <v>4</v>
      </c>
      <c r="AQ52" s="19">
        <v>599.6</v>
      </c>
      <c r="AR52" s="20">
        <v>4</v>
      </c>
      <c r="AS52" s="19">
        <v>747.8</v>
      </c>
      <c r="AT52" s="20">
        <v>4</v>
      </c>
      <c r="AU52" s="19">
        <v>806.3</v>
      </c>
      <c r="AV52" s="20">
        <v>4</v>
      </c>
      <c r="AW52" s="19">
        <v>867.5</v>
      </c>
      <c r="AX52" s="20">
        <v>4</v>
      </c>
      <c r="AY52" s="19">
        <v>1035</v>
      </c>
      <c r="AZ52" s="20">
        <v>4</v>
      </c>
      <c r="BA52" s="19">
        <v>1449</v>
      </c>
      <c r="BB52" s="20">
        <v>4</v>
      </c>
      <c r="BC52" s="19">
        <v>1597</v>
      </c>
      <c r="BD52" s="20">
        <v>4</v>
      </c>
      <c r="BE52" s="19">
        <v>1713</v>
      </c>
      <c r="BF52" s="20">
        <v>4</v>
      </c>
      <c r="BG52" s="19">
        <v>2168</v>
      </c>
      <c r="BH52" s="20">
        <v>4</v>
      </c>
      <c r="BI52" s="19">
        <v>2317</v>
      </c>
    </row>
    <row r="53" spans="3:61">
      <c r="C53" s="5"/>
      <c r="D53" s="5"/>
      <c r="E53" s="5"/>
      <c r="F53" s="4"/>
      <c r="H53" s="20">
        <v>4.5</v>
      </c>
      <c r="I53" s="20">
        <v>2.0840000000000001</v>
      </c>
      <c r="J53" s="20">
        <v>4.5</v>
      </c>
      <c r="K53" s="19">
        <v>4.6319999999999997</v>
      </c>
      <c r="L53" s="20">
        <v>4.5</v>
      </c>
      <c r="M53" s="19">
        <v>9.24</v>
      </c>
      <c r="N53" s="20">
        <v>4.5</v>
      </c>
      <c r="O53" s="19">
        <v>10.28</v>
      </c>
      <c r="P53" s="20">
        <v>4.5</v>
      </c>
      <c r="Q53" s="19">
        <v>7.931</v>
      </c>
      <c r="R53" s="20">
        <v>4.5</v>
      </c>
      <c r="S53" s="19">
        <v>14.37</v>
      </c>
      <c r="T53" s="20">
        <v>4.5</v>
      </c>
      <c r="U53" s="19">
        <v>31.98</v>
      </c>
      <c r="V53" s="20">
        <v>4.5</v>
      </c>
      <c r="W53" s="19">
        <v>61.24</v>
      </c>
      <c r="X53" s="20">
        <v>4.5</v>
      </c>
      <c r="Y53" s="19">
        <v>68.09</v>
      </c>
      <c r="Z53" s="20">
        <v>4.5</v>
      </c>
      <c r="AA53" s="19">
        <v>45.16</v>
      </c>
      <c r="AB53" s="20">
        <v>4.5</v>
      </c>
      <c r="AC53" s="19">
        <v>94.4</v>
      </c>
      <c r="AD53" s="20">
        <v>4.5</v>
      </c>
      <c r="AE53" s="19">
        <v>101.8</v>
      </c>
      <c r="AF53" s="20">
        <v>4.5</v>
      </c>
      <c r="AG53" s="19">
        <v>212.1</v>
      </c>
      <c r="AH53" s="20">
        <v>4.5</v>
      </c>
      <c r="AI53" s="19">
        <v>200.9</v>
      </c>
      <c r="AJ53" s="20">
        <v>4.5</v>
      </c>
      <c r="AK53" s="19">
        <v>366.7</v>
      </c>
      <c r="AL53" s="20">
        <v>4.5</v>
      </c>
      <c r="AM53" s="19">
        <v>403</v>
      </c>
      <c r="AN53" s="20">
        <v>4.5</v>
      </c>
      <c r="AO53" s="19">
        <v>432.7</v>
      </c>
      <c r="AP53" s="20">
        <v>4.5</v>
      </c>
      <c r="AQ53" s="19">
        <v>572.1</v>
      </c>
      <c r="AR53" s="20">
        <v>4.5</v>
      </c>
      <c r="AS53" s="19">
        <v>714.9</v>
      </c>
      <c r="AT53" s="20">
        <v>4.5</v>
      </c>
      <c r="AU53" s="19">
        <v>771.5</v>
      </c>
      <c r="AV53" s="20">
        <v>4.5</v>
      </c>
      <c r="AW53" s="19">
        <v>832.3</v>
      </c>
      <c r="AX53" s="20">
        <v>4.5</v>
      </c>
      <c r="AY53" s="19">
        <v>1000</v>
      </c>
      <c r="AZ53" s="20">
        <v>4.5</v>
      </c>
      <c r="BA53" s="19">
        <v>1419</v>
      </c>
      <c r="BB53" s="20">
        <v>4.5</v>
      </c>
      <c r="BC53" s="19">
        <v>1544</v>
      </c>
      <c r="BD53" s="20">
        <v>4.5</v>
      </c>
      <c r="BE53" s="19">
        <v>1658</v>
      </c>
      <c r="BF53" s="20">
        <v>4.5</v>
      </c>
      <c r="BG53" s="19">
        <v>2116</v>
      </c>
      <c r="BH53" s="20">
        <v>4.5</v>
      </c>
      <c r="BI53" s="19">
        <v>2262</v>
      </c>
    </row>
    <row r="54" spans="3:61">
      <c r="C54" s="5"/>
      <c r="D54" s="5"/>
      <c r="E54" s="5"/>
      <c r="F54" s="8"/>
      <c r="H54" s="20">
        <v>5</v>
      </c>
      <c r="I54" s="20">
        <v>1.887</v>
      </c>
      <c r="J54" s="20">
        <v>5</v>
      </c>
      <c r="K54" s="19">
        <v>4.181</v>
      </c>
      <c r="L54" s="20">
        <v>5</v>
      </c>
      <c r="M54" s="19">
        <v>8.375</v>
      </c>
      <c r="N54" s="20">
        <v>5</v>
      </c>
      <c r="O54" s="19">
        <v>9.3170000000000002</v>
      </c>
      <c r="P54" s="20">
        <v>5</v>
      </c>
      <c r="Q54" s="19">
        <v>7.1379999999999999</v>
      </c>
      <c r="R54" s="20">
        <v>5</v>
      </c>
      <c r="S54" s="19">
        <v>12.92</v>
      </c>
      <c r="T54" s="20">
        <v>5</v>
      </c>
      <c r="U54" s="19">
        <v>29.23</v>
      </c>
      <c r="V54" s="20">
        <v>5</v>
      </c>
      <c r="W54" s="19">
        <v>55.56</v>
      </c>
      <c r="X54" s="20">
        <v>5</v>
      </c>
      <c r="Y54" s="19">
        <v>61.78</v>
      </c>
      <c r="Z54" s="20">
        <v>5</v>
      </c>
      <c r="AA54" s="19">
        <v>40.81</v>
      </c>
      <c r="AB54" s="20">
        <v>5</v>
      </c>
      <c r="AC54" s="19">
        <v>85.77</v>
      </c>
      <c r="AD54" s="20">
        <v>5</v>
      </c>
      <c r="AE54" s="19">
        <v>91.66</v>
      </c>
      <c r="AF54" s="20">
        <v>5</v>
      </c>
      <c r="AG54" s="19">
        <v>194</v>
      </c>
      <c r="AH54" s="20">
        <v>5</v>
      </c>
      <c r="AI54" s="19">
        <v>185.2</v>
      </c>
      <c r="AJ54" s="20">
        <v>5</v>
      </c>
      <c r="AK54" s="19">
        <v>340.3</v>
      </c>
      <c r="AL54" s="20">
        <v>5</v>
      </c>
      <c r="AM54" s="19">
        <v>403.4</v>
      </c>
      <c r="AN54" s="20">
        <v>5</v>
      </c>
      <c r="AO54" s="19">
        <v>373.9</v>
      </c>
      <c r="AP54" s="20">
        <v>5</v>
      </c>
      <c r="AQ54" s="19">
        <v>548.29999999999995</v>
      </c>
      <c r="AR54" s="20">
        <v>5</v>
      </c>
      <c r="AS54" s="19">
        <v>686.6</v>
      </c>
      <c r="AT54" s="20">
        <v>5</v>
      </c>
      <c r="AU54" s="19">
        <v>741</v>
      </c>
      <c r="AV54" s="20">
        <v>5</v>
      </c>
      <c r="AW54" s="19">
        <v>798.1</v>
      </c>
      <c r="AX54" s="20">
        <v>5</v>
      </c>
      <c r="AY54" s="19">
        <v>967</v>
      </c>
      <c r="AZ54" s="20">
        <v>5</v>
      </c>
      <c r="BA54" s="19">
        <v>1384</v>
      </c>
      <c r="BB54" s="20">
        <v>5</v>
      </c>
      <c r="BC54" s="19">
        <v>1499</v>
      </c>
      <c r="BD54" s="20">
        <v>5</v>
      </c>
      <c r="BE54" s="19">
        <v>1609</v>
      </c>
      <c r="BF54" s="20">
        <v>5</v>
      </c>
      <c r="BG54" s="19">
        <v>2070</v>
      </c>
      <c r="BH54" s="20">
        <v>5</v>
      </c>
      <c r="BI54" s="19">
        <v>2213</v>
      </c>
    </row>
    <row r="55" spans="3:61">
      <c r="C55" s="5"/>
      <c r="D55" s="5"/>
      <c r="E55" s="5"/>
      <c r="F55" s="8"/>
      <c r="H55" s="20"/>
      <c r="I55" s="20"/>
      <c r="J55" s="25"/>
    </row>
    <row r="56" spans="3:61">
      <c r="C56" s="5"/>
      <c r="D56" s="5"/>
      <c r="E56" s="5"/>
      <c r="F56" s="8"/>
      <c r="H56" s="20"/>
      <c r="I56" s="20"/>
      <c r="J56" s="25"/>
    </row>
    <row r="57" spans="3:61">
      <c r="C57" s="26">
        <v>0.999999999999997</v>
      </c>
      <c r="D57" s="26">
        <v>0.5</v>
      </c>
      <c r="E57" s="26">
        <v>8.1989999999999998</v>
      </c>
      <c r="F57" s="28">
        <v>1</v>
      </c>
      <c r="H57" s="20">
        <v>0.5</v>
      </c>
      <c r="I57" s="20">
        <v>14.61</v>
      </c>
      <c r="J57" s="20">
        <v>0.5</v>
      </c>
      <c r="K57" s="19">
        <v>28.48</v>
      </c>
      <c r="L57" s="20">
        <v>0.5</v>
      </c>
      <c r="M57" s="19">
        <v>45.02</v>
      </c>
      <c r="N57" s="20">
        <v>0.5</v>
      </c>
      <c r="O57" s="19">
        <v>48.13</v>
      </c>
      <c r="P57" s="20">
        <v>0.5</v>
      </c>
      <c r="Q57" s="19">
        <v>41</v>
      </c>
      <c r="R57" s="20">
        <v>0.5</v>
      </c>
      <c r="S57" s="19">
        <v>61.98</v>
      </c>
      <c r="T57" s="20">
        <v>0.5</v>
      </c>
      <c r="U57" s="19">
        <v>103</v>
      </c>
      <c r="V57" s="20">
        <v>0.5</v>
      </c>
      <c r="W57" s="19">
        <v>149.80000000000001</v>
      </c>
      <c r="X57" s="20">
        <v>0.5</v>
      </c>
      <c r="Y57" s="19">
        <v>159.19999999999999</v>
      </c>
      <c r="Z57" s="20">
        <v>0.5</v>
      </c>
      <c r="AA57" s="19">
        <v>161.5</v>
      </c>
      <c r="AB57" s="20">
        <v>0.5</v>
      </c>
      <c r="AC57" s="19">
        <v>263.7</v>
      </c>
      <c r="AD57" s="20">
        <v>0.5</v>
      </c>
      <c r="AE57" s="19">
        <v>244.4</v>
      </c>
      <c r="AF57" s="20">
        <v>0.5</v>
      </c>
      <c r="AG57" s="19">
        <v>387.5</v>
      </c>
      <c r="AH57" s="20">
        <v>0.5</v>
      </c>
      <c r="AI57" s="19">
        <v>420</v>
      </c>
      <c r="AJ57" s="20">
        <v>0.5</v>
      </c>
      <c r="AK57" s="19">
        <v>599.6</v>
      </c>
      <c r="AL57" s="20">
        <v>0.5</v>
      </c>
      <c r="AM57" s="19">
        <v>610</v>
      </c>
      <c r="AN57" s="20">
        <v>0.5</v>
      </c>
      <c r="AO57" s="19">
        <v>636.4</v>
      </c>
      <c r="AP57" s="20">
        <v>0.5</v>
      </c>
      <c r="AQ57" s="19">
        <v>812.3</v>
      </c>
      <c r="AR57" s="20">
        <v>0.5</v>
      </c>
      <c r="AS57" s="19">
        <v>874</v>
      </c>
      <c r="AT57" s="20">
        <v>0.5</v>
      </c>
      <c r="AU57" s="19">
        <v>924.2</v>
      </c>
      <c r="AV57" s="20">
        <v>0.5</v>
      </c>
      <c r="AW57" s="19">
        <v>1026</v>
      </c>
      <c r="AX57" s="20">
        <v>0.5</v>
      </c>
      <c r="AY57" s="19">
        <v>1300</v>
      </c>
      <c r="AZ57" s="20">
        <v>0.5</v>
      </c>
      <c r="BA57" s="19">
        <v>1600</v>
      </c>
      <c r="BB57" s="20">
        <v>0.5</v>
      </c>
      <c r="BC57" s="19">
        <v>1858</v>
      </c>
      <c r="BD57" s="20">
        <v>0.5</v>
      </c>
      <c r="BE57" s="19">
        <v>1971</v>
      </c>
      <c r="BF57" s="20">
        <v>0.5</v>
      </c>
      <c r="BG57" s="19">
        <v>2255</v>
      </c>
      <c r="BH57" s="20">
        <v>0.5</v>
      </c>
      <c r="BI57" s="19">
        <v>2385</v>
      </c>
    </row>
    <row r="58" spans="3:61">
      <c r="C58" s="26"/>
      <c r="D58" s="26">
        <v>0.7</v>
      </c>
      <c r="E58" s="26">
        <v>6.1980000000000004</v>
      </c>
      <c r="F58" s="28">
        <v>0.8</v>
      </c>
      <c r="H58" s="20">
        <v>0.6</v>
      </c>
      <c r="I58" s="20">
        <v>12.79</v>
      </c>
      <c r="J58" s="20">
        <v>0.6</v>
      </c>
      <c r="K58" s="19">
        <v>25.95</v>
      </c>
      <c r="L58" s="20">
        <v>0.6</v>
      </c>
      <c r="M58" s="19">
        <v>42.87</v>
      </c>
      <c r="N58" s="20">
        <v>0.6</v>
      </c>
      <c r="O58" s="19">
        <v>46.38</v>
      </c>
      <c r="P58" s="20">
        <v>0.6</v>
      </c>
      <c r="Q58" s="19">
        <v>38</v>
      </c>
      <c r="R58" s="20">
        <v>0.6</v>
      </c>
      <c r="S58" s="19">
        <v>59.65</v>
      </c>
      <c r="T58" s="20">
        <v>0.6</v>
      </c>
      <c r="U58" s="19">
        <v>99.69</v>
      </c>
      <c r="V58" s="20">
        <v>0.6</v>
      </c>
      <c r="W58" s="19">
        <v>147.19999999999999</v>
      </c>
      <c r="X58" s="20">
        <v>0.6</v>
      </c>
      <c r="Y58" s="19">
        <v>156.4</v>
      </c>
      <c r="Z58" s="20">
        <v>0.6</v>
      </c>
      <c r="AA58" s="19">
        <v>155.80000000000001</v>
      </c>
      <c r="AB58" s="20">
        <v>0.6</v>
      </c>
      <c r="AC58" s="19">
        <v>257.10000000000002</v>
      </c>
      <c r="AD58" s="20">
        <v>0.6</v>
      </c>
      <c r="AE58" s="19">
        <v>240.6</v>
      </c>
      <c r="AF58" s="20">
        <v>0.6</v>
      </c>
      <c r="AG58" s="19">
        <v>380.9</v>
      </c>
      <c r="AH58" s="20">
        <v>0.6</v>
      </c>
      <c r="AI58" s="19">
        <v>414.6</v>
      </c>
      <c r="AJ58" s="20">
        <v>0.6</v>
      </c>
      <c r="AK58" s="19">
        <v>594.4</v>
      </c>
      <c r="AL58" s="20">
        <v>0.6</v>
      </c>
      <c r="AM58" s="19">
        <v>604.6</v>
      </c>
      <c r="AN58" s="20">
        <v>0.6</v>
      </c>
      <c r="AO58" s="19">
        <v>629</v>
      </c>
      <c r="AP58" s="20">
        <v>0.6</v>
      </c>
      <c r="AQ58" s="19">
        <v>795.7</v>
      </c>
      <c r="AR58" s="20">
        <v>0.6</v>
      </c>
      <c r="AS58" s="19">
        <v>870</v>
      </c>
      <c r="AT58" s="20">
        <v>0.6</v>
      </c>
      <c r="AU58" s="19">
        <v>923.8</v>
      </c>
      <c r="AV58" s="20">
        <v>0.6</v>
      </c>
      <c r="AW58" s="19">
        <v>1019</v>
      </c>
      <c r="AX58" s="20">
        <v>0.6</v>
      </c>
      <c r="AY58" s="19">
        <v>1278</v>
      </c>
      <c r="AZ58" s="20">
        <v>0.6</v>
      </c>
      <c r="BA58" s="19">
        <v>1589</v>
      </c>
      <c r="BB58" s="20">
        <v>0.6</v>
      </c>
      <c r="BC58" s="19">
        <v>1843</v>
      </c>
      <c r="BD58" s="20">
        <v>0.6</v>
      </c>
      <c r="BE58" s="19">
        <v>1952</v>
      </c>
      <c r="BF58" s="20">
        <v>0.6</v>
      </c>
      <c r="BG58" s="19">
        <v>2255</v>
      </c>
      <c r="BH58" s="20">
        <v>0.6</v>
      </c>
      <c r="BI58" s="19">
        <v>2385</v>
      </c>
    </row>
    <row r="59" spans="3:61">
      <c r="C59" s="26"/>
      <c r="D59" s="26">
        <v>0.9</v>
      </c>
      <c r="E59" s="26">
        <v>4.8650000000000002</v>
      </c>
      <c r="F59" s="28">
        <v>0.6</v>
      </c>
      <c r="H59" s="20">
        <v>0.7</v>
      </c>
      <c r="I59" s="20">
        <v>11.35</v>
      </c>
      <c r="J59" s="20">
        <v>0.7</v>
      </c>
      <c r="K59" s="19">
        <v>23.99</v>
      </c>
      <c r="L59" s="20">
        <v>0.7</v>
      </c>
      <c r="M59" s="19">
        <v>40.28</v>
      </c>
      <c r="N59" s="20">
        <v>0.7</v>
      </c>
      <c r="O59" s="19">
        <v>43.57</v>
      </c>
      <c r="P59" s="20">
        <v>0.7</v>
      </c>
      <c r="Q59" s="19">
        <v>35.64</v>
      </c>
      <c r="R59" s="20">
        <v>0.7</v>
      </c>
      <c r="S59" s="19">
        <v>56.89</v>
      </c>
      <c r="T59" s="20">
        <v>0.7</v>
      </c>
      <c r="U59" s="19">
        <v>96.98</v>
      </c>
      <c r="V59" s="20">
        <v>0.7</v>
      </c>
      <c r="W59" s="19">
        <v>145.30000000000001</v>
      </c>
      <c r="X59" s="20">
        <v>0.7</v>
      </c>
      <c r="Y59" s="19">
        <v>154.4</v>
      </c>
      <c r="Z59" s="20">
        <v>0.7</v>
      </c>
      <c r="AA59" s="19">
        <v>149.19999999999999</v>
      </c>
      <c r="AB59" s="20">
        <v>0.7</v>
      </c>
      <c r="AC59" s="19">
        <v>250.5</v>
      </c>
      <c r="AD59" s="20">
        <v>0.7</v>
      </c>
      <c r="AE59" s="19">
        <v>235.2</v>
      </c>
      <c r="AF59" s="20">
        <v>0.7</v>
      </c>
      <c r="AG59" s="19">
        <v>375.6</v>
      </c>
      <c r="AH59" s="20">
        <v>0.7</v>
      </c>
      <c r="AI59" s="19">
        <v>410</v>
      </c>
      <c r="AJ59" s="20">
        <v>0.7</v>
      </c>
      <c r="AK59" s="19">
        <v>592.1</v>
      </c>
      <c r="AL59" s="20">
        <v>0.7</v>
      </c>
      <c r="AM59" s="19">
        <v>600</v>
      </c>
      <c r="AN59" s="20">
        <v>0.7</v>
      </c>
      <c r="AO59" s="19">
        <v>626.9</v>
      </c>
      <c r="AP59" s="20">
        <v>0.7</v>
      </c>
      <c r="AQ59" s="19">
        <v>782.4</v>
      </c>
      <c r="AR59" s="20">
        <v>0.7</v>
      </c>
      <c r="AS59" s="19">
        <v>860.3</v>
      </c>
      <c r="AT59" s="20">
        <v>0.7</v>
      </c>
      <c r="AU59" s="19">
        <v>913.5</v>
      </c>
      <c r="AV59" s="20">
        <v>0.7</v>
      </c>
      <c r="AW59" s="19">
        <v>1009</v>
      </c>
      <c r="AX59" s="20">
        <v>0.7</v>
      </c>
      <c r="AY59" s="19">
        <v>1260</v>
      </c>
      <c r="AZ59" s="20">
        <v>0.7</v>
      </c>
      <c r="BA59" s="19">
        <v>1580</v>
      </c>
      <c r="BB59" s="20">
        <v>0.7</v>
      </c>
      <c r="BC59" s="19">
        <v>1833</v>
      </c>
      <c r="BD59" s="20">
        <v>0.7</v>
      </c>
      <c r="BE59" s="19">
        <v>1942</v>
      </c>
      <c r="BF59" s="20">
        <v>0.7</v>
      </c>
      <c r="BG59" s="19">
        <v>2255</v>
      </c>
      <c r="BH59" s="20">
        <v>0.7</v>
      </c>
      <c r="BI59" s="19">
        <v>2385</v>
      </c>
    </row>
    <row r="60" spans="3:61">
      <c r="C60" s="26"/>
      <c r="D60" s="26">
        <v>1.1000000000000001</v>
      </c>
      <c r="E60" s="26">
        <v>4.0179999999999998</v>
      </c>
      <c r="F60" s="28">
        <v>0.4</v>
      </c>
      <c r="H60" s="20">
        <v>0.8</v>
      </c>
      <c r="I60" s="20">
        <v>10.15</v>
      </c>
      <c r="J60" s="20">
        <v>0.8</v>
      </c>
      <c r="K60" s="19">
        <v>21.76</v>
      </c>
      <c r="L60" s="20">
        <v>0.8</v>
      </c>
      <c r="M60" s="19">
        <v>37.65</v>
      </c>
      <c r="N60" s="20">
        <v>0.8</v>
      </c>
      <c r="O60" s="19">
        <v>40.96</v>
      </c>
      <c r="P60" s="20">
        <v>0.8</v>
      </c>
      <c r="Q60" s="19">
        <v>32.93</v>
      </c>
      <c r="R60" s="20">
        <v>0.8</v>
      </c>
      <c r="S60" s="19">
        <v>53.81</v>
      </c>
      <c r="T60" s="20">
        <v>0.8</v>
      </c>
      <c r="U60" s="19">
        <v>94.3</v>
      </c>
      <c r="V60" s="20">
        <v>0.8</v>
      </c>
      <c r="W60" s="19">
        <v>141.9</v>
      </c>
      <c r="X60" s="20">
        <v>0.8</v>
      </c>
      <c r="Y60" s="19">
        <v>151.6</v>
      </c>
      <c r="Z60" s="20">
        <v>0.8</v>
      </c>
      <c r="AA60" s="19">
        <v>142.5</v>
      </c>
      <c r="AB60" s="20">
        <v>0.8</v>
      </c>
      <c r="AC60" s="19">
        <v>244</v>
      </c>
      <c r="AD60" s="20">
        <v>0.8</v>
      </c>
      <c r="AE60" s="19">
        <v>229.3</v>
      </c>
      <c r="AF60" s="20">
        <v>0.8</v>
      </c>
      <c r="AG60" s="19">
        <v>371.2</v>
      </c>
      <c r="AH60" s="20">
        <v>0.8</v>
      </c>
      <c r="AI60" s="19">
        <v>402.4</v>
      </c>
      <c r="AJ60" s="20">
        <v>0.8</v>
      </c>
      <c r="AK60" s="19">
        <v>586.70000000000005</v>
      </c>
      <c r="AL60" s="20">
        <v>0.8</v>
      </c>
      <c r="AM60" s="19">
        <v>592.4</v>
      </c>
      <c r="AN60" s="20">
        <v>0.8</v>
      </c>
      <c r="AO60" s="19">
        <v>622.9</v>
      </c>
      <c r="AP60" s="20">
        <v>0.8</v>
      </c>
      <c r="AQ60" s="19">
        <v>771.6</v>
      </c>
      <c r="AR60" s="20">
        <v>0.8</v>
      </c>
      <c r="AS60" s="19">
        <v>854.5</v>
      </c>
      <c r="AT60" s="20">
        <v>0.8</v>
      </c>
      <c r="AU60" s="19">
        <v>906.2</v>
      </c>
      <c r="AV60" s="20">
        <v>0.8</v>
      </c>
      <c r="AW60" s="19">
        <v>996.4</v>
      </c>
      <c r="AX60" s="20">
        <v>0.8</v>
      </c>
      <c r="AY60" s="19">
        <v>1241</v>
      </c>
      <c r="AZ60" s="20">
        <v>0.8</v>
      </c>
      <c r="BA60" s="19">
        <v>1572</v>
      </c>
      <c r="BB60" s="20">
        <v>0.8</v>
      </c>
      <c r="BC60" s="19">
        <v>1811</v>
      </c>
      <c r="BD60" s="20">
        <v>0.8</v>
      </c>
      <c r="BE60" s="19">
        <v>1925</v>
      </c>
      <c r="BF60" s="20">
        <v>0.8</v>
      </c>
      <c r="BG60" s="19">
        <v>2245</v>
      </c>
      <c r="BH60" s="20">
        <v>0.8</v>
      </c>
      <c r="BI60" s="19">
        <v>2379</v>
      </c>
    </row>
    <row r="61" spans="3:61">
      <c r="C61" s="26"/>
      <c r="D61" s="26">
        <v>1.5</v>
      </c>
      <c r="E61" s="26">
        <v>2.996</v>
      </c>
      <c r="F61" s="28">
        <v>0.2</v>
      </c>
      <c r="H61" s="19">
        <v>0.9</v>
      </c>
      <c r="I61" s="20">
        <v>9.2070000000000007</v>
      </c>
      <c r="J61" s="19">
        <v>0.9</v>
      </c>
      <c r="K61" s="19">
        <v>19.97</v>
      </c>
      <c r="L61" s="19">
        <v>0.9</v>
      </c>
      <c r="M61" s="19">
        <v>35.450000000000003</v>
      </c>
      <c r="N61" s="19">
        <v>0.9</v>
      </c>
      <c r="O61" s="19">
        <v>38.57</v>
      </c>
      <c r="P61" s="19">
        <v>0.9</v>
      </c>
      <c r="Q61" s="19">
        <v>30.69</v>
      </c>
      <c r="R61" s="19">
        <v>0.9</v>
      </c>
      <c r="S61" s="19">
        <v>51.24</v>
      </c>
      <c r="T61" s="19">
        <v>0.9</v>
      </c>
      <c r="U61" s="19">
        <v>92</v>
      </c>
      <c r="V61" s="19">
        <v>0.9</v>
      </c>
      <c r="W61" s="19">
        <v>139</v>
      </c>
      <c r="X61" s="19">
        <v>0.9</v>
      </c>
      <c r="Y61" s="19">
        <v>148.5</v>
      </c>
      <c r="Z61" s="19">
        <v>0.9</v>
      </c>
      <c r="AA61" s="19">
        <v>135.30000000000001</v>
      </c>
      <c r="AB61" s="19">
        <v>0.9</v>
      </c>
      <c r="AC61" s="19">
        <v>238.4</v>
      </c>
      <c r="AD61" s="19">
        <v>0.9</v>
      </c>
      <c r="AE61" s="19">
        <v>223.5</v>
      </c>
      <c r="AF61" s="19">
        <v>0.9</v>
      </c>
      <c r="AG61" s="19">
        <v>367.5</v>
      </c>
      <c r="AH61" s="19">
        <v>0.9</v>
      </c>
      <c r="AI61" s="19">
        <v>395.8</v>
      </c>
      <c r="AJ61" s="19">
        <v>0.9</v>
      </c>
      <c r="AK61" s="19">
        <v>581.79999999999995</v>
      </c>
      <c r="AL61" s="19">
        <v>0.9</v>
      </c>
      <c r="AM61" s="19">
        <v>585.79999999999995</v>
      </c>
      <c r="AN61" s="19">
        <v>0.9</v>
      </c>
      <c r="AO61" s="19">
        <v>617.70000000000005</v>
      </c>
      <c r="AP61" s="19">
        <v>0.9</v>
      </c>
      <c r="AQ61" s="19">
        <v>762.2</v>
      </c>
      <c r="AR61" s="19">
        <v>0.9</v>
      </c>
      <c r="AS61" s="19">
        <v>849.6</v>
      </c>
      <c r="AT61" s="19">
        <v>0.9</v>
      </c>
      <c r="AU61" s="19">
        <v>900.9</v>
      </c>
      <c r="AV61" s="19">
        <v>0.9</v>
      </c>
      <c r="AW61" s="19">
        <v>985.1</v>
      </c>
      <c r="AX61" s="19">
        <v>0.9</v>
      </c>
      <c r="AY61" s="19">
        <v>1224</v>
      </c>
      <c r="AZ61" s="19">
        <v>0.9</v>
      </c>
      <c r="BA61" s="19">
        <v>1566</v>
      </c>
      <c r="BB61" s="19">
        <v>0.9</v>
      </c>
      <c r="BC61" s="19">
        <v>1791</v>
      </c>
      <c r="BD61" s="19">
        <v>0.9</v>
      </c>
      <c r="BE61" s="19">
        <v>1904</v>
      </c>
      <c r="BF61" s="19">
        <v>0.9</v>
      </c>
      <c r="BG61" s="19">
        <v>2235</v>
      </c>
      <c r="BH61" s="19">
        <v>0.9</v>
      </c>
      <c r="BI61" s="19">
        <v>2368</v>
      </c>
    </row>
    <row r="62" spans="3:61">
      <c r="C62" s="26"/>
      <c r="D62" s="26">
        <v>2</v>
      </c>
      <c r="E62" s="26">
        <v>2.2629999999999999</v>
      </c>
      <c r="F62" s="28">
        <v>0.2</v>
      </c>
      <c r="G62">
        <f>'10A61 Liquid 3" ViscosityLINEST'!J13</f>
        <v>4.3986762289217189</v>
      </c>
      <c r="H62" s="20">
        <v>1</v>
      </c>
      <c r="I62" s="20">
        <v>8.4079999999999995</v>
      </c>
      <c r="J62" s="20">
        <v>1</v>
      </c>
      <c r="K62" s="19">
        <v>18.489999999999998</v>
      </c>
      <c r="L62" s="20">
        <v>1</v>
      </c>
      <c r="M62" s="19">
        <v>33.49</v>
      </c>
      <c r="N62" s="20">
        <v>1</v>
      </c>
      <c r="O62" s="19">
        <v>36.549999999999997</v>
      </c>
      <c r="P62" s="20">
        <v>1</v>
      </c>
      <c r="Q62" s="19">
        <v>28.31</v>
      </c>
      <c r="R62" s="20">
        <v>1</v>
      </c>
      <c r="S62" s="19">
        <v>48.83</v>
      </c>
      <c r="T62" s="20">
        <v>1</v>
      </c>
      <c r="U62" s="19">
        <v>89.98</v>
      </c>
      <c r="V62" s="20">
        <v>1</v>
      </c>
      <c r="W62" s="19">
        <v>136.30000000000001</v>
      </c>
      <c r="X62" s="20">
        <v>1</v>
      </c>
      <c r="Y62" s="19">
        <v>145.69999999999999</v>
      </c>
      <c r="Z62" s="20">
        <v>1</v>
      </c>
      <c r="AA62" s="19">
        <v>127.6</v>
      </c>
      <c r="AB62" s="20">
        <v>1</v>
      </c>
      <c r="AC62" s="19">
        <v>232.7</v>
      </c>
      <c r="AD62" s="20">
        <v>1</v>
      </c>
      <c r="AE62" s="19">
        <v>217.9</v>
      </c>
      <c r="AF62" s="20">
        <v>1</v>
      </c>
      <c r="AG62" s="19">
        <v>363.3</v>
      </c>
      <c r="AH62" s="20">
        <v>1</v>
      </c>
      <c r="AI62" s="19">
        <v>390</v>
      </c>
      <c r="AJ62" s="20">
        <v>1</v>
      </c>
      <c r="AK62" s="19">
        <v>576.9</v>
      </c>
      <c r="AL62" s="20">
        <v>1</v>
      </c>
      <c r="AM62" s="19">
        <v>580</v>
      </c>
      <c r="AN62" s="20">
        <v>1</v>
      </c>
      <c r="AO62" s="19">
        <v>613.1</v>
      </c>
      <c r="AP62" s="20">
        <v>1</v>
      </c>
      <c r="AQ62" s="19">
        <v>752.5</v>
      </c>
      <c r="AR62" s="20">
        <v>1</v>
      </c>
      <c r="AS62" s="19">
        <v>844.7</v>
      </c>
      <c r="AT62" s="20">
        <v>1</v>
      </c>
      <c r="AU62" s="19">
        <v>896.3</v>
      </c>
      <c r="AV62" s="20">
        <v>1</v>
      </c>
      <c r="AW62" s="19">
        <v>975.2</v>
      </c>
      <c r="AX62" s="20">
        <v>1</v>
      </c>
      <c r="AY62" s="19">
        <v>1210</v>
      </c>
      <c r="AZ62" s="20">
        <v>1</v>
      </c>
      <c r="BA62" s="19">
        <v>1560</v>
      </c>
      <c r="BB62" s="20">
        <v>1</v>
      </c>
      <c r="BC62" s="19">
        <v>1773</v>
      </c>
      <c r="BD62" s="20">
        <v>1</v>
      </c>
      <c r="BE62" s="19">
        <v>1886</v>
      </c>
      <c r="BF62" s="20">
        <v>1</v>
      </c>
      <c r="BG62" s="19">
        <v>2226</v>
      </c>
      <c r="BH62" s="20">
        <v>1</v>
      </c>
      <c r="BI62" s="19">
        <v>2359</v>
      </c>
    </row>
    <row r="63" spans="3:61">
      <c r="C63" s="5"/>
      <c r="D63" s="5">
        <v>2.5</v>
      </c>
      <c r="E63" s="5">
        <v>1.7809999999999999</v>
      </c>
      <c r="F63" s="4">
        <v>0.2</v>
      </c>
      <c r="H63" s="20">
        <v>1.5</v>
      </c>
      <c r="I63" s="20">
        <v>5.6970000000000001</v>
      </c>
      <c r="J63" s="20">
        <v>1.5</v>
      </c>
      <c r="K63" s="19">
        <v>13.2</v>
      </c>
      <c r="L63" s="20">
        <v>1.5</v>
      </c>
      <c r="M63" s="19">
        <v>24.76</v>
      </c>
      <c r="N63" s="20">
        <v>1.5</v>
      </c>
      <c r="O63" s="19">
        <v>27.43</v>
      </c>
      <c r="P63" s="20">
        <v>1.5</v>
      </c>
      <c r="Q63" s="19">
        <v>19.84</v>
      </c>
      <c r="R63" s="20">
        <v>1.5</v>
      </c>
      <c r="S63" s="19">
        <v>36.89</v>
      </c>
      <c r="T63" s="20">
        <v>1.5</v>
      </c>
      <c r="U63" s="19">
        <v>75.98</v>
      </c>
      <c r="V63" s="20">
        <v>1.5</v>
      </c>
      <c r="W63" s="19">
        <v>123.6</v>
      </c>
      <c r="X63" s="20">
        <v>1.5</v>
      </c>
      <c r="Y63" s="19">
        <v>133.6</v>
      </c>
      <c r="Z63" s="20">
        <v>1.5</v>
      </c>
      <c r="AA63" s="19">
        <v>99.33</v>
      </c>
      <c r="AB63" s="20">
        <v>1.5</v>
      </c>
      <c r="AC63" s="19">
        <v>196.4</v>
      </c>
      <c r="AD63" s="20">
        <v>1.5</v>
      </c>
      <c r="AE63" s="19">
        <v>193.1</v>
      </c>
      <c r="AF63" s="20">
        <v>1.5</v>
      </c>
      <c r="AG63" s="19">
        <v>333.6</v>
      </c>
      <c r="AH63" s="20">
        <v>1.5</v>
      </c>
      <c r="AI63" s="19">
        <v>360</v>
      </c>
      <c r="AJ63" s="20">
        <v>1.5</v>
      </c>
      <c r="AK63" s="19">
        <v>543.1</v>
      </c>
      <c r="AL63" s="20">
        <v>1.5</v>
      </c>
      <c r="AM63" s="19">
        <v>560</v>
      </c>
      <c r="AN63" s="20">
        <v>1.5</v>
      </c>
      <c r="AO63" s="19">
        <v>580.70000000000005</v>
      </c>
      <c r="AP63" s="20">
        <v>1.5</v>
      </c>
      <c r="AQ63" s="19">
        <v>698.1</v>
      </c>
      <c r="AR63" s="20">
        <v>1.5</v>
      </c>
      <c r="AS63" s="19">
        <v>813.2</v>
      </c>
      <c r="AT63" s="20">
        <v>1.5</v>
      </c>
      <c r="AU63" s="19">
        <v>684.1</v>
      </c>
      <c r="AV63" s="20">
        <v>1.5</v>
      </c>
      <c r="AW63" s="19">
        <v>932.8</v>
      </c>
      <c r="AX63" s="20">
        <v>1.5</v>
      </c>
      <c r="AY63" s="19">
        <v>1160</v>
      </c>
      <c r="AZ63" s="20">
        <v>1.5</v>
      </c>
      <c r="BA63" s="19">
        <v>1500</v>
      </c>
      <c r="BB63" s="20">
        <v>1.5</v>
      </c>
      <c r="BC63" s="19">
        <v>1695</v>
      </c>
      <c r="BD63" s="20">
        <v>1.5</v>
      </c>
      <c r="BE63" s="19">
        <v>1803</v>
      </c>
      <c r="BF63" s="20">
        <v>1.5</v>
      </c>
      <c r="BG63" s="19">
        <v>2186</v>
      </c>
      <c r="BH63" s="20">
        <v>1.5</v>
      </c>
      <c r="BI63" s="19">
        <v>2324</v>
      </c>
    </row>
    <row r="64" spans="3:61">
      <c r="C64" s="5"/>
      <c r="D64" s="5">
        <v>2.9</v>
      </c>
      <c r="E64" s="5">
        <v>1.546</v>
      </c>
      <c r="F64" s="4">
        <v>0.15</v>
      </c>
      <c r="H64" s="20">
        <v>2</v>
      </c>
      <c r="I64" s="20">
        <v>4.3360000000000003</v>
      </c>
      <c r="J64" s="20">
        <v>2</v>
      </c>
      <c r="K64" s="19">
        <v>9.9979999999999993</v>
      </c>
      <c r="L64" s="20">
        <v>2</v>
      </c>
      <c r="M64" s="19">
        <v>19.489999999999998</v>
      </c>
      <c r="N64" s="20">
        <v>2</v>
      </c>
      <c r="O64" s="19">
        <v>21.59</v>
      </c>
      <c r="P64" s="20">
        <v>2</v>
      </c>
      <c r="Q64" s="19">
        <v>15.2</v>
      </c>
      <c r="R64" s="20">
        <v>2</v>
      </c>
      <c r="S64" s="19">
        <v>28.7</v>
      </c>
      <c r="T64" s="20">
        <v>2</v>
      </c>
      <c r="U64" s="19">
        <v>63.99</v>
      </c>
      <c r="V64" s="20">
        <v>2</v>
      </c>
      <c r="W64" s="19">
        <v>109.6</v>
      </c>
      <c r="X64" s="20">
        <v>2</v>
      </c>
      <c r="Y64" s="19">
        <v>118.7</v>
      </c>
      <c r="Z64" s="20">
        <v>2</v>
      </c>
      <c r="AA64" s="19">
        <v>79.42</v>
      </c>
      <c r="AB64" s="20">
        <v>2</v>
      </c>
      <c r="AC64" s="19">
        <v>166.7</v>
      </c>
      <c r="AD64" s="20">
        <v>2</v>
      </c>
      <c r="AE64" s="19">
        <v>168.3</v>
      </c>
      <c r="AF64" s="20">
        <v>2</v>
      </c>
      <c r="AG64" s="19">
        <v>310</v>
      </c>
      <c r="AH64" s="20">
        <v>2</v>
      </c>
      <c r="AI64" s="19">
        <v>326</v>
      </c>
      <c r="AJ64" s="20">
        <v>2</v>
      </c>
      <c r="AK64" s="19">
        <v>513.1</v>
      </c>
      <c r="AL64" s="20">
        <v>2</v>
      </c>
      <c r="AM64" s="19">
        <v>530</v>
      </c>
      <c r="AN64" s="20">
        <v>2</v>
      </c>
      <c r="AO64" s="19">
        <v>548.6</v>
      </c>
      <c r="AP64" s="20">
        <v>2</v>
      </c>
      <c r="AQ64" s="19">
        <v>660.2</v>
      </c>
      <c r="AR64" s="20">
        <v>2</v>
      </c>
      <c r="AS64" s="19">
        <v>793.2</v>
      </c>
      <c r="AT64" s="20">
        <v>2</v>
      </c>
      <c r="AU64" s="19">
        <v>842.9</v>
      </c>
      <c r="AV64" s="20">
        <v>2</v>
      </c>
      <c r="AW64" s="19">
        <v>894.8</v>
      </c>
      <c r="AX64" s="20">
        <v>2</v>
      </c>
      <c r="AY64" s="19">
        <v>1100</v>
      </c>
      <c r="AZ64" s="20">
        <v>2</v>
      </c>
      <c r="BA64" s="19">
        <v>1460</v>
      </c>
      <c r="BB64" s="20">
        <v>2</v>
      </c>
      <c r="BC64" s="19">
        <v>1645</v>
      </c>
      <c r="BD64" s="20">
        <v>2</v>
      </c>
      <c r="BE64" s="19">
        <v>1749</v>
      </c>
      <c r="BF64" s="20">
        <v>2</v>
      </c>
      <c r="BG64" s="19">
        <v>2126</v>
      </c>
      <c r="BH64" s="20">
        <v>2</v>
      </c>
      <c r="BI64" s="19">
        <v>2260</v>
      </c>
    </row>
    <row r="65" spans="3:61">
      <c r="C65" s="5"/>
      <c r="D65" s="5">
        <v>3</v>
      </c>
      <c r="E65" s="5">
        <v>1.498</v>
      </c>
      <c r="F65" s="4">
        <v>0.15</v>
      </c>
      <c r="H65" s="20">
        <v>2.5</v>
      </c>
      <c r="I65" s="20">
        <v>3.5209999999999999</v>
      </c>
      <c r="J65" s="20">
        <v>2.5</v>
      </c>
      <c r="K65" s="19">
        <v>8.0860000000000003</v>
      </c>
      <c r="L65" s="20">
        <v>2.5</v>
      </c>
      <c r="M65" s="19">
        <v>15.83</v>
      </c>
      <c r="N65" s="20">
        <v>2.5</v>
      </c>
      <c r="O65" s="19">
        <v>17.670000000000002</v>
      </c>
      <c r="P65" s="20">
        <v>2.5</v>
      </c>
      <c r="Q65" s="19">
        <v>12.41</v>
      </c>
      <c r="R65" s="20">
        <v>2.5</v>
      </c>
      <c r="S65" s="19">
        <v>23.35</v>
      </c>
      <c r="T65" s="20">
        <v>2.5</v>
      </c>
      <c r="U65" s="19">
        <v>52.71</v>
      </c>
      <c r="V65" s="20">
        <v>2.5</v>
      </c>
      <c r="W65" s="19">
        <v>96.92</v>
      </c>
      <c r="X65" s="20">
        <v>2.5</v>
      </c>
      <c r="Y65" s="19">
        <v>106</v>
      </c>
      <c r="Z65" s="20">
        <v>2.5</v>
      </c>
      <c r="AA65" s="19">
        <v>66.62</v>
      </c>
      <c r="AB65" s="20">
        <v>2.5</v>
      </c>
      <c r="AC65" s="19">
        <v>142.30000000000001</v>
      </c>
      <c r="AD65" s="20">
        <v>2.5</v>
      </c>
      <c r="AE65" s="19">
        <v>146</v>
      </c>
      <c r="AF65" s="20">
        <v>2.5</v>
      </c>
      <c r="AG65" s="19">
        <v>284.7</v>
      </c>
      <c r="AH65" s="20">
        <v>2.5</v>
      </c>
      <c r="AI65" s="19">
        <v>287.8</v>
      </c>
      <c r="AJ65" s="20">
        <v>2.5</v>
      </c>
      <c r="AK65" s="19">
        <v>479</v>
      </c>
      <c r="AL65" s="20">
        <v>2.5</v>
      </c>
      <c r="AM65" s="19">
        <v>501.9</v>
      </c>
      <c r="AN65" s="20">
        <v>2.5</v>
      </c>
      <c r="AO65" s="19">
        <v>516.4</v>
      </c>
      <c r="AP65" s="20">
        <v>2.5</v>
      </c>
      <c r="AQ65" s="19">
        <v>619.70000000000005</v>
      </c>
      <c r="AR65" s="20">
        <v>2.5</v>
      </c>
      <c r="AS65" s="19">
        <v>764.5</v>
      </c>
      <c r="AT65" s="20">
        <v>2.5</v>
      </c>
      <c r="AU65" s="19">
        <v>817.1</v>
      </c>
      <c r="AV65" s="20">
        <v>2.5</v>
      </c>
      <c r="AW65" s="19">
        <v>854.3</v>
      </c>
      <c r="AX65" s="20">
        <v>2.5</v>
      </c>
      <c r="AY65" s="19">
        <v>1055</v>
      </c>
      <c r="AZ65" s="20">
        <v>2.5</v>
      </c>
      <c r="BA65" s="19">
        <v>1415</v>
      </c>
      <c r="BB65" s="20">
        <v>2.5</v>
      </c>
      <c r="BC65" s="19">
        <v>1585</v>
      </c>
      <c r="BD65" s="20">
        <v>2.5</v>
      </c>
      <c r="BE65" s="19">
        <v>1694</v>
      </c>
      <c r="BF65" s="20">
        <v>2.5</v>
      </c>
      <c r="BG65" s="19">
        <v>2081</v>
      </c>
      <c r="BH65" s="20">
        <v>2.5</v>
      </c>
      <c r="BI65" s="19">
        <v>2213</v>
      </c>
    </row>
    <row r="66" spans="3:61">
      <c r="C66" s="5"/>
      <c r="D66" s="5">
        <v>3.5</v>
      </c>
      <c r="E66" s="5">
        <v>1.298</v>
      </c>
      <c r="F66" s="4">
        <v>0.15</v>
      </c>
      <c r="H66" s="20">
        <v>3</v>
      </c>
      <c r="I66" s="20">
        <v>2.8929999999999998</v>
      </c>
      <c r="J66" s="20">
        <v>3</v>
      </c>
      <c r="K66" s="19">
        <v>6.7990000000000004</v>
      </c>
      <c r="L66" s="20">
        <v>3</v>
      </c>
      <c r="M66" s="19">
        <v>13.29</v>
      </c>
      <c r="N66" s="20">
        <v>3</v>
      </c>
      <c r="O66" s="19">
        <v>14.82</v>
      </c>
      <c r="P66" s="20">
        <v>3</v>
      </c>
      <c r="Q66" s="19">
        <v>10.5</v>
      </c>
      <c r="R66" s="20">
        <v>3</v>
      </c>
      <c r="S66" s="19">
        <v>19.7</v>
      </c>
      <c r="T66" s="20">
        <v>3</v>
      </c>
      <c r="U66" s="19">
        <v>44.99</v>
      </c>
      <c r="V66" s="20">
        <v>3</v>
      </c>
      <c r="W66" s="19">
        <v>85.47</v>
      </c>
      <c r="X66" s="20">
        <v>3</v>
      </c>
      <c r="Y66" s="19">
        <v>94.88</v>
      </c>
      <c r="Z66" s="20">
        <v>3</v>
      </c>
      <c r="AA66" s="19">
        <v>56.7</v>
      </c>
      <c r="AB66" s="20">
        <v>3</v>
      </c>
      <c r="AC66" s="19">
        <v>122.8</v>
      </c>
      <c r="AD66" s="20">
        <v>3</v>
      </c>
      <c r="AE66" s="19">
        <v>126.6</v>
      </c>
      <c r="AF66" s="20">
        <v>3</v>
      </c>
      <c r="AG66" s="19">
        <v>259.10000000000002</v>
      </c>
      <c r="AH66" s="20">
        <v>3</v>
      </c>
      <c r="AI66" s="19">
        <v>260</v>
      </c>
      <c r="AJ66" s="20">
        <v>3</v>
      </c>
      <c r="AK66" s="19">
        <v>443.9</v>
      </c>
      <c r="AL66" s="20">
        <v>3</v>
      </c>
      <c r="AM66" s="19">
        <v>480</v>
      </c>
      <c r="AN66" s="20">
        <v>3</v>
      </c>
      <c r="AO66" s="19">
        <v>484.3</v>
      </c>
      <c r="AP66" s="20">
        <v>3</v>
      </c>
      <c r="AQ66" s="19">
        <v>587.5</v>
      </c>
      <c r="AR66" s="20">
        <v>3</v>
      </c>
      <c r="AS66" s="19">
        <v>735.8</v>
      </c>
      <c r="AT66" s="20">
        <v>3</v>
      </c>
      <c r="AU66" s="19">
        <v>788.8</v>
      </c>
      <c r="AV66" s="20">
        <v>3</v>
      </c>
      <c r="AW66" s="19">
        <v>826.3</v>
      </c>
      <c r="AX66" s="20">
        <v>3</v>
      </c>
      <c r="AY66" s="19">
        <v>1020</v>
      </c>
      <c r="AZ66" s="20">
        <v>3</v>
      </c>
      <c r="BA66" s="19">
        <v>1380</v>
      </c>
      <c r="BB66" s="20">
        <v>3</v>
      </c>
      <c r="BC66" s="19">
        <v>1533</v>
      </c>
      <c r="BD66" s="20">
        <v>3</v>
      </c>
      <c r="BE66" s="19">
        <v>1638</v>
      </c>
      <c r="BF66" s="20">
        <v>3</v>
      </c>
      <c r="BG66" s="19">
        <v>2040</v>
      </c>
      <c r="BH66" s="20">
        <v>3</v>
      </c>
      <c r="BI66" s="19">
        <v>2175</v>
      </c>
    </row>
    <row r="67" spans="3:61">
      <c r="C67" s="5"/>
      <c r="D67" s="5">
        <v>4</v>
      </c>
      <c r="E67" s="5">
        <v>1.1439999999999999</v>
      </c>
      <c r="F67" s="4">
        <v>0.15</v>
      </c>
      <c r="H67" s="20">
        <v>3.5</v>
      </c>
      <c r="I67" s="20">
        <v>2.4630000000000001</v>
      </c>
      <c r="J67" s="20">
        <v>3.5</v>
      </c>
      <c r="K67" s="19">
        <v>5.8890000000000002</v>
      </c>
      <c r="L67" s="20">
        <v>3.5</v>
      </c>
      <c r="M67" s="19">
        <v>11.47</v>
      </c>
      <c r="N67" s="20">
        <v>3.5</v>
      </c>
      <c r="O67" s="19">
        <v>12.8</v>
      </c>
      <c r="P67" s="20">
        <v>3.5</v>
      </c>
      <c r="Q67" s="19">
        <v>8.9480000000000004</v>
      </c>
      <c r="R67" s="20">
        <v>3.5</v>
      </c>
      <c r="S67" s="19">
        <v>17.170000000000002</v>
      </c>
      <c r="T67" s="20">
        <v>3.5</v>
      </c>
      <c r="U67" s="19">
        <v>39.020000000000003</v>
      </c>
      <c r="V67" s="20">
        <v>3.5</v>
      </c>
      <c r="W67" s="19">
        <v>74.760000000000005</v>
      </c>
      <c r="X67" s="20">
        <v>3.5</v>
      </c>
      <c r="Y67" s="19">
        <v>82.99</v>
      </c>
      <c r="Z67" s="20">
        <v>3.5</v>
      </c>
      <c r="AA67" s="19">
        <v>49.31</v>
      </c>
      <c r="AB67" s="20">
        <v>3.5</v>
      </c>
      <c r="AC67" s="19">
        <v>108.5</v>
      </c>
      <c r="AD67" s="20">
        <v>3.5</v>
      </c>
      <c r="AE67" s="19">
        <v>111.6</v>
      </c>
      <c r="AF67" s="20">
        <v>3.5</v>
      </c>
      <c r="AG67" s="19">
        <v>235.9</v>
      </c>
      <c r="AH67" s="20">
        <v>3.5</v>
      </c>
      <c r="AI67" s="19">
        <v>233.1</v>
      </c>
      <c r="AJ67" s="20">
        <v>3.5</v>
      </c>
      <c r="AK67" s="19">
        <v>407.3</v>
      </c>
      <c r="AL67" s="20">
        <v>3.5</v>
      </c>
      <c r="AM67" s="19">
        <v>452.5</v>
      </c>
      <c r="AN67" s="20">
        <v>3.5</v>
      </c>
      <c r="AO67" s="19">
        <v>444.4</v>
      </c>
      <c r="AP67" s="20">
        <v>3.5</v>
      </c>
      <c r="AQ67" s="19">
        <v>560.29999999999995</v>
      </c>
      <c r="AR67" s="20">
        <v>3.5</v>
      </c>
      <c r="AS67" s="19">
        <v>708.6</v>
      </c>
      <c r="AT67" s="20">
        <v>3.5</v>
      </c>
      <c r="AU67" s="19">
        <v>759.7</v>
      </c>
      <c r="AV67" s="20">
        <v>3.5</v>
      </c>
      <c r="AW67" s="19">
        <v>800.1</v>
      </c>
      <c r="AX67" s="20">
        <v>3.5</v>
      </c>
      <c r="AY67" s="19">
        <v>976.3</v>
      </c>
      <c r="AZ67" s="20">
        <v>3.5</v>
      </c>
      <c r="BA67" s="19">
        <v>1336</v>
      </c>
      <c r="BB67" s="20">
        <v>3.5</v>
      </c>
      <c r="BC67" s="19">
        <v>1489</v>
      </c>
      <c r="BD67" s="20">
        <v>3.5</v>
      </c>
      <c r="BE67" s="19">
        <v>1591</v>
      </c>
      <c r="BF67" s="20">
        <v>3.5</v>
      </c>
      <c r="BG67" s="19">
        <v>1997</v>
      </c>
      <c r="BH67" s="20">
        <v>3.5</v>
      </c>
      <c r="BI67" s="19">
        <v>2128</v>
      </c>
    </row>
    <row r="68" spans="3:61">
      <c r="C68" s="5"/>
      <c r="D68" s="5">
        <v>4.5</v>
      </c>
      <c r="E68" s="5">
        <v>1.022</v>
      </c>
      <c r="F68" s="4">
        <v>0.1</v>
      </c>
      <c r="H68" s="20">
        <v>4</v>
      </c>
      <c r="I68" s="20">
        <v>2.1680000000000001</v>
      </c>
      <c r="J68" s="20">
        <v>4</v>
      </c>
      <c r="K68" s="19">
        <v>5.1989999999999998</v>
      </c>
      <c r="L68" s="20">
        <v>4</v>
      </c>
      <c r="M68" s="19">
        <v>10.11</v>
      </c>
      <c r="N68" s="20">
        <v>4</v>
      </c>
      <c r="O68" s="19">
        <v>11.27</v>
      </c>
      <c r="P68" s="20">
        <v>4</v>
      </c>
      <c r="Q68" s="19">
        <v>7.8339999999999996</v>
      </c>
      <c r="R68" s="20">
        <v>4</v>
      </c>
      <c r="S68" s="19">
        <v>15.27</v>
      </c>
      <c r="T68" s="20">
        <v>4</v>
      </c>
      <c r="U68" s="19">
        <v>34.5</v>
      </c>
      <c r="V68" s="20">
        <v>4</v>
      </c>
      <c r="W68" s="19">
        <v>66.569999999999993</v>
      </c>
      <c r="X68" s="20">
        <v>4</v>
      </c>
      <c r="Y68" s="19">
        <v>73.900000000000006</v>
      </c>
      <c r="Z68" s="20">
        <v>4</v>
      </c>
      <c r="AA68" s="19">
        <v>43.58</v>
      </c>
      <c r="AB68" s="20">
        <v>4</v>
      </c>
      <c r="AC68" s="19">
        <v>97.64</v>
      </c>
      <c r="AD68" s="20">
        <v>4</v>
      </c>
      <c r="AE68" s="19">
        <v>98.54</v>
      </c>
      <c r="AF68" s="20">
        <v>4</v>
      </c>
      <c r="AG68" s="19">
        <v>214.9</v>
      </c>
      <c r="AH68" s="20">
        <v>4</v>
      </c>
      <c r="AI68" s="19">
        <v>212</v>
      </c>
      <c r="AJ68" s="20">
        <v>4</v>
      </c>
      <c r="AK68" s="19">
        <v>378.1</v>
      </c>
      <c r="AL68" s="20">
        <v>4</v>
      </c>
      <c r="AM68" s="19">
        <v>427.7</v>
      </c>
      <c r="AN68" s="20">
        <v>4</v>
      </c>
      <c r="AO68" s="19">
        <v>412.5</v>
      </c>
      <c r="AP68" s="20">
        <v>4</v>
      </c>
      <c r="AQ68" s="19">
        <v>535.79999999999995</v>
      </c>
      <c r="AR68" s="20">
        <v>4</v>
      </c>
      <c r="AS68" s="19">
        <v>685.9</v>
      </c>
      <c r="AT68" s="20">
        <v>4</v>
      </c>
      <c r="AU68" s="19">
        <v>735.3</v>
      </c>
      <c r="AV68" s="20">
        <v>4</v>
      </c>
      <c r="AW68" s="19">
        <v>772.3</v>
      </c>
      <c r="AX68" s="20">
        <v>4</v>
      </c>
      <c r="AY68" s="19">
        <v>940</v>
      </c>
      <c r="AZ68" s="20">
        <v>4</v>
      </c>
      <c r="BA68" s="19">
        <v>1300</v>
      </c>
      <c r="BB68" s="20">
        <v>4</v>
      </c>
      <c r="BC68" s="19">
        <v>1453</v>
      </c>
      <c r="BD68" s="20">
        <v>4</v>
      </c>
      <c r="BE68" s="19">
        <v>1552</v>
      </c>
      <c r="BF68" s="20">
        <v>4</v>
      </c>
      <c r="BG68" s="19">
        <v>1960</v>
      </c>
      <c r="BH68" s="20">
        <v>4</v>
      </c>
      <c r="BI68" s="19">
        <v>2089</v>
      </c>
    </row>
    <row r="69" spans="3:61">
      <c r="C69" s="5"/>
      <c r="D69" s="5">
        <v>4.5999999999999996</v>
      </c>
      <c r="E69" s="5">
        <v>1.0009999999999999</v>
      </c>
      <c r="F69" s="4">
        <v>0.1</v>
      </c>
      <c r="G69">
        <f>'10A61 Liquid 3" ViscosityLINEST'!J14</f>
        <v>4.4436526310771312</v>
      </c>
      <c r="H69" s="20">
        <v>4.5</v>
      </c>
      <c r="I69" s="20">
        <v>1.9430000000000001</v>
      </c>
      <c r="J69" s="20">
        <v>4.5</v>
      </c>
      <c r="K69" s="19">
        <v>4.5570000000000004</v>
      </c>
      <c r="L69" s="20">
        <v>4.5</v>
      </c>
      <c r="M69" s="19">
        <v>9.0449999999999999</v>
      </c>
      <c r="N69" s="20">
        <v>4.5</v>
      </c>
      <c r="O69" s="19">
        <v>10.08</v>
      </c>
      <c r="P69" s="20">
        <v>4.5</v>
      </c>
      <c r="Q69" s="19">
        <v>7.0049999999999999</v>
      </c>
      <c r="R69" s="20">
        <v>4.5</v>
      </c>
      <c r="S69" s="19">
        <v>13.51</v>
      </c>
      <c r="T69" s="20">
        <v>4.5</v>
      </c>
      <c r="U69" s="19">
        <v>30.9</v>
      </c>
      <c r="V69" s="20">
        <v>4.5</v>
      </c>
      <c r="W69" s="19">
        <v>59.89</v>
      </c>
      <c r="X69" s="20">
        <v>4.5</v>
      </c>
      <c r="Y69" s="19">
        <v>66.69</v>
      </c>
      <c r="Z69" s="20">
        <v>4.5</v>
      </c>
      <c r="AA69" s="19">
        <v>39.01</v>
      </c>
      <c r="AB69" s="20">
        <v>4.5</v>
      </c>
      <c r="AC69" s="19">
        <v>87.79</v>
      </c>
      <c r="AD69" s="20">
        <v>4.5</v>
      </c>
      <c r="AE69" s="19">
        <v>88.02</v>
      </c>
      <c r="AF69" s="20">
        <v>4.5</v>
      </c>
      <c r="AG69" s="19">
        <v>195.6</v>
      </c>
      <c r="AH69" s="20">
        <v>4.5</v>
      </c>
      <c r="AI69" s="19">
        <v>192.2</v>
      </c>
      <c r="AJ69" s="20">
        <v>4.5</v>
      </c>
      <c r="AK69" s="19">
        <v>350.7</v>
      </c>
      <c r="AL69" s="20">
        <v>4.5</v>
      </c>
      <c r="AM69" s="19">
        <v>402.8</v>
      </c>
      <c r="AN69" s="20">
        <v>4.5</v>
      </c>
      <c r="AO69" s="19">
        <v>385.9</v>
      </c>
      <c r="AP69" s="20">
        <v>4.5</v>
      </c>
      <c r="AQ69" s="19">
        <v>511.2</v>
      </c>
      <c r="AR69" s="20">
        <v>4.5</v>
      </c>
      <c r="AS69" s="19">
        <v>660.7</v>
      </c>
      <c r="AT69" s="20">
        <v>4.5</v>
      </c>
      <c r="AU69" s="19">
        <v>713.8</v>
      </c>
      <c r="AV69" s="20">
        <v>4.5</v>
      </c>
      <c r="AW69" s="19">
        <v>741</v>
      </c>
      <c r="AX69" s="20">
        <v>4.5</v>
      </c>
      <c r="AY69" s="19">
        <v>907.8</v>
      </c>
      <c r="AZ69" s="20">
        <v>4.5</v>
      </c>
      <c r="BA69" s="19">
        <v>1273</v>
      </c>
      <c r="BB69" s="20">
        <v>4.5</v>
      </c>
      <c r="BC69" s="19">
        <v>1413</v>
      </c>
      <c r="BD69" s="20">
        <v>4.5</v>
      </c>
      <c r="BE69" s="19">
        <v>1518</v>
      </c>
      <c r="BF69" s="20">
        <v>4.5</v>
      </c>
      <c r="BG69" s="19">
        <v>1920</v>
      </c>
      <c r="BH69" s="20">
        <v>4.5</v>
      </c>
      <c r="BI69" s="19">
        <v>2054</v>
      </c>
    </row>
    <row r="70" spans="3:61">
      <c r="C70" s="5"/>
      <c r="D70" s="5"/>
      <c r="E70" s="4"/>
      <c r="F70" s="4"/>
      <c r="H70" s="20">
        <v>5</v>
      </c>
      <c r="I70" s="20">
        <v>1.7609999999999999</v>
      </c>
      <c r="J70" s="20">
        <v>5</v>
      </c>
      <c r="K70" s="19">
        <v>4.05</v>
      </c>
      <c r="L70" s="20">
        <v>5</v>
      </c>
      <c r="M70" s="19">
        <v>8.1989999999999998</v>
      </c>
      <c r="N70" s="20">
        <v>5</v>
      </c>
      <c r="O70" s="19">
        <v>9.1340000000000003</v>
      </c>
      <c r="P70" s="20">
        <v>5</v>
      </c>
      <c r="Q70" s="19">
        <v>6.3170000000000002</v>
      </c>
      <c r="R70" s="20">
        <v>5</v>
      </c>
      <c r="S70" s="19">
        <v>12.11</v>
      </c>
      <c r="T70" s="20">
        <v>5</v>
      </c>
      <c r="U70" s="19">
        <v>28</v>
      </c>
      <c r="V70" s="20">
        <v>5</v>
      </c>
      <c r="W70" s="19">
        <v>54.34</v>
      </c>
      <c r="X70" s="20">
        <v>5</v>
      </c>
      <c r="Y70" s="19">
        <v>60.51</v>
      </c>
      <c r="Z70" s="20">
        <v>5</v>
      </c>
      <c r="AA70" s="19">
        <v>35.25</v>
      </c>
      <c r="AB70" s="20">
        <v>5</v>
      </c>
      <c r="AC70" s="19">
        <v>79.819999999999993</v>
      </c>
      <c r="AD70" s="20">
        <v>5</v>
      </c>
      <c r="AE70" s="19">
        <v>79.27</v>
      </c>
      <c r="AF70" s="20">
        <v>5</v>
      </c>
      <c r="AG70" s="19">
        <v>179.8</v>
      </c>
      <c r="AH70" s="20">
        <v>5</v>
      </c>
      <c r="AI70" s="19">
        <v>176</v>
      </c>
      <c r="AJ70" s="20">
        <v>5</v>
      </c>
      <c r="AK70" s="19">
        <v>325.5</v>
      </c>
      <c r="AL70" s="20">
        <v>5</v>
      </c>
      <c r="AM70" s="19">
        <v>380</v>
      </c>
      <c r="AN70" s="20">
        <v>5</v>
      </c>
      <c r="AO70" s="19">
        <v>358.1</v>
      </c>
      <c r="AP70" s="20">
        <v>5</v>
      </c>
      <c r="AQ70" s="19">
        <v>490.2</v>
      </c>
      <c r="AR70" s="20">
        <v>5</v>
      </c>
      <c r="AS70" s="19">
        <v>634.6</v>
      </c>
      <c r="AT70" s="20">
        <v>5</v>
      </c>
      <c r="AU70" s="19">
        <v>685.6</v>
      </c>
      <c r="AV70" s="20">
        <v>5</v>
      </c>
      <c r="AW70" s="19">
        <v>714</v>
      </c>
      <c r="AX70" s="20">
        <v>5</v>
      </c>
      <c r="AY70" s="19">
        <v>880</v>
      </c>
      <c r="AZ70" s="20">
        <v>5</v>
      </c>
      <c r="BA70" s="19">
        <v>1250</v>
      </c>
      <c r="BB70" s="20">
        <v>5</v>
      </c>
      <c r="BC70" s="19">
        <v>1371</v>
      </c>
      <c r="BD70" s="20">
        <v>5</v>
      </c>
      <c r="BE70" s="19">
        <v>1473</v>
      </c>
      <c r="BF70" s="20">
        <v>5</v>
      </c>
      <c r="BG70" s="19">
        <v>1879</v>
      </c>
      <c r="BH70" s="20">
        <v>5</v>
      </c>
      <c r="BI70" s="19">
        <v>2010</v>
      </c>
    </row>
    <row r="71" spans="3:61">
      <c r="C71" s="5"/>
      <c r="D71" s="5"/>
      <c r="E71" s="8"/>
      <c r="F71" s="8"/>
      <c r="I71" s="20"/>
      <c r="J71" s="25"/>
    </row>
    <row r="72" spans="3:61">
      <c r="C72" s="5"/>
      <c r="D72" s="5"/>
      <c r="E72" s="8"/>
      <c r="F72" s="8"/>
      <c r="I72" s="20"/>
      <c r="J72" s="25"/>
    </row>
    <row r="73" spans="3:61">
      <c r="C73" s="26">
        <v>1.2</v>
      </c>
      <c r="D73" s="26">
        <v>0.5</v>
      </c>
      <c r="E73" s="28">
        <v>7.109</v>
      </c>
      <c r="F73" s="28">
        <v>1</v>
      </c>
      <c r="H73" s="20">
        <v>0.5</v>
      </c>
      <c r="I73" s="20">
        <v>13.42</v>
      </c>
      <c r="J73" s="20">
        <v>0.5</v>
      </c>
      <c r="K73" s="19">
        <v>26.44</v>
      </c>
      <c r="L73" s="20">
        <v>0.5</v>
      </c>
      <c r="M73" s="19">
        <v>41.47</v>
      </c>
      <c r="N73" s="20">
        <v>0.5</v>
      </c>
      <c r="O73" s="19">
        <v>44.38</v>
      </c>
      <c r="P73" s="20">
        <v>0.5</v>
      </c>
      <c r="Q73" s="19">
        <v>35.229999999999997</v>
      </c>
      <c r="R73" s="20">
        <v>0.5</v>
      </c>
      <c r="S73" s="19">
        <v>55.3</v>
      </c>
      <c r="T73" s="20">
        <v>0.5</v>
      </c>
      <c r="U73" s="19">
        <v>93.28</v>
      </c>
      <c r="V73" s="20">
        <v>0.5</v>
      </c>
      <c r="W73" s="19">
        <v>136.80000000000001</v>
      </c>
      <c r="X73" s="20">
        <v>0.5</v>
      </c>
      <c r="Y73" s="19">
        <v>145.6</v>
      </c>
      <c r="Z73" s="20">
        <v>0.5</v>
      </c>
      <c r="AA73" s="19">
        <v>135.6</v>
      </c>
      <c r="AB73" s="20">
        <v>0.5</v>
      </c>
      <c r="AC73" s="19">
        <v>234.4</v>
      </c>
      <c r="AD73" s="20">
        <v>0.5</v>
      </c>
      <c r="AE73" s="19">
        <v>205.1</v>
      </c>
      <c r="AF73" s="20">
        <v>0.5</v>
      </c>
      <c r="AG73" s="19">
        <v>343.5</v>
      </c>
      <c r="AH73" s="20">
        <v>0.5</v>
      </c>
      <c r="AI73" s="19">
        <v>378.5</v>
      </c>
      <c r="AJ73" s="20">
        <v>0.5</v>
      </c>
      <c r="AK73" s="19">
        <v>546.4</v>
      </c>
      <c r="AL73" s="20">
        <v>0.5</v>
      </c>
      <c r="AM73" s="19">
        <v>551.9</v>
      </c>
      <c r="AN73" s="20">
        <v>0.5</v>
      </c>
      <c r="AO73" s="19">
        <v>580.4</v>
      </c>
      <c r="AP73" s="20">
        <v>0.5</v>
      </c>
      <c r="AQ73" s="19">
        <v>720.8</v>
      </c>
      <c r="AR73" s="20">
        <v>0.5</v>
      </c>
      <c r="AS73" s="19">
        <v>792.1</v>
      </c>
      <c r="AT73" s="20">
        <v>0.5</v>
      </c>
      <c r="AU73" s="19">
        <v>838.3</v>
      </c>
      <c r="AV73" s="20">
        <v>0.5</v>
      </c>
      <c r="AW73" s="19">
        <v>906.5</v>
      </c>
      <c r="AX73" s="20">
        <v>0.5</v>
      </c>
      <c r="AY73" s="19">
        <v>1173</v>
      </c>
      <c r="AZ73" s="20">
        <v>0.5</v>
      </c>
      <c r="BA73" s="19">
        <v>1440</v>
      </c>
      <c r="BB73" s="20">
        <v>0.5</v>
      </c>
      <c r="BC73" s="19">
        <v>1692</v>
      </c>
      <c r="BD73" s="20">
        <v>0.5</v>
      </c>
      <c r="BE73" s="19">
        <v>1796</v>
      </c>
      <c r="BF73" s="20">
        <v>0.5</v>
      </c>
      <c r="BG73" s="19">
        <v>2044</v>
      </c>
      <c r="BH73" s="20">
        <v>0.5</v>
      </c>
      <c r="BI73" s="19">
        <v>2163</v>
      </c>
    </row>
    <row r="74" spans="3:61">
      <c r="C74" s="26"/>
      <c r="D74" s="26">
        <v>0.6</v>
      </c>
      <c r="E74" s="28">
        <v>6.1079999999999997</v>
      </c>
      <c r="F74" s="28">
        <v>0.8</v>
      </c>
      <c r="H74" s="20">
        <v>0.6</v>
      </c>
      <c r="I74" s="19">
        <v>11.75</v>
      </c>
      <c r="J74" s="20">
        <v>0.6</v>
      </c>
      <c r="K74" s="19">
        <v>24.29</v>
      </c>
      <c r="L74" s="20">
        <v>0.6</v>
      </c>
      <c r="M74" s="19">
        <v>40.020000000000003</v>
      </c>
      <c r="N74" s="20">
        <v>0.6</v>
      </c>
      <c r="O74" s="19">
        <v>42.83</v>
      </c>
      <c r="P74" s="20">
        <v>0.6</v>
      </c>
      <c r="Q74" s="19">
        <v>32.65</v>
      </c>
      <c r="R74" s="20">
        <v>0.6</v>
      </c>
      <c r="S74" s="19">
        <v>53.22</v>
      </c>
      <c r="T74" s="20">
        <v>0.6</v>
      </c>
      <c r="U74" s="19">
        <v>90.93</v>
      </c>
      <c r="V74" s="20">
        <v>0.6</v>
      </c>
      <c r="W74" s="19">
        <v>134.4</v>
      </c>
      <c r="X74" s="20">
        <v>0.6</v>
      </c>
      <c r="Y74" s="19">
        <v>143.1</v>
      </c>
      <c r="Z74" s="20">
        <v>0.6</v>
      </c>
      <c r="AA74" s="19">
        <v>130.80000000000001</v>
      </c>
      <c r="AB74" s="20">
        <v>0.6</v>
      </c>
      <c r="AC74" s="19">
        <v>228.4</v>
      </c>
      <c r="AD74" s="20">
        <v>0.6</v>
      </c>
      <c r="AE74" s="19">
        <v>201.9</v>
      </c>
      <c r="AF74" s="20">
        <v>0.6</v>
      </c>
      <c r="AG74" s="19">
        <v>337.6</v>
      </c>
      <c r="AH74" s="20">
        <v>0.6</v>
      </c>
      <c r="AI74" s="19">
        <v>375.1</v>
      </c>
      <c r="AJ74" s="20">
        <v>0.6</v>
      </c>
      <c r="AK74" s="19">
        <v>539.9</v>
      </c>
      <c r="AL74" s="20">
        <v>0.6</v>
      </c>
      <c r="AM74" s="19">
        <v>546</v>
      </c>
      <c r="AN74" s="20">
        <v>0.6</v>
      </c>
      <c r="AO74" s="19">
        <v>573.5</v>
      </c>
      <c r="AP74" s="20">
        <v>0.6</v>
      </c>
      <c r="AQ74" s="19">
        <v>706.1</v>
      </c>
      <c r="AR74" s="20">
        <v>0.6</v>
      </c>
      <c r="AS74" s="19">
        <v>792.1</v>
      </c>
      <c r="AT74" s="20">
        <v>0.6</v>
      </c>
      <c r="AU74" s="19">
        <v>838.3</v>
      </c>
      <c r="AV74" s="20">
        <v>0.6</v>
      </c>
      <c r="AW74" s="19">
        <v>900.6</v>
      </c>
      <c r="AX74" s="20">
        <v>0.6</v>
      </c>
      <c r="AY74" s="19">
        <v>1158</v>
      </c>
      <c r="AZ74" s="20">
        <v>0.6</v>
      </c>
      <c r="BA74" s="19">
        <v>1434</v>
      </c>
      <c r="BB74" s="20">
        <v>0.6</v>
      </c>
      <c r="BC74" s="19">
        <v>1675</v>
      </c>
      <c r="BD74" s="20">
        <v>0.6</v>
      </c>
      <c r="BE74" s="19">
        <v>1778</v>
      </c>
      <c r="BF74" s="20">
        <v>0.6</v>
      </c>
      <c r="BG74" s="19">
        <v>2044</v>
      </c>
      <c r="BH74" s="20">
        <v>0.6</v>
      </c>
      <c r="BI74" s="19">
        <v>2163</v>
      </c>
    </row>
    <row r="75" spans="3:61">
      <c r="C75" s="26"/>
      <c r="D75" s="26">
        <v>0.8</v>
      </c>
      <c r="E75" s="28">
        <v>4.7389999999999999</v>
      </c>
      <c r="F75" s="28">
        <v>0.6</v>
      </c>
      <c r="H75" s="20">
        <v>0.7</v>
      </c>
      <c r="I75" s="19">
        <v>10.49</v>
      </c>
      <c r="J75" s="20">
        <v>0.7</v>
      </c>
      <c r="K75" s="19">
        <v>22.45</v>
      </c>
      <c r="L75" s="20">
        <v>0.7</v>
      </c>
      <c r="M75" s="19">
        <v>37.770000000000003</v>
      </c>
      <c r="N75" s="20">
        <v>0.7</v>
      </c>
      <c r="O75" s="19">
        <v>40.9</v>
      </c>
      <c r="P75" s="20">
        <v>0.7</v>
      </c>
      <c r="Q75" s="19">
        <v>30.62</v>
      </c>
      <c r="R75" s="20">
        <v>0.7</v>
      </c>
      <c r="S75" s="19">
        <v>51.36</v>
      </c>
      <c r="T75" s="20">
        <v>0.7</v>
      </c>
      <c r="U75" s="19">
        <v>88.47</v>
      </c>
      <c r="V75" s="20">
        <v>0.7</v>
      </c>
      <c r="W75" s="19">
        <v>132.6</v>
      </c>
      <c r="X75" s="20">
        <v>0.7</v>
      </c>
      <c r="Y75" s="19">
        <v>141</v>
      </c>
      <c r="Z75" s="20">
        <v>0.7</v>
      </c>
      <c r="AA75" s="19">
        <v>125.4</v>
      </c>
      <c r="AB75" s="20">
        <v>0.7</v>
      </c>
      <c r="AC75" s="19">
        <v>223.4</v>
      </c>
      <c r="AD75" s="20">
        <v>0.7</v>
      </c>
      <c r="AE75" s="19">
        <v>197.5</v>
      </c>
      <c r="AF75" s="20">
        <v>0.7</v>
      </c>
      <c r="AG75" s="19">
        <v>332.7</v>
      </c>
      <c r="AH75" s="20">
        <v>0.7</v>
      </c>
      <c r="AI75" s="19">
        <v>370.9</v>
      </c>
      <c r="AJ75" s="20">
        <v>0.7</v>
      </c>
      <c r="AK75" s="19">
        <v>537.6</v>
      </c>
      <c r="AL75" s="20">
        <v>0.7</v>
      </c>
      <c r="AM75" s="19">
        <v>541.9</v>
      </c>
      <c r="AN75" s="20">
        <v>0.7</v>
      </c>
      <c r="AO75" s="19">
        <v>569.70000000000005</v>
      </c>
      <c r="AP75" s="20">
        <v>0.7</v>
      </c>
      <c r="AQ75" s="19">
        <v>693.9</v>
      </c>
      <c r="AR75" s="20">
        <v>0.7</v>
      </c>
      <c r="AS75" s="19">
        <v>784.5</v>
      </c>
      <c r="AT75" s="20">
        <v>0.7</v>
      </c>
      <c r="AU75" s="19">
        <v>833.6</v>
      </c>
      <c r="AV75" s="20">
        <v>0.7</v>
      </c>
      <c r="AW75" s="19">
        <v>894.8</v>
      </c>
      <c r="AX75" s="20">
        <v>0.7</v>
      </c>
      <c r="AY75" s="19">
        <v>1142</v>
      </c>
      <c r="AZ75" s="20">
        <v>0.7</v>
      </c>
      <c r="BA75" s="19">
        <v>1426</v>
      </c>
      <c r="BB75" s="20">
        <v>0.7</v>
      </c>
      <c r="BC75" s="19">
        <v>1666</v>
      </c>
      <c r="BD75" s="20">
        <v>0.7</v>
      </c>
      <c r="BE75" s="19">
        <v>1767</v>
      </c>
      <c r="BF75" s="20">
        <v>0.7</v>
      </c>
      <c r="BG75" s="19">
        <v>2044</v>
      </c>
      <c r="BH75" s="20">
        <v>0.7</v>
      </c>
      <c r="BI75" s="19">
        <v>2163</v>
      </c>
    </row>
    <row r="76" spans="3:61">
      <c r="C76" s="26"/>
      <c r="D76" s="26">
        <v>0.9</v>
      </c>
      <c r="E76" s="28">
        <v>4.2300000000000004</v>
      </c>
      <c r="F76" s="28">
        <v>0.4</v>
      </c>
      <c r="H76" s="20">
        <v>0.8</v>
      </c>
      <c r="I76" s="19">
        <v>9.3840000000000003</v>
      </c>
      <c r="J76" s="20">
        <v>0.8</v>
      </c>
      <c r="K76" s="19">
        <v>20.71</v>
      </c>
      <c r="L76" s="20">
        <v>0.8</v>
      </c>
      <c r="M76" s="19">
        <v>35.61</v>
      </c>
      <c r="N76" s="20">
        <v>0.8</v>
      </c>
      <c r="O76" s="19">
        <v>38.74</v>
      </c>
      <c r="P76" s="20">
        <v>0.8</v>
      </c>
      <c r="Q76" s="19">
        <v>28.4</v>
      </c>
      <c r="R76" s="20">
        <v>0.8</v>
      </c>
      <c r="S76" s="19">
        <v>48.58</v>
      </c>
      <c r="T76" s="20">
        <v>0.8</v>
      </c>
      <c r="U76" s="19">
        <v>86.23</v>
      </c>
      <c r="V76" s="20">
        <v>0.8</v>
      </c>
      <c r="W76" s="19">
        <v>130.6</v>
      </c>
      <c r="X76" s="20">
        <v>0.8</v>
      </c>
      <c r="Y76" s="19">
        <v>139.4</v>
      </c>
      <c r="Z76" s="20">
        <v>0.8</v>
      </c>
      <c r="AA76" s="19">
        <v>119.7</v>
      </c>
      <c r="AB76" s="20">
        <v>0.8</v>
      </c>
      <c r="AC76" s="19">
        <v>217.6</v>
      </c>
      <c r="AD76" s="20">
        <v>0.8</v>
      </c>
      <c r="AE76" s="19">
        <v>192.5</v>
      </c>
      <c r="AF76" s="20">
        <v>0.8</v>
      </c>
      <c r="AG76" s="19">
        <v>328.9</v>
      </c>
      <c r="AH76" s="20">
        <v>0.8</v>
      </c>
      <c r="AI76" s="19">
        <v>366</v>
      </c>
      <c r="AJ76" s="20">
        <v>0.8</v>
      </c>
      <c r="AK76" s="19">
        <v>534.9</v>
      </c>
      <c r="AL76" s="20">
        <v>0.8</v>
      </c>
      <c r="AM76" s="19">
        <v>537</v>
      </c>
      <c r="AN76" s="20">
        <v>0.8</v>
      </c>
      <c r="AO76" s="19">
        <v>568</v>
      </c>
      <c r="AP76" s="20">
        <v>0.8</v>
      </c>
      <c r="AQ76" s="19">
        <v>684.4</v>
      </c>
      <c r="AR76" s="20">
        <v>0.8</v>
      </c>
      <c r="AS76" s="19">
        <v>777.7</v>
      </c>
      <c r="AT76" s="20">
        <v>0.8</v>
      </c>
      <c r="AU76" s="19">
        <v>825.6</v>
      </c>
      <c r="AV76" s="20">
        <v>0.8</v>
      </c>
      <c r="AW76" s="19">
        <v>883.3</v>
      </c>
      <c r="AX76" s="20">
        <v>0.8</v>
      </c>
      <c r="AY76" s="19">
        <v>1126</v>
      </c>
      <c r="AZ76" s="20">
        <v>0.8</v>
      </c>
      <c r="BA76" s="19">
        <v>1419</v>
      </c>
      <c r="BB76" s="20">
        <v>0.8</v>
      </c>
      <c r="BC76" s="19">
        <v>1654</v>
      </c>
      <c r="BD76" s="20">
        <v>0.8</v>
      </c>
      <c r="BE76" s="19">
        <v>1759</v>
      </c>
      <c r="BF76" s="20">
        <v>0.8</v>
      </c>
      <c r="BG76" s="19">
        <v>2041</v>
      </c>
      <c r="BH76" s="20">
        <v>0.8</v>
      </c>
      <c r="BI76" s="19">
        <v>2163</v>
      </c>
    </row>
    <row r="77" spans="3:61">
      <c r="C77" s="26"/>
      <c r="D77" s="26">
        <v>1.3</v>
      </c>
      <c r="E77" s="28">
        <v>2.98</v>
      </c>
      <c r="F77" s="28">
        <v>0.2</v>
      </c>
      <c r="H77" s="19">
        <v>0.9</v>
      </c>
      <c r="I77" s="19">
        <v>8.5079999999999991</v>
      </c>
      <c r="J77" s="19">
        <v>0.9</v>
      </c>
      <c r="K77" s="19">
        <v>19</v>
      </c>
      <c r="L77" s="19">
        <v>0.9</v>
      </c>
      <c r="M77" s="19">
        <v>33.54</v>
      </c>
      <c r="N77" s="19">
        <v>0.9</v>
      </c>
      <c r="O77" s="19">
        <v>36.53</v>
      </c>
      <c r="P77" s="19">
        <v>0.9</v>
      </c>
      <c r="Q77" s="19">
        <v>26.47</v>
      </c>
      <c r="R77" s="19">
        <v>0.9</v>
      </c>
      <c r="S77" s="19">
        <v>46.25</v>
      </c>
      <c r="T77" s="19">
        <v>0.9</v>
      </c>
      <c r="U77" s="19">
        <v>84.13</v>
      </c>
      <c r="V77" s="19">
        <v>0.9</v>
      </c>
      <c r="W77" s="19">
        <v>127.9</v>
      </c>
      <c r="X77" s="19">
        <v>0.9</v>
      </c>
      <c r="Y77" s="19">
        <v>136.69999999999999</v>
      </c>
      <c r="Z77" s="19">
        <v>0.9</v>
      </c>
      <c r="AA77" s="19">
        <v>113.8</v>
      </c>
      <c r="AB77" s="19">
        <v>0.9</v>
      </c>
      <c r="AC77" s="19">
        <v>212.6</v>
      </c>
      <c r="AD77" s="19">
        <v>0.9</v>
      </c>
      <c r="AE77" s="19">
        <v>187.7</v>
      </c>
      <c r="AF77" s="19">
        <v>0.9</v>
      </c>
      <c r="AG77" s="19">
        <v>325.60000000000002</v>
      </c>
      <c r="AH77" s="19">
        <v>0.9</v>
      </c>
      <c r="AI77" s="19">
        <v>360</v>
      </c>
      <c r="AJ77" s="19">
        <v>0.9</v>
      </c>
      <c r="AK77" s="19">
        <v>530.5</v>
      </c>
      <c r="AL77" s="19">
        <v>0.9</v>
      </c>
      <c r="AM77" s="19">
        <v>531</v>
      </c>
      <c r="AN77" s="19">
        <v>0.9</v>
      </c>
      <c r="AO77" s="19">
        <v>563.70000000000005</v>
      </c>
      <c r="AP77" s="19">
        <v>0.9</v>
      </c>
      <c r="AQ77" s="19">
        <v>676</v>
      </c>
      <c r="AR77" s="19">
        <v>0.9</v>
      </c>
      <c r="AS77" s="19">
        <v>773.2</v>
      </c>
      <c r="AT77" s="19">
        <v>0.9</v>
      </c>
      <c r="AU77" s="19">
        <v>820.5</v>
      </c>
      <c r="AV77" s="19">
        <v>0.9</v>
      </c>
      <c r="AW77" s="19">
        <v>873.3</v>
      </c>
      <c r="AX77" s="19">
        <v>0.9</v>
      </c>
      <c r="AY77" s="19">
        <v>1111</v>
      </c>
      <c r="AZ77" s="19">
        <v>0.9</v>
      </c>
      <c r="BA77" s="19">
        <v>1413</v>
      </c>
      <c r="BB77" s="19">
        <v>0.9</v>
      </c>
      <c r="BC77" s="19">
        <v>1636</v>
      </c>
      <c r="BD77" s="19">
        <v>0.9</v>
      </c>
      <c r="BE77" s="19">
        <v>1741</v>
      </c>
      <c r="BF77" s="19">
        <v>0.9</v>
      </c>
      <c r="BG77" s="19">
        <v>2032</v>
      </c>
      <c r="BH77" s="19">
        <v>0.9</v>
      </c>
      <c r="BI77" s="19">
        <v>2155</v>
      </c>
    </row>
    <row r="78" spans="3:61">
      <c r="C78" s="26"/>
      <c r="D78" s="26">
        <v>2</v>
      </c>
      <c r="E78" s="28">
        <v>1.974</v>
      </c>
      <c r="F78" s="28">
        <v>0.2</v>
      </c>
      <c r="G78">
        <f>'10A61 Liquid 3" ViscosityLINEST'!J15</f>
        <v>3.8458456872041005</v>
      </c>
      <c r="H78" s="20">
        <v>1</v>
      </c>
      <c r="I78" s="19">
        <v>7.7939999999999996</v>
      </c>
      <c r="J78" s="20">
        <v>1</v>
      </c>
      <c r="K78" s="19">
        <v>17.600000000000001</v>
      </c>
      <c r="L78" s="20">
        <v>1</v>
      </c>
      <c r="M78" s="19">
        <v>31.78</v>
      </c>
      <c r="N78" s="20">
        <v>1</v>
      </c>
      <c r="O78" s="19">
        <v>34.619999999999997</v>
      </c>
      <c r="P78" s="20">
        <v>1</v>
      </c>
      <c r="Q78" s="19">
        <v>24.56</v>
      </c>
      <c r="R78" s="20">
        <v>1</v>
      </c>
      <c r="S78" s="19">
        <v>44.26</v>
      </c>
      <c r="T78" s="20">
        <v>1</v>
      </c>
      <c r="U78" s="19">
        <v>82.29</v>
      </c>
      <c r="V78" s="20">
        <v>1</v>
      </c>
      <c r="W78" s="19">
        <v>125.5</v>
      </c>
      <c r="X78" s="20">
        <v>1</v>
      </c>
      <c r="Y78" s="19">
        <v>134.19999999999999</v>
      </c>
      <c r="Z78" s="20">
        <v>1</v>
      </c>
      <c r="AA78" s="19">
        <v>107.3</v>
      </c>
      <c r="AB78" s="20">
        <v>1</v>
      </c>
      <c r="AC78" s="19">
        <v>208.2</v>
      </c>
      <c r="AD78" s="20">
        <v>1</v>
      </c>
      <c r="AE78" s="19">
        <v>183</v>
      </c>
      <c r="AF78" s="20">
        <v>1</v>
      </c>
      <c r="AG78" s="19">
        <v>322.60000000000002</v>
      </c>
      <c r="AH78" s="20">
        <v>1</v>
      </c>
      <c r="AI78" s="19">
        <v>354.7</v>
      </c>
      <c r="AJ78" s="20">
        <v>1</v>
      </c>
      <c r="AK78" s="19">
        <v>526.5</v>
      </c>
      <c r="AL78" s="20">
        <v>1</v>
      </c>
      <c r="AM78" s="19">
        <v>525.70000000000005</v>
      </c>
      <c r="AN78" s="20">
        <v>1</v>
      </c>
      <c r="AO78" s="19">
        <v>559.4</v>
      </c>
      <c r="AP78" s="20">
        <v>1</v>
      </c>
      <c r="AQ78" s="19">
        <v>668.7</v>
      </c>
      <c r="AR78" s="20">
        <v>1</v>
      </c>
      <c r="AS78" s="19">
        <v>769.2</v>
      </c>
      <c r="AT78" s="20">
        <v>1</v>
      </c>
      <c r="AU78" s="19">
        <v>816.3</v>
      </c>
      <c r="AV78" s="20">
        <v>1</v>
      </c>
      <c r="AW78" s="19">
        <v>864.4</v>
      </c>
      <c r="AX78" s="20">
        <v>1</v>
      </c>
      <c r="AY78" s="19">
        <v>1098</v>
      </c>
      <c r="AZ78" s="20">
        <v>1</v>
      </c>
      <c r="BA78" s="19">
        <v>1407</v>
      </c>
      <c r="BB78" s="20">
        <v>1</v>
      </c>
      <c r="BC78" s="19">
        <v>1620</v>
      </c>
      <c r="BD78" s="20">
        <v>1</v>
      </c>
      <c r="BE78" s="19">
        <v>1724</v>
      </c>
      <c r="BF78" s="20">
        <v>1</v>
      </c>
      <c r="BG78" s="19">
        <v>2024</v>
      </c>
      <c r="BH78" s="20">
        <v>1</v>
      </c>
      <c r="BI78" s="19">
        <v>2146</v>
      </c>
    </row>
    <row r="79" spans="3:61">
      <c r="C79" s="5"/>
      <c r="D79" s="5">
        <v>2.5</v>
      </c>
      <c r="E79" s="4">
        <v>1.5489999999999999</v>
      </c>
      <c r="F79" s="4">
        <v>0.15</v>
      </c>
      <c r="H79" s="20">
        <v>1.5</v>
      </c>
      <c r="I79" s="19">
        <v>5.3</v>
      </c>
      <c r="J79" s="20">
        <v>1.5</v>
      </c>
      <c r="K79" s="19">
        <v>12.66</v>
      </c>
      <c r="L79" s="20">
        <v>1.5</v>
      </c>
      <c r="M79" s="19">
        <v>24.01</v>
      </c>
      <c r="N79" s="20">
        <v>1.5</v>
      </c>
      <c r="O79" s="19">
        <v>26.48</v>
      </c>
      <c r="P79" s="20">
        <v>1.5</v>
      </c>
      <c r="Q79" s="19">
        <v>17.23</v>
      </c>
      <c r="R79" s="20">
        <v>1.5</v>
      </c>
      <c r="S79" s="19">
        <v>34.159999999999997</v>
      </c>
      <c r="T79" s="20">
        <v>1.5</v>
      </c>
      <c r="U79" s="19">
        <v>70.16</v>
      </c>
      <c r="V79" s="20">
        <v>1.5</v>
      </c>
      <c r="W79" s="19">
        <v>115.5</v>
      </c>
      <c r="X79" s="20">
        <v>1.5</v>
      </c>
      <c r="Y79" s="19">
        <v>123.7</v>
      </c>
      <c r="Z79" s="20">
        <v>1.5</v>
      </c>
      <c r="AA79" s="19">
        <v>83.67</v>
      </c>
      <c r="AB79" s="20">
        <v>1.5</v>
      </c>
      <c r="AC79" s="19">
        <v>178.7</v>
      </c>
      <c r="AD79" s="20">
        <v>1.5</v>
      </c>
      <c r="AE79" s="19">
        <v>162.30000000000001</v>
      </c>
      <c r="AF79" s="20">
        <v>1.5</v>
      </c>
      <c r="AG79" s="19">
        <v>298.3</v>
      </c>
      <c r="AH79" s="20">
        <v>1.5</v>
      </c>
      <c r="AI79" s="19">
        <v>328.9</v>
      </c>
      <c r="AJ79" s="20">
        <v>1.5</v>
      </c>
      <c r="AK79" s="19">
        <v>499.8</v>
      </c>
      <c r="AL79" s="20">
        <v>1.5</v>
      </c>
      <c r="AM79" s="19">
        <v>507.2</v>
      </c>
      <c r="AN79" s="20">
        <v>1.5</v>
      </c>
      <c r="AO79" s="19">
        <v>533.1</v>
      </c>
      <c r="AP79" s="20">
        <v>1.5</v>
      </c>
      <c r="AQ79" s="19">
        <v>622</v>
      </c>
      <c r="AR79" s="20">
        <v>1.5</v>
      </c>
      <c r="AS79" s="19">
        <v>742.5</v>
      </c>
      <c r="AT79" s="20">
        <v>1.5</v>
      </c>
      <c r="AU79" s="19">
        <v>790.1</v>
      </c>
      <c r="AV79" s="20">
        <v>1.5</v>
      </c>
      <c r="AW79" s="19">
        <v>828.9</v>
      </c>
      <c r="AX79" s="20">
        <v>1.5</v>
      </c>
      <c r="AY79" s="19">
        <v>1052</v>
      </c>
      <c r="AZ79" s="20">
        <v>1.5</v>
      </c>
      <c r="BA79" s="19">
        <v>1360</v>
      </c>
      <c r="BB79" s="20">
        <v>1.5</v>
      </c>
      <c r="BC79" s="19">
        <v>1550</v>
      </c>
      <c r="BD79" s="20">
        <v>1.5</v>
      </c>
      <c r="BE79" s="19">
        <v>1651</v>
      </c>
      <c r="BF79" s="20">
        <v>1.5</v>
      </c>
      <c r="BG79" s="19">
        <v>1995</v>
      </c>
      <c r="BH79" s="20">
        <v>1.5</v>
      </c>
      <c r="BI79" s="19">
        <v>2115</v>
      </c>
    </row>
    <row r="80" spans="3:61">
      <c r="C80" s="5"/>
      <c r="D80" s="5">
        <v>3</v>
      </c>
      <c r="E80" s="4">
        <v>1.302</v>
      </c>
      <c r="F80" s="4">
        <v>0.15</v>
      </c>
      <c r="H80" s="20">
        <v>2</v>
      </c>
      <c r="I80" s="19">
        <v>4.032</v>
      </c>
      <c r="J80" s="20">
        <v>2</v>
      </c>
      <c r="K80" s="19">
        <v>9.6869999999999994</v>
      </c>
      <c r="L80" s="20">
        <v>2</v>
      </c>
      <c r="M80" s="19">
        <v>18.940000000000001</v>
      </c>
      <c r="N80" s="20">
        <v>2</v>
      </c>
      <c r="O80" s="19">
        <v>21.01</v>
      </c>
      <c r="P80" s="20">
        <v>2</v>
      </c>
      <c r="Q80" s="19">
        <v>13.2</v>
      </c>
      <c r="R80" s="20">
        <v>2</v>
      </c>
      <c r="S80" s="19">
        <v>26.61</v>
      </c>
      <c r="T80" s="20">
        <v>2</v>
      </c>
      <c r="U80" s="19">
        <v>60.28</v>
      </c>
      <c r="V80" s="20">
        <v>2</v>
      </c>
      <c r="W80" s="19">
        <v>102.9</v>
      </c>
      <c r="X80" s="20">
        <v>2</v>
      </c>
      <c r="Y80" s="19">
        <v>111.5</v>
      </c>
      <c r="Z80" s="20">
        <v>2</v>
      </c>
      <c r="AA80" s="19">
        <v>66.95</v>
      </c>
      <c r="AB80" s="20">
        <v>2</v>
      </c>
      <c r="AC80" s="19">
        <v>152.19999999999999</v>
      </c>
      <c r="AD80" s="20">
        <v>2</v>
      </c>
      <c r="AE80" s="19">
        <v>141.69999999999999</v>
      </c>
      <c r="AF80" s="20">
        <v>2</v>
      </c>
      <c r="AG80" s="19">
        <v>278</v>
      </c>
      <c r="AH80" s="20">
        <v>2</v>
      </c>
      <c r="AI80" s="19">
        <v>301.2</v>
      </c>
      <c r="AJ80" s="20">
        <v>2</v>
      </c>
      <c r="AK80" s="19">
        <v>472.8</v>
      </c>
      <c r="AL80" s="20">
        <v>2</v>
      </c>
      <c r="AM80" s="19">
        <v>483.9</v>
      </c>
      <c r="AN80" s="20">
        <v>2</v>
      </c>
      <c r="AO80" s="19">
        <v>506</v>
      </c>
      <c r="AP80" s="20">
        <v>2</v>
      </c>
      <c r="AQ80" s="19">
        <v>589.6</v>
      </c>
      <c r="AR80" s="20">
        <v>2</v>
      </c>
      <c r="AS80" s="19">
        <v>724.1</v>
      </c>
      <c r="AT80" s="20">
        <v>2</v>
      </c>
      <c r="AU80" s="19">
        <v>770.1</v>
      </c>
      <c r="AV80" s="20">
        <v>2</v>
      </c>
      <c r="AW80" s="19">
        <v>796.4</v>
      </c>
      <c r="AX80" s="20">
        <v>2</v>
      </c>
      <c r="AY80" s="19">
        <v>1004</v>
      </c>
      <c r="AZ80" s="20">
        <v>2</v>
      </c>
      <c r="BA80" s="19">
        <v>1323</v>
      </c>
      <c r="BB80" s="20">
        <v>2</v>
      </c>
      <c r="BC80" s="19">
        <v>1504</v>
      </c>
      <c r="BD80" s="20">
        <v>2</v>
      </c>
      <c r="BE80" s="19">
        <v>1601</v>
      </c>
      <c r="BF80" s="20">
        <v>2</v>
      </c>
      <c r="BG80" s="19">
        <v>1942</v>
      </c>
      <c r="BH80" s="20">
        <v>2</v>
      </c>
      <c r="BI80" s="19">
        <v>2067</v>
      </c>
    </row>
    <row r="81" spans="3:61">
      <c r="C81" s="5"/>
      <c r="D81" s="5">
        <v>3.5</v>
      </c>
      <c r="E81" s="4">
        <v>1.127</v>
      </c>
      <c r="F81" s="4">
        <v>0.15</v>
      </c>
      <c r="H81" s="20">
        <v>2.5</v>
      </c>
      <c r="I81" s="19">
        <v>3.2719999999999998</v>
      </c>
      <c r="J81" s="20">
        <v>2.5</v>
      </c>
      <c r="K81" s="19">
        <v>7.8259999999999996</v>
      </c>
      <c r="L81" s="20">
        <v>2.5</v>
      </c>
      <c r="M81" s="19">
        <v>15.56</v>
      </c>
      <c r="N81" s="20">
        <v>2.5</v>
      </c>
      <c r="O81" s="19">
        <v>17.39</v>
      </c>
      <c r="P81" s="20">
        <v>2.5</v>
      </c>
      <c r="Q81" s="19">
        <v>10.76</v>
      </c>
      <c r="R81" s="20">
        <v>2.5</v>
      </c>
      <c r="S81" s="19">
        <v>21.69</v>
      </c>
      <c r="T81" s="20">
        <v>2.5</v>
      </c>
      <c r="U81" s="19">
        <v>50.7</v>
      </c>
      <c r="V81" s="20">
        <v>2.5</v>
      </c>
      <c r="W81" s="19">
        <v>92.36</v>
      </c>
      <c r="X81" s="20">
        <v>2.5</v>
      </c>
      <c r="Y81" s="19">
        <v>101.1</v>
      </c>
      <c r="Z81" s="20">
        <v>2.5</v>
      </c>
      <c r="AA81" s="19">
        <v>56.14</v>
      </c>
      <c r="AB81" s="20">
        <v>2.5</v>
      </c>
      <c r="AC81" s="19">
        <v>130.6</v>
      </c>
      <c r="AD81" s="20">
        <v>2.5</v>
      </c>
      <c r="AE81" s="19">
        <v>122.9</v>
      </c>
      <c r="AF81" s="20">
        <v>2.5</v>
      </c>
      <c r="AG81" s="19">
        <v>256.5</v>
      </c>
      <c r="AH81" s="20">
        <v>2.5</v>
      </c>
      <c r="AI81" s="19">
        <v>270.3</v>
      </c>
      <c r="AJ81" s="20">
        <v>2.5</v>
      </c>
      <c r="AK81" s="19">
        <v>446.9</v>
      </c>
      <c r="AL81" s="20">
        <v>2.5</v>
      </c>
      <c r="AM81" s="19">
        <v>460.1</v>
      </c>
      <c r="AN81" s="20">
        <v>2.5</v>
      </c>
      <c r="AO81" s="19">
        <v>482.3</v>
      </c>
      <c r="AP81" s="20">
        <v>2.5</v>
      </c>
      <c r="AQ81" s="19">
        <v>555.20000000000005</v>
      </c>
      <c r="AR81" s="20">
        <v>2.5</v>
      </c>
      <c r="AS81" s="19">
        <v>704.1</v>
      </c>
      <c r="AT81" s="20">
        <v>2.5</v>
      </c>
      <c r="AU81" s="19">
        <v>753.3</v>
      </c>
      <c r="AV81" s="20">
        <v>2.5</v>
      </c>
      <c r="AW81" s="19">
        <v>762.1</v>
      </c>
      <c r="AX81" s="20">
        <v>2.5</v>
      </c>
      <c r="AY81" s="19">
        <v>963.1</v>
      </c>
      <c r="AZ81" s="20">
        <v>2.5</v>
      </c>
      <c r="BA81" s="19">
        <v>1287</v>
      </c>
      <c r="BB81" s="20">
        <v>2.5</v>
      </c>
      <c r="BC81" s="19">
        <v>1459</v>
      </c>
      <c r="BD81" s="20">
        <v>2.5</v>
      </c>
      <c r="BE81" s="19">
        <v>1561</v>
      </c>
      <c r="BF81" s="20">
        <v>2.5</v>
      </c>
      <c r="BG81" s="19">
        <v>1901</v>
      </c>
      <c r="BH81" s="20">
        <v>2.5</v>
      </c>
      <c r="BI81" s="19">
        <v>2023</v>
      </c>
    </row>
    <row r="82" spans="3:61">
      <c r="C82" s="5"/>
      <c r="D82" s="5">
        <v>3.9</v>
      </c>
      <c r="E82" s="4">
        <v>1.0189999999999999</v>
      </c>
      <c r="F82" s="4">
        <v>0.1</v>
      </c>
      <c r="H82" s="20">
        <v>3</v>
      </c>
      <c r="I82" s="19">
        <v>2.7170000000000001</v>
      </c>
      <c r="J82" s="20">
        <v>3</v>
      </c>
      <c r="K82" s="19">
        <v>6.58</v>
      </c>
      <c r="L82" s="20">
        <v>3</v>
      </c>
      <c r="M82" s="19">
        <v>13.05</v>
      </c>
      <c r="N82" s="20">
        <v>3</v>
      </c>
      <c r="O82" s="19">
        <v>14.58</v>
      </c>
      <c r="P82" s="20">
        <v>3</v>
      </c>
      <c r="Q82" s="19">
        <v>9.1449999999999996</v>
      </c>
      <c r="R82" s="20">
        <v>3</v>
      </c>
      <c r="S82" s="19">
        <v>18.309999999999999</v>
      </c>
      <c r="T82" s="20">
        <v>3</v>
      </c>
      <c r="U82" s="19">
        <v>43.27</v>
      </c>
      <c r="V82" s="20">
        <v>3</v>
      </c>
      <c r="W82" s="19">
        <v>82.83</v>
      </c>
      <c r="X82" s="20">
        <v>3</v>
      </c>
      <c r="Y82" s="19">
        <v>90.68</v>
      </c>
      <c r="Z82" s="20">
        <v>3</v>
      </c>
      <c r="AA82" s="19">
        <v>47.87</v>
      </c>
      <c r="AB82" s="20">
        <v>3</v>
      </c>
      <c r="AC82" s="19">
        <v>113.5</v>
      </c>
      <c r="AD82" s="20">
        <v>3</v>
      </c>
      <c r="AE82" s="19">
        <v>106.7</v>
      </c>
      <c r="AF82" s="20">
        <v>3</v>
      </c>
      <c r="AG82" s="19">
        <v>235.7</v>
      </c>
      <c r="AH82" s="20">
        <v>3</v>
      </c>
      <c r="AI82" s="19">
        <v>244.2</v>
      </c>
      <c r="AJ82" s="20">
        <v>3</v>
      </c>
      <c r="AK82" s="19">
        <v>419.6</v>
      </c>
      <c r="AL82" s="20">
        <v>3</v>
      </c>
      <c r="AM82" s="19">
        <v>440.1</v>
      </c>
      <c r="AN82" s="20">
        <v>3</v>
      </c>
      <c r="AO82" s="19">
        <v>452.9</v>
      </c>
      <c r="AP82" s="20">
        <v>3</v>
      </c>
      <c r="AQ82" s="19">
        <v>526.70000000000005</v>
      </c>
      <c r="AR82" s="20">
        <v>3</v>
      </c>
      <c r="AS82" s="19">
        <v>679.9</v>
      </c>
      <c r="AT82" s="20">
        <v>3</v>
      </c>
      <c r="AU82" s="19">
        <v>727.4</v>
      </c>
      <c r="AV82" s="20">
        <v>3</v>
      </c>
      <c r="AW82" s="19">
        <v>735.8</v>
      </c>
      <c r="AX82" s="20">
        <v>3</v>
      </c>
      <c r="AY82" s="19">
        <v>930.9</v>
      </c>
      <c r="AZ82" s="20">
        <v>3</v>
      </c>
      <c r="BA82" s="19">
        <v>1255</v>
      </c>
      <c r="BB82" s="20">
        <v>3</v>
      </c>
      <c r="BC82" s="19">
        <v>1411</v>
      </c>
      <c r="BD82" s="20">
        <v>3</v>
      </c>
      <c r="BE82" s="19">
        <v>1509</v>
      </c>
      <c r="BF82" s="20">
        <v>3</v>
      </c>
      <c r="BG82" s="19">
        <v>1869</v>
      </c>
      <c r="BH82" s="20">
        <v>3</v>
      </c>
      <c r="BI82" s="19">
        <v>1989</v>
      </c>
    </row>
    <row r="83" spans="3:61">
      <c r="C83" s="5"/>
      <c r="D83" s="5">
        <v>4.5</v>
      </c>
      <c r="E83" s="4">
        <v>0.88829999999999998</v>
      </c>
      <c r="F83" s="4">
        <v>0.1</v>
      </c>
      <c r="H83" s="20">
        <v>3.5</v>
      </c>
      <c r="I83" s="19">
        <v>2.2919999999999998</v>
      </c>
      <c r="J83" s="20">
        <v>3.5</v>
      </c>
      <c r="K83" s="19">
        <v>5.6909999999999998</v>
      </c>
      <c r="L83" s="20">
        <v>3.5</v>
      </c>
      <c r="M83" s="19">
        <v>11.26</v>
      </c>
      <c r="N83" s="20">
        <v>3.5</v>
      </c>
      <c r="O83" s="19">
        <v>12.58</v>
      </c>
      <c r="P83" s="20">
        <v>3.5</v>
      </c>
      <c r="Q83" s="19">
        <v>7.7919999999999998</v>
      </c>
      <c r="R83" s="20">
        <v>3.5</v>
      </c>
      <c r="S83" s="19">
        <v>15.88</v>
      </c>
      <c r="T83" s="20">
        <v>3.5</v>
      </c>
      <c r="U83" s="19">
        <v>37.69</v>
      </c>
      <c r="V83" s="20">
        <v>3.5</v>
      </c>
      <c r="W83" s="19">
        <v>72.88</v>
      </c>
      <c r="X83" s="20">
        <v>3.5</v>
      </c>
      <c r="Y83" s="19">
        <v>81.02</v>
      </c>
      <c r="Z83" s="20">
        <v>3.5</v>
      </c>
      <c r="AA83" s="19">
        <v>41.59</v>
      </c>
      <c r="AB83" s="20">
        <v>3.5</v>
      </c>
      <c r="AC83" s="19">
        <v>99.92</v>
      </c>
      <c r="AD83" s="20">
        <v>3.5</v>
      </c>
      <c r="AE83" s="19">
        <v>94.09</v>
      </c>
      <c r="AF83" s="20">
        <v>3.5</v>
      </c>
      <c r="AG83" s="19">
        <v>216.1</v>
      </c>
      <c r="AH83" s="20">
        <v>3.5</v>
      </c>
      <c r="AI83" s="19">
        <v>221.4</v>
      </c>
      <c r="AJ83" s="20">
        <v>3.5</v>
      </c>
      <c r="AK83" s="19">
        <v>386.9</v>
      </c>
      <c r="AL83" s="20">
        <v>3.5</v>
      </c>
      <c r="AM83" s="19">
        <v>419.3</v>
      </c>
      <c r="AN83" s="20">
        <v>3.5</v>
      </c>
      <c r="AO83" s="19">
        <v>422.6</v>
      </c>
      <c r="AP83" s="20">
        <v>3.5</v>
      </c>
      <c r="AQ83" s="19">
        <v>503</v>
      </c>
      <c r="AR83" s="20">
        <v>3.5</v>
      </c>
      <c r="AS83" s="19">
        <v>655.6</v>
      </c>
      <c r="AT83" s="20">
        <v>3.5</v>
      </c>
      <c r="AU83" s="19">
        <v>703.4</v>
      </c>
      <c r="AV83" s="20">
        <v>3.5</v>
      </c>
      <c r="AW83" s="19">
        <v>715.3</v>
      </c>
      <c r="AX83" s="20">
        <v>3.5</v>
      </c>
      <c r="AY83" s="19">
        <v>897.8</v>
      </c>
      <c r="AZ83" s="20">
        <v>3.5</v>
      </c>
      <c r="BA83" s="19">
        <v>1222</v>
      </c>
      <c r="BB83" s="20">
        <v>3.5</v>
      </c>
      <c r="BC83" s="19">
        <v>1371</v>
      </c>
      <c r="BD83" s="20">
        <v>3.5</v>
      </c>
      <c r="BE83" s="19">
        <v>1466</v>
      </c>
      <c r="BF83" s="20">
        <v>3.5</v>
      </c>
      <c r="BG83" s="19">
        <v>1831</v>
      </c>
      <c r="BH83" s="20">
        <v>3.5</v>
      </c>
      <c r="BI83" s="19">
        <v>1953</v>
      </c>
    </row>
    <row r="84" spans="3:61">
      <c r="C84" s="5"/>
      <c r="D84" s="5">
        <v>4.7</v>
      </c>
      <c r="E84" s="4">
        <v>0.85209999999999997</v>
      </c>
      <c r="F84" s="4">
        <v>0.1</v>
      </c>
      <c r="G84">
        <f>'10A61 Liquid 3" ViscosityLINEST'!J16</f>
        <v>3.8518435800075874</v>
      </c>
      <c r="H84" s="20">
        <v>4</v>
      </c>
      <c r="I84" s="19">
        <v>2.0169999999999999</v>
      </c>
      <c r="J84" s="20">
        <v>4</v>
      </c>
      <c r="K84" s="19">
        <v>5.0250000000000004</v>
      </c>
      <c r="L84" s="20">
        <v>4</v>
      </c>
      <c r="M84" s="19">
        <v>9.92</v>
      </c>
      <c r="N84" s="20">
        <v>4</v>
      </c>
      <c r="O84" s="19">
        <v>11.08</v>
      </c>
      <c r="P84" s="20">
        <v>4</v>
      </c>
      <c r="Q84" s="19">
        <v>6.81</v>
      </c>
      <c r="R84" s="20">
        <v>4</v>
      </c>
      <c r="S84" s="19">
        <v>14.18</v>
      </c>
      <c r="T84" s="20">
        <v>4</v>
      </c>
      <c r="U84" s="19">
        <v>33.32</v>
      </c>
      <c r="V84" s="20">
        <v>4</v>
      </c>
      <c r="W84" s="19">
        <v>64.900000000000006</v>
      </c>
      <c r="X84" s="20">
        <v>4</v>
      </c>
      <c r="Y84" s="19">
        <v>72.150000000000006</v>
      </c>
      <c r="Z84" s="20">
        <v>4</v>
      </c>
      <c r="AA84" s="19">
        <v>36.76</v>
      </c>
      <c r="AB84" s="20">
        <v>4</v>
      </c>
      <c r="AC84" s="19">
        <v>90.18</v>
      </c>
      <c r="AD84" s="20">
        <v>4</v>
      </c>
      <c r="AE84" s="19">
        <v>83.11</v>
      </c>
      <c r="AF84" s="20">
        <v>4</v>
      </c>
      <c r="AG84" s="19">
        <v>197.4</v>
      </c>
      <c r="AH84" s="20">
        <v>4</v>
      </c>
      <c r="AI84" s="19">
        <v>201.4</v>
      </c>
      <c r="AJ84" s="20">
        <v>4</v>
      </c>
      <c r="AK84" s="19">
        <v>359.1</v>
      </c>
      <c r="AL84" s="20">
        <v>4</v>
      </c>
      <c r="AM84" s="19">
        <v>398.4</v>
      </c>
      <c r="AN84" s="20">
        <v>4</v>
      </c>
      <c r="AO84" s="19">
        <v>392.2</v>
      </c>
      <c r="AP84" s="20">
        <v>4</v>
      </c>
      <c r="AQ84" s="19">
        <v>481.9</v>
      </c>
      <c r="AR84" s="20">
        <v>4</v>
      </c>
      <c r="AS84" s="19">
        <v>634.5</v>
      </c>
      <c r="AT84" s="20">
        <v>4</v>
      </c>
      <c r="AU84" s="19">
        <v>680.9</v>
      </c>
      <c r="AV84" s="20">
        <v>4</v>
      </c>
      <c r="AW84" s="19">
        <v>692.2</v>
      </c>
      <c r="AX84" s="20">
        <v>4</v>
      </c>
      <c r="AY84" s="19">
        <v>864.4</v>
      </c>
      <c r="AZ84" s="20">
        <v>4</v>
      </c>
      <c r="BA84" s="19">
        <v>1188</v>
      </c>
      <c r="BB84" s="20">
        <v>4</v>
      </c>
      <c r="BC84" s="19">
        <v>1337</v>
      </c>
      <c r="BD84" s="20">
        <v>4</v>
      </c>
      <c r="BE84" s="19">
        <v>1430</v>
      </c>
      <c r="BF84" s="20">
        <v>4</v>
      </c>
      <c r="BG84" s="19">
        <v>1798</v>
      </c>
      <c r="BH84" s="20">
        <v>4</v>
      </c>
      <c r="BI84" s="19">
        <v>1917</v>
      </c>
    </row>
    <row r="85" spans="3:61">
      <c r="C85" s="5"/>
      <c r="D85" s="5"/>
      <c r="E85" s="4"/>
      <c r="F85" s="4"/>
      <c r="H85" s="20">
        <v>4.5</v>
      </c>
      <c r="I85" s="19">
        <v>1.8049999999999999</v>
      </c>
      <c r="J85" s="20">
        <v>4.5</v>
      </c>
      <c r="K85" s="19">
        <v>4.468</v>
      </c>
      <c r="L85" s="20">
        <v>4.5</v>
      </c>
      <c r="M85" s="19">
        <v>8.8689999999999998</v>
      </c>
      <c r="N85" s="20">
        <v>4.5</v>
      </c>
      <c r="O85" s="19">
        <v>9.9060000000000006</v>
      </c>
      <c r="P85" s="20">
        <v>4.5</v>
      </c>
      <c r="Q85" s="19">
        <v>6.0890000000000004</v>
      </c>
      <c r="R85" s="20">
        <v>4.5</v>
      </c>
      <c r="S85" s="19">
        <v>12.63</v>
      </c>
      <c r="T85" s="20">
        <v>4.5</v>
      </c>
      <c r="U85" s="19">
        <v>29.87</v>
      </c>
      <c r="V85" s="20">
        <v>4.5</v>
      </c>
      <c r="W85" s="19">
        <v>58.59</v>
      </c>
      <c r="X85" s="20">
        <v>4.5</v>
      </c>
      <c r="Y85" s="19">
        <v>65.13</v>
      </c>
      <c r="Z85" s="20">
        <v>4.5</v>
      </c>
      <c r="AA85" s="19">
        <v>32.909999999999997</v>
      </c>
      <c r="AB85" s="20">
        <v>4.5</v>
      </c>
      <c r="AC85" s="19">
        <v>81.45</v>
      </c>
      <c r="AD85" s="20">
        <v>4.5</v>
      </c>
      <c r="AE85" s="19">
        <v>74.28</v>
      </c>
      <c r="AF85" s="20">
        <v>4.5</v>
      </c>
      <c r="AG85" s="19">
        <v>180.4</v>
      </c>
      <c r="AH85" s="20">
        <v>4.5</v>
      </c>
      <c r="AI85" s="19">
        <v>184.3</v>
      </c>
      <c r="AJ85" s="20">
        <v>4.5</v>
      </c>
      <c r="AK85" s="19">
        <v>336.2</v>
      </c>
      <c r="AL85" s="20">
        <v>4.5</v>
      </c>
      <c r="AM85" s="19">
        <v>378.2</v>
      </c>
      <c r="AN85" s="20">
        <v>4.5</v>
      </c>
      <c r="AO85" s="19">
        <v>367.3</v>
      </c>
      <c r="AP85" s="20">
        <v>4.5</v>
      </c>
      <c r="AQ85" s="19">
        <v>461</v>
      </c>
      <c r="AR85" s="20">
        <v>4.5</v>
      </c>
      <c r="AS85" s="19">
        <v>616.6</v>
      </c>
      <c r="AT85" s="20">
        <v>4.5</v>
      </c>
      <c r="AU85" s="19">
        <v>661.5</v>
      </c>
      <c r="AV85" s="20">
        <v>4.5</v>
      </c>
      <c r="AW85" s="19">
        <v>666.4</v>
      </c>
      <c r="AX85" s="20">
        <v>4.5</v>
      </c>
      <c r="AY85" s="19">
        <v>835.6</v>
      </c>
      <c r="AZ85" s="20">
        <v>4.5</v>
      </c>
      <c r="BA85" s="19">
        <v>1161</v>
      </c>
      <c r="BB85" s="20">
        <v>4.5</v>
      </c>
      <c r="BC85" s="19">
        <v>1308</v>
      </c>
      <c r="BD85" s="20">
        <v>4.5</v>
      </c>
      <c r="BE85" s="19">
        <v>1399</v>
      </c>
      <c r="BF85" s="20">
        <v>4.5</v>
      </c>
      <c r="BG85" s="19">
        <v>1768</v>
      </c>
      <c r="BH85" s="20">
        <v>4.5</v>
      </c>
      <c r="BI85" s="19">
        <v>1886</v>
      </c>
    </row>
    <row r="86" spans="3:61">
      <c r="C86" s="5"/>
      <c r="D86" s="5"/>
      <c r="E86" s="8"/>
      <c r="F86" s="8"/>
      <c r="H86" s="20">
        <v>5</v>
      </c>
      <c r="I86" s="19">
        <v>1.6359999999999999</v>
      </c>
      <c r="J86" s="20">
        <v>5</v>
      </c>
      <c r="K86" s="19">
        <v>3.9710000000000001</v>
      </c>
      <c r="L86" s="20">
        <v>5</v>
      </c>
      <c r="M86" s="19">
        <v>8.0359999999999996</v>
      </c>
      <c r="N86" s="20">
        <v>5</v>
      </c>
      <c r="O86" s="19">
        <v>8.9659999999999993</v>
      </c>
      <c r="P86" s="20">
        <v>5</v>
      </c>
      <c r="Q86" s="19">
        <v>5.4969999999999999</v>
      </c>
      <c r="R86" s="20">
        <v>5</v>
      </c>
      <c r="S86" s="19">
        <v>11.32</v>
      </c>
      <c r="T86" s="20">
        <v>5</v>
      </c>
      <c r="U86" s="19">
        <v>27.07</v>
      </c>
      <c r="V86" s="20">
        <v>5</v>
      </c>
      <c r="W86" s="19">
        <v>53.22</v>
      </c>
      <c r="X86" s="20">
        <v>5</v>
      </c>
      <c r="Y86" s="19">
        <v>59.35</v>
      </c>
      <c r="Z86" s="20">
        <v>5</v>
      </c>
      <c r="AA86" s="19">
        <v>29.74</v>
      </c>
      <c r="AB86" s="20">
        <v>5</v>
      </c>
      <c r="AC86" s="19">
        <v>74.06</v>
      </c>
      <c r="AD86" s="20">
        <v>5</v>
      </c>
      <c r="AE86" s="19">
        <v>66.89</v>
      </c>
      <c r="AF86" s="20">
        <v>5</v>
      </c>
      <c r="AG86" s="19">
        <v>165.9</v>
      </c>
      <c r="AH86" s="20">
        <v>5</v>
      </c>
      <c r="AI86" s="19">
        <v>168.8</v>
      </c>
      <c r="AJ86" s="20">
        <v>5</v>
      </c>
      <c r="AK86" s="19">
        <v>313.10000000000002</v>
      </c>
      <c r="AL86" s="20">
        <v>5</v>
      </c>
      <c r="AM86" s="19">
        <v>356.8</v>
      </c>
      <c r="AN86" s="20">
        <v>5</v>
      </c>
      <c r="AO86" s="19">
        <v>344.9</v>
      </c>
      <c r="AP86" s="20">
        <v>5</v>
      </c>
      <c r="AQ86" s="19">
        <v>442</v>
      </c>
      <c r="AR86" s="20">
        <v>5</v>
      </c>
      <c r="AS86" s="19">
        <v>593.9</v>
      </c>
      <c r="AT86" s="20">
        <v>5</v>
      </c>
      <c r="AU86" s="19">
        <v>642.29999999999995</v>
      </c>
      <c r="AV86" s="20">
        <v>5</v>
      </c>
      <c r="AW86" s="19">
        <v>642.20000000000005</v>
      </c>
      <c r="AX86" s="20">
        <v>5</v>
      </c>
      <c r="AY86" s="19">
        <v>809.9</v>
      </c>
      <c r="AZ86" s="20">
        <v>5</v>
      </c>
      <c r="BA86" s="19">
        <v>1140</v>
      </c>
      <c r="BB86" s="20">
        <v>5</v>
      </c>
      <c r="BC86" s="19">
        <v>1273</v>
      </c>
      <c r="BD86" s="20">
        <v>5</v>
      </c>
      <c r="BE86" s="19">
        <v>1369</v>
      </c>
      <c r="BF86" s="20">
        <v>5</v>
      </c>
      <c r="BG86" s="19">
        <v>1733</v>
      </c>
      <c r="BH86" s="20">
        <v>5</v>
      </c>
      <c r="BI86" s="19">
        <v>1855</v>
      </c>
    </row>
    <row r="87" spans="3:61">
      <c r="C87" s="5"/>
      <c r="D87" s="5"/>
      <c r="E87" s="8"/>
      <c r="F87" s="8"/>
      <c r="I87" s="19"/>
      <c r="J87" s="25"/>
    </row>
    <row r="88" spans="3:61">
      <c r="C88" s="5"/>
      <c r="D88" s="5"/>
      <c r="E88" s="8"/>
      <c r="F88" s="8"/>
      <c r="I88" s="19"/>
      <c r="J88" s="25"/>
    </row>
    <row r="89" spans="3:61">
      <c r="C89" s="5"/>
      <c r="D89" s="5"/>
      <c r="E89" s="8"/>
      <c r="F89" s="8"/>
      <c r="I89" s="19"/>
      <c r="J89" s="25"/>
    </row>
    <row r="90" spans="3:61">
      <c r="C90" s="5"/>
      <c r="D90" s="5"/>
      <c r="E90" s="8"/>
      <c r="F90" s="8"/>
      <c r="I90" s="19"/>
      <c r="J90" s="25"/>
    </row>
    <row r="91" spans="3:61">
      <c r="C91" s="5"/>
      <c r="D91" s="5"/>
      <c r="E91" s="4"/>
      <c r="F91" s="4"/>
    </row>
    <row r="92" spans="3:61">
      <c r="C92" s="26">
        <v>1.4</v>
      </c>
      <c r="D92" s="26">
        <v>0.5</v>
      </c>
      <c r="E92" s="28">
        <v>6.0510000000000002</v>
      </c>
      <c r="F92" s="28">
        <v>0.8</v>
      </c>
      <c r="H92" s="20">
        <v>0.5</v>
      </c>
      <c r="I92">
        <v>12.32</v>
      </c>
      <c r="J92" s="20">
        <v>0.5</v>
      </c>
      <c r="K92">
        <v>24.74</v>
      </c>
      <c r="L92" s="20">
        <v>0.5</v>
      </c>
      <c r="M92">
        <v>38.64</v>
      </c>
      <c r="N92" s="20">
        <v>0.5</v>
      </c>
      <c r="O92">
        <v>41.23</v>
      </c>
      <c r="P92" s="20">
        <v>0.5</v>
      </c>
      <c r="Q92">
        <v>30.04</v>
      </c>
      <c r="R92" s="20">
        <v>0.5</v>
      </c>
      <c r="S92">
        <v>49.73</v>
      </c>
      <c r="T92" s="20">
        <v>0.5</v>
      </c>
      <c r="U92">
        <v>85.54</v>
      </c>
      <c r="V92" s="20">
        <v>0.5</v>
      </c>
      <c r="W92">
        <v>126.6</v>
      </c>
      <c r="X92" s="20">
        <v>0.5</v>
      </c>
      <c r="Y92">
        <v>134.6</v>
      </c>
      <c r="Z92" s="20">
        <v>0.5</v>
      </c>
      <c r="AA92">
        <v>112.8</v>
      </c>
      <c r="AB92" s="20">
        <v>0.5</v>
      </c>
      <c r="AC92">
        <v>210.1</v>
      </c>
      <c r="AD92" s="20">
        <v>0.5</v>
      </c>
      <c r="AE92">
        <v>171</v>
      </c>
      <c r="AF92" s="20">
        <v>0.5</v>
      </c>
      <c r="AG92">
        <v>307.5</v>
      </c>
      <c r="AH92" s="20">
        <v>0.5</v>
      </c>
      <c r="AI92">
        <v>345.7</v>
      </c>
      <c r="AJ92" s="20">
        <v>0.5</v>
      </c>
      <c r="AK92">
        <v>504.4</v>
      </c>
      <c r="AL92" s="20">
        <v>0.5</v>
      </c>
      <c r="AM92">
        <v>505.7</v>
      </c>
      <c r="AN92" s="20">
        <v>0.5</v>
      </c>
      <c r="AO92">
        <v>535</v>
      </c>
      <c r="AP92" s="20">
        <v>0.5</v>
      </c>
      <c r="AQ92">
        <v>645.79999999999995</v>
      </c>
      <c r="AR92" s="20">
        <v>0.5</v>
      </c>
      <c r="AS92">
        <v>728</v>
      </c>
      <c r="AT92" s="20">
        <v>0.5</v>
      </c>
      <c r="AU92">
        <v>771</v>
      </c>
      <c r="AV92" s="20">
        <v>0.5</v>
      </c>
      <c r="AW92">
        <v>809.6</v>
      </c>
      <c r="AX92" s="20">
        <v>0.5</v>
      </c>
      <c r="AY92">
        <v>1072</v>
      </c>
      <c r="AZ92" s="20">
        <v>0.5</v>
      </c>
      <c r="BA92">
        <v>1313</v>
      </c>
      <c r="BB92" s="20">
        <v>0.5</v>
      </c>
      <c r="BC92">
        <v>1560</v>
      </c>
      <c r="BD92" s="20">
        <v>0.5</v>
      </c>
      <c r="BE92">
        <v>1657</v>
      </c>
      <c r="BF92" s="20">
        <v>0.5</v>
      </c>
      <c r="BG92">
        <v>1879</v>
      </c>
      <c r="BH92" s="20">
        <v>0.5</v>
      </c>
      <c r="BI92">
        <v>1990</v>
      </c>
    </row>
    <row r="93" spans="3:61">
      <c r="C93" s="26"/>
      <c r="D93" s="26">
        <v>0.7</v>
      </c>
      <c r="E93" s="28">
        <v>4.5739999999999998</v>
      </c>
      <c r="F93" s="28">
        <v>0.6</v>
      </c>
      <c r="H93" s="20">
        <v>0.6</v>
      </c>
      <c r="I93">
        <v>10.79</v>
      </c>
      <c r="J93" s="20">
        <v>0.6</v>
      </c>
      <c r="K93">
        <v>22.87</v>
      </c>
      <c r="L93" s="20">
        <v>0.6</v>
      </c>
      <c r="M93">
        <v>37.29</v>
      </c>
      <c r="N93" s="20">
        <v>0.6</v>
      </c>
      <c r="O93">
        <v>39.94</v>
      </c>
      <c r="P93" s="20">
        <v>0.6</v>
      </c>
      <c r="Q93">
        <v>27.84</v>
      </c>
      <c r="R93" s="20">
        <v>0.6</v>
      </c>
      <c r="S93">
        <v>47.87</v>
      </c>
      <c r="T93" s="20">
        <v>0.6</v>
      </c>
      <c r="U93">
        <v>83.87</v>
      </c>
      <c r="V93" s="20">
        <v>0.6</v>
      </c>
      <c r="W93">
        <v>124.4</v>
      </c>
      <c r="X93" s="20">
        <v>0.6</v>
      </c>
      <c r="Y93">
        <v>132.5</v>
      </c>
      <c r="Z93" s="20">
        <v>0.6</v>
      </c>
      <c r="AA93">
        <v>108.8</v>
      </c>
      <c r="AB93" s="20">
        <v>0.6</v>
      </c>
      <c r="AC93">
        <v>204.9</v>
      </c>
      <c r="AD93" s="20">
        <v>0.6</v>
      </c>
      <c r="AE93">
        <v>168.3</v>
      </c>
      <c r="AF93" s="20">
        <v>0.6</v>
      </c>
      <c r="AG93">
        <v>302.3</v>
      </c>
      <c r="AH93" s="20">
        <v>0.6</v>
      </c>
      <c r="AI93">
        <v>343.6</v>
      </c>
      <c r="AJ93" s="20">
        <v>0.6</v>
      </c>
      <c r="AK93">
        <v>498.5</v>
      </c>
      <c r="AL93" s="20">
        <v>0.6</v>
      </c>
      <c r="AM93">
        <v>499.6</v>
      </c>
      <c r="AN93" s="20">
        <v>0.6</v>
      </c>
      <c r="AO93">
        <v>529.9</v>
      </c>
      <c r="AP93" s="20">
        <v>0.6</v>
      </c>
      <c r="AQ93">
        <v>632.6</v>
      </c>
      <c r="AR93" s="20">
        <v>0.6</v>
      </c>
      <c r="AS93">
        <v>728</v>
      </c>
      <c r="AT93" s="20">
        <v>0.6</v>
      </c>
      <c r="AU93">
        <v>771</v>
      </c>
      <c r="AV93" s="20">
        <v>0.6</v>
      </c>
      <c r="AW93">
        <v>804.4</v>
      </c>
      <c r="AX93" s="20">
        <v>0.6</v>
      </c>
      <c r="AY93">
        <v>1063</v>
      </c>
      <c r="AZ93" s="20">
        <v>0.6</v>
      </c>
      <c r="BA93">
        <v>1311</v>
      </c>
      <c r="BB93" s="20">
        <v>0.6</v>
      </c>
      <c r="BC93">
        <v>1546</v>
      </c>
      <c r="BD93" s="20">
        <v>0.6</v>
      </c>
      <c r="BE93">
        <v>1642</v>
      </c>
      <c r="BF93" s="20">
        <v>0.6</v>
      </c>
      <c r="BG93">
        <v>1879</v>
      </c>
      <c r="BH93" s="20">
        <v>0.6</v>
      </c>
      <c r="BI93">
        <v>1990</v>
      </c>
    </row>
    <row r="94" spans="3:61">
      <c r="C94" s="26"/>
      <c r="D94" s="26">
        <v>0.8</v>
      </c>
      <c r="E94" s="28">
        <v>4.032</v>
      </c>
      <c r="F94" s="28">
        <v>0.4</v>
      </c>
      <c r="H94" s="20">
        <v>0.7</v>
      </c>
      <c r="I94">
        <v>9.6440000000000001</v>
      </c>
      <c r="J94" s="20">
        <v>0.7</v>
      </c>
      <c r="K94">
        <v>21.14</v>
      </c>
      <c r="L94" s="20">
        <v>0.7</v>
      </c>
      <c r="M94">
        <v>35.71</v>
      </c>
      <c r="N94" s="20">
        <v>0.7</v>
      </c>
      <c r="O94">
        <v>38.71</v>
      </c>
      <c r="P94" s="20">
        <v>0.7</v>
      </c>
      <c r="Q94">
        <v>26.11</v>
      </c>
      <c r="R94" s="20">
        <v>0.7</v>
      </c>
      <c r="S94">
        <v>46.34</v>
      </c>
      <c r="T94" s="20">
        <v>0.7</v>
      </c>
      <c r="U94">
        <v>81.599999999999994</v>
      </c>
      <c r="V94" s="20">
        <v>0.7</v>
      </c>
      <c r="W94">
        <v>122.6</v>
      </c>
      <c r="X94" s="20">
        <v>0.7</v>
      </c>
      <c r="Y94">
        <v>130.5</v>
      </c>
      <c r="Z94" s="20">
        <v>0.7</v>
      </c>
      <c r="AA94">
        <v>103.9</v>
      </c>
      <c r="AB94" s="20">
        <v>0.7</v>
      </c>
      <c r="AC94">
        <v>200.5</v>
      </c>
      <c r="AD94" s="20">
        <v>0.7</v>
      </c>
      <c r="AE94">
        <v>164.3</v>
      </c>
      <c r="AF94" s="20">
        <v>0.7</v>
      </c>
      <c r="AG94">
        <v>297.89999999999998</v>
      </c>
      <c r="AH94" s="20">
        <v>0.7</v>
      </c>
      <c r="AI94">
        <v>339.9</v>
      </c>
      <c r="AJ94" s="20">
        <v>0.7</v>
      </c>
      <c r="AK94">
        <v>494.8</v>
      </c>
      <c r="AL94" s="20">
        <v>0.7</v>
      </c>
      <c r="AM94">
        <v>495.8</v>
      </c>
      <c r="AN94" s="20">
        <v>0.7</v>
      </c>
      <c r="AO94">
        <v>524.79999999999995</v>
      </c>
      <c r="AP94" s="20">
        <v>0.7</v>
      </c>
      <c r="AQ94">
        <v>621.6</v>
      </c>
      <c r="AR94" s="20">
        <v>0.7</v>
      </c>
      <c r="AS94">
        <v>724.6</v>
      </c>
      <c r="AT94" s="20">
        <v>0.7</v>
      </c>
      <c r="AU94">
        <v>770.7</v>
      </c>
      <c r="AV94" s="20">
        <v>0.7</v>
      </c>
      <c r="AW94">
        <v>800</v>
      </c>
      <c r="AX94" s="20">
        <v>0.7</v>
      </c>
      <c r="AY94">
        <v>1047</v>
      </c>
      <c r="AZ94" s="20">
        <v>0.7</v>
      </c>
      <c r="BA94">
        <v>1303</v>
      </c>
      <c r="BB94" s="20">
        <v>0.7</v>
      </c>
      <c r="BC94">
        <v>1535</v>
      </c>
      <c r="BD94" s="20">
        <v>0.7</v>
      </c>
      <c r="BE94">
        <v>1629</v>
      </c>
      <c r="BF94" s="20">
        <v>0.7</v>
      </c>
      <c r="BG94">
        <v>1879</v>
      </c>
      <c r="BH94" s="20">
        <v>0.7</v>
      </c>
      <c r="BI94">
        <v>1990</v>
      </c>
    </row>
    <row r="95" spans="3:61">
      <c r="C95" s="26"/>
      <c r="D95" s="26">
        <v>1.1000000000000001</v>
      </c>
      <c r="E95" s="28">
        <v>2.972</v>
      </c>
      <c r="F95" s="28">
        <v>0.2</v>
      </c>
      <c r="H95" s="20">
        <v>0.8</v>
      </c>
      <c r="I95">
        <v>8.6509999999999998</v>
      </c>
      <c r="J95" s="20">
        <v>0.8</v>
      </c>
      <c r="K95">
        <v>19.739999999999998</v>
      </c>
      <c r="L95" s="20">
        <v>0.8</v>
      </c>
      <c r="M95">
        <v>33.82</v>
      </c>
      <c r="N95" s="20">
        <v>0.8</v>
      </c>
      <c r="O95">
        <v>36.67</v>
      </c>
      <c r="P95" s="20">
        <v>0.8</v>
      </c>
      <c r="Q95">
        <v>24.2</v>
      </c>
      <c r="R95" s="20">
        <v>0.8</v>
      </c>
      <c r="S95">
        <v>44.05</v>
      </c>
      <c r="T95" s="20">
        <v>0.8</v>
      </c>
      <c r="U95">
        <v>79.680000000000007</v>
      </c>
      <c r="V95" s="20">
        <v>0.8</v>
      </c>
      <c r="W95">
        <v>121.2</v>
      </c>
      <c r="X95" s="20">
        <v>0.8</v>
      </c>
      <c r="Y95">
        <v>129</v>
      </c>
      <c r="Z95" s="20">
        <v>0.8</v>
      </c>
      <c r="AA95">
        <v>99.19</v>
      </c>
      <c r="AB95" s="20">
        <v>0.8</v>
      </c>
      <c r="AC95">
        <v>195.6</v>
      </c>
      <c r="AD95" s="20">
        <v>0.8</v>
      </c>
      <c r="AE95">
        <v>160.1</v>
      </c>
      <c r="AF95" s="20">
        <v>0.8</v>
      </c>
      <c r="AG95">
        <v>294.39999999999998</v>
      </c>
      <c r="AH95" s="20">
        <v>0.8</v>
      </c>
      <c r="AI95">
        <v>336.6</v>
      </c>
      <c r="AJ95" s="20">
        <v>0.8</v>
      </c>
      <c r="AK95">
        <v>493.4</v>
      </c>
      <c r="AL95" s="20">
        <v>0.8</v>
      </c>
      <c r="AM95">
        <v>492.6</v>
      </c>
      <c r="AN95" s="20">
        <v>0.8</v>
      </c>
      <c r="AO95">
        <v>523.29999999999995</v>
      </c>
      <c r="AP95" s="20">
        <v>0.8</v>
      </c>
      <c r="AQ95">
        <v>612.9</v>
      </c>
      <c r="AR95" s="20">
        <v>0.8</v>
      </c>
      <c r="AS95">
        <v>717.6</v>
      </c>
      <c r="AT95" s="20">
        <v>0.8</v>
      </c>
      <c r="AU95">
        <v>763.3</v>
      </c>
      <c r="AV95" s="20">
        <v>0.8</v>
      </c>
      <c r="AW95">
        <v>790.8</v>
      </c>
      <c r="AX95" s="20">
        <v>0.8</v>
      </c>
      <c r="AY95">
        <v>1035</v>
      </c>
      <c r="AZ95" s="20">
        <v>0.8</v>
      </c>
      <c r="BA95">
        <v>1297</v>
      </c>
      <c r="BB95" s="20">
        <v>0.8</v>
      </c>
      <c r="BC95">
        <v>1528</v>
      </c>
      <c r="BD95" s="20">
        <v>0.8</v>
      </c>
      <c r="BE95">
        <v>1621</v>
      </c>
      <c r="BF95" s="20">
        <v>0.8</v>
      </c>
      <c r="BG95">
        <v>1879</v>
      </c>
      <c r="BH95" s="20">
        <v>0.8</v>
      </c>
      <c r="BI95">
        <v>1990</v>
      </c>
    </row>
    <row r="96" spans="3:61">
      <c r="C96" s="26"/>
      <c r="D96" s="26">
        <v>1.5</v>
      </c>
      <c r="E96" s="28">
        <v>2.2149999999999999</v>
      </c>
      <c r="F96" s="28">
        <v>0.2</v>
      </c>
      <c r="H96" s="19">
        <v>0.9</v>
      </c>
      <c r="I96">
        <v>7.843</v>
      </c>
      <c r="J96" s="19">
        <v>0.9</v>
      </c>
      <c r="K96">
        <v>18.14</v>
      </c>
      <c r="L96" s="19">
        <v>0.9</v>
      </c>
      <c r="M96">
        <v>31.94</v>
      </c>
      <c r="N96" s="19">
        <v>0.9</v>
      </c>
      <c r="O96">
        <v>34.840000000000003</v>
      </c>
      <c r="P96" s="19">
        <v>0.9</v>
      </c>
      <c r="Q96">
        <v>22.56</v>
      </c>
      <c r="R96" s="19">
        <v>0.9</v>
      </c>
      <c r="S96">
        <v>41.94</v>
      </c>
      <c r="T96" s="19">
        <v>0.9</v>
      </c>
      <c r="U96">
        <v>77.739999999999995</v>
      </c>
      <c r="V96" s="19">
        <v>0.9</v>
      </c>
      <c r="W96">
        <v>119</v>
      </c>
      <c r="X96" s="19">
        <v>0.9</v>
      </c>
      <c r="Y96">
        <v>127.3</v>
      </c>
      <c r="Z96" s="19">
        <v>0.9</v>
      </c>
      <c r="AA96">
        <v>93.82</v>
      </c>
      <c r="AB96" s="19">
        <v>0.9</v>
      </c>
      <c r="AC96">
        <v>191.1</v>
      </c>
      <c r="AD96" s="19">
        <v>0.9</v>
      </c>
      <c r="AE96">
        <v>156</v>
      </c>
      <c r="AF96" s="19">
        <v>0.9</v>
      </c>
      <c r="AG96">
        <v>291.39999999999998</v>
      </c>
      <c r="AH96" s="19">
        <v>0.9</v>
      </c>
      <c r="AI96">
        <v>331.2</v>
      </c>
      <c r="AJ96" s="19">
        <v>0.9</v>
      </c>
      <c r="AK96">
        <v>490</v>
      </c>
      <c r="AL96" s="19">
        <v>0.9</v>
      </c>
      <c r="AM96">
        <v>487.2</v>
      </c>
      <c r="AN96" s="19">
        <v>0.9</v>
      </c>
      <c r="AO96">
        <v>521.1</v>
      </c>
      <c r="AP96" s="19">
        <v>0.9</v>
      </c>
      <c r="AQ96">
        <v>605.5</v>
      </c>
      <c r="AR96" s="19">
        <v>0.9</v>
      </c>
      <c r="AS96">
        <v>713</v>
      </c>
      <c r="AT96" s="19">
        <v>0.9</v>
      </c>
      <c r="AU96">
        <v>757.4</v>
      </c>
      <c r="AV96" s="19">
        <v>0.9</v>
      </c>
      <c r="AW96">
        <v>781.9</v>
      </c>
      <c r="AX96" s="19">
        <v>0.9</v>
      </c>
      <c r="AY96">
        <v>1021</v>
      </c>
      <c r="AZ96" s="19">
        <v>0.9</v>
      </c>
      <c r="BA96">
        <v>1292</v>
      </c>
      <c r="BB96" s="19">
        <v>0.9</v>
      </c>
      <c r="BC96">
        <v>1514</v>
      </c>
      <c r="BD96" s="19">
        <v>0.9</v>
      </c>
      <c r="BE96">
        <v>1612</v>
      </c>
      <c r="BF96" s="19">
        <v>0.9</v>
      </c>
      <c r="BG96">
        <v>1872</v>
      </c>
      <c r="BH96" s="19">
        <v>0.9</v>
      </c>
      <c r="BI96">
        <v>1987</v>
      </c>
    </row>
    <row r="97" spans="3:61">
      <c r="C97" s="26"/>
      <c r="D97" s="26">
        <v>2</v>
      </c>
      <c r="E97" s="28">
        <v>1.679</v>
      </c>
      <c r="F97" s="28">
        <v>0.2</v>
      </c>
      <c r="H97" s="20">
        <v>1</v>
      </c>
      <c r="I97">
        <v>7.1849999999999996</v>
      </c>
      <c r="J97" s="20">
        <v>1</v>
      </c>
      <c r="K97">
        <v>16.8</v>
      </c>
      <c r="L97" s="20">
        <v>1</v>
      </c>
      <c r="M97">
        <v>30.27</v>
      </c>
      <c r="N97" s="20">
        <v>1</v>
      </c>
      <c r="O97">
        <v>33.01</v>
      </c>
      <c r="P97" s="20">
        <v>1</v>
      </c>
      <c r="Q97">
        <v>20.91</v>
      </c>
      <c r="R97" s="20">
        <v>1</v>
      </c>
      <c r="S97">
        <v>40.14</v>
      </c>
      <c r="T97" s="20">
        <v>1</v>
      </c>
      <c r="U97">
        <v>76.040000000000006</v>
      </c>
      <c r="V97" s="20">
        <v>1</v>
      </c>
      <c r="W97">
        <v>116.8</v>
      </c>
      <c r="X97" s="20">
        <v>1</v>
      </c>
      <c r="Y97">
        <v>125</v>
      </c>
      <c r="Z97" s="20">
        <v>1</v>
      </c>
      <c r="AA97">
        <v>88.46</v>
      </c>
      <c r="AB97" s="20">
        <v>1</v>
      </c>
      <c r="AC97">
        <v>187.1</v>
      </c>
      <c r="AD97" s="20">
        <v>1</v>
      </c>
      <c r="AE97">
        <v>152</v>
      </c>
      <c r="AF97" s="20">
        <v>1</v>
      </c>
      <c r="AG97">
        <v>288.7</v>
      </c>
      <c r="AH97" s="20">
        <v>1</v>
      </c>
      <c r="AI97">
        <v>326.39999999999998</v>
      </c>
      <c r="AJ97" s="20">
        <v>1</v>
      </c>
      <c r="AK97">
        <v>486.3</v>
      </c>
      <c r="AL97" s="20">
        <v>1</v>
      </c>
      <c r="AM97">
        <v>482.3</v>
      </c>
      <c r="AN97" s="20">
        <v>1</v>
      </c>
      <c r="AO97">
        <v>517.20000000000005</v>
      </c>
      <c r="AP97" s="20">
        <v>1</v>
      </c>
      <c r="AQ97">
        <v>598.9</v>
      </c>
      <c r="AR97" s="20">
        <v>1</v>
      </c>
      <c r="AS97">
        <v>709.4</v>
      </c>
      <c r="AT97" s="20">
        <v>1</v>
      </c>
      <c r="AU97">
        <v>753.4</v>
      </c>
      <c r="AV97" s="20">
        <v>1</v>
      </c>
      <c r="AW97">
        <v>774</v>
      </c>
      <c r="AX97" s="20">
        <v>1</v>
      </c>
      <c r="AY97">
        <v>1009</v>
      </c>
      <c r="AZ97" s="20">
        <v>1</v>
      </c>
      <c r="BA97">
        <v>1287</v>
      </c>
      <c r="BB97" s="20">
        <v>1</v>
      </c>
      <c r="BC97">
        <v>1499</v>
      </c>
      <c r="BD97" s="20">
        <v>1</v>
      </c>
      <c r="BE97">
        <v>1596</v>
      </c>
      <c r="BF97" s="20">
        <v>1</v>
      </c>
      <c r="BG97">
        <v>1865</v>
      </c>
      <c r="BH97" s="20">
        <v>1</v>
      </c>
      <c r="BI97">
        <v>1979</v>
      </c>
    </row>
    <row r="98" spans="3:61">
      <c r="C98" s="26"/>
      <c r="D98" s="26">
        <v>2.2000000000000002</v>
      </c>
      <c r="E98" s="28">
        <v>1.5089999999999999</v>
      </c>
      <c r="F98" s="28">
        <v>0.15</v>
      </c>
      <c r="G98">
        <f>'10A61 Liquid 3" ViscosityLINEST'!J17</f>
        <v>3.2447118721612931</v>
      </c>
      <c r="H98" s="20">
        <v>1.5</v>
      </c>
      <c r="I98">
        <v>4.9089999999999998</v>
      </c>
      <c r="J98" s="20">
        <v>1.5</v>
      </c>
      <c r="K98">
        <v>12.16</v>
      </c>
      <c r="L98" s="20">
        <v>1.5</v>
      </c>
      <c r="M98">
        <v>23.22</v>
      </c>
      <c r="N98" s="20">
        <v>1.5</v>
      </c>
      <c r="O98">
        <v>25.64</v>
      </c>
      <c r="P98" s="20">
        <v>1.5</v>
      </c>
      <c r="Q98">
        <v>14.66</v>
      </c>
      <c r="R98" s="20">
        <v>1.5</v>
      </c>
      <c r="S98">
        <v>31.54</v>
      </c>
      <c r="T98" s="20">
        <v>1.5</v>
      </c>
      <c r="U98">
        <v>66.08</v>
      </c>
      <c r="V98" s="20">
        <v>1.5</v>
      </c>
      <c r="W98">
        <v>107.7</v>
      </c>
      <c r="X98" s="20">
        <v>1.5</v>
      </c>
      <c r="Y98">
        <v>115.5</v>
      </c>
      <c r="Z98" s="20">
        <v>1.5</v>
      </c>
      <c r="AA98">
        <v>68.69</v>
      </c>
      <c r="AB98" s="20">
        <v>1.5</v>
      </c>
      <c r="AC98">
        <v>162.9</v>
      </c>
      <c r="AD98" s="20">
        <v>1.5</v>
      </c>
      <c r="AE98">
        <v>134.30000000000001</v>
      </c>
      <c r="AF98" s="20">
        <v>1.5</v>
      </c>
      <c r="AG98">
        <v>268.60000000000002</v>
      </c>
      <c r="AH98" s="20">
        <v>1.5</v>
      </c>
      <c r="AI98">
        <v>303.7</v>
      </c>
      <c r="AJ98" s="20">
        <v>1.5</v>
      </c>
      <c r="AK98">
        <v>463.9</v>
      </c>
      <c r="AL98" s="20">
        <v>1.5</v>
      </c>
      <c r="AM98">
        <v>465.2</v>
      </c>
      <c r="AN98" s="20">
        <v>1.5</v>
      </c>
      <c r="AO98">
        <v>495.3</v>
      </c>
      <c r="AP98" s="20">
        <v>1.5</v>
      </c>
      <c r="AQ98">
        <v>558.9</v>
      </c>
      <c r="AR98" s="20">
        <v>1.5</v>
      </c>
      <c r="AS98">
        <v>687</v>
      </c>
      <c r="AT98" s="20">
        <v>1.5</v>
      </c>
      <c r="AU98">
        <v>731.6</v>
      </c>
      <c r="AV98" s="20">
        <v>1.5</v>
      </c>
      <c r="AW98">
        <v>743.4</v>
      </c>
      <c r="AX98" s="20">
        <v>1.5</v>
      </c>
      <c r="AY98">
        <v>965.9</v>
      </c>
      <c r="AZ98" s="20">
        <v>1.5</v>
      </c>
      <c r="BA98">
        <v>1248</v>
      </c>
      <c r="BB98" s="20">
        <v>1.5</v>
      </c>
      <c r="BC98">
        <v>1436</v>
      </c>
      <c r="BD98" s="20">
        <v>1.5</v>
      </c>
      <c r="BE98">
        <v>1530</v>
      </c>
      <c r="BF98" s="20">
        <v>1.5</v>
      </c>
      <c r="BG98">
        <v>1838</v>
      </c>
      <c r="BH98" s="20">
        <v>1.5</v>
      </c>
      <c r="BI98">
        <v>1950</v>
      </c>
    </row>
    <row r="99" spans="3:61">
      <c r="C99" s="5"/>
      <c r="D99" s="5">
        <v>2.5</v>
      </c>
      <c r="E99" s="4">
        <v>1.3180000000000001</v>
      </c>
      <c r="F99" s="4">
        <v>0.15</v>
      </c>
      <c r="H99" s="20">
        <v>2</v>
      </c>
      <c r="I99">
        <v>3.734</v>
      </c>
      <c r="J99" s="20">
        <v>2</v>
      </c>
      <c r="K99">
        <v>9.3819999999999997</v>
      </c>
      <c r="L99" s="20">
        <v>2</v>
      </c>
      <c r="M99">
        <v>18.45</v>
      </c>
      <c r="N99" s="20">
        <v>2</v>
      </c>
      <c r="O99">
        <v>20.49</v>
      </c>
      <c r="P99" s="20">
        <v>2</v>
      </c>
      <c r="Q99">
        <v>11.24</v>
      </c>
      <c r="R99" s="20">
        <v>2</v>
      </c>
      <c r="S99">
        <v>24.56</v>
      </c>
      <c r="T99" s="20">
        <v>2</v>
      </c>
      <c r="U99">
        <v>57.06</v>
      </c>
      <c r="V99" s="20">
        <v>2</v>
      </c>
      <c r="W99">
        <v>97.37</v>
      </c>
      <c r="X99" s="20">
        <v>2</v>
      </c>
      <c r="Y99">
        <v>105.6</v>
      </c>
      <c r="Z99" s="20">
        <v>2</v>
      </c>
      <c r="AA99">
        <v>54.79</v>
      </c>
      <c r="AB99" s="20">
        <v>2</v>
      </c>
      <c r="AC99">
        <v>138.80000000000001</v>
      </c>
      <c r="AD99" s="20">
        <v>2</v>
      </c>
      <c r="AE99">
        <v>116.8</v>
      </c>
      <c r="AF99" s="20">
        <v>2</v>
      </c>
      <c r="AG99">
        <v>250.4</v>
      </c>
      <c r="AH99" s="20">
        <v>2</v>
      </c>
      <c r="AI99">
        <v>270.7</v>
      </c>
      <c r="AJ99" s="20">
        <v>2</v>
      </c>
      <c r="AK99">
        <v>440.5</v>
      </c>
      <c r="AL99" s="20">
        <v>2</v>
      </c>
      <c r="AM99">
        <v>446.7</v>
      </c>
      <c r="AN99" s="20">
        <v>2</v>
      </c>
      <c r="AO99">
        <v>471.9</v>
      </c>
      <c r="AP99" s="20">
        <v>2</v>
      </c>
      <c r="AQ99">
        <v>529.79999999999995</v>
      </c>
      <c r="AR99" s="20">
        <v>2</v>
      </c>
      <c r="AS99">
        <v>669.6</v>
      </c>
      <c r="AT99" s="20">
        <v>2</v>
      </c>
      <c r="AU99">
        <v>712.7</v>
      </c>
      <c r="AV99" s="20">
        <v>2</v>
      </c>
      <c r="AW99">
        <v>714.3</v>
      </c>
      <c r="AX99" s="20">
        <v>2</v>
      </c>
      <c r="AY99">
        <v>926.2</v>
      </c>
      <c r="AZ99" s="20">
        <v>2</v>
      </c>
      <c r="BA99">
        <v>1214</v>
      </c>
      <c r="BB99" s="20">
        <v>2</v>
      </c>
      <c r="BC99">
        <v>1392</v>
      </c>
      <c r="BD99" s="20">
        <v>2</v>
      </c>
      <c r="BE99">
        <v>1483</v>
      </c>
      <c r="BF99" s="20">
        <v>2</v>
      </c>
      <c r="BG99">
        <v>1797</v>
      </c>
      <c r="BH99" s="20">
        <v>2</v>
      </c>
      <c r="BI99">
        <v>1914</v>
      </c>
    </row>
    <row r="100" spans="3:61">
      <c r="C100" s="5"/>
      <c r="D100" s="5">
        <v>3</v>
      </c>
      <c r="E100" s="4">
        <v>1.1080000000000001</v>
      </c>
      <c r="F100" s="4">
        <v>0.15</v>
      </c>
      <c r="H100" s="20">
        <v>2.5</v>
      </c>
      <c r="I100">
        <v>3.0289999999999999</v>
      </c>
      <c r="J100" s="20">
        <v>2.5</v>
      </c>
      <c r="K100">
        <v>7.5739999999999998</v>
      </c>
      <c r="L100" s="20">
        <v>2.5</v>
      </c>
      <c r="M100">
        <v>15.29</v>
      </c>
      <c r="N100" s="20">
        <v>2.5</v>
      </c>
      <c r="O100">
        <v>17.02</v>
      </c>
      <c r="P100" s="20">
        <v>2.5</v>
      </c>
      <c r="Q100">
        <v>9.1590000000000007</v>
      </c>
      <c r="R100" s="20">
        <v>2.5</v>
      </c>
      <c r="S100">
        <v>20.07</v>
      </c>
      <c r="T100" s="20">
        <v>2.5</v>
      </c>
      <c r="U100">
        <v>48.81</v>
      </c>
      <c r="V100" s="20">
        <v>2.5</v>
      </c>
      <c r="W100">
        <v>88.5</v>
      </c>
      <c r="X100" s="20">
        <v>2.5</v>
      </c>
      <c r="Y100">
        <v>96.24</v>
      </c>
      <c r="Z100" s="20">
        <v>2.5</v>
      </c>
      <c r="AA100">
        <v>46.02</v>
      </c>
      <c r="AB100" s="20">
        <v>2.5</v>
      </c>
      <c r="AC100">
        <v>119.8</v>
      </c>
      <c r="AD100" s="20">
        <v>2.5</v>
      </c>
      <c r="AE100">
        <v>101</v>
      </c>
      <c r="AF100" s="20">
        <v>2.5</v>
      </c>
      <c r="AG100">
        <v>232.2</v>
      </c>
      <c r="AH100" s="20">
        <v>2.5</v>
      </c>
      <c r="AI100">
        <v>255.3</v>
      </c>
      <c r="AJ100" s="20">
        <v>2.5</v>
      </c>
      <c r="AK100">
        <v>420.7</v>
      </c>
      <c r="AL100" s="20">
        <v>2.5</v>
      </c>
      <c r="AM100">
        <v>426.1</v>
      </c>
      <c r="AN100" s="20">
        <v>2.5</v>
      </c>
      <c r="AO100">
        <v>451.6</v>
      </c>
      <c r="AP100" s="20">
        <v>2.5</v>
      </c>
      <c r="AQ100">
        <v>500.8</v>
      </c>
      <c r="AR100" s="20">
        <v>2.5</v>
      </c>
      <c r="AS100">
        <v>655.8</v>
      </c>
      <c r="AT100" s="20">
        <v>2.5</v>
      </c>
      <c r="AU100">
        <v>699.1</v>
      </c>
      <c r="AV100" s="20">
        <v>2.5</v>
      </c>
      <c r="AW100">
        <v>685.4</v>
      </c>
      <c r="AX100" s="20">
        <v>2.5</v>
      </c>
      <c r="AY100">
        <v>888.7</v>
      </c>
      <c r="AZ100" s="20">
        <v>2.5</v>
      </c>
      <c r="BA100">
        <v>1184</v>
      </c>
      <c r="BB100" s="20">
        <v>2.5</v>
      </c>
      <c r="BC100">
        <v>1359</v>
      </c>
      <c r="BD100" s="20">
        <v>2.5</v>
      </c>
      <c r="BE100">
        <v>1449</v>
      </c>
      <c r="BF100" s="20">
        <v>2.5</v>
      </c>
      <c r="BG100">
        <v>1759</v>
      </c>
      <c r="BH100" s="20">
        <v>2.5</v>
      </c>
      <c r="BI100">
        <v>1873</v>
      </c>
    </row>
    <row r="101" spans="3:61">
      <c r="C101" s="5"/>
      <c r="D101" s="5">
        <v>3.3</v>
      </c>
      <c r="E101" s="4">
        <v>1.0129999999999999</v>
      </c>
      <c r="F101" s="4">
        <v>0.1</v>
      </c>
      <c r="H101" s="20">
        <v>3</v>
      </c>
      <c r="I101">
        <v>2.5339999999999998</v>
      </c>
      <c r="J101" s="20">
        <v>3</v>
      </c>
      <c r="K101">
        <v>6.3680000000000003</v>
      </c>
      <c r="L101" s="20">
        <v>3</v>
      </c>
      <c r="M101">
        <v>12.82</v>
      </c>
      <c r="N101" s="20">
        <v>3</v>
      </c>
      <c r="O101">
        <v>14.36</v>
      </c>
      <c r="P101" s="20">
        <v>3</v>
      </c>
      <c r="Q101">
        <v>7.7789999999999999</v>
      </c>
      <c r="R101" s="20">
        <v>3</v>
      </c>
      <c r="S101">
        <v>16.95</v>
      </c>
      <c r="T101" s="20">
        <v>3</v>
      </c>
      <c r="U101">
        <v>41.66</v>
      </c>
      <c r="V101" s="20">
        <v>3</v>
      </c>
      <c r="W101">
        <v>79.37</v>
      </c>
      <c r="X101" s="20">
        <v>3</v>
      </c>
      <c r="Y101">
        <v>86.99</v>
      </c>
      <c r="Z101" s="20">
        <v>3</v>
      </c>
      <c r="AA101">
        <v>39.07</v>
      </c>
      <c r="AB101" s="20">
        <v>3</v>
      </c>
      <c r="AC101">
        <v>104.7</v>
      </c>
      <c r="AD101" s="20">
        <v>3</v>
      </c>
      <c r="AE101">
        <v>87.38</v>
      </c>
      <c r="AF101" s="20">
        <v>3</v>
      </c>
      <c r="AG101">
        <v>214.9</v>
      </c>
      <c r="AH101" s="20">
        <v>3</v>
      </c>
      <c r="AI101">
        <v>230.6</v>
      </c>
      <c r="AJ101" s="20">
        <v>3</v>
      </c>
      <c r="AK101">
        <v>395.1</v>
      </c>
      <c r="AL101" s="20">
        <v>3</v>
      </c>
      <c r="AM101">
        <v>407.5</v>
      </c>
      <c r="AN101" s="20">
        <v>3</v>
      </c>
      <c r="AO101">
        <v>426.8</v>
      </c>
      <c r="AP101" s="20">
        <v>3</v>
      </c>
      <c r="AQ101">
        <v>475.3</v>
      </c>
      <c r="AR101" s="20">
        <v>3</v>
      </c>
      <c r="AS101">
        <v>633.29999999999995</v>
      </c>
      <c r="AT101" s="20">
        <v>3</v>
      </c>
      <c r="AU101">
        <v>678.2</v>
      </c>
      <c r="AV101" s="20">
        <v>3</v>
      </c>
      <c r="AW101">
        <v>660.9</v>
      </c>
      <c r="AX101" s="20">
        <v>3</v>
      </c>
      <c r="AY101">
        <v>859</v>
      </c>
      <c r="AZ101" s="20">
        <v>3</v>
      </c>
      <c r="BA101">
        <v>1155</v>
      </c>
      <c r="BB101" s="20">
        <v>3</v>
      </c>
      <c r="BC101">
        <v>1314</v>
      </c>
      <c r="BD101" s="20">
        <v>3</v>
      </c>
      <c r="BE101">
        <v>1406</v>
      </c>
      <c r="BF101" s="20">
        <v>3</v>
      </c>
      <c r="BG101">
        <v>1729</v>
      </c>
      <c r="BH101" s="20">
        <v>3</v>
      </c>
      <c r="BI101">
        <v>1841</v>
      </c>
    </row>
    <row r="102" spans="3:61">
      <c r="C102" s="5"/>
      <c r="D102" s="5">
        <v>4</v>
      </c>
      <c r="E102" s="4">
        <v>0.84609999999999996</v>
      </c>
      <c r="F102" s="4">
        <v>0.1</v>
      </c>
      <c r="H102" s="20">
        <v>3.5</v>
      </c>
      <c r="I102">
        <v>2.1320000000000001</v>
      </c>
      <c r="J102" s="20">
        <v>3.5</v>
      </c>
      <c r="K102">
        <v>5.5010000000000003</v>
      </c>
      <c r="L102" s="20">
        <v>3.5</v>
      </c>
      <c r="M102">
        <v>11.06</v>
      </c>
      <c r="N102" s="20">
        <v>3.5</v>
      </c>
      <c r="O102">
        <v>12.37</v>
      </c>
      <c r="P102" s="20">
        <v>3.5</v>
      </c>
      <c r="Q102">
        <v>6.6280000000000001</v>
      </c>
      <c r="R102" s="20">
        <v>3.5</v>
      </c>
      <c r="S102">
        <v>14.68</v>
      </c>
      <c r="T102" s="20">
        <v>3.5</v>
      </c>
      <c r="U102">
        <v>36.409999999999997</v>
      </c>
      <c r="V102" s="20">
        <v>3.5</v>
      </c>
      <c r="W102">
        <v>71.16</v>
      </c>
      <c r="X102" s="20">
        <v>3.5</v>
      </c>
      <c r="Y102">
        <v>79.23</v>
      </c>
      <c r="Z102" s="20">
        <v>3.5</v>
      </c>
      <c r="AA102">
        <v>33.96</v>
      </c>
      <c r="AB102" s="20">
        <v>3.5</v>
      </c>
      <c r="AC102">
        <v>92.03</v>
      </c>
      <c r="AD102" s="20">
        <v>3.5</v>
      </c>
      <c r="AE102">
        <v>76.819999999999993</v>
      </c>
      <c r="AF102" s="20">
        <v>3.5</v>
      </c>
      <c r="AG102">
        <v>197.3</v>
      </c>
      <c r="AH102" s="20">
        <v>3.5</v>
      </c>
      <c r="AI102">
        <v>211.1</v>
      </c>
      <c r="AJ102" s="20">
        <v>3.5</v>
      </c>
      <c r="AK102">
        <v>369.7</v>
      </c>
      <c r="AL102" s="20">
        <v>3.5</v>
      </c>
      <c r="AM102">
        <v>391.7</v>
      </c>
      <c r="AN102" s="20">
        <v>3.5</v>
      </c>
      <c r="AO102">
        <v>404.3</v>
      </c>
      <c r="AP102" s="20">
        <v>3.5</v>
      </c>
      <c r="AQ102">
        <v>454.1</v>
      </c>
      <c r="AR102" s="20">
        <v>3.5</v>
      </c>
      <c r="AS102">
        <v>612.9</v>
      </c>
      <c r="AT102" s="20">
        <v>3.5</v>
      </c>
      <c r="AU102">
        <v>658.3</v>
      </c>
      <c r="AV102" s="20">
        <v>3.5</v>
      </c>
      <c r="AW102">
        <v>643.20000000000005</v>
      </c>
      <c r="AX102" s="20">
        <v>3.5</v>
      </c>
      <c r="AY102">
        <v>833.5</v>
      </c>
      <c r="AZ102" s="20">
        <v>3.5</v>
      </c>
      <c r="BA102">
        <v>1129</v>
      </c>
      <c r="BB102" s="20">
        <v>3.5</v>
      </c>
      <c r="BC102">
        <v>1277</v>
      </c>
      <c r="BD102" s="20">
        <v>3.5</v>
      </c>
      <c r="BE102">
        <v>1367</v>
      </c>
      <c r="BF102" s="20">
        <v>3.5</v>
      </c>
      <c r="BG102">
        <v>1699</v>
      </c>
      <c r="BH102" s="20">
        <v>3.5</v>
      </c>
      <c r="BI102">
        <v>1814</v>
      </c>
    </row>
    <row r="103" spans="3:61">
      <c r="C103" s="5"/>
      <c r="D103" s="5">
        <v>4.5</v>
      </c>
      <c r="E103" s="4">
        <v>0.75590000000000002</v>
      </c>
      <c r="F103" s="4">
        <v>0.1</v>
      </c>
      <c r="H103" s="20">
        <v>4</v>
      </c>
      <c r="I103">
        <v>1.869</v>
      </c>
      <c r="J103" s="20">
        <v>4</v>
      </c>
      <c r="K103">
        <v>4.8570000000000002</v>
      </c>
      <c r="L103" s="20">
        <v>4</v>
      </c>
      <c r="M103">
        <v>9.7430000000000003</v>
      </c>
      <c r="N103" s="20">
        <v>4</v>
      </c>
      <c r="O103">
        <v>10.9</v>
      </c>
      <c r="P103" s="20">
        <v>4</v>
      </c>
      <c r="Q103">
        <v>5.7939999999999996</v>
      </c>
      <c r="R103" s="20">
        <v>4</v>
      </c>
      <c r="S103">
        <v>13.08</v>
      </c>
      <c r="T103" s="20">
        <v>4</v>
      </c>
      <c r="U103">
        <v>32.19</v>
      </c>
      <c r="V103" s="20">
        <v>4</v>
      </c>
      <c r="W103">
        <v>63.37</v>
      </c>
      <c r="X103" s="20">
        <v>4</v>
      </c>
      <c r="Y103">
        <v>70.55</v>
      </c>
      <c r="Z103" s="20">
        <v>4</v>
      </c>
      <c r="AA103">
        <v>30.01</v>
      </c>
      <c r="AB103" s="20">
        <v>4</v>
      </c>
      <c r="AC103">
        <v>82.93</v>
      </c>
      <c r="AD103" s="20">
        <v>4</v>
      </c>
      <c r="AE103">
        <v>67.86</v>
      </c>
      <c r="AF103" s="20">
        <v>4</v>
      </c>
      <c r="AG103">
        <v>180.9</v>
      </c>
      <c r="AH103" s="20">
        <v>4</v>
      </c>
      <c r="AI103">
        <v>192</v>
      </c>
      <c r="AJ103" s="20">
        <v>4</v>
      </c>
      <c r="AK103">
        <v>343.1</v>
      </c>
      <c r="AL103" s="20">
        <v>4</v>
      </c>
      <c r="AM103">
        <v>372.2</v>
      </c>
      <c r="AN103" s="20">
        <v>4</v>
      </c>
      <c r="AO103">
        <v>375.2</v>
      </c>
      <c r="AP103" s="20">
        <v>4</v>
      </c>
      <c r="AQ103">
        <v>435.4</v>
      </c>
      <c r="AR103" s="20">
        <v>4</v>
      </c>
      <c r="AS103">
        <v>593.20000000000005</v>
      </c>
      <c r="AT103" s="20">
        <v>4</v>
      </c>
      <c r="AU103">
        <v>637.1</v>
      </c>
      <c r="AV103" s="20">
        <v>4</v>
      </c>
      <c r="AW103">
        <v>623.4</v>
      </c>
      <c r="AX103" s="20">
        <v>4</v>
      </c>
      <c r="AY103">
        <v>802.5</v>
      </c>
      <c r="AZ103" s="20">
        <v>4</v>
      </c>
      <c r="BA103">
        <v>1098</v>
      </c>
      <c r="BB103" s="20">
        <v>4</v>
      </c>
      <c r="BC103">
        <v>1245</v>
      </c>
      <c r="BD103" s="20">
        <v>4</v>
      </c>
      <c r="BE103">
        <v>1333</v>
      </c>
      <c r="BF103" s="20">
        <v>4</v>
      </c>
      <c r="BG103">
        <v>1668</v>
      </c>
      <c r="BH103" s="20">
        <v>4</v>
      </c>
      <c r="BI103">
        <v>1781</v>
      </c>
    </row>
    <row r="104" spans="3:61">
      <c r="C104" s="5"/>
      <c r="D104" s="5">
        <v>4.7</v>
      </c>
      <c r="E104" s="4">
        <v>0.72509999999999997</v>
      </c>
      <c r="F104" s="4">
        <v>0.1</v>
      </c>
      <c r="G104">
        <f>'10A61 Liquid 3" ViscosityLINEST'!J18</f>
        <v>3.1977679354680606</v>
      </c>
      <c r="H104" s="20">
        <v>4.5</v>
      </c>
      <c r="I104">
        <v>1.671</v>
      </c>
      <c r="J104" s="20">
        <v>4.5</v>
      </c>
      <c r="K104">
        <v>4.3520000000000003</v>
      </c>
      <c r="L104" s="20">
        <v>4.5</v>
      </c>
      <c r="M104">
        <v>8.7100000000000009</v>
      </c>
      <c r="N104" s="20">
        <v>4.5</v>
      </c>
      <c r="O104">
        <v>9.7439999999999998</v>
      </c>
      <c r="P104" s="20">
        <v>4.5</v>
      </c>
      <c r="Q104">
        <v>5.181</v>
      </c>
      <c r="R104" s="20">
        <v>4.5</v>
      </c>
      <c r="S104">
        <v>11.74</v>
      </c>
      <c r="T104" s="20">
        <v>4.5</v>
      </c>
      <c r="U104">
        <v>28.87</v>
      </c>
      <c r="V104" s="20">
        <v>4.5</v>
      </c>
      <c r="W104">
        <v>57.21</v>
      </c>
      <c r="X104" s="20">
        <v>4.5</v>
      </c>
      <c r="Y104">
        <v>63.69</v>
      </c>
      <c r="Z104" s="20">
        <v>4.5</v>
      </c>
      <c r="AA104">
        <v>26.85</v>
      </c>
      <c r="AB104" s="20">
        <v>4.5</v>
      </c>
      <c r="AC104">
        <v>75.3</v>
      </c>
      <c r="AD104" s="20">
        <v>4.5</v>
      </c>
      <c r="AE104">
        <v>60.54</v>
      </c>
      <c r="AF104" s="20">
        <v>4.5</v>
      </c>
      <c r="AG104">
        <v>166.1</v>
      </c>
      <c r="AH104" s="20">
        <v>4.5</v>
      </c>
      <c r="AI104">
        <v>176.6</v>
      </c>
      <c r="AJ104" s="20">
        <v>4.5</v>
      </c>
      <c r="AK104">
        <v>321.3</v>
      </c>
      <c r="AL104" s="20">
        <v>4.5</v>
      </c>
      <c r="AM104">
        <v>355.8</v>
      </c>
      <c r="AN104" s="20">
        <v>4.5</v>
      </c>
      <c r="AO104">
        <v>351.4</v>
      </c>
      <c r="AP104" s="20">
        <v>4.5</v>
      </c>
      <c r="AQ104">
        <v>417.7</v>
      </c>
      <c r="AR104" s="20">
        <v>4.5</v>
      </c>
      <c r="AS104">
        <v>576.4</v>
      </c>
      <c r="AT104" s="20">
        <v>4.5</v>
      </c>
      <c r="AU104">
        <v>619.1</v>
      </c>
      <c r="AV104" s="20">
        <v>4.5</v>
      </c>
      <c r="AW104">
        <v>602.70000000000005</v>
      </c>
      <c r="AX104" s="20">
        <v>4.5</v>
      </c>
      <c r="AY104">
        <v>776.1</v>
      </c>
      <c r="AZ104" s="20">
        <v>4.5</v>
      </c>
      <c r="BA104">
        <v>1072</v>
      </c>
      <c r="BB104" s="20">
        <v>4.5</v>
      </c>
      <c r="BC104">
        <v>1218</v>
      </c>
      <c r="BD104" s="20">
        <v>4.5</v>
      </c>
      <c r="BE104">
        <v>1304</v>
      </c>
      <c r="BF104" s="20">
        <v>4.5</v>
      </c>
      <c r="BG104">
        <v>1641</v>
      </c>
      <c r="BH104" s="20">
        <v>4.5</v>
      </c>
      <c r="BI104">
        <v>1752</v>
      </c>
    </row>
    <row r="105" spans="3:61">
      <c r="C105" s="5"/>
      <c r="D105" s="5"/>
      <c r="E105" s="4"/>
      <c r="F105" s="4"/>
      <c r="H105" s="20">
        <v>5</v>
      </c>
      <c r="I105">
        <v>1.5149999999999999</v>
      </c>
      <c r="J105" s="20">
        <v>5</v>
      </c>
      <c r="K105">
        <v>3.883</v>
      </c>
      <c r="L105" s="20">
        <v>5</v>
      </c>
      <c r="M105">
        <v>7.8819999999999997</v>
      </c>
      <c r="N105" s="20">
        <v>5</v>
      </c>
      <c r="O105">
        <v>8.8140000000000001</v>
      </c>
      <c r="P105" s="20">
        <v>5</v>
      </c>
      <c r="Q105">
        <v>4.6760000000000002</v>
      </c>
      <c r="R105" s="20">
        <v>5</v>
      </c>
      <c r="S105">
        <v>10.52</v>
      </c>
      <c r="T105" s="20">
        <v>5</v>
      </c>
      <c r="U105">
        <v>26.17</v>
      </c>
      <c r="V105" s="20">
        <v>5</v>
      </c>
      <c r="W105">
        <v>52.17</v>
      </c>
      <c r="X105" s="20">
        <v>5</v>
      </c>
      <c r="Y105">
        <v>58.12</v>
      </c>
      <c r="Z105" s="20">
        <v>5</v>
      </c>
      <c r="AA105">
        <v>24.26</v>
      </c>
      <c r="AB105" s="20">
        <v>5</v>
      </c>
      <c r="AC105">
        <v>68.47</v>
      </c>
      <c r="AD105" s="20">
        <v>5</v>
      </c>
      <c r="AE105">
        <v>54.52</v>
      </c>
      <c r="AF105" s="20">
        <v>5</v>
      </c>
      <c r="AG105">
        <v>152.69999999999999</v>
      </c>
      <c r="AH105" s="20">
        <v>5</v>
      </c>
      <c r="AI105">
        <v>162.19999999999999</v>
      </c>
      <c r="AJ105" s="20">
        <v>5</v>
      </c>
      <c r="AK105">
        <v>302.3</v>
      </c>
      <c r="AL105" s="20">
        <v>5</v>
      </c>
      <c r="AM105">
        <v>336.8</v>
      </c>
      <c r="AN105" s="20">
        <v>5</v>
      </c>
      <c r="AO105">
        <v>331.3</v>
      </c>
      <c r="AP105" s="20">
        <v>5</v>
      </c>
      <c r="AQ105">
        <v>400.6</v>
      </c>
      <c r="AR105" s="20">
        <v>5</v>
      </c>
      <c r="AS105">
        <v>560.6</v>
      </c>
      <c r="AT105" s="20">
        <v>5</v>
      </c>
      <c r="AU105">
        <v>603.29999999999995</v>
      </c>
      <c r="AV105" s="20">
        <v>5</v>
      </c>
      <c r="AW105">
        <v>580.79999999999995</v>
      </c>
      <c r="AX105" s="20">
        <v>5</v>
      </c>
      <c r="AY105">
        <v>752.5</v>
      </c>
      <c r="AZ105" s="20">
        <v>5</v>
      </c>
      <c r="BA105">
        <v>1051</v>
      </c>
      <c r="BB105" s="20">
        <v>5</v>
      </c>
      <c r="BC105">
        <v>1193</v>
      </c>
      <c r="BD105" s="20">
        <v>5</v>
      </c>
      <c r="BE105">
        <v>1279</v>
      </c>
      <c r="BF105" s="20">
        <v>5</v>
      </c>
      <c r="BG105">
        <v>1616</v>
      </c>
      <c r="BH105" s="20">
        <v>5</v>
      </c>
      <c r="BI105">
        <v>1727</v>
      </c>
    </row>
    <row r="106" spans="3:61">
      <c r="C106" s="5"/>
      <c r="D106" s="5"/>
      <c r="E106" s="8"/>
      <c r="F106" s="8"/>
    </row>
    <row r="107" spans="3:61">
      <c r="C107" s="5"/>
      <c r="D107" s="5"/>
      <c r="E107" s="4"/>
      <c r="F107" s="4"/>
    </row>
    <row r="108" spans="3:61">
      <c r="C108" s="26">
        <v>1.49999999999999</v>
      </c>
      <c r="D108" s="26">
        <v>0.5</v>
      </c>
      <c r="E108" s="28">
        <v>5.5309999999999997</v>
      </c>
      <c r="F108" s="28">
        <v>0.8</v>
      </c>
      <c r="H108" s="20">
        <v>0.5</v>
      </c>
      <c r="I108">
        <v>11.75</v>
      </c>
      <c r="J108" s="20">
        <v>0.5</v>
      </c>
      <c r="K108">
        <v>23.98</v>
      </c>
      <c r="L108" s="20">
        <v>0.5</v>
      </c>
      <c r="M108">
        <v>37.36</v>
      </c>
      <c r="N108" s="20">
        <v>0.5</v>
      </c>
      <c r="O108">
        <v>39.840000000000003</v>
      </c>
      <c r="P108" s="20">
        <v>0.5</v>
      </c>
      <c r="Q108">
        <v>27.59</v>
      </c>
      <c r="R108" s="20">
        <v>0.5</v>
      </c>
      <c r="S108">
        <v>47.22</v>
      </c>
      <c r="T108" s="20">
        <v>0.5</v>
      </c>
      <c r="U108">
        <v>82.21</v>
      </c>
      <c r="V108" s="20">
        <v>0.5</v>
      </c>
      <c r="W108">
        <v>122.1</v>
      </c>
      <c r="X108" s="20">
        <v>0.5</v>
      </c>
      <c r="Y108">
        <v>129.80000000000001</v>
      </c>
      <c r="Z108" s="20">
        <v>0.5</v>
      </c>
      <c r="AA108">
        <v>102.1</v>
      </c>
      <c r="AB108" s="20">
        <v>0.5</v>
      </c>
      <c r="AC108">
        <v>199.2</v>
      </c>
      <c r="AD108" s="20">
        <v>0.5</v>
      </c>
      <c r="AE108">
        <v>155.19999999999999</v>
      </c>
      <c r="AF108" s="20">
        <v>0.5</v>
      </c>
      <c r="AG108">
        <v>291.5</v>
      </c>
      <c r="AH108" s="20">
        <v>0.5</v>
      </c>
      <c r="AI108">
        <v>331.7</v>
      </c>
      <c r="AJ108" s="20">
        <v>0.5</v>
      </c>
      <c r="AK108">
        <v>486.1</v>
      </c>
      <c r="AL108" s="20">
        <v>0.5</v>
      </c>
      <c r="AM108">
        <v>485.8</v>
      </c>
      <c r="AN108" s="20">
        <v>0.5</v>
      </c>
      <c r="AO108">
        <v>515.4</v>
      </c>
      <c r="AP108" s="20">
        <v>0.5</v>
      </c>
      <c r="AQ108">
        <v>612.5</v>
      </c>
      <c r="AR108" s="20">
        <v>0.5</v>
      </c>
      <c r="AS108">
        <v>700.7</v>
      </c>
      <c r="AT108" s="20">
        <v>0.5</v>
      </c>
      <c r="AU108">
        <v>742.4</v>
      </c>
      <c r="AV108" s="20">
        <v>0.5</v>
      </c>
      <c r="AW108">
        <v>767.3</v>
      </c>
      <c r="AX108" s="20">
        <v>0.5</v>
      </c>
      <c r="AY108">
        <v>1029</v>
      </c>
      <c r="AZ108" s="20">
        <v>0.5</v>
      </c>
      <c r="BA108">
        <v>1259</v>
      </c>
      <c r="BB108" s="20">
        <v>0.5</v>
      </c>
      <c r="BC108">
        <v>1504</v>
      </c>
      <c r="BD108" s="20">
        <v>0.5</v>
      </c>
      <c r="BE108">
        <v>1597</v>
      </c>
      <c r="BF108" s="20">
        <v>0.5</v>
      </c>
      <c r="BG108">
        <v>1808</v>
      </c>
      <c r="BH108" s="20">
        <v>0.5</v>
      </c>
      <c r="BI108">
        <v>1916</v>
      </c>
    </row>
    <row r="109" spans="3:61">
      <c r="C109" s="26"/>
      <c r="D109" s="26">
        <v>0.6</v>
      </c>
      <c r="E109" s="28">
        <v>4.7530000000000001</v>
      </c>
      <c r="F109" s="28">
        <v>0.6</v>
      </c>
      <c r="H109" s="20">
        <v>0.6</v>
      </c>
      <c r="I109">
        <v>10.33</v>
      </c>
      <c r="J109" s="20">
        <v>0.6</v>
      </c>
      <c r="K109">
        <v>22.23</v>
      </c>
      <c r="L109" s="20">
        <v>0.6</v>
      </c>
      <c r="M109">
        <v>36.11</v>
      </c>
      <c r="N109" s="20">
        <v>0.6</v>
      </c>
      <c r="O109">
        <v>38.69</v>
      </c>
      <c r="P109" s="20">
        <v>0.6</v>
      </c>
      <c r="Q109">
        <v>25.57</v>
      </c>
      <c r="R109" s="20">
        <v>0.6</v>
      </c>
      <c r="S109">
        <v>45.48</v>
      </c>
      <c r="T109" s="20">
        <v>0.6</v>
      </c>
      <c r="U109">
        <v>80.8</v>
      </c>
      <c r="V109" s="20">
        <v>0.6</v>
      </c>
      <c r="W109">
        <v>120.1</v>
      </c>
      <c r="X109" s="20">
        <v>0.6</v>
      </c>
      <c r="Y109">
        <v>128</v>
      </c>
      <c r="Z109" s="20">
        <v>0.6</v>
      </c>
      <c r="AA109">
        <v>98.45</v>
      </c>
      <c r="AB109" s="20">
        <v>0.6</v>
      </c>
      <c r="AC109">
        <v>194.5</v>
      </c>
      <c r="AD109" s="20">
        <v>0.6</v>
      </c>
      <c r="AE109">
        <v>152.80000000000001</v>
      </c>
      <c r="AF109" s="20">
        <v>0.6</v>
      </c>
      <c r="AG109">
        <v>286.7</v>
      </c>
      <c r="AH109" s="20">
        <v>0.6</v>
      </c>
      <c r="AI109">
        <v>330.1</v>
      </c>
      <c r="AJ109" s="20">
        <v>0.6</v>
      </c>
      <c r="AK109">
        <v>480.4</v>
      </c>
      <c r="AL109" s="20">
        <v>0.6</v>
      </c>
      <c r="AM109">
        <v>479.6</v>
      </c>
      <c r="AN109" s="20">
        <v>0.6</v>
      </c>
      <c r="AO109">
        <v>511.3</v>
      </c>
      <c r="AP109" s="20">
        <v>0.6</v>
      </c>
      <c r="AQ109">
        <v>600.20000000000005</v>
      </c>
      <c r="AR109" s="20">
        <v>0.6</v>
      </c>
      <c r="AS109">
        <v>700.7</v>
      </c>
      <c r="AT109" s="20">
        <v>0.6</v>
      </c>
      <c r="AU109">
        <v>742.4</v>
      </c>
      <c r="AV109" s="20">
        <v>0.6</v>
      </c>
      <c r="AW109">
        <v>762.3</v>
      </c>
      <c r="AX109" s="20">
        <v>0.6</v>
      </c>
      <c r="AY109">
        <v>1021</v>
      </c>
      <c r="AZ109" s="20">
        <v>0.6</v>
      </c>
      <c r="BA109">
        <v>1258</v>
      </c>
      <c r="BB109" s="20">
        <v>0.6</v>
      </c>
      <c r="BC109">
        <v>1490</v>
      </c>
      <c r="BD109" s="20">
        <v>0.6</v>
      </c>
      <c r="BE109">
        <v>1584</v>
      </c>
      <c r="BF109" s="20">
        <v>0.6</v>
      </c>
      <c r="BG109">
        <v>1808</v>
      </c>
      <c r="BH109" s="20">
        <v>0.6</v>
      </c>
      <c r="BI109">
        <v>1916</v>
      </c>
    </row>
    <row r="110" spans="3:61">
      <c r="C110" s="26"/>
      <c r="D110" s="26">
        <v>0.7</v>
      </c>
      <c r="E110" s="28">
        <v>4.181</v>
      </c>
      <c r="F110" s="28">
        <v>0.4</v>
      </c>
      <c r="H110" s="20">
        <v>0.7</v>
      </c>
      <c r="I110">
        <v>9.2330000000000005</v>
      </c>
      <c r="J110" s="20">
        <v>0.7</v>
      </c>
      <c r="K110">
        <v>20.55</v>
      </c>
      <c r="L110" s="20">
        <v>0.7</v>
      </c>
      <c r="M110">
        <v>34.799999999999997</v>
      </c>
      <c r="N110" s="20">
        <v>0.7</v>
      </c>
      <c r="O110">
        <v>37.549999999999997</v>
      </c>
      <c r="P110" s="20">
        <v>0.7</v>
      </c>
      <c r="Q110">
        <v>23.98</v>
      </c>
      <c r="R110" s="20">
        <v>0.7</v>
      </c>
      <c r="S110">
        <v>44.03</v>
      </c>
      <c r="T110" s="20">
        <v>0.7</v>
      </c>
      <c r="U110">
        <v>78.61</v>
      </c>
      <c r="V110" s="20">
        <v>0.7</v>
      </c>
      <c r="W110">
        <v>118.3</v>
      </c>
      <c r="X110" s="20">
        <v>0.7</v>
      </c>
      <c r="Y110">
        <v>126</v>
      </c>
      <c r="Z110" s="20">
        <v>0.7</v>
      </c>
      <c r="AA110">
        <v>93.64</v>
      </c>
      <c r="AB110" s="20">
        <v>0.7</v>
      </c>
      <c r="AC110">
        <v>190.3</v>
      </c>
      <c r="AD110" s="20">
        <v>0.7</v>
      </c>
      <c r="AE110">
        <v>148.69999999999999</v>
      </c>
      <c r="AF110" s="20">
        <v>0.7</v>
      </c>
      <c r="AG110">
        <v>282.5</v>
      </c>
      <c r="AH110" s="20">
        <v>0.7</v>
      </c>
      <c r="AI110">
        <v>326.5</v>
      </c>
      <c r="AJ110" s="20">
        <v>0.7</v>
      </c>
      <c r="AK110">
        <v>476.6</v>
      </c>
      <c r="AL110" s="20">
        <v>0.7</v>
      </c>
      <c r="AM110">
        <v>476</v>
      </c>
      <c r="AN110" s="20">
        <v>0.7</v>
      </c>
      <c r="AO110">
        <v>506.2</v>
      </c>
      <c r="AP110" s="20">
        <v>0.7</v>
      </c>
      <c r="AQ110">
        <v>589.79999999999995</v>
      </c>
      <c r="AR110" s="20">
        <v>0.7</v>
      </c>
      <c r="AS110">
        <v>699.1</v>
      </c>
      <c r="AT110" s="20">
        <v>0.7</v>
      </c>
      <c r="AU110">
        <v>742.4</v>
      </c>
      <c r="AV110" s="20">
        <v>0.7</v>
      </c>
      <c r="AW110">
        <v>758.1</v>
      </c>
      <c r="AX110" s="20">
        <v>0.7</v>
      </c>
      <c r="AY110">
        <v>1007</v>
      </c>
      <c r="AZ110" s="20">
        <v>0.7</v>
      </c>
      <c r="BA110">
        <v>1251</v>
      </c>
      <c r="BB110" s="20">
        <v>0.7</v>
      </c>
      <c r="BC110">
        <v>1479</v>
      </c>
      <c r="BD110" s="20">
        <v>0.7</v>
      </c>
      <c r="BE110">
        <v>1571</v>
      </c>
      <c r="BF110" s="20">
        <v>0.7</v>
      </c>
      <c r="BG110">
        <v>1808</v>
      </c>
      <c r="BH110" s="20">
        <v>0.7</v>
      </c>
      <c r="BI110">
        <v>1916</v>
      </c>
    </row>
    <row r="111" spans="3:61">
      <c r="C111" s="26"/>
      <c r="D111" s="26">
        <v>1</v>
      </c>
      <c r="E111" s="28">
        <v>2.9</v>
      </c>
      <c r="F111" s="28">
        <v>0.2</v>
      </c>
      <c r="H111" s="20">
        <v>0.8</v>
      </c>
      <c r="I111">
        <v>8.2949999999999999</v>
      </c>
      <c r="J111" s="20">
        <v>0.8</v>
      </c>
      <c r="K111">
        <v>19.190000000000001</v>
      </c>
      <c r="L111" s="20">
        <v>0.8</v>
      </c>
      <c r="M111">
        <v>32.97</v>
      </c>
      <c r="N111" s="20">
        <v>0.8</v>
      </c>
      <c r="O111">
        <v>35.76</v>
      </c>
      <c r="P111" s="20">
        <v>0.8</v>
      </c>
      <c r="Q111">
        <v>22.18</v>
      </c>
      <c r="R111" s="20">
        <v>0.8</v>
      </c>
      <c r="S111">
        <v>41.98</v>
      </c>
      <c r="T111" s="20">
        <v>0.8</v>
      </c>
      <c r="U111">
        <v>76.760000000000005</v>
      </c>
      <c r="V111" s="20">
        <v>0.8</v>
      </c>
      <c r="W111">
        <v>117</v>
      </c>
      <c r="X111" s="20">
        <v>0.8</v>
      </c>
      <c r="Y111">
        <v>124.6</v>
      </c>
      <c r="Z111" s="20">
        <v>0.8</v>
      </c>
      <c r="AA111">
        <v>89.43</v>
      </c>
      <c r="AB111" s="20">
        <v>0.8</v>
      </c>
      <c r="AC111">
        <v>185.8</v>
      </c>
      <c r="AD111" s="20">
        <v>0.8</v>
      </c>
      <c r="AE111">
        <v>144.9</v>
      </c>
      <c r="AF111" s="20">
        <v>0.8</v>
      </c>
      <c r="AG111">
        <v>279.2</v>
      </c>
      <c r="AH111" s="20">
        <v>0.8</v>
      </c>
      <c r="AI111">
        <v>323.39999999999998</v>
      </c>
      <c r="AJ111" s="20">
        <v>0.8</v>
      </c>
      <c r="AK111">
        <v>475.3</v>
      </c>
      <c r="AL111" s="20">
        <v>0.8</v>
      </c>
      <c r="AM111">
        <v>472.9</v>
      </c>
      <c r="AN111" s="20">
        <v>0.8</v>
      </c>
      <c r="AO111">
        <v>504.2</v>
      </c>
      <c r="AP111" s="20">
        <v>0.8</v>
      </c>
      <c r="AQ111">
        <v>581.4</v>
      </c>
      <c r="AR111" s="20">
        <v>0.8</v>
      </c>
      <c r="AS111">
        <v>692.3</v>
      </c>
      <c r="AT111" s="20">
        <v>0.8</v>
      </c>
      <c r="AU111">
        <v>736.6</v>
      </c>
      <c r="AV111" s="20">
        <v>0.8</v>
      </c>
      <c r="AW111">
        <v>750.1</v>
      </c>
      <c r="AX111" s="20">
        <v>0.8</v>
      </c>
      <c r="AY111">
        <v>994.4</v>
      </c>
      <c r="AZ111" s="20">
        <v>0.8</v>
      </c>
      <c r="BA111">
        <v>1245</v>
      </c>
      <c r="BB111" s="20">
        <v>0.8</v>
      </c>
      <c r="BC111">
        <v>1472</v>
      </c>
      <c r="BD111" s="20">
        <v>0.8</v>
      </c>
      <c r="BE111">
        <v>1563</v>
      </c>
      <c r="BF111" s="20">
        <v>0.8</v>
      </c>
      <c r="BG111">
        <v>1808</v>
      </c>
      <c r="BH111" s="20">
        <v>0.8</v>
      </c>
      <c r="BI111">
        <v>1916</v>
      </c>
    </row>
    <row r="112" spans="3:61">
      <c r="C112" s="26"/>
      <c r="D112" s="26">
        <v>1.5</v>
      </c>
      <c r="E112" s="28">
        <v>2.0219999999999998</v>
      </c>
      <c r="F112" s="28">
        <v>0.2</v>
      </c>
      <c r="H112" s="19">
        <v>0.9</v>
      </c>
      <c r="I112">
        <v>7.5209999999999999</v>
      </c>
      <c r="J112" s="19">
        <v>0.9</v>
      </c>
      <c r="K112">
        <v>17.739999999999998</v>
      </c>
      <c r="L112" s="19">
        <v>0.9</v>
      </c>
      <c r="M112">
        <v>31.23</v>
      </c>
      <c r="N112" s="19">
        <v>0.9</v>
      </c>
      <c r="O112">
        <v>34.08</v>
      </c>
      <c r="P112" s="19">
        <v>0.9</v>
      </c>
      <c r="Q112">
        <v>20.67</v>
      </c>
      <c r="R112" s="19">
        <v>0.9</v>
      </c>
      <c r="S112">
        <v>39.97</v>
      </c>
      <c r="T112" s="19">
        <v>0.9</v>
      </c>
      <c r="U112">
        <v>74.959999999999994</v>
      </c>
      <c r="V112" s="19">
        <v>0.9</v>
      </c>
      <c r="W112">
        <v>115.2</v>
      </c>
      <c r="X112" s="19">
        <v>0.9</v>
      </c>
      <c r="Y112">
        <v>123.3</v>
      </c>
      <c r="Z112" s="19">
        <v>0.9</v>
      </c>
      <c r="AA112">
        <v>84.12</v>
      </c>
      <c r="AB112" s="19">
        <v>0.9</v>
      </c>
      <c r="AC112">
        <v>181.5</v>
      </c>
      <c r="AD112" s="19">
        <v>0.9</v>
      </c>
      <c r="AE112">
        <v>141</v>
      </c>
      <c r="AF112" s="19">
        <v>0.9</v>
      </c>
      <c r="AG112">
        <v>276.39999999999998</v>
      </c>
      <c r="AH112" s="19">
        <v>0.9</v>
      </c>
      <c r="AI112">
        <v>318.8</v>
      </c>
      <c r="AJ112" s="19">
        <v>0.9</v>
      </c>
      <c r="AK112">
        <v>472.6</v>
      </c>
      <c r="AL112" s="19">
        <v>0.9</v>
      </c>
      <c r="AM112">
        <v>468.3</v>
      </c>
      <c r="AN112" s="19">
        <v>0.9</v>
      </c>
      <c r="AO112">
        <v>502.9</v>
      </c>
      <c r="AP112" s="19">
        <v>0.9</v>
      </c>
      <c r="AQ112">
        <v>574.4</v>
      </c>
      <c r="AR112" s="19">
        <v>0.9</v>
      </c>
      <c r="AS112">
        <v>687.4</v>
      </c>
      <c r="AT112" s="19">
        <v>0.9</v>
      </c>
      <c r="AU112">
        <v>730.4</v>
      </c>
      <c r="AV112" s="19">
        <v>0.9</v>
      </c>
      <c r="AW112">
        <v>741.7</v>
      </c>
      <c r="AX112" s="19">
        <v>0.9</v>
      </c>
      <c r="AY112">
        <v>981.8</v>
      </c>
      <c r="AZ112" s="19">
        <v>0.9</v>
      </c>
      <c r="BA112">
        <v>1239</v>
      </c>
      <c r="BB112" s="19">
        <v>0.9</v>
      </c>
      <c r="BC112">
        <v>1461</v>
      </c>
      <c r="BD112" s="19">
        <v>0.9</v>
      </c>
      <c r="BE112">
        <v>1556</v>
      </c>
      <c r="BF112" s="19">
        <v>0.9</v>
      </c>
      <c r="BG112">
        <v>1804</v>
      </c>
      <c r="BH112" s="19">
        <v>0.9</v>
      </c>
      <c r="BI112">
        <v>1916</v>
      </c>
    </row>
    <row r="113" spans="3:61">
      <c r="C113" s="26"/>
      <c r="D113" s="26">
        <v>2</v>
      </c>
      <c r="E113" s="28">
        <v>1.5289999999999999</v>
      </c>
      <c r="F113" s="28">
        <v>0.15</v>
      </c>
      <c r="G113">
        <f>'10A61 Liquid 3" ViscosityLINEST'!J19</f>
        <v>2.9043208666255484</v>
      </c>
      <c r="H113" s="20">
        <v>1</v>
      </c>
      <c r="I113">
        <v>6.89</v>
      </c>
      <c r="J113" s="20">
        <v>1</v>
      </c>
      <c r="K113">
        <v>16.420000000000002</v>
      </c>
      <c r="L113" s="20">
        <v>1</v>
      </c>
      <c r="M113">
        <v>29.59</v>
      </c>
      <c r="N113" s="20">
        <v>1</v>
      </c>
      <c r="O113">
        <v>32.299999999999997</v>
      </c>
      <c r="P113" s="20">
        <v>1</v>
      </c>
      <c r="Q113">
        <v>19.100000000000001</v>
      </c>
      <c r="R113" s="20">
        <v>1</v>
      </c>
      <c r="S113">
        <v>38.25</v>
      </c>
      <c r="T113" s="20">
        <v>1</v>
      </c>
      <c r="U113">
        <v>73.319999999999993</v>
      </c>
      <c r="V113" s="20">
        <v>1</v>
      </c>
      <c r="W113">
        <v>113</v>
      </c>
      <c r="X113" s="20">
        <v>1</v>
      </c>
      <c r="Y113">
        <v>121</v>
      </c>
      <c r="Z113" s="20">
        <v>1</v>
      </c>
      <c r="AA113">
        <v>79.319999999999993</v>
      </c>
      <c r="AB113" s="20">
        <v>1</v>
      </c>
      <c r="AC113">
        <v>177.8</v>
      </c>
      <c r="AD113" s="20">
        <v>1</v>
      </c>
      <c r="AE113">
        <v>137.4</v>
      </c>
      <c r="AF113" s="20">
        <v>1</v>
      </c>
      <c r="AG113">
        <v>273.8</v>
      </c>
      <c r="AH113" s="20">
        <v>1</v>
      </c>
      <c r="AI113">
        <v>314.10000000000002</v>
      </c>
      <c r="AJ113" s="20">
        <v>1</v>
      </c>
      <c r="AK113">
        <v>469.1</v>
      </c>
      <c r="AL113" s="20">
        <v>1</v>
      </c>
      <c r="AM113">
        <v>463.6</v>
      </c>
      <c r="AN113" s="20">
        <v>1</v>
      </c>
      <c r="AO113">
        <v>499.1</v>
      </c>
      <c r="AP113" s="20">
        <v>1</v>
      </c>
      <c r="AQ113">
        <v>568.1</v>
      </c>
      <c r="AR113" s="20">
        <v>1</v>
      </c>
      <c r="AS113">
        <v>683.8</v>
      </c>
      <c r="AT113" s="20">
        <v>1</v>
      </c>
      <c r="AU113">
        <v>726.6</v>
      </c>
      <c r="AV113" s="20">
        <v>1</v>
      </c>
      <c r="AW113">
        <v>734.1</v>
      </c>
      <c r="AX113" s="20">
        <v>1</v>
      </c>
      <c r="AY113">
        <v>970.2</v>
      </c>
      <c r="AZ113" s="20">
        <v>1</v>
      </c>
      <c r="BA113">
        <v>1235</v>
      </c>
      <c r="BB113" s="20">
        <v>1</v>
      </c>
      <c r="BC113">
        <v>1447</v>
      </c>
      <c r="BD113" s="20">
        <v>1</v>
      </c>
      <c r="BE113">
        <v>1541</v>
      </c>
      <c r="BF113" s="20">
        <v>1</v>
      </c>
      <c r="BG113">
        <v>1797</v>
      </c>
      <c r="BH113" s="20">
        <v>1</v>
      </c>
      <c r="BI113">
        <v>1908</v>
      </c>
    </row>
    <row r="114" spans="3:61">
      <c r="C114" s="5"/>
      <c r="D114" s="5">
        <v>2.5</v>
      </c>
      <c r="E114" s="4">
        <v>1.2030000000000001</v>
      </c>
      <c r="F114" s="4">
        <v>0.15</v>
      </c>
      <c r="H114" s="20">
        <v>1.5</v>
      </c>
      <c r="I114">
        <v>4.7160000000000002</v>
      </c>
      <c r="J114" s="20">
        <v>1.5</v>
      </c>
      <c r="K114">
        <v>11.92</v>
      </c>
      <c r="L114" s="20">
        <v>1.5</v>
      </c>
      <c r="M114">
        <v>22.86</v>
      </c>
      <c r="N114" s="20">
        <v>1.5</v>
      </c>
      <c r="O114">
        <v>25.26</v>
      </c>
      <c r="P114" s="20">
        <v>1.5</v>
      </c>
      <c r="Q114">
        <v>13.39</v>
      </c>
      <c r="R114" s="20">
        <v>1.5</v>
      </c>
      <c r="S114">
        <v>30.26</v>
      </c>
      <c r="T114" s="20">
        <v>1.5</v>
      </c>
      <c r="U114">
        <v>64.069999999999993</v>
      </c>
      <c r="V114" s="20">
        <v>1.5</v>
      </c>
      <c r="W114">
        <v>104.4</v>
      </c>
      <c r="X114" s="20">
        <v>1.5</v>
      </c>
      <c r="Y114">
        <v>111.9</v>
      </c>
      <c r="Z114" s="20">
        <v>1.5</v>
      </c>
      <c r="AA114">
        <v>61.35</v>
      </c>
      <c r="AB114" s="20">
        <v>1.5</v>
      </c>
      <c r="AC114">
        <v>155.6</v>
      </c>
      <c r="AD114" s="20">
        <v>1.5</v>
      </c>
      <c r="AE114">
        <v>121</v>
      </c>
      <c r="AF114" s="20">
        <v>1.5</v>
      </c>
      <c r="AG114">
        <v>255.3</v>
      </c>
      <c r="AH114" s="20">
        <v>1.5</v>
      </c>
      <c r="AI114">
        <v>292.7</v>
      </c>
      <c r="AJ114" s="20">
        <v>1.5</v>
      </c>
      <c r="AK114">
        <v>448.4</v>
      </c>
      <c r="AL114" s="20">
        <v>1.5</v>
      </c>
      <c r="AM114">
        <v>447</v>
      </c>
      <c r="AN114" s="20">
        <v>1.5</v>
      </c>
      <c r="AO114">
        <v>479</v>
      </c>
      <c r="AP114" s="20">
        <v>1.5</v>
      </c>
      <c r="AQ114">
        <v>530.79999999999995</v>
      </c>
      <c r="AR114" s="20">
        <v>1.5</v>
      </c>
      <c r="AS114">
        <v>663.2</v>
      </c>
      <c r="AT114" s="20">
        <v>1.5</v>
      </c>
      <c r="AU114">
        <v>706.5</v>
      </c>
      <c r="AV114" s="20">
        <v>1.5</v>
      </c>
      <c r="AW114">
        <v>705.6</v>
      </c>
      <c r="AX114" s="20">
        <v>1.5</v>
      </c>
      <c r="AY114">
        <v>928.6</v>
      </c>
      <c r="AZ114" s="20">
        <v>1.5</v>
      </c>
      <c r="BA114">
        <v>1199</v>
      </c>
      <c r="BB114" s="20">
        <v>1.5</v>
      </c>
      <c r="BC114">
        <v>1387</v>
      </c>
      <c r="BD114" s="20">
        <v>1.5</v>
      </c>
      <c r="BE114">
        <v>1479</v>
      </c>
      <c r="BF114" s="20">
        <v>1.5</v>
      </c>
      <c r="BG114">
        <v>1771</v>
      </c>
      <c r="BH114" s="20">
        <v>1.5</v>
      </c>
      <c r="BI114">
        <v>1880</v>
      </c>
    </row>
    <row r="115" spans="3:61">
      <c r="C115" s="5"/>
      <c r="D115" s="5">
        <v>3</v>
      </c>
      <c r="E115" s="4">
        <v>1.0109999999999999</v>
      </c>
      <c r="F115" s="4">
        <v>0.1</v>
      </c>
      <c r="H115" s="20">
        <v>2</v>
      </c>
      <c r="I115">
        <v>3.5870000000000002</v>
      </c>
      <c r="J115" s="20">
        <v>2</v>
      </c>
      <c r="K115">
        <v>9.2319999999999993</v>
      </c>
      <c r="L115" s="20">
        <v>2</v>
      </c>
      <c r="M115">
        <v>18.22</v>
      </c>
      <c r="N115" s="20">
        <v>2</v>
      </c>
      <c r="O115">
        <v>20.25</v>
      </c>
      <c r="P115" s="20">
        <v>2</v>
      </c>
      <c r="Q115">
        <v>10.26</v>
      </c>
      <c r="R115" s="20">
        <v>2</v>
      </c>
      <c r="S115">
        <v>23.57</v>
      </c>
      <c r="T115" s="20">
        <v>2</v>
      </c>
      <c r="U115">
        <v>55.59</v>
      </c>
      <c r="V115" s="20">
        <v>2</v>
      </c>
      <c r="W115">
        <v>94.93</v>
      </c>
      <c r="X115" s="20">
        <v>2</v>
      </c>
      <c r="Y115">
        <v>103</v>
      </c>
      <c r="Z115" s="20">
        <v>2</v>
      </c>
      <c r="AA115">
        <v>48.78</v>
      </c>
      <c r="AB115" s="20">
        <v>2</v>
      </c>
      <c r="AC115">
        <v>132.5</v>
      </c>
      <c r="AD115" s="20">
        <v>2</v>
      </c>
      <c r="AE115">
        <v>104.7</v>
      </c>
      <c r="AF115" s="20">
        <v>2</v>
      </c>
      <c r="AG115">
        <v>238</v>
      </c>
      <c r="AH115" s="20">
        <v>2</v>
      </c>
      <c r="AI115">
        <v>271.60000000000002</v>
      </c>
      <c r="AJ115" s="20">
        <v>2</v>
      </c>
      <c r="AK115">
        <v>426.6</v>
      </c>
      <c r="AL115" s="20">
        <v>2</v>
      </c>
      <c r="AM115">
        <v>430.5</v>
      </c>
      <c r="AN115" s="20">
        <v>2</v>
      </c>
      <c r="AO115">
        <v>457.2</v>
      </c>
      <c r="AP115" s="20">
        <v>2</v>
      </c>
      <c r="AQ115">
        <v>503.2</v>
      </c>
      <c r="AR115" s="20">
        <v>2</v>
      </c>
      <c r="AS115">
        <v>646.20000000000005</v>
      </c>
      <c r="AT115" s="20">
        <v>2</v>
      </c>
      <c r="AU115">
        <v>688.1</v>
      </c>
      <c r="AV115" s="20">
        <v>2</v>
      </c>
      <c r="AW115">
        <v>677.9</v>
      </c>
      <c r="AX115" s="20">
        <v>2</v>
      </c>
      <c r="AY115">
        <v>892.4</v>
      </c>
      <c r="AZ115" s="20">
        <v>2</v>
      </c>
      <c r="BA115">
        <v>1167</v>
      </c>
      <c r="BB115" s="20">
        <v>2</v>
      </c>
      <c r="BC115">
        <v>1344</v>
      </c>
      <c r="BD115" s="20">
        <v>2</v>
      </c>
      <c r="BE115">
        <v>1433</v>
      </c>
      <c r="BF115" s="20">
        <v>2</v>
      </c>
      <c r="BG115">
        <v>1735</v>
      </c>
      <c r="BH115" s="20">
        <v>2</v>
      </c>
      <c r="BI115">
        <v>1849</v>
      </c>
    </row>
    <row r="116" spans="3:61">
      <c r="C116" s="5"/>
      <c r="D116" s="5">
        <v>3.5</v>
      </c>
      <c r="E116" s="4">
        <v>0.87590000000000001</v>
      </c>
      <c r="F116" s="4">
        <v>0.1</v>
      </c>
      <c r="H116" s="20">
        <v>2.5</v>
      </c>
      <c r="I116">
        <v>2.9089999999999998</v>
      </c>
      <c r="J116" s="20">
        <v>2.5</v>
      </c>
      <c r="K116">
        <v>7.45</v>
      </c>
      <c r="L116" s="20">
        <v>2.5</v>
      </c>
      <c r="M116">
        <v>15.13</v>
      </c>
      <c r="N116" s="20">
        <v>2.5</v>
      </c>
      <c r="O116">
        <v>16.82</v>
      </c>
      <c r="P116" s="20">
        <v>2.5</v>
      </c>
      <c r="Q116">
        <v>8.3710000000000004</v>
      </c>
      <c r="R116" s="20">
        <v>2.5</v>
      </c>
      <c r="S116">
        <v>19.27</v>
      </c>
      <c r="T116" s="20">
        <v>2.5</v>
      </c>
      <c r="U116">
        <v>47.9</v>
      </c>
      <c r="V116" s="20">
        <v>2.5</v>
      </c>
      <c r="W116">
        <v>86.5</v>
      </c>
      <c r="X116" s="20">
        <v>2.5</v>
      </c>
      <c r="Y116">
        <v>90.06</v>
      </c>
      <c r="Z116" s="20">
        <v>2.5</v>
      </c>
      <c r="AA116">
        <v>40.93</v>
      </c>
      <c r="AB116" s="20">
        <v>2.5</v>
      </c>
      <c r="AC116">
        <v>114.6</v>
      </c>
      <c r="AD116" s="20">
        <v>2.5</v>
      </c>
      <c r="AE116">
        <v>90.07</v>
      </c>
      <c r="AF116" s="20">
        <v>2.5</v>
      </c>
      <c r="AG116">
        <v>221.2</v>
      </c>
      <c r="AH116" s="20">
        <v>2.5</v>
      </c>
      <c r="AI116">
        <v>248.4</v>
      </c>
      <c r="AJ116" s="20">
        <v>2.5</v>
      </c>
      <c r="AK116">
        <v>408.2</v>
      </c>
      <c r="AL116" s="20">
        <v>2.5</v>
      </c>
      <c r="AM116">
        <v>411.2</v>
      </c>
      <c r="AN116" s="20">
        <v>2.5</v>
      </c>
      <c r="AO116">
        <v>437.5</v>
      </c>
      <c r="AP116" s="20">
        <v>2.5</v>
      </c>
      <c r="AQ116">
        <v>476.3</v>
      </c>
      <c r="AR116" s="20">
        <v>2.5</v>
      </c>
      <c r="AS116">
        <v>633.79999999999995</v>
      </c>
      <c r="AT116" s="20">
        <v>2.5</v>
      </c>
      <c r="AU116">
        <v>674.9</v>
      </c>
      <c r="AV116" s="20">
        <v>2.5</v>
      </c>
      <c r="AW116">
        <v>651.20000000000005</v>
      </c>
      <c r="AX116" s="20">
        <v>2.5</v>
      </c>
      <c r="AY116">
        <v>856.3</v>
      </c>
      <c r="AZ116" s="20">
        <v>2.5</v>
      </c>
      <c r="BA116">
        <v>1140</v>
      </c>
      <c r="BB116" s="20">
        <v>2.5</v>
      </c>
      <c r="BC116">
        <v>1313</v>
      </c>
      <c r="BD116" s="20">
        <v>2.5</v>
      </c>
      <c r="BE116">
        <v>1400</v>
      </c>
      <c r="BF116" s="20">
        <v>2.5</v>
      </c>
      <c r="BG116">
        <v>1698</v>
      </c>
      <c r="BH116" s="20">
        <v>2.5</v>
      </c>
      <c r="BI116">
        <v>1809</v>
      </c>
    </row>
    <row r="117" spans="3:61">
      <c r="C117" s="5"/>
      <c r="D117" s="5">
        <v>4</v>
      </c>
      <c r="E117" s="4">
        <v>0.7722</v>
      </c>
      <c r="F117" s="4">
        <v>0.1</v>
      </c>
      <c r="H117" s="20">
        <v>3</v>
      </c>
      <c r="I117">
        <v>2.44</v>
      </c>
      <c r="J117" s="20">
        <v>3</v>
      </c>
      <c r="K117">
        <v>6.2640000000000002</v>
      </c>
      <c r="L117" s="20">
        <v>3</v>
      </c>
      <c r="M117">
        <v>12.72</v>
      </c>
      <c r="N117" s="20">
        <v>3</v>
      </c>
      <c r="O117">
        <v>14.25</v>
      </c>
      <c r="P117" s="20">
        <v>3</v>
      </c>
      <c r="Q117">
        <v>7.0940000000000003</v>
      </c>
      <c r="R117" s="20">
        <v>3</v>
      </c>
      <c r="S117">
        <v>16.28</v>
      </c>
      <c r="T117" s="20">
        <v>3</v>
      </c>
      <c r="U117">
        <v>40.89</v>
      </c>
      <c r="V117" s="20">
        <v>3</v>
      </c>
      <c r="W117">
        <v>77.81</v>
      </c>
      <c r="X117" s="20">
        <v>3</v>
      </c>
      <c r="Y117">
        <v>85.34</v>
      </c>
      <c r="Z117" s="20">
        <v>3</v>
      </c>
      <c r="AA117">
        <v>34.72</v>
      </c>
      <c r="AB117" s="20">
        <v>3</v>
      </c>
      <c r="AC117">
        <v>100.4</v>
      </c>
      <c r="AD117" s="20">
        <v>3</v>
      </c>
      <c r="AE117">
        <v>77.86</v>
      </c>
      <c r="AF117" s="20">
        <v>3</v>
      </c>
      <c r="AG117">
        <v>205.3</v>
      </c>
      <c r="AH117" s="20">
        <v>3</v>
      </c>
      <c r="AI117">
        <v>224.4</v>
      </c>
      <c r="AJ117" s="20">
        <v>3</v>
      </c>
      <c r="AK117">
        <v>384.3</v>
      </c>
      <c r="AL117" s="20">
        <v>3</v>
      </c>
      <c r="AM117">
        <v>393.3</v>
      </c>
      <c r="AN117" s="20">
        <v>3</v>
      </c>
      <c r="AO117">
        <v>415.4</v>
      </c>
      <c r="AP117" s="20">
        <v>3</v>
      </c>
      <c r="AQ117">
        <v>452.2</v>
      </c>
      <c r="AR117" s="20">
        <v>3</v>
      </c>
      <c r="AS117">
        <v>613.20000000000005</v>
      </c>
      <c r="AT117" s="20">
        <v>3</v>
      </c>
      <c r="AU117">
        <v>656.9</v>
      </c>
      <c r="AV117" s="20">
        <v>3</v>
      </c>
      <c r="AW117">
        <v>627.6</v>
      </c>
      <c r="AX117" s="20">
        <v>3</v>
      </c>
      <c r="AY117">
        <v>827.8</v>
      </c>
      <c r="AZ117" s="20">
        <v>3</v>
      </c>
      <c r="BA117">
        <v>1111</v>
      </c>
      <c r="BB117" s="20">
        <v>3</v>
      </c>
      <c r="BC117">
        <v>1272</v>
      </c>
      <c r="BD117" s="20">
        <v>3</v>
      </c>
      <c r="BE117">
        <v>1362</v>
      </c>
      <c r="BF117" s="20">
        <v>3</v>
      </c>
      <c r="BG117">
        <v>1669</v>
      </c>
      <c r="BH117" s="20">
        <v>3</v>
      </c>
      <c r="BI117">
        <v>1778</v>
      </c>
    </row>
    <row r="118" spans="3:61">
      <c r="C118" s="5"/>
      <c r="D118" s="5">
        <v>4.5</v>
      </c>
      <c r="E118" s="4">
        <v>0.68989999999999996</v>
      </c>
      <c r="F118" s="4">
        <v>0.1</v>
      </c>
      <c r="H118" s="20">
        <v>3.5</v>
      </c>
      <c r="I118">
        <v>2.0529999999999999</v>
      </c>
      <c r="J118" s="20">
        <v>3.5</v>
      </c>
      <c r="K118">
        <v>5.41</v>
      </c>
      <c r="L118" s="20">
        <v>3.5</v>
      </c>
      <c r="M118">
        <v>10.96</v>
      </c>
      <c r="N118" s="20">
        <v>3.5</v>
      </c>
      <c r="O118">
        <v>12.28</v>
      </c>
      <c r="P118" s="20">
        <v>3.5</v>
      </c>
      <c r="Q118">
        <v>6.0439999999999996</v>
      </c>
      <c r="R118" s="20">
        <v>3.5</v>
      </c>
      <c r="S118">
        <v>14.09</v>
      </c>
      <c r="T118" s="20">
        <v>3.5</v>
      </c>
      <c r="U118">
        <v>35.76</v>
      </c>
      <c r="V118" s="20">
        <v>3.5</v>
      </c>
      <c r="W118">
        <v>70.349999999999994</v>
      </c>
      <c r="X118" s="20">
        <v>3.5</v>
      </c>
      <c r="Y118">
        <v>77.84</v>
      </c>
      <c r="Z118" s="20">
        <v>3.5</v>
      </c>
      <c r="AA118">
        <v>30.16</v>
      </c>
      <c r="AB118" s="20">
        <v>3.5</v>
      </c>
      <c r="AC118">
        <v>88.25</v>
      </c>
      <c r="AD118" s="20">
        <v>3.5</v>
      </c>
      <c r="AE118">
        <v>68.23</v>
      </c>
      <c r="AF118" s="20">
        <v>3.5</v>
      </c>
      <c r="AG118">
        <v>188.5</v>
      </c>
      <c r="AH118" s="20">
        <v>3.5</v>
      </c>
      <c r="AI118">
        <v>205.9</v>
      </c>
      <c r="AJ118" s="20">
        <v>3.5</v>
      </c>
      <c r="AK118">
        <v>362</v>
      </c>
      <c r="AL118" s="20">
        <v>3.5</v>
      </c>
      <c r="AM118">
        <v>378.8</v>
      </c>
      <c r="AN118" s="20">
        <v>3.5</v>
      </c>
      <c r="AO118">
        <v>393.9</v>
      </c>
      <c r="AP118" s="20">
        <v>3.5</v>
      </c>
      <c r="AQ118">
        <v>432</v>
      </c>
      <c r="AR118" s="20">
        <v>3.5</v>
      </c>
      <c r="AS118">
        <v>594.29999999999995</v>
      </c>
      <c r="AT118" s="20">
        <v>3.5</v>
      </c>
      <c r="AU118">
        <v>637.79999999999995</v>
      </c>
      <c r="AV118" s="20">
        <v>3.5</v>
      </c>
      <c r="AW118">
        <v>610.79999999999995</v>
      </c>
      <c r="AX118" s="20">
        <v>3.5</v>
      </c>
      <c r="AY118">
        <v>804.3</v>
      </c>
      <c r="AZ118" s="20">
        <v>3.5</v>
      </c>
      <c r="BA118">
        <v>1088</v>
      </c>
      <c r="BB118" s="20">
        <v>3.5</v>
      </c>
      <c r="BC118">
        <v>1236</v>
      </c>
      <c r="BD118" s="20">
        <v>3.5</v>
      </c>
      <c r="BE118">
        <v>1324</v>
      </c>
      <c r="BF118" s="20">
        <v>3.5</v>
      </c>
      <c r="BG118">
        <v>1643</v>
      </c>
      <c r="BH118" s="20">
        <v>3.5</v>
      </c>
      <c r="BI118">
        <v>1753</v>
      </c>
    </row>
    <row r="119" spans="3:61">
      <c r="C119" s="5"/>
      <c r="D119" s="5">
        <v>4.7</v>
      </c>
      <c r="E119" s="4">
        <v>0.66180000000000005</v>
      </c>
      <c r="F119" s="4">
        <v>0.1</v>
      </c>
      <c r="G119">
        <f>'10A61 Liquid 3" ViscosityLINEST'!J20</f>
        <v>2.9595175654067765</v>
      </c>
      <c r="H119" s="20">
        <v>4</v>
      </c>
      <c r="I119">
        <v>1.7949999999999999</v>
      </c>
      <c r="J119" s="20">
        <v>4</v>
      </c>
      <c r="K119">
        <v>4.7750000000000004</v>
      </c>
      <c r="L119" s="20">
        <v>4</v>
      </c>
      <c r="M119">
        <v>9.6560000000000006</v>
      </c>
      <c r="N119" s="20">
        <v>4</v>
      </c>
      <c r="O119">
        <v>10.81</v>
      </c>
      <c r="P119" s="20">
        <v>4</v>
      </c>
      <c r="Q119">
        <v>5.2889999999999997</v>
      </c>
      <c r="R119" s="20">
        <v>4</v>
      </c>
      <c r="S119">
        <v>12.54</v>
      </c>
      <c r="T119" s="20">
        <v>4</v>
      </c>
      <c r="U119">
        <v>31.64</v>
      </c>
      <c r="V119" s="20">
        <v>4</v>
      </c>
      <c r="W119">
        <v>62.65</v>
      </c>
      <c r="X119" s="20">
        <v>4</v>
      </c>
      <c r="Y119">
        <v>69.8</v>
      </c>
      <c r="Z119" s="20">
        <v>4</v>
      </c>
      <c r="AA119">
        <v>26.66</v>
      </c>
      <c r="AB119" s="20">
        <v>4</v>
      </c>
      <c r="AC119">
        <v>79.44</v>
      </c>
      <c r="AD119" s="20">
        <v>4</v>
      </c>
      <c r="AE119">
        <v>60.27</v>
      </c>
      <c r="AF119" s="20">
        <v>4</v>
      </c>
      <c r="AG119">
        <v>173</v>
      </c>
      <c r="AH119" s="20">
        <v>4</v>
      </c>
      <c r="AI119">
        <v>187.6</v>
      </c>
      <c r="AJ119" s="20">
        <v>4</v>
      </c>
      <c r="AK119">
        <v>336</v>
      </c>
      <c r="AL119" s="20">
        <v>4</v>
      </c>
      <c r="AM119">
        <v>360.5</v>
      </c>
      <c r="AN119" s="20">
        <v>4</v>
      </c>
      <c r="AO119">
        <v>367.7</v>
      </c>
      <c r="AP119" s="20">
        <v>4</v>
      </c>
      <c r="AQ119">
        <v>414.3</v>
      </c>
      <c r="AR119" s="20">
        <v>4</v>
      </c>
      <c r="AS119">
        <v>575.29999999999995</v>
      </c>
      <c r="AT119" s="20">
        <v>4</v>
      </c>
      <c r="AU119">
        <v>618.20000000000005</v>
      </c>
      <c r="AV119" s="20">
        <v>4</v>
      </c>
      <c r="AW119">
        <v>592.6</v>
      </c>
      <c r="AX119" s="20">
        <v>4</v>
      </c>
      <c r="AY119">
        <v>775.3</v>
      </c>
      <c r="AZ119" s="20">
        <v>4</v>
      </c>
      <c r="BA119">
        <v>1059</v>
      </c>
      <c r="BB119" s="20">
        <v>4</v>
      </c>
      <c r="BC119">
        <v>1205</v>
      </c>
      <c r="BD119" s="20">
        <v>4</v>
      </c>
      <c r="BE119">
        <v>1291</v>
      </c>
      <c r="BF119" s="20">
        <v>4</v>
      </c>
      <c r="BG119">
        <v>1613</v>
      </c>
      <c r="BH119" s="20">
        <v>4</v>
      </c>
      <c r="BI119">
        <v>1722</v>
      </c>
    </row>
    <row r="120" spans="3:61">
      <c r="C120" s="5"/>
      <c r="D120" s="5"/>
      <c r="E120" s="4"/>
      <c r="F120" s="4"/>
      <c r="H120" s="20">
        <v>4.5</v>
      </c>
      <c r="I120">
        <v>1.605</v>
      </c>
      <c r="J120" s="20">
        <v>4.5</v>
      </c>
      <c r="K120">
        <v>4.2789999999999999</v>
      </c>
      <c r="L120" s="20">
        <v>4.5</v>
      </c>
      <c r="M120">
        <v>8.6329999999999991</v>
      </c>
      <c r="N120" s="20">
        <v>4.5</v>
      </c>
      <c r="O120">
        <v>9.6649999999999991</v>
      </c>
      <c r="P120" s="20">
        <v>4.5</v>
      </c>
      <c r="Q120">
        <v>4.7290000000000001</v>
      </c>
      <c r="R120" s="20">
        <v>4.5</v>
      </c>
      <c r="S120">
        <v>11.29</v>
      </c>
      <c r="T120" s="20">
        <v>4.5</v>
      </c>
      <c r="U120">
        <v>28.38</v>
      </c>
      <c r="V120" s="20">
        <v>4.5</v>
      </c>
      <c r="W120">
        <v>56.56</v>
      </c>
      <c r="X120" s="20">
        <v>4.5</v>
      </c>
      <c r="Y120">
        <v>63.01</v>
      </c>
      <c r="Z120" s="20">
        <v>4.5</v>
      </c>
      <c r="AA120">
        <v>23.82</v>
      </c>
      <c r="AB120" s="20">
        <v>4.5</v>
      </c>
      <c r="AC120">
        <v>72.28</v>
      </c>
      <c r="AD120" s="20">
        <v>4.5</v>
      </c>
      <c r="AE120">
        <v>53.68</v>
      </c>
      <c r="AF120" s="20">
        <v>4.5</v>
      </c>
      <c r="AG120">
        <v>159.19999999999999</v>
      </c>
      <c r="AH120" s="20">
        <v>4.5</v>
      </c>
      <c r="AI120">
        <v>172.6</v>
      </c>
      <c r="AJ120" s="20">
        <v>4.5</v>
      </c>
      <c r="AK120">
        <v>314.60000000000002</v>
      </c>
      <c r="AL120" s="20">
        <v>4.5</v>
      </c>
      <c r="AM120">
        <v>344.6</v>
      </c>
      <c r="AN120" s="20">
        <v>4.5</v>
      </c>
      <c r="AO120">
        <v>344.3</v>
      </c>
      <c r="AP120" s="20">
        <v>4.5</v>
      </c>
      <c r="AQ120">
        <v>398</v>
      </c>
      <c r="AR120" s="20">
        <v>4.5</v>
      </c>
      <c r="AS120">
        <v>558.9</v>
      </c>
      <c r="AT120" s="20">
        <v>4.5</v>
      </c>
      <c r="AU120">
        <v>600.70000000000005</v>
      </c>
      <c r="AV120" s="20">
        <v>4.5</v>
      </c>
      <c r="AW120">
        <v>573.9</v>
      </c>
      <c r="AX120" s="20">
        <v>4.5</v>
      </c>
      <c r="AY120">
        <v>749.8</v>
      </c>
      <c r="AZ120" s="20">
        <v>4.5</v>
      </c>
      <c r="BA120">
        <v>1033</v>
      </c>
      <c r="BB120" s="20">
        <v>4.5</v>
      </c>
      <c r="BC120">
        <v>1179</v>
      </c>
      <c r="BD120" s="20">
        <v>4.5</v>
      </c>
      <c r="BE120">
        <v>1263</v>
      </c>
      <c r="BF120" s="20">
        <v>4.5</v>
      </c>
      <c r="BG120">
        <v>1586</v>
      </c>
      <c r="BH120" s="20">
        <v>4.5</v>
      </c>
      <c r="BI120">
        <v>1694</v>
      </c>
    </row>
    <row r="121" spans="3:61">
      <c r="H121" s="20">
        <v>5</v>
      </c>
      <c r="I121">
        <v>1.45</v>
      </c>
      <c r="J121" s="20">
        <v>5</v>
      </c>
      <c r="K121">
        <v>3.8370000000000002</v>
      </c>
      <c r="L121" s="20">
        <v>5</v>
      </c>
      <c r="M121">
        <v>7.81</v>
      </c>
      <c r="N121" s="20">
        <v>5</v>
      </c>
      <c r="O121">
        <v>8.7430000000000003</v>
      </c>
      <c r="P121" s="20">
        <v>5</v>
      </c>
      <c r="Q121">
        <v>4.266</v>
      </c>
      <c r="R121" s="20">
        <v>5</v>
      </c>
      <c r="S121">
        <v>10.119999999999999</v>
      </c>
      <c r="T121" s="20">
        <v>5</v>
      </c>
      <c r="U121">
        <v>25.73</v>
      </c>
      <c r="V121" s="20">
        <v>5</v>
      </c>
      <c r="W121">
        <v>51.61</v>
      </c>
      <c r="X121" s="20">
        <v>5</v>
      </c>
      <c r="Y121">
        <v>57.5</v>
      </c>
      <c r="Z121" s="20">
        <v>5</v>
      </c>
      <c r="AA121">
        <v>21.53</v>
      </c>
      <c r="AB121" s="20">
        <v>5</v>
      </c>
      <c r="AC121">
        <v>65.72</v>
      </c>
      <c r="AD121" s="20">
        <v>5</v>
      </c>
      <c r="AE121">
        <v>48.34</v>
      </c>
      <c r="AF121" s="20">
        <v>5</v>
      </c>
      <c r="AG121">
        <v>146.4</v>
      </c>
      <c r="AH121" s="20">
        <v>5</v>
      </c>
      <c r="AI121">
        <v>159</v>
      </c>
      <c r="AJ121" s="20">
        <v>5</v>
      </c>
      <c r="AK121">
        <v>296.60000000000002</v>
      </c>
      <c r="AL121" s="20">
        <v>5</v>
      </c>
      <c r="AM121">
        <v>327.8</v>
      </c>
      <c r="AN121" s="20">
        <v>5</v>
      </c>
      <c r="AO121">
        <v>324.60000000000002</v>
      </c>
      <c r="AP121" s="20">
        <v>5</v>
      </c>
      <c r="AQ121">
        <v>381.6</v>
      </c>
      <c r="AR121" s="20">
        <v>5</v>
      </c>
      <c r="AS121">
        <v>544.70000000000005</v>
      </c>
      <c r="AT121" s="20">
        <v>5</v>
      </c>
      <c r="AU121">
        <v>585.4</v>
      </c>
      <c r="AV121" s="20">
        <v>5</v>
      </c>
      <c r="AW121">
        <v>553</v>
      </c>
      <c r="AX121" s="20">
        <v>5</v>
      </c>
      <c r="AY121">
        <v>727.2</v>
      </c>
      <c r="AZ121" s="20">
        <v>5</v>
      </c>
      <c r="BA121">
        <v>1013</v>
      </c>
      <c r="BB121" s="20">
        <v>5</v>
      </c>
      <c r="BC121">
        <v>1156</v>
      </c>
      <c r="BD121" s="20">
        <v>5</v>
      </c>
      <c r="BE121">
        <v>1239</v>
      </c>
      <c r="BF121" s="20">
        <v>5</v>
      </c>
      <c r="BG121">
        <v>1563</v>
      </c>
      <c r="BH121" s="20">
        <v>5</v>
      </c>
      <c r="BI121">
        <v>1670</v>
      </c>
    </row>
  </sheetData>
  <mergeCells count="30">
    <mergeCell ref="BH4:BI4"/>
    <mergeCell ref="AX4:AY4"/>
    <mergeCell ref="BB4:BC4"/>
    <mergeCell ref="AZ4:BA4"/>
    <mergeCell ref="BD4:BE4"/>
    <mergeCell ref="BF4:BG4"/>
    <mergeCell ref="AN4:AO4"/>
    <mergeCell ref="AP4:AQ4"/>
    <mergeCell ref="AT4:AU4"/>
    <mergeCell ref="AR4:AS4"/>
    <mergeCell ref="AV4:AW4"/>
    <mergeCell ref="AF4:AG4"/>
    <mergeCell ref="AH4:AI4"/>
    <mergeCell ref="AL4:AM4"/>
    <mergeCell ref="AJ4:AK4"/>
    <mergeCell ref="V4:W4"/>
    <mergeCell ref="X4:Y4"/>
    <mergeCell ref="Z4:AA4"/>
    <mergeCell ref="AB4:AC4"/>
    <mergeCell ref="AD4:AE4"/>
    <mergeCell ref="L4:M4"/>
    <mergeCell ref="N4:O4"/>
    <mergeCell ref="P4:Q4"/>
    <mergeCell ref="R4:S4"/>
    <mergeCell ref="T4:U4"/>
    <mergeCell ref="E2:F2"/>
    <mergeCell ref="E3:F3"/>
    <mergeCell ref="E4:G4"/>
    <mergeCell ref="H4:I4"/>
    <mergeCell ref="J4:K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452"/>
  <sheetViews>
    <sheetView showGridLines="0" showRowColHeaders="0" workbookViewId="0">
      <selection activeCell="N2" sqref="N2:Q3"/>
    </sheetView>
  </sheetViews>
  <sheetFormatPr defaultRowHeight="15"/>
  <cols>
    <col min="1" max="1" width="11.5703125" bestFit="1" customWidth="1"/>
    <col min="2" max="2" width="12.7109375" bestFit="1" customWidth="1"/>
    <col min="3" max="3" width="11.85546875" bestFit="1" customWidth="1"/>
    <col min="4" max="4" width="12" bestFit="1" customWidth="1"/>
    <col min="5" max="8" width="9.7109375" bestFit="1" customWidth="1"/>
  </cols>
  <sheetData>
    <row r="1" spans="1:10">
      <c r="B1" s="237"/>
      <c r="C1" s="237"/>
    </row>
    <row r="2" spans="1:10">
      <c r="B2" s="237"/>
      <c r="C2" s="237"/>
      <c r="D2" s="237"/>
      <c r="E2" s="237"/>
      <c r="F2" s="237"/>
      <c r="G2" s="237"/>
      <c r="H2" s="237"/>
    </row>
    <row r="3" spans="1:10">
      <c r="B3" s="3"/>
    </row>
    <row r="4" spans="1:10">
      <c r="A4" t="s">
        <v>54</v>
      </c>
      <c r="B4" s="237" t="s">
        <v>65</v>
      </c>
      <c r="C4" s="237"/>
      <c r="D4" s="237"/>
      <c r="E4" s="237"/>
      <c r="F4" s="237"/>
      <c r="G4" s="237"/>
      <c r="H4" s="237"/>
      <c r="I4" t="s">
        <v>66</v>
      </c>
      <c r="J4" t="s">
        <v>67</v>
      </c>
    </row>
    <row r="5" spans="1:10">
      <c r="B5" s="12"/>
      <c r="C5" s="12"/>
      <c r="D5" s="12"/>
      <c r="E5" s="12"/>
      <c r="F5" s="12"/>
      <c r="G5" s="12"/>
      <c r="H5" s="12"/>
    </row>
    <row r="6" spans="1:10">
      <c r="A6" t="s">
        <v>75</v>
      </c>
      <c r="B6" s="3"/>
    </row>
    <row r="7" spans="1:10">
      <c r="A7">
        <v>0.4</v>
      </c>
      <c r="B7" s="30">
        <f t="array" ref="B7:H7">LINEST('10A61 Liquid 3"'!E6:E10,'10A61 Liquid 3"'!D6:D10^{1,2,3,4})</f>
        <v>7.3404761904759601</v>
      </c>
      <c r="C7">
        <v>-37.979047619046582</v>
      </c>
      <c r="D7">
        <v>75.571166666664908</v>
      </c>
      <c r="E7">
        <v>-72.192809523808251</v>
      </c>
      <c r="F7">
        <v>33.462214285713998</v>
      </c>
      <c r="G7" t="e">
        <v>#N/A</v>
      </c>
      <c r="H7" t="e">
        <v>#N/A</v>
      </c>
      <c r="I7">
        <f>COUNT(B7:H7)-1</f>
        <v>4</v>
      </c>
      <c r="J7">
        <f>'10A61 Liquid 3" ViscosityLINEST'!B7*'10A61 Liquid 3"'!$B$4^'10A61 Liquid 3" ViscosityLINEST'!I7+'10A61 Liquid 3" ViscosityLINEST'!C7*'10A61 Liquid 3"'!$B$4^('10A61 Liquid 3" ViscosityLINEST'!I7-1)+'10A61 Liquid 3" ViscosityLINEST'!D7*'10A61 Liquid 3"'!$B$4^('10A61 Liquid 3" ViscosityLINEST'!I7-2)+'10A61 Liquid 3" ViscosityLINEST'!E7*'10A61 Liquid 3"'!$B$4^('10A61 Liquid 3" ViscosityLINEST'!I7-3)+'10A61 Liquid 3" ViscosityLINEST'!F7*'10A61 Liquid 3"'!$B$4^('10A61 Liquid 3" ViscosityLINEST'!I7-4)</f>
        <v>6.2020000000000337</v>
      </c>
    </row>
    <row r="8" spans="1:10">
      <c r="B8" s="30">
        <f t="array" ref="B8:H8">LINEST('10A61 Liquid 3"'!E10:E14,'10A61 Liquid 3"'!D10:D14^{1,2,3,4})</f>
        <v>0.15787802840434179</v>
      </c>
      <c r="C8">
        <v>-1.8369022556390788</v>
      </c>
      <c r="D8">
        <v>8.1948713450292026</v>
      </c>
      <c r="E8">
        <v>-17.318285714285722</v>
      </c>
      <c r="F8">
        <v>17.129255639097789</v>
      </c>
      <c r="G8" t="e">
        <v>#N/A</v>
      </c>
      <c r="H8" t="e">
        <v>#N/A</v>
      </c>
      <c r="I8">
        <f>COUNT(B8:H8)-1</f>
        <v>4</v>
      </c>
      <c r="J8">
        <f>'10A61 Liquid 3" ViscosityLINEST'!B8*'10A61 Liquid 3"'!$B$4^'10A61 Liquid 3" ViscosityLINEST'!I8+'10A61 Liquid 3" ViscosityLINEST'!C8*'10A61 Liquid 3"'!$B$4^('10A61 Liquid 3" ViscosityLINEST'!I8-1)+'10A61 Liquid 3" ViscosityLINEST'!D8*'10A61 Liquid 3"'!$B$4^('10A61 Liquid 3" ViscosityLINEST'!I8-2)+'10A61 Liquid 3" ViscosityLINEST'!E8*'10A61 Liquid 3"'!$B$4^('10A61 Liquid 3" ViscosityLINEST'!I8-3)+'10A61 Liquid 3" ViscosityLINEST'!F8*'10A61 Liquid 3"'!$B$4^('10A61 Liquid 3" ViscosityLINEST'!I8-4)</f>
        <v>6.3268170426065318</v>
      </c>
    </row>
    <row r="9" spans="1:10">
      <c r="A9">
        <v>0.6</v>
      </c>
      <c r="B9">
        <f t="array" ref="B9:H9">LINEST('10A61 Liquid 3"'!E23:E28,'10A61 Liquid 3"'!D23:D28^{1,2,3,4})</f>
        <v>2.3857402257892892</v>
      </c>
      <c r="C9">
        <v>-15.135437235303087</v>
      </c>
      <c r="D9">
        <v>36.946890381537138</v>
      </c>
      <c r="E9">
        <v>-43.404275008143259</v>
      </c>
      <c r="F9">
        <v>24.781472587349548</v>
      </c>
      <c r="G9" t="e">
        <v>#N/A</v>
      </c>
      <c r="H9" t="e">
        <v>#N/A</v>
      </c>
      <c r="I9">
        <f t="shared" ref="I9:I10" si="0">COUNT(B9:H9)-1</f>
        <v>4</v>
      </c>
      <c r="J9">
        <f>'10A61 Liquid 3" ViscosityLINEST'!B9*'10A61 Liquid 3"'!$B$4^'10A61 Liquid 3" ViscosityLINEST'!I9+'10A61 Liquid 3" ViscosityLINEST'!C9*'10A61 Liquid 3"'!$B$4^('10A61 Liquid 3" ViscosityLINEST'!I9-1)+'10A61 Liquid 3" ViscosityLINEST'!D9*'10A61 Liquid 3"'!$B$4^('10A61 Liquid 3" ViscosityLINEST'!I9-2)+'10A61 Liquid 3" ViscosityLINEST'!E9*'10A61 Liquid 3"'!$B$4^('10A61 Liquid 3" ViscosityLINEST'!I9-3)+'10A61 Liquid 3" ViscosityLINEST'!F9*'10A61 Liquid 3"'!$B$4^('10A61 Liquid 3" ViscosityLINEST'!I9-4)</f>
        <v>5.5743909512296312</v>
      </c>
    </row>
    <row r="10" spans="1:10">
      <c r="B10">
        <f t="array" ref="B10:H10">LINEST('10A61 Liquid 3"'!E28:E32,'10A61 Liquid 3"'!D28:D32^{1,2,3,4})</f>
        <v>4.7528933055248031E-2</v>
      </c>
      <c r="C10">
        <v>-0.66950660450657928</v>
      </c>
      <c r="D10">
        <v>3.6402633930395218</v>
      </c>
      <c r="E10">
        <v>-9.482662669201634</v>
      </c>
      <c r="F10">
        <v>11.817452214451762</v>
      </c>
      <c r="G10" t="e">
        <v>#N/A</v>
      </c>
      <c r="H10" t="e">
        <v>#N/A</v>
      </c>
      <c r="I10">
        <f t="shared" si="0"/>
        <v>4</v>
      </c>
      <c r="J10">
        <f>'10A61 Liquid 3" ViscosityLINEST'!B10*'10A61 Liquid 3"'!$B$4^'10A61 Liquid 3" ViscosityLINEST'!I10+'10A61 Liquid 3" ViscosityLINEST'!C10*'10A61 Liquid 3"'!$B$4^('10A61 Liquid 3" ViscosityLINEST'!I10-1)+'10A61 Liquid 3" ViscosityLINEST'!D10*'10A61 Liquid 3"'!$B$4^('10A61 Liquid 3" ViscosityLINEST'!I10-2)+'10A61 Liquid 3" ViscosityLINEST'!E10*'10A61 Liquid 3"'!$B$4^('10A61 Liquid 3" ViscosityLINEST'!I10-3)+'10A61 Liquid 3" ViscosityLINEST'!F10*'10A61 Liquid 3"'!$B$4^('10A61 Liquid 3" ViscosityLINEST'!I10-4)</f>
        <v>5.353075266838319</v>
      </c>
    </row>
    <row r="11" spans="1:10">
      <c r="A11">
        <v>0.8</v>
      </c>
      <c r="B11">
        <f t="array" ref="B11:H11">LINEST('10A61 Liquid 3"'!E41:E47,'10A61 Liquid 3"'!D41:D47^{1,2,3,4})</f>
        <v>1.8627805217714601</v>
      </c>
      <c r="C11">
        <v>-12.184154489985387</v>
      </c>
      <c r="D11">
        <v>30.541113205881512</v>
      </c>
      <c r="E11">
        <v>-36.7075042371671</v>
      </c>
      <c r="F11">
        <v>21.461014956228365</v>
      </c>
      <c r="G11" t="e">
        <v>#N/A</v>
      </c>
      <c r="H11" t="e">
        <v>#N/A</v>
      </c>
      <c r="I11">
        <f t="shared" ref="I11:I14" si="1">COUNT(B11:H11)-1</f>
        <v>4</v>
      </c>
      <c r="J11">
        <f>'10A61 Liquid 3" ViscosityLINEST'!B11*'10A61 Liquid 3"'!$B$4^'10A61 Liquid 3" ViscosityLINEST'!I11+'10A61 Liquid 3" ViscosityLINEST'!C11*'10A61 Liquid 3"'!$B$4^('10A61 Liquid 3" ViscosityLINEST'!I11-1)+'10A61 Liquid 3" ViscosityLINEST'!D11*'10A61 Liquid 3"'!$B$4^('10A61 Liquid 3" ViscosityLINEST'!I11-2)+'10A61 Liquid 3" ViscosityLINEST'!E11*'10A61 Liquid 3"'!$B$4^('10A61 Liquid 3" ViscosityLINEST'!I11-3)+'10A61 Liquid 3" ViscosityLINEST'!F11*'10A61 Liquid 3"'!$B$4^('10A61 Liquid 3" ViscosityLINEST'!I11-4)</f>
        <v>4.97324995672885</v>
      </c>
    </row>
    <row r="12" spans="1:10">
      <c r="B12">
        <f t="array" ref="B12:H12">LINEST('10A61 Liquid 3"'!E47:E52,'10A61 Liquid 3"'!D47:D52^{1,2,3,4})</f>
        <v>3.4241786480434092E-2</v>
      </c>
      <c r="C12">
        <v>-0.51487447212889426</v>
      </c>
      <c r="D12">
        <v>2.9719372339678838</v>
      </c>
      <c r="E12">
        <v>-8.1474256100966862</v>
      </c>
      <c r="F12">
        <v>10.519080542258941</v>
      </c>
      <c r="G12" t="e">
        <v>#N/A</v>
      </c>
      <c r="H12" t="e">
        <v>#N/A</v>
      </c>
      <c r="I12">
        <f t="shared" si="1"/>
        <v>4</v>
      </c>
      <c r="J12">
        <f>'10A61 Liquid 3" ViscosityLINEST'!B12*'10A61 Liquid 3"'!$B$4^'10A61 Liquid 3" ViscosityLINEST'!I12+'10A61 Liquid 3" ViscosityLINEST'!C12*'10A61 Liquid 3"'!$B$4^('10A61 Liquid 3" ViscosityLINEST'!I12-1)+'10A61 Liquid 3" ViscosityLINEST'!D12*'10A61 Liquid 3"'!$B$4^('10A61 Liquid 3" ViscosityLINEST'!I12-2)+'10A61 Liquid 3" ViscosityLINEST'!E12*'10A61 Liquid 3"'!$B$4^('10A61 Liquid 3" ViscosityLINEST'!I12-3)+'10A61 Liquid 3" ViscosityLINEST'!F12*'10A61 Liquid 3"'!$B$4^('10A61 Liquid 3" ViscosityLINEST'!I12-4)</f>
        <v>4.8629594804816776</v>
      </c>
    </row>
    <row r="13" spans="1:10">
      <c r="A13">
        <v>1</v>
      </c>
      <c r="B13">
        <f t="array" ref="B13:H13">LINEST('10A61 Liquid 3"'!E57:E62,'10A61 Liquid 3"'!D57:D62^{1,2,3,4})</f>
        <v>1.4194453789938961</v>
      </c>
      <c r="C13">
        <v>-9.4071041858310007</v>
      </c>
      <c r="D13">
        <v>24.149744759184969</v>
      </c>
      <c r="E13">
        <v>-30.02696143339514</v>
      </c>
      <c r="F13">
        <v>18.263551709968993</v>
      </c>
      <c r="G13" t="e">
        <v>#N/A</v>
      </c>
      <c r="H13" t="e">
        <v>#N/A</v>
      </c>
      <c r="I13">
        <f t="shared" si="1"/>
        <v>4</v>
      </c>
      <c r="J13">
        <f>'10A61 Liquid 3" ViscosityLINEST'!B13*'10A61 Liquid 3"'!$B$4^'10A61 Liquid 3" ViscosityLINEST'!I13+'10A61 Liquid 3" ViscosityLINEST'!C13*'10A61 Liquid 3"'!$B$4^('10A61 Liquid 3" ViscosityLINEST'!I13-1)+'10A61 Liquid 3" ViscosityLINEST'!D13*'10A61 Liquid 3"'!$B$4^('10A61 Liquid 3" ViscosityLINEST'!I13-2)+'10A61 Liquid 3" ViscosityLINEST'!E13*'10A61 Liquid 3"'!$B$4^('10A61 Liquid 3" ViscosityLINEST'!I13-3)+'10A61 Liquid 3" ViscosityLINEST'!F13*'10A61 Liquid 3"'!$B$4^('10A61 Liquid 3" ViscosityLINEST'!I13-4)</f>
        <v>4.3986762289217189</v>
      </c>
    </row>
    <row r="14" spans="1:10">
      <c r="B14">
        <f t="array" ref="B14:H14">LINEST('10A61 Liquid 3"'!E62:E69,'10A61 Liquid 3"'!D62:D69^{1,2,3,4})</f>
        <v>3.2180070420798276E-2</v>
      </c>
      <c r="C14">
        <v>-0.48874746765629223</v>
      </c>
      <c r="D14">
        <v>2.8354515818404105</v>
      </c>
      <c r="E14">
        <v>-7.7489290447954922</v>
      </c>
      <c r="F14">
        <v>9.8136974912677069</v>
      </c>
      <c r="G14" t="e">
        <v>#N/A</v>
      </c>
      <c r="H14" t="e">
        <v>#N/A</v>
      </c>
      <c r="I14">
        <f t="shared" si="1"/>
        <v>4</v>
      </c>
      <c r="J14">
        <f>'10A61 Liquid 3" ViscosityLINEST'!B14*'10A61 Liquid 3"'!$B$4^'10A61 Liquid 3" ViscosityLINEST'!I14+'10A61 Liquid 3" ViscosityLINEST'!C14*'10A61 Liquid 3"'!$B$4^('10A61 Liquid 3" ViscosityLINEST'!I14-1)+'10A61 Liquid 3" ViscosityLINEST'!D14*'10A61 Liquid 3"'!$B$4^('10A61 Liquid 3" ViscosityLINEST'!I14-2)+'10A61 Liquid 3" ViscosityLINEST'!E14*'10A61 Liquid 3"'!$B$4^('10A61 Liquid 3" ViscosityLINEST'!I14-3)+'10A61 Liquid 3" ViscosityLINEST'!F14*'10A61 Liquid 3"'!$B$4^('10A61 Liquid 3" ViscosityLINEST'!I14-4)</f>
        <v>4.4436526310771312</v>
      </c>
    </row>
    <row r="15" spans="1:10">
      <c r="A15">
        <v>1.2</v>
      </c>
      <c r="B15">
        <f t="array" ref="B15:H15">LINEST('10A61 Liquid 3"'!E73:E78,'10A61 Liquid 3"'!D73:D78^{1,2,3,4})</f>
        <v>2.5050068251118729</v>
      </c>
      <c r="C15">
        <v>-14.082139311524559</v>
      </c>
      <c r="D15">
        <v>30.467164075572693</v>
      </c>
      <c r="E15">
        <v>-32.273440031228404</v>
      </c>
      <c r="F15">
        <v>17.229254129272498</v>
      </c>
      <c r="G15" t="e">
        <v>#N/A</v>
      </c>
      <c r="H15" t="e">
        <v>#N/A</v>
      </c>
      <c r="I15">
        <f t="shared" ref="I15:I16" si="2">COUNT(B15:H15)-1</f>
        <v>4</v>
      </c>
      <c r="J15">
        <f>'10A61 Liquid 3" ViscosityLINEST'!B15*'10A61 Liquid 3"'!$B$4^'10A61 Liquid 3" ViscosityLINEST'!I15+'10A61 Liquid 3" ViscosityLINEST'!C15*'10A61 Liquid 3"'!$B$4^('10A61 Liquid 3" ViscosityLINEST'!I15-1)+'10A61 Liquid 3" ViscosityLINEST'!D15*'10A61 Liquid 3"'!$B$4^('10A61 Liquid 3" ViscosityLINEST'!I15-2)+'10A61 Liquid 3" ViscosityLINEST'!E15*'10A61 Liquid 3"'!$B$4^('10A61 Liquid 3" ViscosityLINEST'!I15-3)+'10A61 Liquid 3" ViscosityLINEST'!F15*'10A61 Liquid 3"'!$B$4^('10A61 Liquid 3" ViscosityLINEST'!I15-4)</f>
        <v>3.8458456872041005</v>
      </c>
    </row>
    <row r="16" spans="1:10">
      <c r="B16">
        <f t="array" ref="B16:H16">LINEST('10A61 Liquid 3"'!E78:E84,'10A61 Liquid 3"'!D78:D84^{1,2,3,4})</f>
        <v>2.4764226746506184E-2</v>
      </c>
      <c r="C16">
        <v>-0.38616187497527216</v>
      </c>
      <c r="D16">
        <v>2.2994442475878043</v>
      </c>
      <c r="E16">
        <v>-6.4450343782526245</v>
      </c>
      <c r="F16">
        <v>8.358831358901174</v>
      </c>
      <c r="G16" t="e">
        <v>#N/A</v>
      </c>
      <c r="H16" t="e">
        <v>#N/A</v>
      </c>
      <c r="I16">
        <f t="shared" si="2"/>
        <v>4</v>
      </c>
      <c r="J16">
        <f>'10A61 Liquid 3" ViscosityLINEST'!B16*'10A61 Liquid 3"'!$B$4^'10A61 Liquid 3" ViscosityLINEST'!I16+'10A61 Liquid 3" ViscosityLINEST'!C16*'10A61 Liquid 3"'!$B$4^('10A61 Liquid 3" ViscosityLINEST'!I16-1)+'10A61 Liquid 3" ViscosityLINEST'!D16*'10A61 Liquid 3"'!$B$4^('10A61 Liquid 3" ViscosityLINEST'!I16-2)+'10A61 Liquid 3" ViscosityLINEST'!E16*'10A61 Liquid 3"'!$B$4^('10A61 Liquid 3" ViscosityLINEST'!I16-3)+'10A61 Liquid 3" ViscosityLINEST'!F16*'10A61 Liquid 3"'!$B$4^('10A61 Liquid 3" ViscosityLINEST'!I16-4)</f>
        <v>3.8518435800075874</v>
      </c>
    </row>
    <row r="17" spans="1:10">
      <c r="A17">
        <v>1.4</v>
      </c>
      <c r="B17">
        <f t="array" ref="B17:H17">LINEST('10A61 Liquid 3"'!E92:E98,'10A61 Liquid 3"'!D92:D98^{1,2,3,4})</f>
        <v>0.79543048681950312</v>
      </c>
      <c r="C17">
        <v>-5.7371933744741819</v>
      </c>
      <c r="D17">
        <v>15.809320511304788</v>
      </c>
      <c r="E17">
        <v>-20.771670649396096</v>
      </c>
      <c r="F17">
        <v>13.148824897907279</v>
      </c>
      <c r="G17" t="e">
        <v>#N/A</v>
      </c>
      <c r="H17" t="e">
        <v>#N/A</v>
      </c>
      <c r="I17">
        <f t="shared" ref="I17:I68" si="3">COUNT(B17:H17)-1</f>
        <v>4</v>
      </c>
      <c r="J17">
        <f>'10A61 Liquid 3" ViscosityLINEST'!B17*'10A61 Liquid 3"'!$B$4^'10A61 Liquid 3" ViscosityLINEST'!I17+'10A61 Liquid 3" ViscosityLINEST'!C17*'10A61 Liquid 3"'!$B$4^('10A61 Liquid 3" ViscosityLINEST'!I17-1)+'10A61 Liquid 3" ViscosityLINEST'!D17*'10A61 Liquid 3"'!$B$4^('10A61 Liquid 3" ViscosityLINEST'!I17-2)+'10A61 Liquid 3" ViscosityLINEST'!E17*'10A61 Liquid 3"'!$B$4^('10A61 Liquid 3" ViscosityLINEST'!I17-3)+'10A61 Liquid 3" ViscosityLINEST'!F17*'10A61 Liquid 3"'!$B$4^('10A61 Liquid 3" ViscosityLINEST'!I17-4)</f>
        <v>3.2447118721612931</v>
      </c>
    </row>
    <row r="18" spans="1:10">
      <c r="B18">
        <f t="array" ref="B18:H18">LINEST('10A61 Liquid 3"'!E98:E104,'10A61 Liquid 3"'!D98:D104^{1,2,3,4})</f>
        <v>1.9248042539319801E-2</v>
      </c>
      <c r="C18">
        <v>-0.30180537587628065</v>
      </c>
      <c r="D18">
        <v>1.8107598873488149</v>
      </c>
      <c r="E18">
        <v>-5.1354846321305621</v>
      </c>
      <c r="F18">
        <v>6.8050500135867686</v>
      </c>
      <c r="G18" t="e">
        <v>#N/A</v>
      </c>
      <c r="H18" t="e">
        <v>#N/A</v>
      </c>
      <c r="I18">
        <f t="shared" si="3"/>
        <v>4</v>
      </c>
      <c r="J18">
        <f>'10A61 Liquid 3" ViscosityLINEST'!B18*'10A61 Liquid 3"'!$B$4^'10A61 Liquid 3" ViscosityLINEST'!I18+'10A61 Liquid 3" ViscosityLINEST'!C18*'10A61 Liquid 3"'!$B$4^('10A61 Liquid 3" ViscosityLINEST'!I18-1)+'10A61 Liquid 3" ViscosityLINEST'!D18*'10A61 Liquid 3"'!$B$4^('10A61 Liquid 3" ViscosityLINEST'!I18-2)+'10A61 Liquid 3" ViscosityLINEST'!E18*'10A61 Liquid 3"'!$B$4^('10A61 Liquid 3" ViscosityLINEST'!I18-3)+'10A61 Liquid 3" ViscosityLINEST'!F18*'10A61 Liquid 3"'!$B$4^('10A61 Liquid 3" ViscosityLINEST'!I18-4)</f>
        <v>3.1977679354680606</v>
      </c>
    </row>
    <row r="19" spans="1:10">
      <c r="A19">
        <v>1.5</v>
      </c>
      <c r="B19">
        <f t="array" ref="B19:H19">LINEST('10A61 Liquid 3"'!E108:E113,'10A61 Liquid 3"'!D108:D113^{1,2,3,4})</f>
        <v>0.33160512828898009</v>
      </c>
      <c r="C19">
        <v>-3.4502126673886879</v>
      </c>
      <c r="D19">
        <v>11.748098728480389</v>
      </c>
      <c r="E19">
        <v>-17.442110340578935</v>
      </c>
      <c r="F19">
        <v>11.716940017823802</v>
      </c>
      <c r="G19" t="e">
        <v>#N/A</v>
      </c>
      <c r="H19" t="e">
        <v>#N/A</v>
      </c>
      <c r="I19">
        <f t="shared" si="3"/>
        <v>4</v>
      </c>
      <c r="J19">
        <f>'10A61 Liquid 3" ViscosityLINEST'!B19*'10A61 Liquid 3"'!$B$4^'10A61 Liquid 3" ViscosityLINEST'!I19+'10A61 Liquid 3" ViscosityLINEST'!C19*'10A61 Liquid 3"'!$B$4^('10A61 Liquid 3" ViscosityLINEST'!I19-1)+'10A61 Liquid 3" ViscosityLINEST'!D19*'10A61 Liquid 3"'!$B$4^('10A61 Liquid 3" ViscosityLINEST'!I19-2)+'10A61 Liquid 3" ViscosityLINEST'!E19*'10A61 Liquid 3"'!$B$4^('10A61 Liquid 3" ViscosityLINEST'!I19-3)+'10A61 Liquid 3" ViscosityLINEST'!F19*'10A61 Liquid 3"'!$B$4^('10A61 Liquid 3" ViscosityLINEST'!I19-4)</f>
        <v>2.9043208666255484</v>
      </c>
    </row>
    <row r="20" spans="1:10">
      <c r="B20">
        <f t="array" ref="B20:H20">LINEST('10A61 Liquid 3"'!E113:E119,'10A61 Liquid 3"'!D113:D119^{1,2,3,4})</f>
        <v>1.8607985650509855E-2</v>
      </c>
      <c r="C20">
        <v>-0.29051618702762849</v>
      </c>
      <c r="D20">
        <v>1.7333412275460356</v>
      </c>
      <c r="E20">
        <v>-4.8763786808830618</v>
      </c>
      <c r="F20">
        <v>6.374463220120921</v>
      </c>
      <c r="G20" t="e">
        <v>#N/A</v>
      </c>
      <c r="H20" t="e">
        <v>#N/A</v>
      </c>
      <c r="I20">
        <f t="shared" si="3"/>
        <v>4</v>
      </c>
      <c r="J20">
        <f>'10A61 Liquid 3" ViscosityLINEST'!B20*'10A61 Liquid 3"'!$B$4^'10A61 Liquid 3" ViscosityLINEST'!I20+'10A61 Liquid 3" ViscosityLINEST'!C20*'10A61 Liquid 3"'!$B$4^('10A61 Liquid 3" ViscosityLINEST'!I20-1)+'10A61 Liquid 3" ViscosityLINEST'!D20*'10A61 Liquid 3"'!$B$4^('10A61 Liquid 3" ViscosityLINEST'!I20-2)+'10A61 Liquid 3" ViscosityLINEST'!E20*'10A61 Liquid 3"'!$B$4^('10A61 Liquid 3" ViscosityLINEST'!I20-3)+'10A61 Liquid 3" ViscosityLINEST'!F20*'10A61 Liquid 3"'!$B$4^('10A61 Liquid 3" ViscosityLINEST'!I20-4)</f>
        <v>2.9595175654067765</v>
      </c>
    </row>
    <row r="22" spans="1:10">
      <c r="A22" t="s">
        <v>78</v>
      </c>
    </row>
    <row r="23" spans="1:10">
      <c r="A23">
        <v>0.4</v>
      </c>
      <c r="B23">
        <f t="array" ref="B23:H23">LINEST('10A61 Liquid 3"'!I6:I11,'10A61 Liquid 3"'!H6:H11^{1,2,3,4})</f>
        <v>56.249999999987338</v>
      </c>
      <c r="C23">
        <v>-183.2870370370006</v>
      </c>
      <c r="D23">
        <v>238.14583333329489</v>
      </c>
      <c r="E23">
        <v>-159.78677248675484</v>
      </c>
      <c r="F23">
        <v>58.930079365076388</v>
      </c>
      <c r="G23" t="e">
        <v>#N/A</v>
      </c>
      <c r="H23" t="e">
        <v>#N/A</v>
      </c>
      <c r="I23">
        <f t="shared" si="3"/>
        <v>4</v>
      </c>
      <c r="J23">
        <f>'10A61 Liquid 3" ViscosityLINEST'!B23*'10A61 Liquid 3"'!$B$4^'10A61 Liquid 3" ViscosityLINEST'!I23+'10A61 Liquid 3" ViscosityLINEST'!C23*'10A61 Liquid 3"'!$B$4^('10A61 Liquid 3" ViscosityLINEST'!I23-1)+'10A61 Liquid 3" ViscosityLINEST'!D23*'10A61 Liquid 3"'!$B$4^('10A61 Liquid 3" ViscosityLINEST'!I23-2)+'10A61 Liquid 3" ViscosityLINEST'!E23*'10A61 Liquid 3"'!$B$4^('10A61 Liquid 3" ViscosityLINEST'!I23-3)+'10A61 Liquid 3" ViscosityLINEST'!F23*'10A61 Liquid 3"'!$B$4^('10A61 Liquid 3" ViscosityLINEST'!I23-4)</f>
        <v>10.252103174603171</v>
      </c>
    </row>
    <row r="24" spans="1:10">
      <c r="B24">
        <f t="array" ref="B24:H24">LINEST('10A61 Liquid 3"'!I11:I18,'10A61 Liquid 3"'!H11:H18^{1,2,3,4})</f>
        <v>0.10586363636364292</v>
      </c>
      <c r="C24">
        <v>-1.4885606060606815</v>
      </c>
      <c r="D24">
        <v>7.9737007575760614</v>
      </c>
      <c r="E24">
        <v>-20.140419372294872</v>
      </c>
      <c r="F24">
        <v>23.786434523809806</v>
      </c>
      <c r="G24" t="e">
        <v>#N/A</v>
      </c>
      <c r="H24" t="e">
        <v>#N/A</v>
      </c>
      <c r="I24">
        <f t="shared" si="3"/>
        <v>4</v>
      </c>
      <c r="J24">
        <f>'10A61 Liquid 3" ViscosityLINEST'!B24*'10A61 Liquid 3"'!$B$4^'10A61 Liquid 3" ViscosityLINEST'!I24+'10A61 Liquid 3" ViscosityLINEST'!C24*'10A61 Liquid 3"'!$B$4^('10A61 Liquid 3" ViscosityLINEST'!I24-1)+'10A61 Liquid 3" ViscosityLINEST'!D24*'10A61 Liquid 3"'!$B$4^('10A61 Liquid 3" ViscosityLINEST'!I24-2)+'10A61 Liquid 3" ViscosityLINEST'!E24*'10A61 Liquid 3"'!$B$4^('10A61 Liquid 3" ViscosityLINEST'!I24-3)+'10A61 Liquid 3" ViscosityLINEST'!F24*'10A61 Liquid 3"'!$B$4^('10A61 Liquid 3" ViscosityLINEST'!I24-4)</f>
        <v>10.237018939393957</v>
      </c>
    </row>
    <row r="25" spans="1:10">
      <c r="A25">
        <v>0.6</v>
      </c>
      <c r="B25">
        <f t="array" ref="B25:H25">LINEST('10A61 Liquid 3"'!I23:I28,'10A61 Liquid 3"'!H23:H28^{1,2,3,4})</f>
        <v>41.87499999999995</v>
      </c>
      <c r="C25">
        <v>-147.24537037037177</v>
      </c>
      <c r="D25">
        <v>202.9270833333367</v>
      </c>
      <c r="E25">
        <v>-140.95343915344165</v>
      </c>
      <c r="F25">
        <v>52.995579365079941</v>
      </c>
      <c r="G25" t="e">
        <v>#N/A</v>
      </c>
      <c r="H25" t="e">
        <v>#N/A</v>
      </c>
      <c r="I25">
        <f t="shared" si="3"/>
        <v>4</v>
      </c>
      <c r="J25">
        <f>'10A61 Liquid 3" ViscosityLINEST'!B25*'10A61 Liquid 3"'!$B$4^'10A61 Liquid 3" ViscosityLINEST'!I25+'10A61 Liquid 3" ViscosityLINEST'!C25*'10A61 Liquid 3"'!$B$4^('10A61 Liquid 3" ViscosityLINEST'!I25-1)+'10A61 Liquid 3" ViscosityLINEST'!D25*'10A61 Liquid 3"'!$B$4^('10A61 Liquid 3" ViscosityLINEST'!I25-2)+'10A61 Liquid 3" ViscosityLINEST'!E25*'10A61 Liquid 3"'!$B$4^('10A61 Liquid 3" ViscosityLINEST'!I25-3)+'10A61 Liquid 3" ViscosityLINEST'!F25*'10A61 Liquid 3"'!$B$4^('10A61 Liquid 3" ViscosityLINEST'!I25-4)</f>
        <v>9.5988531746031569</v>
      </c>
    </row>
    <row r="26" spans="1:10">
      <c r="B26">
        <f t="array" ref="B26:H26">LINEST('10A61 Liquid 3"'!I28:I36,'10A61 Liquid 3"'!H28:H36^{1,2,3,4})</f>
        <v>7.5379953379950515E-2</v>
      </c>
      <c r="C26">
        <v>-1.1318793058792689</v>
      </c>
      <c r="D26">
        <v>6.4416398601396896</v>
      </c>
      <c r="E26">
        <v>-17.203272597772276</v>
      </c>
      <c r="F26">
        <v>21.384222222222029</v>
      </c>
      <c r="G26" t="e">
        <v>#N/A</v>
      </c>
      <c r="H26" t="e">
        <v>#N/A</v>
      </c>
      <c r="I26">
        <f t="shared" si="3"/>
        <v>4</v>
      </c>
      <c r="J26">
        <f>'10A61 Liquid 3" ViscosityLINEST'!B26*'10A61 Liquid 3"'!$B$4^'10A61 Liquid 3" ViscosityLINEST'!I26+'10A61 Liquid 3" ViscosityLINEST'!C26*'10A61 Liquid 3"'!$B$4^('10A61 Liquid 3" ViscosityLINEST'!I26-1)+'10A61 Liquid 3" ViscosityLINEST'!D26*'10A61 Liquid 3"'!$B$4^('10A61 Liquid 3" ViscosityLINEST'!I26-2)+'10A61 Liquid 3" ViscosityLINEST'!E26*'10A61 Liquid 3"'!$B$4^('10A61 Liquid 3" ViscosityLINEST'!I26-3)+'10A61 Liquid 3" ViscosityLINEST'!F26*'10A61 Liquid 3"'!$B$4^('10A61 Liquid 3" ViscosityLINEST'!I26-4)</f>
        <v>9.5660901320901246</v>
      </c>
    </row>
    <row r="27" spans="1:10">
      <c r="A27">
        <v>0.8</v>
      </c>
      <c r="B27">
        <f t="array" ref="B27:H27">LINEST('10A61 Liquid 3"'!I41:I46,'10A61 Liquid 3"'!H41:H46^{1,2,3,4})</f>
        <v>-60.624999999990379</v>
      </c>
      <c r="C27">
        <v>167.55092592589767</v>
      </c>
      <c r="D27">
        <v>-154.4645833333029</v>
      </c>
      <c r="E27">
        <v>38.286455026440763</v>
      </c>
      <c r="F27">
        <v>18.248658730161171</v>
      </c>
      <c r="G27" t="e">
        <v>#N/A</v>
      </c>
      <c r="H27" t="e">
        <v>#N/A</v>
      </c>
      <c r="I27">
        <f t="shared" si="3"/>
        <v>4</v>
      </c>
      <c r="J27">
        <f>'10A61 Liquid 3" ViscosityLINEST'!B27*'10A61 Liquid 3"'!$B$4^'10A61 Liquid 3" ViscosityLINEST'!I27+'10A61 Liquid 3" ViscosityLINEST'!C27*'10A61 Liquid 3"'!$B$4^('10A61 Liquid 3" ViscosityLINEST'!I27-1)+'10A61 Liquid 3" ViscosityLINEST'!D27*'10A61 Liquid 3"'!$B$4^('10A61 Liquid 3" ViscosityLINEST'!I27-2)+'10A61 Liquid 3" ViscosityLINEST'!E27*'10A61 Liquid 3"'!$B$4^('10A61 Liquid 3" ViscosityLINEST'!I27-3)+'10A61 Liquid 3" ViscosityLINEST'!F27*'10A61 Liquid 3"'!$B$4^('10A61 Liquid 3" ViscosityLINEST'!I27-4)</f>
        <v>8.9964563492063299</v>
      </c>
    </row>
    <row r="28" spans="1:10">
      <c r="B28">
        <f t="array" ref="B28:H28">LINEST('10A61 Liquid 3"'!I46:I54,'10A61 Liquid 3"'!H46:H54^{1,2,3,4})</f>
        <v>7.5701631701628691E-2</v>
      </c>
      <c r="C28">
        <v>-1.1182242942242546</v>
      </c>
      <c r="D28">
        <v>6.2560745920744099</v>
      </c>
      <c r="E28">
        <v>-16.443277259776917</v>
      </c>
      <c r="F28">
        <v>20.190388888888673</v>
      </c>
      <c r="G28" t="e">
        <v>#N/A</v>
      </c>
      <c r="H28" t="e">
        <v>#N/A</v>
      </c>
      <c r="I28">
        <f t="shared" si="3"/>
        <v>4</v>
      </c>
      <c r="J28">
        <f>'10A61 Liquid 3" ViscosityLINEST'!B28*'10A61 Liquid 3"'!$B$4^'10A61 Liquid 3" ViscosityLINEST'!I28+'10A61 Liquid 3" ViscosityLINEST'!C28*'10A61 Liquid 3"'!$B$4^('10A61 Liquid 3" ViscosityLINEST'!I28-1)+'10A61 Liquid 3" ViscosityLINEST'!D28*'10A61 Liquid 3"'!$B$4^('10A61 Liquid 3" ViscosityLINEST'!I28-2)+'10A61 Liquid 3" ViscosityLINEST'!E28*'10A61 Liquid 3"'!$B$4^('10A61 Liquid 3" ViscosityLINEST'!I28-3)+'10A61 Liquid 3" ViscosityLINEST'!F28*'10A61 Liquid 3"'!$B$4^('10A61 Liquid 3" ViscosityLINEST'!I28-4)</f>
        <v>8.9606635586635406</v>
      </c>
    </row>
    <row r="29" spans="1:10">
      <c r="A29">
        <v>1</v>
      </c>
      <c r="B29">
        <f t="array" ref="B29:H29">LINEST('10A61 Liquid 3"'!I57:I62,'10A61 Liquid 3"'!H57:H62^{1,2,3,4})</f>
        <v>5.6249999999954632</v>
      </c>
      <c r="C29">
        <v>-27.328703703690636</v>
      </c>
      <c r="D29">
        <v>54.789583333319541</v>
      </c>
      <c r="E29">
        <v>-57.305462962956639</v>
      </c>
      <c r="F29">
        <v>32.62872222222115</v>
      </c>
      <c r="G29" t="e">
        <v>#N/A</v>
      </c>
      <c r="H29" t="e">
        <v>#N/A</v>
      </c>
      <c r="I29">
        <f t="shared" si="3"/>
        <v>4</v>
      </c>
      <c r="J29">
        <f>'10A61 Liquid 3" ViscosityLINEST'!B29*'10A61 Liquid 3"'!$B$4^'10A61 Liquid 3" ViscosityLINEST'!I29+'10A61 Liquid 3" ViscosityLINEST'!C29*'10A61 Liquid 3"'!$B$4^('10A61 Liquid 3" ViscosityLINEST'!I29-1)+'10A61 Liquid 3" ViscosityLINEST'!D29*'10A61 Liquid 3"'!$B$4^('10A61 Liquid 3" ViscosityLINEST'!I29-2)+'10A61 Liquid 3" ViscosityLINEST'!E29*'10A61 Liquid 3"'!$B$4^('10A61 Liquid 3" ViscosityLINEST'!I29-3)+'10A61 Liquid 3" ViscosityLINEST'!F29*'10A61 Liquid 3"'!$B$4^('10A61 Liquid 3" ViscosityLINEST'!I29-4)</f>
        <v>8.4091388888888829</v>
      </c>
    </row>
    <row r="30" spans="1:10">
      <c r="B30">
        <f t="array" ref="B30:H30">LINEST('10A61 Liquid 3"'!I62:I70,'10A61 Liquid 3"'!H62:H70^{1,2,3,4})</f>
        <v>7.6046620046617303E-2</v>
      </c>
      <c r="C30">
        <v>-1.1083439523439158</v>
      </c>
      <c r="D30">
        <v>6.1042610722609041</v>
      </c>
      <c r="E30">
        <v>-15.777217042216726</v>
      </c>
      <c r="F30">
        <v>19.079888888888689</v>
      </c>
      <c r="G30" t="e">
        <v>#N/A</v>
      </c>
      <c r="H30" t="e">
        <v>#N/A</v>
      </c>
      <c r="I30">
        <f t="shared" si="3"/>
        <v>4</v>
      </c>
      <c r="J30">
        <f>'10A61 Liquid 3" ViscosityLINEST'!B30*'10A61 Liquid 3"'!$B$4^'10A61 Liquid 3" ViscosityLINEST'!I30+'10A61 Liquid 3" ViscosityLINEST'!C30*'10A61 Liquid 3"'!$B$4^('10A61 Liquid 3" ViscosityLINEST'!I30-1)+'10A61 Liquid 3" ViscosityLINEST'!D30*'10A61 Liquid 3"'!$B$4^('10A61 Liquid 3" ViscosityLINEST'!I30-2)+'10A61 Liquid 3" ViscosityLINEST'!E30*'10A61 Liquid 3"'!$B$4^('10A61 Liquid 3" ViscosityLINEST'!I30-3)+'10A61 Liquid 3" ViscosityLINEST'!F30*'10A61 Liquid 3"'!$B$4^('10A61 Liquid 3" ViscosityLINEST'!I30-4)</f>
        <v>8.3746355866355682</v>
      </c>
    </row>
    <row r="31" spans="1:10">
      <c r="A31">
        <v>1.2</v>
      </c>
      <c r="B31">
        <f t="array" ref="B31:H31">LINEST('10A61 Liquid 3"'!I73:I78,'10A61 Liquid 3"'!H73:H78^{1,2,3,4})</f>
        <v>39.166666666657036</v>
      </c>
      <c r="C31">
        <v>-126.87037037034253</v>
      </c>
      <c r="D31">
        <v>161.89166666663715</v>
      </c>
      <c r="E31">
        <v>-105.49629629628269</v>
      </c>
      <c r="F31">
        <v>39.104222222219917</v>
      </c>
      <c r="G31" t="e">
        <v>#N/A</v>
      </c>
      <c r="H31" t="e">
        <v>#N/A</v>
      </c>
      <c r="I31">
        <f t="shared" si="3"/>
        <v>4</v>
      </c>
      <c r="J31">
        <f>'10A61 Liquid 3" ViscosityLINEST'!B31*'10A61 Liquid 3"'!$B$4^'10A61 Liquid 3" ViscosityLINEST'!I31+'10A61 Liquid 3" ViscosityLINEST'!C31*'10A61 Liquid 3"'!$B$4^('10A61 Liquid 3" ViscosityLINEST'!I31-1)+'10A61 Liquid 3" ViscosityLINEST'!D31*'10A61 Liquid 3"'!$B$4^('10A61 Liquid 3" ViscosityLINEST'!I31-2)+'10A61 Liquid 3" ViscosityLINEST'!E31*'10A61 Liquid 3"'!$B$4^('10A61 Liquid 3" ViscosityLINEST'!I31-3)+'10A61 Liquid 3" ViscosityLINEST'!F31*'10A61 Liquid 3"'!$B$4^('10A61 Liquid 3" ViscosityLINEST'!I31-4)</f>
        <v>7.7958888888888822</v>
      </c>
    </row>
    <row r="32" spans="1:10">
      <c r="B32">
        <f t="array" ref="B32:H32">LINEST('10A61 Liquid 3"'!I78:I86,'10A61 Liquid 3"'!H78:H86^{1,2,3,4})</f>
        <v>7.1132867132864541E-2</v>
      </c>
      <c r="C32">
        <v>-1.03360787360784</v>
      </c>
      <c r="D32">
        <v>5.673277389277235</v>
      </c>
      <c r="E32">
        <v>-14.621128334628045</v>
      </c>
      <c r="F32">
        <v>17.675944444444266</v>
      </c>
      <c r="G32" t="e">
        <v>#N/A</v>
      </c>
      <c r="H32" t="e">
        <v>#N/A</v>
      </c>
      <c r="I32">
        <f t="shared" si="3"/>
        <v>4</v>
      </c>
      <c r="J32">
        <f>'10A61 Liquid 3" ViscosityLINEST'!B32*'10A61 Liquid 3"'!$B$4^'10A61 Liquid 3" ViscosityLINEST'!I32+'10A61 Liquid 3" ViscosityLINEST'!C32*'10A61 Liquid 3"'!$B$4^('10A61 Liquid 3" ViscosityLINEST'!I32-1)+'10A61 Liquid 3" ViscosityLINEST'!D32*'10A61 Liquid 3"'!$B$4^('10A61 Liquid 3" ViscosityLINEST'!I32-2)+'10A61 Liquid 3" ViscosityLINEST'!E32*'10A61 Liquid 3"'!$B$4^('10A61 Liquid 3" ViscosityLINEST'!I32-3)+'10A61 Liquid 3" ViscosityLINEST'!F32*'10A61 Liquid 3"'!$B$4^('10A61 Liquid 3" ViscosityLINEST'!I32-4)</f>
        <v>7.7656184926184793</v>
      </c>
    </row>
    <row r="33" spans="1:10">
      <c r="A33">
        <v>1.4</v>
      </c>
      <c r="B33">
        <f t="array" ref="B33:H33">LINEST('10A61 Liquid 3"'!I92:I97,'10A61 Liquid 3"'!H92:H97^{1,2,3,4})</f>
        <v>40.833333333325648</v>
      </c>
      <c r="C33">
        <v>-132.44444444442257</v>
      </c>
      <c r="D33">
        <v>167.61666666664388</v>
      </c>
      <c r="E33">
        <v>-106.47448412697381</v>
      </c>
      <c r="F33">
        <v>37.655238095236371</v>
      </c>
      <c r="G33" t="e">
        <v>#N/A</v>
      </c>
      <c r="H33" t="e">
        <v>#N/A</v>
      </c>
      <c r="I33">
        <f t="shared" si="3"/>
        <v>4</v>
      </c>
      <c r="J33">
        <f>'10A61 Liquid 3" ViscosityLINEST'!B33*'10A61 Liquid 3"'!$B$4^'10A61 Liquid 3" ViscosityLINEST'!I33+'10A61 Liquid 3" ViscosityLINEST'!C33*'10A61 Liquid 3"'!$B$4^('10A61 Liquid 3" ViscosityLINEST'!I33-1)+'10A61 Liquid 3" ViscosityLINEST'!D33*'10A61 Liquid 3"'!$B$4^('10A61 Liquid 3" ViscosityLINEST'!I33-2)+'10A61 Liquid 3" ViscosityLINEST'!E33*'10A61 Liquid 3"'!$B$4^('10A61 Liquid 3" ViscosityLINEST'!I33-3)+'10A61 Liquid 3" ViscosityLINEST'!F33*'10A61 Liquid 3"'!$B$4^('10A61 Liquid 3" ViscosityLINEST'!I33-4)</f>
        <v>7.1863095238095127</v>
      </c>
    </row>
    <row r="34" spans="1:10">
      <c r="B34">
        <f t="array" ref="B34:H34">LINEST('10A61 Liquid 3"'!I97:I105,'10A61 Liquid 3"'!H97:H105^{1,2,3,4})</f>
        <v>6.5491841491838995E-2</v>
      </c>
      <c r="C34">
        <v>-0.95018492618489381</v>
      </c>
      <c r="D34">
        <v>5.2068088578087091</v>
      </c>
      <c r="E34">
        <v>-13.408378010877732</v>
      </c>
      <c r="F34">
        <v>16.247833333333169</v>
      </c>
      <c r="G34" t="e">
        <v>#N/A</v>
      </c>
      <c r="H34" t="e">
        <v>#N/A</v>
      </c>
      <c r="I34">
        <f t="shared" si="3"/>
        <v>4</v>
      </c>
      <c r="J34">
        <f>'10A61 Liquid 3" ViscosityLINEST'!B34*'10A61 Liquid 3"'!$B$4^'10A61 Liquid 3" ViscosityLINEST'!I34+'10A61 Liquid 3" ViscosityLINEST'!C34*'10A61 Liquid 3"'!$B$4^('10A61 Liquid 3" ViscosityLINEST'!I34-1)+'10A61 Liquid 3" ViscosityLINEST'!D34*'10A61 Liquid 3"'!$B$4^('10A61 Liquid 3" ViscosityLINEST'!I34-2)+'10A61 Liquid 3" ViscosityLINEST'!E34*'10A61 Liquid 3"'!$B$4^('10A61 Liquid 3" ViscosityLINEST'!I34-3)+'10A61 Liquid 3" ViscosityLINEST'!F34*'10A61 Liquid 3"'!$B$4^('10A61 Liquid 3" ViscosityLINEST'!I34-4)</f>
        <v>7.161571095571091</v>
      </c>
    </row>
    <row r="35" spans="1:10">
      <c r="A35">
        <v>1.5</v>
      </c>
      <c r="B35">
        <f t="array" ref="B35:H35">LINEST('10A61 Liquid 3"'!I108:I113,'10A61 Liquid 3"'!H108:H113^{1,2,3,4})</f>
        <v>29.791666666661627</v>
      </c>
      <c r="C35">
        <v>-97.569444444430204</v>
      </c>
      <c r="D35">
        <v>126.31458333331867</v>
      </c>
      <c r="E35">
        <v>-84.301626984120446</v>
      </c>
      <c r="F35">
        <v>32.655595238094172</v>
      </c>
      <c r="G35" t="e">
        <v>#N/A</v>
      </c>
      <c r="H35" t="e">
        <v>#N/A</v>
      </c>
      <c r="I35">
        <f t="shared" si="3"/>
        <v>4</v>
      </c>
      <c r="J35">
        <f>'10A61 Liquid 3" ViscosityLINEST'!B35*'10A61 Liquid 3"'!$B$4^'10A61 Liquid 3" ViscosityLINEST'!I35+'10A61 Liquid 3" ViscosityLINEST'!C35*'10A61 Liquid 3"'!$B$4^('10A61 Liquid 3" ViscosityLINEST'!I35-1)+'10A61 Liquid 3" ViscosityLINEST'!D35*'10A61 Liquid 3"'!$B$4^('10A61 Liquid 3" ViscosityLINEST'!I35-2)+'10A61 Liquid 3" ViscosityLINEST'!E35*'10A61 Liquid 3"'!$B$4^('10A61 Liquid 3" ViscosityLINEST'!I35-3)+'10A61 Liquid 3" ViscosityLINEST'!F35*'10A61 Liquid 3"'!$B$4^('10A61 Liquid 3" ViscosityLINEST'!I35-4)</f>
        <v>6.8907738095238145</v>
      </c>
    </row>
    <row r="36" spans="1:10">
      <c r="B36">
        <f t="array" ref="B36:H36">LINEST('10A61 Liquid 3"'!I113:I121,'10A61 Liquid 3"'!H113:H121^{1,2,3,4})</f>
        <v>6.2447552447550167E-2</v>
      </c>
      <c r="C36">
        <v>-0.90683190883187881</v>
      </c>
      <c r="D36">
        <v>4.9724790209788825</v>
      </c>
      <c r="E36">
        <v>-12.814670810670549</v>
      </c>
      <c r="F36">
        <v>15.555055555555393</v>
      </c>
      <c r="G36" t="e">
        <v>#N/A</v>
      </c>
      <c r="H36" t="e">
        <v>#N/A</v>
      </c>
      <c r="I36">
        <f t="shared" si="3"/>
        <v>4</v>
      </c>
      <c r="J36">
        <f>'10A61 Liquid 3" ViscosityLINEST'!B36*'10A61 Liquid 3"'!$B$4^'10A61 Liquid 3" ViscosityLINEST'!I36+'10A61 Liquid 3" ViscosityLINEST'!C36*'10A61 Liquid 3"'!$B$4^('10A61 Liquid 3" ViscosityLINEST'!I36-1)+'10A61 Liquid 3" ViscosityLINEST'!D36*'10A61 Liquid 3"'!$B$4^('10A61 Liquid 3" ViscosityLINEST'!I36-2)+'10A61 Liquid 3" ViscosityLINEST'!E36*'10A61 Liquid 3"'!$B$4^('10A61 Liquid 3" ViscosityLINEST'!I36-3)+'10A61 Liquid 3" ViscosityLINEST'!F36*'10A61 Liquid 3"'!$B$4^('10A61 Liquid 3" ViscosityLINEST'!I36-4)</f>
        <v>6.8684794094793968</v>
      </c>
    </row>
    <row r="38" spans="1:10">
      <c r="A38" t="s">
        <v>79</v>
      </c>
    </row>
    <row r="39" spans="1:10">
      <c r="A39">
        <v>0.4</v>
      </c>
      <c r="B39">
        <f t="array" ref="B39:H39">LINEST('10A61 Liquid 3"'!K6:K11,'10A61 Liquid 3"'!J6:J11^{1,2,3,4})</f>
        <v>35.416666666657811</v>
      </c>
      <c r="C39">
        <v>-132.82407407404926</v>
      </c>
      <c r="D39">
        <v>209.18749999997465</v>
      </c>
      <c r="E39">
        <v>-179.25568783067661</v>
      </c>
      <c r="F39">
        <v>88.968015873014053</v>
      </c>
      <c r="G39" t="e">
        <v>#N/A</v>
      </c>
      <c r="H39" t="e">
        <v>#N/A</v>
      </c>
      <c r="I39">
        <f t="shared" si="3"/>
        <v>4</v>
      </c>
      <c r="J39">
        <f>'10A61 Liquid 3" ViscosityLINEST'!B39*'10A61 Liquid 3"'!$B$4^'10A61 Liquid 3" ViscosityLINEST'!I39+'10A61 Liquid 3" ViscosityLINEST'!C39*'10A61 Liquid 3"'!$B$4^('10A61 Liquid 3" ViscosityLINEST'!I39-1)+'10A61 Liquid 3" ViscosityLINEST'!D39*'10A61 Liquid 3"'!$B$4^('10A61 Liquid 3" ViscosityLINEST'!I39-2)+'10A61 Liquid 3" ViscosityLINEST'!E39*'10A61 Liquid 3"'!$B$4^('10A61 Liquid 3" ViscosityLINEST'!I39-3)+'10A61 Liquid 3" ViscosityLINEST'!F39*'10A61 Liquid 3"'!$B$4^('10A61 Liquid 3" ViscosityLINEST'!I39-4)</f>
        <v>21.492420634920649</v>
      </c>
    </row>
    <row r="40" spans="1:10">
      <c r="B40">
        <f t="array" ref="B40:H40">LINEST('10A61 Liquid 3"'!K11:K19,'10A61 Liquid 3"'!J11:J19^{1,2,3,4})</f>
        <v>0.18941258741257988</v>
      </c>
      <c r="C40">
        <v>-2.783004921004824</v>
      </c>
      <c r="D40">
        <v>15.42825291375247</v>
      </c>
      <c r="E40">
        <v>-40.078051800050964</v>
      </c>
      <c r="F40">
        <v>48.646277777777264</v>
      </c>
      <c r="G40" t="e">
        <v>#N/A</v>
      </c>
      <c r="H40" t="e">
        <v>#N/A</v>
      </c>
      <c r="I40">
        <f t="shared" si="3"/>
        <v>4</v>
      </c>
      <c r="J40">
        <f>'10A61 Liquid 3" ViscosityLINEST'!B40*'10A61 Liquid 3"'!$B$4^'10A61 Liquid 3" ViscosityLINEST'!I40+'10A61 Liquid 3" ViscosityLINEST'!C40*'10A61 Liquid 3"'!$B$4^('10A61 Liquid 3" ViscosityLINEST'!I40-1)+'10A61 Liquid 3" ViscosityLINEST'!D40*'10A61 Liquid 3"'!$B$4^('10A61 Liquid 3" ViscosityLINEST'!I40-2)+'10A61 Liquid 3" ViscosityLINEST'!E40*'10A61 Liquid 3"'!$B$4^('10A61 Liquid 3" ViscosityLINEST'!I40-3)+'10A61 Liquid 3" ViscosityLINEST'!F40*'10A61 Liquid 3"'!$B$4^('10A61 Liquid 3" ViscosityLINEST'!I40-4)</f>
        <v>21.402886557886525</v>
      </c>
    </row>
    <row r="41" spans="1:10">
      <c r="A41">
        <v>0.6</v>
      </c>
      <c r="B41">
        <f t="array" ref="B41:H41">LINEST('10A61 Liquid 3"'!K23:K28,'10A61 Liquid 3"'!J23:J28^{1,2,3,4})</f>
        <v>-47.916666666647693</v>
      </c>
      <c r="C41">
        <v>137.17592592586962</v>
      </c>
      <c r="D41">
        <v>-122.47916666660531</v>
      </c>
      <c r="E41">
        <v>6.7800264549973992</v>
      </c>
      <c r="F41">
        <v>46.74373015873519</v>
      </c>
      <c r="G41" t="e">
        <v>#N/A</v>
      </c>
      <c r="H41" t="e">
        <v>#N/A</v>
      </c>
      <c r="I41">
        <f t="shared" si="3"/>
        <v>4</v>
      </c>
      <c r="J41">
        <f>'10A61 Liquid 3" ViscosityLINEST'!B41*'10A61 Liquid 3"'!$B$4^'10A61 Liquid 3" ViscosityLINEST'!I41+'10A61 Liquid 3" ViscosityLINEST'!C41*'10A61 Liquid 3"'!$B$4^('10A61 Liquid 3" ViscosityLINEST'!I41-1)+'10A61 Liquid 3" ViscosityLINEST'!D41*'10A61 Liquid 3"'!$B$4^('10A61 Liquid 3" ViscosityLINEST'!I41-2)+'10A61 Liquid 3" ViscosityLINEST'!E41*'10A61 Liquid 3"'!$B$4^('10A61 Liquid 3" ViscosityLINEST'!I41-3)+'10A61 Liquid 3" ViscosityLINEST'!F41*'10A61 Liquid 3"'!$B$4^('10A61 Liquid 3" ViscosityLINEST'!I41-4)</f>
        <v>20.303849206349199</v>
      </c>
    </row>
    <row r="42" spans="1:10">
      <c r="B42">
        <f t="array" ref="B42:H42">LINEST('10A61 Liquid 3"'!K28:K36,'10A61 Liquid 3"'!J28:J36^{1,2,3,4})</f>
        <v>0.17680186480185761</v>
      </c>
      <c r="C42">
        <v>-2.5758715358714439</v>
      </c>
      <c r="D42">
        <v>14.185344988344573</v>
      </c>
      <c r="E42">
        <v>-36.814804843304074</v>
      </c>
      <c r="F42">
        <v>45.293055555555085</v>
      </c>
      <c r="G42" t="e">
        <v>#N/A</v>
      </c>
      <c r="H42" t="e">
        <v>#N/A</v>
      </c>
      <c r="I42">
        <f t="shared" si="3"/>
        <v>4</v>
      </c>
      <c r="J42">
        <f>'10A61 Liquid 3" ViscosityLINEST'!B42*'10A61 Liquid 3"'!$B$4^'10A61 Liquid 3" ViscosityLINEST'!I42+'10A61 Liquid 3" ViscosityLINEST'!C42*'10A61 Liquid 3"'!$B$4^('10A61 Liquid 3" ViscosityLINEST'!I42-1)+'10A61 Liquid 3" ViscosityLINEST'!D42*'10A61 Liquid 3"'!$B$4^('10A61 Liquid 3" ViscosityLINEST'!I42-2)+'10A61 Liquid 3" ViscosityLINEST'!E42*'10A61 Liquid 3"'!$B$4^('10A61 Liquid 3" ViscosityLINEST'!I42-3)+'10A61 Liquid 3" ViscosityLINEST'!F42*'10A61 Liquid 3"'!$B$4^('10A61 Liquid 3" ViscosityLINEST'!I42-4)</f>
        <v>20.264526029525996</v>
      </c>
    </row>
    <row r="43" spans="1:10">
      <c r="A43">
        <v>0.8</v>
      </c>
      <c r="B43">
        <f t="array" ref="B43:H43">LINEST('10A61 Liquid 3"'!K41:K46,'10A61 Liquid 3"'!J41:J46^{1,2,3,4})</f>
        <v>-122.91666666665486</v>
      </c>
      <c r="C43">
        <v>375.87962962959642</v>
      </c>
      <c r="D43">
        <v>-408.31249999996578</v>
      </c>
      <c r="E43">
        <v>162.35370370368841</v>
      </c>
      <c r="F43">
        <v>12.327222222224719</v>
      </c>
      <c r="G43" t="e">
        <v>#N/A</v>
      </c>
      <c r="H43" t="e">
        <v>#N/A</v>
      </c>
      <c r="I43">
        <f t="shared" si="3"/>
        <v>4</v>
      </c>
      <c r="J43">
        <f>'10A61 Liquid 3" ViscosityLINEST'!B43*'10A61 Liquid 3"'!$B$4^'10A61 Liquid 3" ViscosityLINEST'!I43+'10A61 Liquid 3" ViscosityLINEST'!C43*'10A61 Liquid 3"'!$B$4^('10A61 Liquid 3" ViscosityLINEST'!I43-1)+'10A61 Liquid 3" ViscosityLINEST'!D43*'10A61 Liquid 3"'!$B$4^('10A61 Liquid 3" ViscosityLINEST'!I43-2)+'10A61 Liquid 3" ViscosityLINEST'!E43*'10A61 Liquid 3"'!$B$4^('10A61 Liquid 3" ViscosityLINEST'!I43-3)+'10A61 Liquid 3" ViscosityLINEST'!F43*'10A61 Liquid 3"'!$B$4^('10A61 Liquid 3" ViscosityLINEST'!I43-4)</f>
        <v>19.33138888888891</v>
      </c>
    </row>
    <row r="44" spans="1:10">
      <c r="B44">
        <f t="array" ref="B44:H44">LINEST('10A61 Liquid 3"'!K46:K54,'10A61 Liquid 3"'!J46:J54^{1,2,3,4})</f>
        <v>0.14390209790209174</v>
      </c>
      <c r="C44">
        <v>-2.1527174307173516</v>
      </c>
      <c r="D44">
        <v>12.201842657342295</v>
      </c>
      <c r="E44">
        <v>-32.703063066562386</v>
      </c>
      <c r="F44">
        <v>41.818777777777385</v>
      </c>
      <c r="G44" t="e">
        <v>#N/A</v>
      </c>
      <c r="H44" t="e">
        <v>#N/A</v>
      </c>
      <c r="I44">
        <f t="shared" si="3"/>
        <v>4</v>
      </c>
      <c r="J44">
        <f>'10A61 Liquid 3" ViscosityLINEST'!B44*'10A61 Liquid 3"'!$B$4^'10A61 Liquid 3" ViscosityLINEST'!I44+'10A61 Liquid 3" ViscosityLINEST'!C44*'10A61 Liquid 3"'!$B$4^('10A61 Liquid 3" ViscosityLINEST'!I44-1)+'10A61 Liquid 3" ViscosityLINEST'!D44*'10A61 Liquid 3"'!$B$4^('10A61 Liquid 3" ViscosityLINEST'!I44-2)+'10A61 Liquid 3" ViscosityLINEST'!E44*'10A61 Liquid 3"'!$B$4^('10A61 Liquid 3" ViscosityLINEST'!I44-3)+'10A61 Liquid 3" ViscosityLINEST'!F44*'10A61 Liquid 3"'!$B$4^('10A61 Liquid 3" ViscosityLINEST'!I44-4)</f>
        <v>19.308742035742036</v>
      </c>
    </row>
    <row r="45" spans="1:10">
      <c r="A45">
        <v>1</v>
      </c>
      <c r="B45">
        <f t="array" ref="B45:H45">LINEST('10A61 Liquid 3"'!K57:K62,'10A61 Liquid 3"'!J57:J62^{1,2,3,4})</f>
        <v>147.91666666662456</v>
      </c>
      <c r="C45">
        <v>-436.06481481469143</v>
      </c>
      <c r="D45">
        <v>482.47916666653401</v>
      </c>
      <c r="E45">
        <v>-257.89113756607554</v>
      </c>
      <c r="F45">
        <v>82.059603174592553</v>
      </c>
      <c r="G45" t="e">
        <v>#N/A</v>
      </c>
      <c r="H45" t="e">
        <v>#N/A</v>
      </c>
      <c r="I45">
        <f t="shared" si="3"/>
        <v>4</v>
      </c>
      <c r="J45">
        <f>'10A61 Liquid 3" ViscosityLINEST'!B45*'10A61 Liquid 3"'!$B$4^'10A61 Liquid 3" ViscosityLINEST'!I45+'10A61 Liquid 3" ViscosityLINEST'!C45*'10A61 Liquid 3"'!$B$4^('10A61 Liquid 3" ViscosityLINEST'!I45-1)+'10A61 Liquid 3" ViscosityLINEST'!D45*'10A61 Liquid 3"'!$B$4^('10A61 Liquid 3" ViscosityLINEST'!I45-2)+'10A61 Liquid 3" ViscosityLINEST'!E45*'10A61 Liquid 3"'!$B$4^('10A61 Liquid 3" ViscosityLINEST'!I45-3)+'10A61 Liquid 3" ViscosityLINEST'!F45*'10A61 Liquid 3"'!$B$4^('10A61 Liquid 3" ViscosityLINEST'!I45-4)</f>
        <v>18.499484126984157</v>
      </c>
    </row>
    <row r="46" spans="1:10">
      <c r="B46">
        <f t="array" ref="B46:H46">LINEST('10A61 Liquid 3"'!K62:K70,'10A61 Liquid 3"'!J62:J70^{1,2,3,4})</f>
        <v>0.11027039627039074</v>
      </c>
      <c r="C46">
        <v>-1.7239114219113509</v>
      </c>
      <c r="D46">
        <v>10.234493006992682</v>
      </c>
      <c r="E46">
        <v>-28.771385780885172</v>
      </c>
      <c r="F46">
        <v>38.626333333332965</v>
      </c>
      <c r="G46" t="e">
        <v>#N/A</v>
      </c>
      <c r="H46" t="e">
        <v>#N/A</v>
      </c>
      <c r="I46">
        <f t="shared" si="3"/>
        <v>4</v>
      </c>
      <c r="J46">
        <f>'10A61 Liquid 3" ViscosityLINEST'!B46*'10A61 Liquid 3"'!$B$4^'10A61 Liquid 3" ViscosityLINEST'!I46+'10A61 Liquid 3" ViscosityLINEST'!C46*'10A61 Liquid 3"'!$B$4^('10A61 Liquid 3" ViscosityLINEST'!I46-1)+'10A61 Liquid 3" ViscosityLINEST'!D46*'10A61 Liquid 3"'!$B$4^('10A61 Liquid 3" ViscosityLINEST'!I46-2)+'10A61 Liquid 3" ViscosityLINEST'!E46*'10A61 Liquid 3"'!$B$4^('10A61 Liquid 3" ViscosityLINEST'!I46-3)+'10A61 Liquid 3" ViscosityLINEST'!F46*'10A61 Liquid 3"'!$B$4^('10A61 Liquid 3" ViscosityLINEST'!I46-4)</f>
        <v>18.475799533799517</v>
      </c>
    </row>
    <row r="47" spans="1:10">
      <c r="A47">
        <v>1.2</v>
      </c>
      <c r="B47">
        <f t="array" ref="B47:H47">LINEST('10A61 Liquid 3"'!K73:K78,'10A61 Liquid 3"'!J73:J78^{1,2,3,4})</f>
        <v>102.08333333332415</v>
      </c>
      <c r="C47">
        <v>-308.19444444441922</v>
      </c>
      <c r="D47">
        <v>349.60416666664156</v>
      </c>
      <c r="E47">
        <v>-194.15555555554479</v>
      </c>
      <c r="F47">
        <v>68.261666666664993</v>
      </c>
      <c r="G47" t="e">
        <v>#N/A</v>
      </c>
      <c r="H47" t="e">
        <v>#N/A</v>
      </c>
      <c r="I47">
        <f t="shared" si="3"/>
        <v>4</v>
      </c>
      <c r="J47">
        <f>'10A61 Liquid 3" ViscosityLINEST'!B47*'10A61 Liquid 3"'!$B$4^'10A61 Liquid 3" ViscosityLINEST'!I47+'10A61 Liquid 3" ViscosityLINEST'!C47*'10A61 Liquid 3"'!$B$4^('10A61 Liquid 3" ViscosityLINEST'!I47-1)+'10A61 Liquid 3" ViscosityLINEST'!D47*'10A61 Liquid 3"'!$B$4^('10A61 Liquid 3" ViscosityLINEST'!I47-2)+'10A61 Liquid 3" ViscosityLINEST'!E47*'10A61 Liquid 3"'!$B$4^('10A61 Liquid 3" ViscosityLINEST'!I47-3)+'10A61 Liquid 3" ViscosityLINEST'!F47*'10A61 Liquid 3"'!$B$4^('10A61 Liquid 3" ViscosityLINEST'!I47-4)</f>
        <v>17.599166666666704</v>
      </c>
    </row>
    <row r="48" spans="1:10">
      <c r="B48">
        <f t="array" ref="B48:H48">LINEST('10A61 Liquid 3"'!K78:K86,'10A61 Liquid 3"'!J78:J86^{1,2,3,4})</f>
        <v>9.5883449883445618E-2</v>
      </c>
      <c r="C48">
        <v>-1.5118202538201981</v>
      </c>
      <c r="D48">
        <v>9.0946048951046379</v>
      </c>
      <c r="E48">
        <v>-26.056666148665666</v>
      </c>
      <c r="F48">
        <v>35.957388888888595</v>
      </c>
      <c r="G48" t="e">
        <v>#N/A</v>
      </c>
      <c r="H48" t="e">
        <v>#N/A</v>
      </c>
      <c r="I48">
        <f t="shared" si="3"/>
        <v>4</v>
      </c>
      <c r="J48">
        <f>'10A61 Liquid 3" ViscosityLINEST'!B48*'10A61 Liquid 3"'!$B$4^'10A61 Liquid 3" ViscosityLINEST'!I48+'10A61 Liquid 3" ViscosityLINEST'!C48*'10A61 Liquid 3"'!$B$4^('10A61 Liquid 3" ViscosityLINEST'!I48-1)+'10A61 Liquid 3" ViscosityLINEST'!D48*'10A61 Liquid 3"'!$B$4^('10A61 Liquid 3" ViscosityLINEST'!I48-2)+'10A61 Liquid 3" ViscosityLINEST'!E48*'10A61 Liquid 3"'!$B$4^('10A61 Liquid 3" ViscosityLINEST'!I48-3)+'10A61 Liquid 3" ViscosityLINEST'!F48*'10A61 Liquid 3"'!$B$4^('10A61 Liquid 3" ViscosityLINEST'!I48-4)</f>
        <v>17.579390831390814</v>
      </c>
    </row>
    <row r="49" spans="1:10">
      <c r="A49">
        <v>1.4</v>
      </c>
      <c r="B49">
        <f t="array" ref="B49:H49">LINEST('10A61 Liquid 3"'!K92:K97,'10A61 Liquid 3"'!J92:J97^{1,2,3,4})</f>
        <v>56.250000000009749</v>
      </c>
      <c r="C49">
        <v>-177.91666666669738</v>
      </c>
      <c r="D49">
        <v>212.31250000003547</v>
      </c>
      <c r="E49">
        <v>-128.49047619049395</v>
      </c>
      <c r="F49">
        <v>54.637857142860383</v>
      </c>
      <c r="G49" t="e">
        <v>#N/A</v>
      </c>
      <c r="H49" t="e">
        <v>#N/A</v>
      </c>
      <c r="I49">
        <f t="shared" si="3"/>
        <v>4</v>
      </c>
      <c r="J49">
        <f>'10A61 Liquid 3" ViscosityLINEST'!B49*'10A61 Liquid 3"'!$B$4^'10A61 Liquid 3" ViscosityLINEST'!I49+'10A61 Liquid 3" ViscosityLINEST'!C49*'10A61 Liquid 3"'!$B$4^('10A61 Liquid 3" ViscosityLINEST'!I49-1)+'10A61 Liquid 3" ViscosityLINEST'!D49*'10A61 Liquid 3"'!$B$4^('10A61 Liquid 3" ViscosityLINEST'!I49-2)+'10A61 Liquid 3" ViscosityLINEST'!E49*'10A61 Liquid 3"'!$B$4^('10A61 Liquid 3" ViscosityLINEST'!I49-3)+'10A61 Liquid 3" ViscosityLINEST'!F49*'10A61 Liquid 3"'!$B$4^('10A61 Liquid 3" ViscosityLINEST'!I49-4)</f>
        <v>16.793214285714271</v>
      </c>
    </row>
    <row r="50" spans="1:10">
      <c r="B50">
        <f t="array" ref="B50:H50">LINEST('10A61 Liquid 3"'!K97:K105,'10A61 Liquid 3"'!J97:J105^{1,2,3,4})</f>
        <v>8.615384615384214E-2</v>
      </c>
      <c r="C50">
        <v>-1.3617922817922286</v>
      </c>
      <c r="D50">
        <v>8.2506736596734118</v>
      </c>
      <c r="E50">
        <v>-23.946657990157522</v>
      </c>
      <c r="F50">
        <v>33.747388888888608</v>
      </c>
      <c r="G50" t="e">
        <v>#N/A</v>
      </c>
      <c r="H50" t="e">
        <v>#N/A</v>
      </c>
      <c r="I50">
        <f t="shared" si="3"/>
        <v>4</v>
      </c>
      <c r="J50">
        <f>'10A61 Liquid 3" ViscosityLINEST'!B50*'10A61 Liquid 3"'!$B$4^'10A61 Liquid 3" ViscosityLINEST'!I50+'10A61 Liquid 3" ViscosityLINEST'!C50*'10A61 Liquid 3"'!$B$4^('10A61 Liquid 3" ViscosityLINEST'!I50-1)+'10A61 Liquid 3" ViscosityLINEST'!D50*'10A61 Liquid 3"'!$B$4^('10A61 Liquid 3" ViscosityLINEST'!I50-2)+'10A61 Liquid 3" ViscosityLINEST'!E50*'10A61 Liquid 3"'!$B$4^('10A61 Liquid 3" ViscosityLINEST'!I50-3)+'10A61 Liquid 3" ViscosityLINEST'!F50*'10A61 Liquid 3"'!$B$4^('10A61 Liquid 3" ViscosityLINEST'!I50-4)</f>
        <v>16.775766122766111</v>
      </c>
    </row>
    <row r="51" spans="1:10">
      <c r="A51">
        <v>1.5</v>
      </c>
      <c r="B51">
        <f t="array" ref="B51:H51">LINEST('10A61 Liquid 3"'!K108:K113,'10A61 Liquid 3"'!J108:J113^{1,2,3,4})</f>
        <v>-6.2499999999834888</v>
      </c>
      <c r="C51">
        <v>10.138888888839141</v>
      </c>
      <c r="D51">
        <v>4.1875000000551017</v>
      </c>
      <c r="E51">
        <v>-27.446031746058296</v>
      </c>
      <c r="F51">
        <v>35.784523809528501</v>
      </c>
      <c r="G51" t="e">
        <v>#N/A</v>
      </c>
      <c r="H51" t="e">
        <v>#N/A</v>
      </c>
      <c r="I51">
        <f t="shared" si="3"/>
        <v>4</v>
      </c>
      <c r="J51">
        <f>'10A61 Liquid 3" ViscosityLINEST'!B51*'10A61 Liquid 3"'!$B$4^'10A61 Liquid 3" ViscosityLINEST'!I51+'10A61 Liquid 3" ViscosityLINEST'!C51*'10A61 Liquid 3"'!$B$4^('10A61 Liquid 3" ViscosityLINEST'!I51-1)+'10A61 Liquid 3" ViscosityLINEST'!D51*'10A61 Liquid 3"'!$B$4^('10A61 Liquid 3" ViscosityLINEST'!I51-2)+'10A61 Liquid 3" ViscosityLINEST'!E51*'10A61 Liquid 3"'!$B$4^('10A61 Liquid 3" ViscosityLINEST'!I51-3)+'10A61 Liquid 3" ViscosityLINEST'!F51*'10A61 Liquid 3"'!$B$4^('10A61 Liquid 3" ViscosityLINEST'!I51-4)</f>
        <v>16.414880952380958</v>
      </c>
    </row>
    <row r="52" spans="1:10">
      <c r="B52">
        <f t="array" ref="B52:H52">LINEST('10A61 Liquid 3"'!K113:K121,'10A61 Liquid 3"'!J113:J121^{1,2,3,4})</f>
        <v>8.3142191142187419E-2</v>
      </c>
      <c r="C52">
        <v>-1.3099891219890734</v>
      </c>
      <c r="D52">
        <v>7.9311841491839221</v>
      </c>
      <c r="E52">
        <v>-23.082487567987133</v>
      </c>
      <c r="F52">
        <v>32.773499999999736</v>
      </c>
      <c r="G52" t="e">
        <v>#N/A</v>
      </c>
      <c r="H52" t="e">
        <v>#N/A</v>
      </c>
      <c r="I52">
        <f t="shared" si="3"/>
        <v>4</v>
      </c>
      <c r="J52">
        <f>'10A61 Liquid 3" ViscosityLINEST'!B52*'10A61 Liquid 3"'!$B$4^'10A61 Liquid 3" ViscosityLINEST'!I52+'10A61 Liquid 3" ViscosityLINEST'!C52*'10A61 Liquid 3"'!$B$4^('10A61 Liquid 3" ViscosityLINEST'!I52-1)+'10A61 Liquid 3" ViscosityLINEST'!D52*'10A61 Liquid 3"'!$B$4^('10A61 Liquid 3" ViscosityLINEST'!I52-2)+'10A61 Liquid 3" ViscosityLINEST'!E52*'10A61 Liquid 3"'!$B$4^('10A61 Liquid 3" ViscosityLINEST'!I52-3)+'10A61 Liquid 3" ViscosityLINEST'!F52*'10A61 Liquid 3"'!$B$4^('10A61 Liquid 3" ViscosityLINEST'!I52-4)</f>
        <v>16.395349650349637</v>
      </c>
    </row>
    <row r="53" spans="1:10">
      <c r="J53">
        <f>'10A61 Liquid 3" ViscosityLINEST'!B53*'10A61 Liquid 3"'!$B$4^'10A61 Liquid 3" ViscosityLINEST'!I53+'10A61 Liquid 3" ViscosityLINEST'!C53*'10A61 Liquid 3"'!$B$4^('10A61 Liquid 3" ViscosityLINEST'!I53-1)+'10A61 Liquid 3" ViscosityLINEST'!D53*'10A61 Liquid 3"'!$B$4^('10A61 Liquid 3" ViscosityLINEST'!I53-2)+'10A61 Liquid 3" ViscosityLINEST'!E53*'10A61 Liquid 3"'!$B$4^('10A61 Liquid 3" ViscosityLINEST'!I53-3)+'10A61 Liquid 3" ViscosityLINEST'!F53*'10A61 Liquid 3"'!$B$4^('10A61 Liquid 3" ViscosityLINEST'!I53-4)</f>
        <v>0</v>
      </c>
    </row>
    <row r="54" spans="1:10">
      <c r="A54" t="s">
        <v>82</v>
      </c>
      <c r="J54">
        <f>'10A61 Liquid 3" ViscosityLINEST'!B54*'10A61 Liquid 3"'!$B$4^'10A61 Liquid 3" ViscosityLINEST'!I54+'10A61 Liquid 3" ViscosityLINEST'!C54*'10A61 Liquid 3"'!$B$4^('10A61 Liquid 3" ViscosityLINEST'!I54-1)+'10A61 Liquid 3" ViscosityLINEST'!D54*'10A61 Liquid 3"'!$B$4^('10A61 Liquid 3" ViscosityLINEST'!I54-2)+'10A61 Liquid 3" ViscosityLINEST'!E54*'10A61 Liquid 3"'!$B$4^('10A61 Liquid 3" ViscosityLINEST'!I54-3)+'10A61 Liquid 3" ViscosityLINEST'!F54*'10A61 Liquid 3"'!$B$4^('10A61 Liquid 3" ViscosityLINEST'!I54-4)</f>
        <v>0</v>
      </c>
    </row>
    <row r="55" spans="1:10">
      <c r="A55">
        <v>0.4</v>
      </c>
      <c r="B55">
        <f t="array" ref="B55:H55">LINEST('10A61 Liquid 3"'!M6:M11,'10A61 Liquid 3"'!L6:L11^{1,2,3,4})</f>
        <v>-222.91666666665003</v>
      </c>
      <c r="C55">
        <v>683.65740740736157</v>
      </c>
      <c r="D55">
        <v>-742.3124999999543</v>
      </c>
      <c r="E55">
        <v>289.29021164019207</v>
      </c>
      <c r="F55">
        <v>31.214841269844314</v>
      </c>
      <c r="G55" t="e">
        <v>#N/A</v>
      </c>
      <c r="H55" t="e">
        <v>#N/A</v>
      </c>
      <c r="I55">
        <f t="shared" si="3"/>
        <v>4</v>
      </c>
      <c r="J55">
        <f>'10A61 Liquid 3" ViscosityLINEST'!B55*'10A61 Liquid 3"'!$B$4^'10A61 Liquid 3" ViscosityLINEST'!I55+'10A61 Liquid 3" ViscosityLINEST'!C55*'10A61 Liquid 3"'!$B$4^('10A61 Liquid 3" ViscosityLINEST'!I55-1)+'10A61 Liquid 3" ViscosityLINEST'!D55*'10A61 Liquid 3"'!$B$4^('10A61 Liquid 3" ViscosityLINEST'!I55-2)+'10A61 Liquid 3" ViscosityLINEST'!E55*'10A61 Liquid 3"'!$B$4^('10A61 Liquid 3" ViscosityLINEST'!I55-3)+'10A61 Liquid 3" ViscosityLINEST'!F55*'10A61 Liquid 3"'!$B$4^('10A61 Liquid 3" ViscosityLINEST'!I55-4)</f>
        <v>38.93329365079363</v>
      </c>
    </row>
    <row r="56" spans="1:10">
      <c r="B56">
        <f t="array" ref="B56:H56">LINEST('10A61 Liquid 3"'!M11:M19,'10A61 Liquid 3"'!L11:L19^{1,2,3,4})</f>
        <v>0.28741724941723618</v>
      </c>
      <c r="C56">
        <v>-4.305862211862042</v>
      </c>
      <c r="D56">
        <v>24.445327505826736</v>
      </c>
      <c r="E56">
        <v>-65.633792022790601</v>
      </c>
      <c r="F56">
        <v>84.093055555554685</v>
      </c>
      <c r="G56" t="e">
        <v>#N/A</v>
      </c>
      <c r="H56" t="e">
        <v>#N/A</v>
      </c>
      <c r="I56">
        <f t="shared" si="3"/>
        <v>4</v>
      </c>
      <c r="J56">
        <f>'10A61 Liquid 3" ViscosityLINEST'!B56*'10A61 Liquid 3"'!$B$4^'10A61 Liquid 3" ViscosityLINEST'!I56+'10A61 Liquid 3" ViscosityLINEST'!C56*'10A61 Liquid 3"'!$B$4^('10A61 Liquid 3" ViscosityLINEST'!I56-1)+'10A61 Liquid 3" ViscosityLINEST'!D56*'10A61 Liquid 3"'!$B$4^('10A61 Liquid 3" ViscosityLINEST'!I56-2)+'10A61 Liquid 3" ViscosityLINEST'!E56*'10A61 Liquid 3"'!$B$4^('10A61 Liquid 3" ViscosityLINEST'!I56-3)+'10A61 Liquid 3" ViscosityLINEST'!F56*'10A61 Liquid 3"'!$B$4^('10A61 Liquid 3" ViscosityLINEST'!I56-4)</f>
        <v>38.886146076146012</v>
      </c>
    </row>
    <row r="57" spans="1:10">
      <c r="A57">
        <v>0.6</v>
      </c>
      <c r="B57">
        <f t="array" ref="B57:H57">LINEST('10A61 Liquid 3"'!M23:M28,'10A61 Liquid 3"'!L23:L28^{1,2,3,4})</f>
        <v>183.33333333333496</v>
      </c>
      <c r="C57">
        <v>-562.59259259260227</v>
      </c>
      <c r="D57">
        <v>649.00000000001614</v>
      </c>
      <c r="E57">
        <v>-368.82407407408448</v>
      </c>
      <c r="F57">
        <v>135.84555555555784</v>
      </c>
      <c r="G57" t="e">
        <v>#N/A</v>
      </c>
      <c r="H57" t="e">
        <v>#N/A</v>
      </c>
      <c r="I57">
        <f t="shared" si="3"/>
        <v>4</v>
      </c>
      <c r="J57">
        <f>'10A61 Liquid 3" ViscosityLINEST'!B57*'10A61 Liquid 3"'!$B$4^'10A61 Liquid 3" ViscosityLINEST'!I57+'10A61 Liquid 3" ViscosityLINEST'!C57*'10A61 Liquid 3"'!$B$4^('10A61 Liquid 3" ViscosityLINEST'!I57-1)+'10A61 Liquid 3" ViscosityLINEST'!D57*'10A61 Liquid 3"'!$B$4^('10A61 Liquid 3" ViscosityLINEST'!I57-2)+'10A61 Liquid 3" ViscosityLINEST'!E57*'10A61 Liquid 3"'!$B$4^('10A61 Liquid 3" ViscosityLINEST'!I57-3)+'10A61 Liquid 3" ViscosityLINEST'!F57*'10A61 Liquid 3"'!$B$4^('10A61 Liquid 3" ViscosityLINEST'!I57-4)</f>
        <v>36.762222222222192</v>
      </c>
    </row>
    <row r="58" spans="1:10">
      <c r="B58">
        <f t="array" ref="B58:H58">LINEST('10A61 Liquid 3"'!M28:M36,'10A61 Liquid 3"'!L28:L36^{1,2,3,4})</f>
        <v>0.19379953379952541</v>
      </c>
      <c r="C58">
        <v>-3.0658637658636563</v>
      </c>
      <c r="D58">
        <v>18.535489510489004</v>
      </c>
      <c r="E58">
        <v>-53.478837088836137</v>
      </c>
      <c r="F58">
        <v>74.537222222221644</v>
      </c>
      <c r="G58" t="e">
        <v>#N/A</v>
      </c>
      <c r="H58" t="e">
        <v>#N/A</v>
      </c>
      <c r="I58">
        <f t="shared" si="3"/>
        <v>4</v>
      </c>
      <c r="J58">
        <f>'10A61 Liquid 3" ViscosityLINEST'!B58*'10A61 Liquid 3"'!$B$4^'10A61 Liquid 3" ViscosityLINEST'!I58+'10A61 Liquid 3" ViscosityLINEST'!C58*'10A61 Liquid 3"'!$B$4^('10A61 Liquid 3" ViscosityLINEST'!I58-1)+'10A61 Liquid 3" ViscosityLINEST'!D58*'10A61 Liquid 3"'!$B$4^('10A61 Liquid 3" ViscosityLINEST'!I58-2)+'10A61 Liquid 3" ViscosityLINEST'!E58*'10A61 Liquid 3"'!$B$4^('10A61 Liquid 3" ViscosityLINEST'!I58-3)+'10A61 Liquid 3" ViscosityLINEST'!F58*'10A61 Liquid 3"'!$B$4^('10A61 Liquid 3" ViscosityLINEST'!I58-4)</f>
        <v>36.721810411810381</v>
      </c>
    </row>
    <row r="59" spans="1:10">
      <c r="A59">
        <v>0.8</v>
      </c>
      <c r="B59">
        <f t="array" ref="B59:H59">LINEST('10A61 Liquid 3"'!M41:M46,'10A61 Liquid 3"'!L41:L46^{1,2,3,4})</f>
        <v>-206.24999999998195</v>
      </c>
      <c r="C59">
        <v>594.9537037036531</v>
      </c>
      <c r="D59">
        <v>-617.39583333328164</v>
      </c>
      <c r="E59">
        <v>242.20939153436862</v>
      </c>
      <c r="F59">
        <v>21.434206349210072</v>
      </c>
      <c r="G59" t="e">
        <v>#N/A</v>
      </c>
      <c r="H59" t="e">
        <v>#N/A</v>
      </c>
      <c r="I59">
        <f t="shared" si="3"/>
        <v>4</v>
      </c>
      <c r="J59">
        <f>'10A61 Liquid 3" ViscosityLINEST'!B59*'10A61 Liquid 3"'!$B$4^'10A61 Liquid 3" ViscosityLINEST'!I59+'10A61 Liquid 3" ViscosityLINEST'!C59*'10A61 Liquid 3"'!$B$4^('10A61 Liquid 3" ViscosityLINEST'!I59-1)+'10A61 Liquid 3" ViscosityLINEST'!D59*'10A61 Liquid 3"'!$B$4^('10A61 Liquid 3" ViscosityLINEST'!I59-2)+'10A61 Liquid 3" ViscosityLINEST'!E59*'10A61 Liquid 3"'!$B$4^('10A61 Liquid 3" ViscosityLINEST'!I59-3)+'10A61 Liquid 3" ViscosityLINEST'!F59*'10A61 Liquid 3"'!$B$4^('10A61 Liquid 3" ViscosityLINEST'!I59-4)</f>
        <v>34.95146825396823</v>
      </c>
    </row>
    <row r="60" spans="1:10">
      <c r="B60">
        <f t="array" ref="B60:H60">LINEST('10A61 Liquid 3"'!M46:M54,'10A61 Liquid 3"'!L46:L54^{1,2,3,4})</f>
        <v>0.17132867132866389</v>
      </c>
      <c r="C60">
        <v>-2.6782336182335209</v>
      </c>
      <c r="D60">
        <v>16.185955710955263</v>
      </c>
      <c r="E60">
        <v>-47.438168868168027</v>
      </c>
      <c r="F60">
        <v>68.652222222221738</v>
      </c>
      <c r="G60" t="e">
        <v>#N/A</v>
      </c>
      <c r="H60" t="e">
        <v>#N/A</v>
      </c>
      <c r="I60">
        <f t="shared" si="3"/>
        <v>4</v>
      </c>
      <c r="J60">
        <f>'10A61 Liquid 3" ViscosityLINEST'!B60*'10A61 Liquid 3"'!$B$4^'10A61 Liquid 3" ViscosityLINEST'!I60+'10A61 Liquid 3" ViscosityLINEST'!C60*'10A61 Liquid 3"'!$B$4^('10A61 Liquid 3" ViscosityLINEST'!I60-1)+'10A61 Liquid 3" ViscosityLINEST'!D60*'10A61 Liquid 3"'!$B$4^('10A61 Liquid 3" ViscosityLINEST'!I60-2)+'10A61 Liquid 3" ViscosityLINEST'!E60*'10A61 Liquid 3"'!$B$4^('10A61 Liquid 3" ViscosityLINEST'!I60-3)+'10A61 Liquid 3" ViscosityLINEST'!F60*'10A61 Liquid 3"'!$B$4^('10A61 Liquid 3" ViscosityLINEST'!I60-4)</f>
        <v>34.893104118104119</v>
      </c>
    </row>
    <row r="61" spans="1:10">
      <c r="A61">
        <v>1</v>
      </c>
      <c r="B61">
        <f t="array" ref="B61:H61">LINEST('10A61 Liquid 3"'!M57:M62,'10A61 Liquid 3"'!L57:L62^{1,2,3,4})</f>
        <v>-122.9166666666567</v>
      </c>
      <c r="C61">
        <v>413.2870370370099</v>
      </c>
      <c r="D61">
        <v>-502.2291666666398</v>
      </c>
      <c r="E61">
        <v>237.511772486761</v>
      </c>
      <c r="F61">
        <v>7.8399206349223718</v>
      </c>
      <c r="G61" t="e">
        <v>#N/A</v>
      </c>
      <c r="H61" t="e">
        <v>#N/A</v>
      </c>
      <c r="I61">
        <f t="shared" si="3"/>
        <v>4</v>
      </c>
      <c r="J61">
        <f>'10A61 Liquid 3" ViscosityLINEST'!B61*'10A61 Liquid 3"'!$B$4^'10A61 Liquid 3" ViscosityLINEST'!I61+'10A61 Liquid 3" ViscosityLINEST'!C61*'10A61 Liquid 3"'!$B$4^('10A61 Liquid 3" ViscosityLINEST'!I61-1)+'10A61 Liquid 3" ViscosityLINEST'!D61*'10A61 Liquid 3"'!$B$4^('10A61 Liquid 3" ViscosityLINEST'!I61-2)+'10A61 Liquid 3" ViscosityLINEST'!E61*'10A61 Liquid 3"'!$B$4^('10A61 Liquid 3" ViscosityLINEST'!I61-3)+'10A61 Liquid 3" ViscosityLINEST'!F61*'10A61 Liquid 3"'!$B$4^('10A61 Liquid 3" ViscosityLINEST'!I61-4)</f>
        <v>33.492896825396791</v>
      </c>
    </row>
    <row r="62" spans="1:10">
      <c r="B62">
        <f t="array" ref="B62:H62">LINEST('10A61 Liquid 3"'!M62:M70,'10A61 Liquid 3"'!L62:L70^{1,2,3,4})</f>
        <v>0.15413053613052946</v>
      </c>
      <c r="C62">
        <v>-2.4077415177414307</v>
      </c>
      <c r="D62">
        <v>14.606346153845752</v>
      </c>
      <c r="E62">
        <v>-43.342837347836593</v>
      </c>
      <c r="F62">
        <v>64.425611111110669</v>
      </c>
      <c r="G62" t="e">
        <v>#N/A</v>
      </c>
      <c r="H62" t="e">
        <v>#N/A</v>
      </c>
      <c r="I62">
        <f t="shared" si="3"/>
        <v>4</v>
      </c>
      <c r="J62">
        <f>'10A61 Liquid 3" ViscosityLINEST'!B62*'10A61 Liquid 3"'!$B$4^'10A61 Liquid 3" ViscosityLINEST'!I62+'10A61 Liquid 3" ViscosityLINEST'!C62*'10A61 Liquid 3"'!$B$4^('10A61 Liquid 3" ViscosityLINEST'!I62-1)+'10A61 Liquid 3" ViscosityLINEST'!D62*'10A61 Liquid 3"'!$B$4^('10A61 Liquid 3" ViscosityLINEST'!I62-2)+'10A61 Liquid 3" ViscosityLINEST'!E62*'10A61 Liquid 3"'!$B$4^('10A61 Liquid 3" ViscosityLINEST'!I62-3)+'10A61 Liquid 3" ViscosityLINEST'!F62*'10A61 Liquid 3"'!$B$4^('10A61 Liquid 3" ViscosityLINEST'!I62-4)</f>
        <v>33.435508935508928</v>
      </c>
    </row>
    <row r="63" spans="1:10">
      <c r="A63">
        <v>1.2</v>
      </c>
      <c r="B63">
        <f t="array" ref="B63:H63">LINEST('10A61 Liquid 3"'!M73:M78,'10A61 Liquid 3"'!L73:L78^{1,2,3,4})</f>
        <v>-139.58333333330322</v>
      </c>
      <c r="C63">
        <v>470.13888888880257</v>
      </c>
      <c r="D63">
        <v>-578.72916666657602</v>
      </c>
      <c r="E63">
        <v>287.67182539678413</v>
      </c>
      <c r="F63">
        <v>-7.7226190476121985</v>
      </c>
      <c r="G63" t="e">
        <v>#N/A</v>
      </c>
      <c r="H63" t="e">
        <v>#N/A</v>
      </c>
      <c r="I63">
        <f t="shared" si="3"/>
        <v>4</v>
      </c>
      <c r="J63">
        <f>'10A61 Liquid 3" ViscosityLINEST'!B63*'10A61 Liquid 3"'!$B$4^'10A61 Liquid 3" ViscosityLINEST'!I63+'10A61 Liquid 3" ViscosityLINEST'!C63*'10A61 Liquid 3"'!$B$4^('10A61 Liquid 3" ViscosityLINEST'!I63-1)+'10A61 Liquid 3" ViscosityLINEST'!D63*'10A61 Liquid 3"'!$B$4^('10A61 Liquid 3" ViscosityLINEST'!I63-2)+'10A61 Liquid 3" ViscosityLINEST'!E63*'10A61 Liquid 3"'!$B$4^('10A61 Liquid 3" ViscosityLINEST'!I63-3)+'10A61 Liquid 3" ViscosityLINEST'!F63*'10A61 Liquid 3"'!$B$4^('10A61 Liquid 3" ViscosityLINEST'!I63-4)</f>
        <v>31.775595238095292</v>
      </c>
    </row>
    <row r="64" spans="1:10">
      <c r="B64">
        <f t="array" ref="B64:H64">LINEST('10A61 Liquid 3"'!M78:M86,'10A61 Liquid 3"'!L78:L86^{1,2,3,4})</f>
        <v>0.12020979020978395</v>
      </c>
      <c r="C64">
        <v>-1.9170562030561231</v>
      </c>
      <c r="D64">
        <v>11.987856643356281</v>
      </c>
      <c r="E64">
        <v>-37.174023828023159</v>
      </c>
      <c r="F64">
        <v>58.734944444444046</v>
      </c>
      <c r="G64" t="e">
        <v>#N/A</v>
      </c>
      <c r="H64" t="e">
        <v>#N/A</v>
      </c>
      <c r="I64">
        <f t="shared" si="3"/>
        <v>4</v>
      </c>
      <c r="J64">
        <f>'10A61 Liquid 3" ViscosityLINEST'!B64*'10A61 Liquid 3"'!$B$4^'10A61 Liquid 3" ViscosityLINEST'!I64+'10A61 Liquid 3" ViscosityLINEST'!C64*'10A61 Liquid 3"'!$B$4^('10A61 Liquid 3" ViscosityLINEST'!I64-1)+'10A61 Liquid 3" ViscosityLINEST'!D64*'10A61 Liquid 3"'!$B$4^('10A61 Liquid 3" ViscosityLINEST'!I64-2)+'10A61 Liquid 3" ViscosityLINEST'!E64*'10A61 Liquid 3"'!$B$4^('10A61 Liquid 3" ViscosityLINEST'!I64-3)+'10A61 Liquid 3" ViscosityLINEST'!F64*'10A61 Liquid 3"'!$B$4^('10A61 Liquid 3" ViscosityLINEST'!I64-4)</f>
        <v>31.751930846930829</v>
      </c>
    </row>
    <row r="65" spans="1:10">
      <c r="A65">
        <v>1.4</v>
      </c>
      <c r="B65">
        <f t="array" ref="B65:H65">LINEST('10A61 Liquid 3"'!M92:M97,'10A61 Liquid 3"'!L92:L97^{1,2,3,4})</f>
        <v>58.333333333322223</v>
      </c>
      <c r="C65">
        <v>-145.74074074070836</v>
      </c>
      <c r="D65">
        <v>122.08333333329868</v>
      </c>
      <c r="E65">
        <v>-54.185449735433586</v>
      </c>
      <c r="F65">
        <v>49.781587301584537</v>
      </c>
      <c r="G65" t="e">
        <v>#N/A</v>
      </c>
      <c r="H65" t="e">
        <v>#N/A</v>
      </c>
      <c r="I65">
        <f t="shared" si="3"/>
        <v>4</v>
      </c>
      <c r="J65">
        <f>'10A61 Liquid 3" ViscosityLINEST'!B65*'10A61 Liquid 3"'!$B$4^'10A61 Liquid 3" ViscosityLINEST'!I65+'10A61 Liquid 3" ViscosityLINEST'!C65*'10A61 Liquid 3"'!$B$4^('10A61 Liquid 3" ViscosityLINEST'!I65-1)+'10A61 Liquid 3" ViscosityLINEST'!D65*'10A61 Liquid 3"'!$B$4^('10A61 Liquid 3" ViscosityLINEST'!I65-2)+'10A61 Liquid 3" ViscosityLINEST'!E65*'10A61 Liquid 3"'!$B$4^('10A61 Liquid 3" ViscosityLINEST'!I65-3)+'10A61 Liquid 3" ViscosityLINEST'!F65*'10A61 Liquid 3"'!$B$4^('10A61 Liquid 3" ViscosityLINEST'!I65-4)</f>
        <v>30.272063492063502</v>
      </c>
    </row>
    <row r="66" spans="1:10">
      <c r="B66">
        <f t="array" ref="B66:H66">LINEST('10A61 Liquid 3"'!M97:M105,'10A61 Liquid 3"'!L97:L105^{1,2,3,4})</f>
        <v>9.9696969696964233E-2</v>
      </c>
      <c r="C66">
        <v>-1.6044511784511073</v>
      </c>
      <c r="D66">
        <v>10.213499999999673</v>
      </c>
      <c r="E66">
        <v>-32.68176599326538</v>
      </c>
      <c r="F66">
        <v>54.221555555555184</v>
      </c>
      <c r="G66" t="e">
        <v>#N/A</v>
      </c>
      <c r="H66" t="e">
        <v>#N/A</v>
      </c>
      <c r="I66">
        <f t="shared" si="3"/>
        <v>4</v>
      </c>
      <c r="J66">
        <f>'10A61 Liquid 3" ViscosityLINEST'!B66*'10A61 Liquid 3"'!$B$4^'10A61 Liquid 3" ViscosityLINEST'!I66+'10A61 Liquid 3" ViscosityLINEST'!C66*'10A61 Liquid 3"'!$B$4^('10A61 Liquid 3" ViscosityLINEST'!I66-1)+'10A61 Liquid 3" ViscosityLINEST'!D66*'10A61 Liquid 3"'!$B$4^('10A61 Liquid 3" ViscosityLINEST'!I66-2)+'10A61 Liquid 3" ViscosityLINEST'!E66*'10A61 Liquid 3"'!$B$4^('10A61 Liquid 3" ViscosityLINEST'!I66-3)+'10A61 Liquid 3" ViscosityLINEST'!F66*'10A61 Liquid 3"'!$B$4^('10A61 Liquid 3" ViscosityLINEST'!I66-4)</f>
        <v>30.248535353535335</v>
      </c>
    </row>
    <row r="67" spans="1:10">
      <c r="A67">
        <v>1.5</v>
      </c>
      <c r="B67">
        <f t="array" ref="B67:H67">LINEST('10A61 Liquid 3"'!M108:M113,'10A61 Liquid 3"'!L108:L113^{1,2,3,4})</f>
        <v>97.916666666636615</v>
      </c>
      <c r="C67">
        <v>-269.39814814805965</v>
      </c>
      <c r="D67">
        <v>262.4791666665709</v>
      </c>
      <c r="E67">
        <v>-121.37923280418771</v>
      </c>
      <c r="F67">
        <v>59.978174603166806</v>
      </c>
      <c r="G67" t="e">
        <v>#N/A</v>
      </c>
      <c r="H67" t="e">
        <v>#N/A</v>
      </c>
      <c r="I67">
        <f t="shared" si="3"/>
        <v>4</v>
      </c>
      <c r="J67">
        <f>'10A61 Liquid 3" ViscosityLINEST'!B67*'10A61 Liquid 3"'!$B$4^'10A61 Liquid 3" ViscosityLINEST'!I67+'10A61 Liquid 3" ViscosityLINEST'!C67*'10A61 Liquid 3"'!$B$4^('10A61 Liquid 3" ViscosityLINEST'!I67-1)+'10A61 Liquid 3" ViscosityLINEST'!D67*'10A61 Liquid 3"'!$B$4^('10A61 Liquid 3" ViscosityLINEST'!I67-2)+'10A61 Liquid 3" ViscosityLINEST'!E67*'10A61 Liquid 3"'!$B$4^('10A61 Liquid 3" ViscosityLINEST'!I67-3)+'10A61 Liquid 3" ViscosityLINEST'!F67*'10A61 Liquid 3"'!$B$4^('10A61 Liquid 3" ViscosityLINEST'!I67-4)</f>
        <v>29.596626984126971</v>
      </c>
    </row>
    <row r="68" spans="1:10">
      <c r="B68">
        <f t="array" ref="B68:H68">LINEST('10A61 Liquid 3"'!M113:M121,'10A61 Liquid 3"'!L113:L121^{1,2,3,4})</f>
        <v>9.0354312354307825E-2</v>
      </c>
      <c r="C68">
        <v>-1.4645143745143148</v>
      </c>
      <c r="D68">
        <v>9.4313205128202338</v>
      </c>
      <c r="E68">
        <v>-30.719159285158753</v>
      </c>
      <c r="F68">
        <v>52.235833333333019</v>
      </c>
      <c r="G68" t="e">
        <v>#N/A</v>
      </c>
      <c r="H68" t="e">
        <v>#N/A</v>
      </c>
      <c r="I68">
        <f t="shared" si="3"/>
        <v>4</v>
      </c>
      <c r="J68">
        <f>'10A61 Liquid 3" ViscosityLINEST'!B68*'10A61 Liquid 3"'!$B$4^'10A61 Liquid 3" ViscosityLINEST'!I68+'10A61 Liquid 3" ViscosityLINEST'!C68*'10A61 Liquid 3"'!$B$4^('10A61 Liquid 3" ViscosityLINEST'!I68-1)+'10A61 Liquid 3" ViscosityLINEST'!D68*'10A61 Liquid 3"'!$B$4^('10A61 Liquid 3" ViscosityLINEST'!I68-2)+'10A61 Liquid 3" ViscosityLINEST'!E68*'10A61 Liquid 3"'!$B$4^('10A61 Liquid 3" ViscosityLINEST'!I68-3)+'10A61 Liquid 3" ViscosityLINEST'!F68*'10A61 Liquid 3"'!$B$4^('10A61 Liquid 3" ViscosityLINEST'!I68-4)</f>
        <v>29.573834498834493</v>
      </c>
    </row>
    <row r="70" spans="1:10">
      <c r="A70" t="s">
        <v>83</v>
      </c>
    </row>
    <row r="71" spans="1:10">
      <c r="A71">
        <v>0.4</v>
      </c>
      <c r="B71">
        <f t="array" ref="B71:H71">LINEST('10A61 Liquid 3"'!O6:O11,'10A61 Liquid 3"'!N6:N11^{1,2,3,4})</f>
        <v>87.499999999952294</v>
      </c>
      <c r="C71">
        <v>-245.0925925924513</v>
      </c>
      <c r="D71">
        <v>277.70833333317967</v>
      </c>
      <c r="E71">
        <v>-199.79550264542993</v>
      </c>
      <c r="F71">
        <v>122.65412698411437</v>
      </c>
      <c r="G71" t="e">
        <v>#N/A</v>
      </c>
      <c r="H71" t="e">
        <v>#N/A</v>
      </c>
      <c r="I71">
        <f t="shared" ref="I71:I134" si="4">COUNT(B71:H71)-1</f>
        <v>4</v>
      </c>
      <c r="J71">
        <f>'10A61 Liquid 3" ViscosityLINEST'!B71*'10A61 Liquid 3"'!$B$4^'10A61 Liquid 3" ViscosityLINEST'!I71+'10A61 Liquid 3" ViscosityLINEST'!C71*'10A61 Liquid 3"'!$B$4^('10A61 Liquid 3" ViscosityLINEST'!I71-1)+'10A61 Liquid 3" ViscosityLINEST'!D71*'10A61 Liquid 3"'!$B$4^('10A61 Liquid 3" ViscosityLINEST'!I71-2)+'10A61 Liquid 3" ViscosityLINEST'!E71*'10A61 Liquid 3"'!$B$4^('10A61 Liquid 3" ViscosityLINEST'!I71-3)+'10A61 Liquid 3" ViscosityLINEST'!F71*'10A61 Liquid 3"'!$B$4^('10A61 Liquid 3" ViscosityLINEST'!I71-4)</f>
        <v>42.974365079365114</v>
      </c>
    </row>
    <row r="72" spans="1:10">
      <c r="B72">
        <f t="array" ref="B72:H72">LINEST('10A61 Liquid 3"'!O11:O19,'10A61 Liquid 3"'!N11:N19^{1,2,3,4})</f>
        <v>0.28331002331001037</v>
      </c>
      <c r="C72">
        <v>-4.3377000776999104</v>
      </c>
      <c r="D72">
        <v>25.204627039626274</v>
      </c>
      <c r="E72">
        <v>-69.336635586634159</v>
      </c>
      <c r="F72">
        <v>91.104999999999166</v>
      </c>
      <c r="G72" t="e">
        <v>#N/A</v>
      </c>
      <c r="H72" t="e">
        <v>#N/A</v>
      </c>
      <c r="I72">
        <f t="shared" si="4"/>
        <v>4</v>
      </c>
      <c r="J72">
        <f>'10A61 Liquid 3" ViscosityLINEST'!B72*'10A61 Liquid 3"'!$B$4^'10A61 Liquid 3" ViscosityLINEST'!I72+'10A61 Liquid 3" ViscosityLINEST'!C72*'10A61 Liquid 3"'!$B$4^('10A61 Liquid 3" ViscosityLINEST'!I72-1)+'10A61 Liquid 3" ViscosityLINEST'!D72*'10A61 Liquid 3"'!$B$4^('10A61 Liquid 3" ViscosityLINEST'!I72-2)+'10A61 Liquid 3" ViscosityLINEST'!E72*'10A61 Liquid 3"'!$B$4^('10A61 Liquid 3" ViscosityLINEST'!I72-3)+'10A61 Liquid 3" ViscosityLINEST'!F72*'10A61 Liquid 3"'!$B$4^('10A61 Liquid 3" ViscosityLINEST'!I72-4)</f>
        <v>42.918601398601382</v>
      </c>
    </row>
    <row r="73" spans="1:10">
      <c r="A73">
        <v>0.6</v>
      </c>
      <c r="B73">
        <f t="array" ref="B73:H73">LINEST('10A61 Liquid 3"'!O23:O28,'10A61 Liquid 3"'!N23:N28^{1,2,3,4})</f>
        <v>39.583333333365346</v>
      </c>
      <c r="C73">
        <v>-139.58333333343148</v>
      </c>
      <c r="D73">
        <v>191.2291666667773</v>
      </c>
      <c r="E73">
        <v>-154.37023809529231</v>
      </c>
      <c r="F73">
        <v>103.52642857143829</v>
      </c>
      <c r="G73" t="e">
        <v>#N/A</v>
      </c>
      <c r="H73" t="e">
        <v>#N/A</v>
      </c>
      <c r="I73">
        <f t="shared" si="4"/>
        <v>4</v>
      </c>
      <c r="J73">
        <f>'10A61 Liquid 3" ViscosityLINEST'!B73*'10A61 Liquid 3"'!$B$4^'10A61 Liquid 3" ViscosityLINEST'!I73+'10A61 Liquid 3" ViscosityLINEST'!C73*'10A61 Liquid 3"'!$B$4^('10A61 Liquid 3" ViscosityLINEST'!I73-1)+'10A61 Liquid 3" ViscosityLINEST'!D73*'10A61 Liquid 3"'!$B$4^('10A61 Liquid 3" ViscosityLINEST'!I73-2)+'10A61 Liquid 3" ViscosityLINEST'!E73*'10A61 Liquid 3"'!$B$4^('10A61 Liquid 3" ViscosityLINEST'!I73-3)+'10A61 Liquid 3" ViscosityLINEST'!F73*'10A61 Liquid 3"'!$B$4^('10A61 Liquid 3" ViscosityLINEST'!I73-4)</f>
        <v>40.385357142857146</v>
      </c>
    </row>
    <row r="74" spans="1:10">
      <c r="B74">
        <f t="array" ref="B74:H74">LINEST('10A61 Liquid 3"'!O28:O36,'10A61 Liquid 3"'!N28:N36^{1,2,3,4})</f>
        <v>0.20484848484847473</v>
      </c>
      <c r="C74">
        <v>-3.2340740740739431</v>
      </c>
      <c r="D74">
        <v>19.600909090908491</v>
      </c>
      <c r="E74">
        <v>-57.027542087540965</v>
      </c>
      <c r="F74">
        <v>80.796111111110434</v>
      </c>
      <c r="G74" t="e">
        <v>#N/A</v>
      </c>
      <c r="H74" t="e">
        <v>#N/A</v>
      </c>
      <c r="I74">
        <f t="shared" si="4"/>
        <v>4</v>
      </c>
      <c r="J74">
        <f>'10A61 Liquid 3" ViscosityLINEST'!B74*'10A61 Liquid 3"'!$B$4^'10A61 Liquid 3" ViscosityLINEST'!I74+'10A61 Liquid 3" ViscosityLINEST'!C74*'10A61 Liquid 3"'!$B$4^('10A61 Liquid 3" ViscosityLINEST'!I74-1)+'10A61 Liquid 3" ViscosityLINEST'!D74*'10A61 Liquid 3"'!$B$4^('10A61 Liquid 3" ViscosityLINEST'!I74-2)+'10A61 Liquid 3" ViscosityLINEST'!E74*'10A61 Liquid 3"'!$B$4^('10A61 Liquid 3" ViscosityLINEST'!I74-3)+'10A61 Liquid 3" ViscosityLINEST'!F74*'10A61 Liquid 3"'!$B$4^('10A61 Liquid 3" ViscosityLINEST'!I74-4)</f>
        <v>40.340252525252495</v>
      </c>
    </row>
    <row r="75" spans="1:10">
      <c r="A75">
        <v>0.8</v>
      </c>
      <c r="B75">
        <f t="array" ref="B75:H75">LINEST('10A61 Liquid 3"'!O41:O46,'10A61 Liquid 3"'!N41:N46^{1,2,3,4})</f>
        <v>-212.49999999998886</v>
      </c>
      <c r="C75">
        <v>650.09259259256339</v>
      </c>
      <c r="D75">
        <v>-722.95833333330586</v>
      </c>
      <c r="E75">
        <v>316.00978835977736</v>
      </c>
      <c r="F75">
        <v>7.8001587301602484</v>
      </c>
      <c r="G75" t="e">
        <v>#N/A</v>
      </c>
      <c r="H75" t="e">
        <v>#N/A</v>
      </c>
      <c r="I75">
        <f t="shared" si="4"/>
        <v>4</v>
      </c>
      <c r="J75">
        <f>'10A61 Liquid 3" ViscosityLINEST'!B75*'10A61 Liquid 3"'!$B$4^'10A61 Liquid 3" ViscosityLINEST'!I75+'10A61 Liquid 3" ViscosityLINEST'!C75*'10A61 Liquid 3"'!$B$4^('10A61 Liquid 3" ViscosityLINEST'!I75-1)+'10A61 Liquid 3" ViscosityLINEST'!D75*'10A61 Liquid 3"'!$B$4^('10A61 Liquid 3" ViscosityLINEST'!I75-2)+'10A61 Liquid 3" ViscosityLINEST'!E75*'10A61 Liquid 3"'!$B$4^('10A61 Liquid 3" ViscosityLINEST'!I75-3)+'10A61 Liquid 3" ViscosityLINEST'!F75*'10A61 Liquid 3"'!$B$4^('10A61 Liquid 3" ViscosityLINEST'!I75-4)</f>
        <v>38.444206349206283</v>
      </c>
    </row>
    <row r="76" spans="1:10">
      <c r="B76">
        <f t="array" ref="B76:H76">LINEST('10A61 Liquid 3"'!O46:O54,'10A61 Liquid 3"'!N46:N54^{1,2,3,4})</f>
        <v>0.17938461538460704</v>
      </c>
      <c r="C76">
        <v>-2.8077130277129179</v>
      </c>
      <c r="D76">
        <v>17.048729603729093</v>
      </c>
      <c r="E76">
        <v>-50.490192955191986</v>
      </c>
      <c r="F76">
        <v>74.439888888888277</v>
      </c>
      <c r="G76" t="e">
        <v>#N/A</v>
      </c>
      <c r="H76" t="e">
        <v>#N/A</v>
      </c>
      <c r="I76">
        <f t="shared" si="4"/>
        <v>4</v>
      </c>
      <c r="J76">
        <f>'10A61 Liquid 3" ViscosityLINEST'!B76*'10A61 Liquid 3"'!$B$4^'10A61 Liquid 3" ViscosityLINEST'!I76+'10A61 Liquid 3" ViscosityLINEST'!C76*'10A61 Liquid 3"'!$B$4^('10A61 Liquid 3" ViscosityLINEST'!I76-1)+'10A61 Liquid 3" ViscosityLINEST'!D76*'10A61 Liquid 3"'!$B$4^('10A61 Liquid 3" ViscosityLINEST'!I76-2)+'10A61 Liquid 3" ViscosityLINEST'!E76*'10A61 Liquid 3"'!$B$4^('10A61 Liquid 3" ViscosityLINEST'!I76-3)+'10A61 Liquid 3" ViscosityLINEST'!F76*'10A61 Liquid 3"'!$B$4^('10A61 Liquid 3" ViscosityLINEST'!I76-4)</f>
        <v>38.370097125097075</v>
      </c>
    </row>
    <row r="77" spans="1:10">
      <c r="A77">
        <v>1</v>
      </c>
      <c r="B77">
        <f t="array" ref="B77:H77">LINEST('10A61 Liquid 3"'!O57:O62,'10A61 Liquid 3"'!N57:N62^{1,2,3,4})</f>
        <v>-231.24999999995796</v>
      </c>
      <c r="C77">
        <v>760.50925925913873</v>
      </c>
      <c r="D77">
        <v>-914.39583333320672</v>
      </c>
      <c r="E77">
        <v>451.11455026449255</v>
      </c>
      <c r="F77">
        <v>-29.43341269840306</v>
      </c>
      <c r="G77" t="e">
        <v>#N/A</v>
      </c>
      <c r="H77" t="e">
        <v>#N/A</v>
      </c>
      <c r="I77">
        <f t="shared" si="4"/>
        <v>4</v>
      </c>
      <c r="J77">
        <f>'10A61 Liquid 3" ViscosityLINEST'!B77*'10A61 Liquid 3"'!$B$4^'10A61 Liquid 3" ViscosityLINEST'!I77+'10A61 Liquid 3" ViscosityLINEST'!C77*'10A61 Liquid 3"'!$B$4^('10A61 Liquid 3" ViscosityLINEST'!I77-1)+'10A61 Liquid 3" ViscosityLINEST'!D77*'10A61 Liquid 3"'!$B$4^('10A61 Liquid 3" ViscosityLINEST'!I77-2)+'10A61 Liquid 3" ViscosityLINEST'!E77*'10A61 Liquid 3"'!$B$4^('10A61 Liquid 3" ViscosityLINEST'!I77-3)+'10A61 Liquid 3" ViscosityLINEST'!F77*'10A61 Liquid 3"'!$B$4^('10A61 Liquid 3" ViscosityLINEST'!I77-4)</f>
        <v>36.54456349206356</v>
      </c>
    </row>
    <row r="78" spans="1:10">
      <c r="B78">
        <f t="array" ref="B78:H78">LINEST('10A61 Liquid 3"'!O62:O70,'10A61 Liquid 3"'!N62:N70^{1,2,3,4})</f>
        <v>0.14636829836829157</v>
      </c>
      <c r="C78">
        <v>-2.3246620046619153</v>
      </c>
      <c r="D78">
        <v>14.427529137528721</v>
      </c>
      <c r="E78">
        <v>-44.171561771560974</v>
      </c>
      <c r="F78">
        <v>68.435333333332878</v>
      </c>
      <c r="G78" t="e">
        <v>#N/A</v>
      </c>
      <c r="H78" t="e">
        <v>#N/A</v>
      </c>
      <c r="I78">
        <f t="shared" si="4"/>
        <v>4</v>
      </c>
      <c r="J78">
        <f>'10A61 Liquid 3" ViscosityLINEST'!B78*'10A61 Liquid 3"'!$B$4^'10A61 Liquid 3" ViscosityLINEST'!I78+'10A61 Liquid 3" ViscosityLINEST'!C78*'10A61 Liquid 3"'!$B$4^('10A61 Liquid 3" ViscosityLINEST'!I78-1)+'10A61 Liquid 3" ViscosityLINEST'!D78*'10A61 Liquid 3"'!$B$4^('10A61 Liquid 3" ViscosityLINEST'!I78-2)+'10A61 Liquid 3" ViscosityLINEST'!E78*'10A61 Liquid 3"'!$B$4^('10A61 Liquid 3" ViscosityLINEST'!I78-3)+'10A61 Liquid 3" ViscosityLINEST'!F78*'10A61 Liquid 3"'!$B$4^('10A61 Liquid 3" ViscosityLINEST'!I78-4)</f>
        <v>36.513006993006996</v>
      </c>
    </row>
    <row r="79" spans="1:10">
      <c r="A79">
        <v>1.2</v>
      </c>
      <c r="B79">
        <f t="array" ref="B79:H79">LINEST('10A61 Liquid 3"'!O73:O78,'10A61 Liquid 3"'!N73:N78^{1,2,3,4})</f>
        <v>41.666666666664796</v>
      </c>
      <c r="C79">
        <v>-88.518518518513773</v>
      </c>
      <c r="D79">
        <v>50.499999999995694</v>
      </c>
      <c r="E79">
        <v>-18.489814814813176</v>
      </c>
      <c r="F79">
        <v>49.46111111111091</v>
      </c>
      <c r="G79" t="e">
        <v>#N/A</v>
      </c>
      <c r="H79" t="e">
        <v>#N/A</v>
      </c>
      <c r="I79">
        <f t="shared" si="4"/>
        <v>4</v>
      </c>
      <c r="J79">
        <f>'10A61 Liquid 3" ViscosityLINEST'!B79*'10A61 Liquid 3"'!$B$4^'10A61 Liquid 3" ViscosityLINEST'!I79+'10A61 Liquid 3" ViscosityLINEST'!C79*'10A61 Liquid 3"'!$B$4^('10A61 Liquid 3" ViscosityLINEST'!I79-1)+'10A61 Liquid 3" ViscosityLINEST'!D79*'10A61 Liquid 3"'!$B$4^('10A61 Liquid 3" ViscosityLINEST'!I79-2)+'10A61 Liquid 3" ViscosityLINEST'!E79*'10A61 Liquid 3"'!$B$4^('10A61 Liquid 3" ViscosityLINEST'!I79-3)+'10A61 Liquid 3" ViscosityLINEST'!F79*'10A61 Liquid 3"'!$B$4^('10A61 Liquid 3" ViscosityLINEST'!I79-4)</f>
        <v>34.619444444444454</v>
      </c>
    </row>
    <row r="80" spans="1:10">
      <c r="B80">
        <f t="array" ref="B80:H80">LINEST('10A61 Liquid 3"'!O78:O86,'10A61 Liquid 3"'!N78:N86^{1,2,3,4})</f>
        <v>0.11784615384614723</v>
      </c>
      <c r="C80">
        <v>-1.8906386946386082</v>
      </c>
      <c r="D80">
        <v>11.974538461538062</v>
      </c>
      <c r="E80">
        <v>-38.022006993006237</v>
      </c>
      <c r="F80">
        <v>62.414666666666186</v>
      </c>
      <c r="G80" t="e">
        <v>#N/A</v>
      </c>
      <c r="H80" t="e">
        <v>#N/A</v>
      </c>
      <c r="I80">
        <f t="shared" si="4"/>
        <v>4</v>
      </c>
      <c r="J80">
        <f>'10A61 Liquid 3" ViscosityLINEST'!B80*'10A61 Liquid 3"'!$B$4^'10A61 Liquid 3" ViscosityLINEST'!I80+'10A61 Liquid 3" ViscosityLINEST'!C80*'10A61 Liquid 3"'!$B$4^('10A61 Liquid 3" ViscosityLINEST'!I80-1)+'10A61 Liquid 3" ViscosityLINEST'!D80*'10A61 Liquid 3"'!$B$4^('10A61 Liquid 3" ViscosityLINEST'!I80-2)+'10A61 Liquid 3" ViscosityLINEST'!E80*'10A61 Liquid 3"'!$B$4^('10A61 Liquid 3" ViscosityLINEST'!I80-3)+'10A61 Liquid 3" ViscosityLINEST'!F80*'10A61 Liquid 3"'!$B$4^('10A61 Liquid 3" ViscosityLINEST'!I80-4)</f>
        <v>34.594405594405551</v>
      </c>
    </row>
    <row r="81" spans="1:10">
      <c r="A81">
        <v>1.4</v>
      </c>
      <c r="B81">
        <f t="array" ref="B81:H81">LINEST('10A61 Liquid 3"'!O92:O97,'10A61 Liquid 3"'!N92:N97^{1,2,3,4})</f>
        <v>137.49999999995094</v>
      </c>
      <c r="C81">
        <v>-386.94444444429968</v>
      </c>
      <c r="D81">
        <v>388.12499999984306</v>
      </c>
      <c r="E81">
        <v>-179.23769841262435</v>
      </c>
      <c r="F81">
        <v>73.579523809510988</v>
      </c>
      <c r="G81" t="e">
        <v>#N/A</v>
      </c>
      <c r="H81" t="e">
        <v>#N/A</v>
      </c>
      <c r="I81">
        <f t="shared" si="4"/>
        <v>4</v>
      </c>
      <c r="J81">
        <f>'10A61 Liquid 3" ViscosityLINEST'!B81*'10A61 Liquid 3"'!$B$4^'10A61 Liquid 3" ViscosityLINEST'!I81+'10A61 Liquid 3" ViscosityLINEST'!C81*'10A61 Liquid 3"'!$B$4^('10A61 Liquid 3" ViscosityLINEST'!I81-1)+'10A61 Liquid 3" ViscosityLINEST'!D81*'10A61 Liquid 3"'!$B$4^('10A61 Liquid 3" ViscosityLINEST'!I81-2)+'10A61 Liquid 3" ViscosityLINEST'!E81*'10A61 Liquid 3"'!$B$4^('10A61 Liquid 3" ViscosityLINEST'!I81-3)+'10A61 Liquid 3" ViscosityLINEST'!F81*'10A61 Liquid 3"'!$B$4^('10A61 Liquid 3" ViscosityLINEST'!I81-4)</f>
        <v>33.022380952380956</v>
      </c>
    </row>
    <row r="82" spans="1:10">
      <c r="B82">
        <f t="array" ref="B82:H82">LINEST('10A61 Liquid 3"'!O97:O105,'10A61 Liquid 3"'!N97:N105^{1,2,3,4})</f>
        <v>9.4041958041952534E-2</v>
      </c>
      <c r="C82">
        <v>-1.5389546749546039</v>
      </c>
      <c r="D82">
        <v>10.034610722610401</v>
      </c>
      <c r="E82">
        <v>-33.211655270654674</v>
      </c>
      <c r="F82">
        <v>57.61922222222185</v>
      </c>
      <c r="G82" t="e">
        <v>#N/A</v>
      </c>
      <c r="H82" t="e">
        <v>#N/A</v>
      </c>
      <c r="I82">
        <f t="shared" si="4"/>
        <v>4</v>
      </c>
      <c r="J82">
        <f>'10A61 Liquid 3" ViscosityLINEST'!B82*'10A61 Liquid 3"'!$B$4^'10A61 Liquid 3" ViscosityLINEST'!I82+'10A61 Liquid 3" ViscosityLINEST'!C82*'10A61 Liquid 3"'!$B$4^('10A61 Liquid 3" ViscosityLINEST'!I82-1)+'10A61 Liquid 3" ViscosityLINEST'!D82*'10A61 Liquid 3"'!$B$4^('10A61 Liquid 3" ViscosityLINEST'!I82-2)+'10A61 Liquid 3" ViscosityLINEST'!E82*'10A61 Liquid 3"'!$B$4^('10A61 Liquid 3" ViscosityLINEST'!I82-3)+'10A61 Liquid 3" ViscosityLINEST'!F82*'10A61 Liquid 3"'!$B$4^('10A61 Liquid 3" ViscosityLINEST'!I82-4)</f>
        <v>32.997264957264925</v>
      </c>
    </row>
    <row r="83" spans="1:10">
      <c r="A83">
        <v>1.5</v>
      </c>
      <c r="B83">
        <f t="array" ref="B83:H83">LINEST('10A61 Liquid 3"'!O108:O113,'10A61 Liquid 3"'!N108:N113^{1,2,3,4})</f>
        <v>93.749999999964913</v>
      </c>
      <c r="C83">
        <v>-265.23148148137801</v>
      </c>
      <c r="D83">
        <v>264.52083333322128</v>
      </c>
      <c r="E83">
        <v>-123.44947089941812</v>
      </c>
      <c r="F83">
        <v>62.719603174594042</v>
      </c>
      <c r="G83" t="e">
        <v>#N/A</v>
      </c>
      <c r="H83" t="e">
        <v>#N/A</v>
      </c>
      <c r="I83">
        <f t="shared" si="4"/>
        <v>4</v>
      </c>
      <c r="J83">
        <f>'10A61 Liquid 3" ViscosityLINEST'!B83*'10A61 Liquid 3"'!$B$4^'10A61 Liquid 3" ViscosityLINEST'!I83+'10A61 Liquid 3" ViscosityLINEST'!C83*'10A61 Liquid 3"'!$B$4^('10A61 Liquid 3" ViscosityLINEST'!I83-1)+'10A61 Liquid 3" ViscosityLINEST'!D83*'10A61 Liquid 3"'!$B$4^('10A61 Liquid 3" ViscosityLINEST'!I83-2)+'10A61 Liquid 3" ViscosityLINEST'!E83*'10A61 Liquid 3"'!$B$4^('10A61 Liquid 3" ViscosityLINEST'!I83-3)+'10A61 Liquid 3" ViscosityLINEST'!F83*'10A61 Liquid 3"'!$B$4^('10A61 Liquid 3" ViscosityLINEST'!I83-4)</f>
        <v>32.309484126984117</v>
      </c>
    </row>
    <row r="84" spans="1:10">
      <c r="B84">
        <f t="array" ref="B84:H84">LINEST('10A61 Liquid 3"'!O113:O121,'10A61 Liquid 3"'!N113:N121^{1,2,3,4})</f>
        <v>8.3529137529132685E-2</v>
      </c>
      <c r="C84">
        <v>-1.3865449365448739</v>
      </c>
      <c r="D84">
        <v>9.207511655011368</v>
      </c>
      <c r="E84">
        <v>-31.177227402226865</v>
      </c>
      <c r="F84">
        <v>55.5676111111108</v>
      </c>
      <c r="G84" t="e">
        <v>#N/A</v>
      </c>
      <c r="H84" t="e">
        <v>#N/A</v>
      </c>
      <c r="I84">
        <f t="shared" si="4"/>
        <v>4</v>
      </c>
      <c r="J84">
        <f>'10A61 Liquid 3" ViscosityLINEST'!B84*'10A61 Liquid 3"'!$B$4^'10A61 Liquid 3" ViscosityLINEST'!I84+'10A61 Liquid 3" ViscosityLINEST'!C84*'10A61 Liquid 3"'!$B$4^('10A61 Liquid 3" ViscosityLINEST'!I84-1)+'10A61 Liquid 3" ViscosityLINEST'!D84*'10A61 Liquid 3"'!$B$4^('10A61 Liquid 3" ViscosityLINEST'!I84-2)+'10A61 Liquid 3" ViscosityLINEST'!E84*'10A61 Liquid 3"'!$B$4^('10A61 Liquid 3" ViscosityLINEST'!I84-3)+'10A61 Liquid 3" ViscosityLINEST'!F84*'10A61 Liquid 3"'!$B$4^('10A61 Liquid 3" ViscosityLINEST'!I84-4)</f>
        <v>32.294879564879565</v>
      </c>
    </row>
    <row r="86" spans="1:10">
      <c r="A86" t="s">
        <v>81</v>
      </c>
    </row>
    <row r="87" spans="1:10">
      <c r="A87">
        <v>0.4</v>
      </c>
      <c r="B87">
        <f t="array" ref="B87:H87">LINEST('10A61 Liquid 3"'!Q6:Q11,'10A61 Liquid 3"'!P6:P11^{1,2,3,4})</f>
        <v>285.41666666657238</v>
      </c>
      <c r="C87">
        <v>-808.74999999972204</v>
      </c>
      <c r="D87">
        <v>864.27083333303244</v>
      </c>
      <c r="E87">
        <v>-469.6142857141441</v>
      </c>
      <c r="F87">
        <v>169.59071428568996</v>
      </c>
      <c r="G87" t="e">
        <v>#N/A</v>
      </c>
      <c r="H87" t="e">
        <v>#N/A</v>
      </c>
      <c r="I87">
        <f t="shared" si="4"/>
        <v>4</v>
      </c>
      <c r="J87">
        <f>'10A61 Liquid 3" ViscosityLINEST'!B87*'10A61 Liquid 3"'!$B$4^'10A61 Liquid 3" ViscosityLINEST'!I87+'10A61 Liquid 3" ViscosityLINEST'!C87*'10A61 Liquid 3"'!$B$4^('10A61 Liquid 3" ViscosityLINEST'!I87-1)+'10A61 Liquid 3" ViscosityLINEST'!D87*'10A61 Liquid 3"'!$B$4^('10A61 Liquid 3" ViscosityLINEST'!I87-2)+'10A61 Liquid 3" ViscosityLINEST'!E87*'10A61 Liquid 3"'!$B$4^('10A61 Liquid 3" ViscosityLINEST'!I87-3)+'10A61 Liquid 3" ViscosityLINEST'!F87*'10A61 Liquid 3"'!$B$4^('10A61 Liquid 3" ViscosityLINEST'!I87-4)</f>
        <v>40.913928571428642</v>
      </c>
    </row>
    <row r="88" spans="1:10">
      <c r="B88">
        <f t="array" ref="B88:H88">LINEST('10A61 Liquid 3"'!Q11:Q19,'10A61 Liquid 3"'!P11:P19^{1,2,3,4})</f>
        <v>0.32532400932399702</v>
      </c>
      <c r="C88">
        <v>-4.8189184149182553</v>
      </c>
      <c r="D88">
        <v>27.03830536130463</v>
      </c>
      <c r="E88">
        <v>-71.562421911420529</v>
      </c>
      <c r="F88">
        <v>89.760333333332454</v>
      </c>
      <c r="G88" t="e">
        <v>#N/A</v>
      </c>
      <c r="H88" t="e">
        <v>#N/A</v>
      </c>
      <c r="I88">
        <f t="shared" si="4"/>
        <v>4</v>
      </c>
      <c r="J88">
        <f>'10A61 Liquid 3" ViscosityLINEST'!B88*'10A61 Liquid 3"'!$B$4^'10A61 Liquid 3" ViscosityLINEST'!I88+'10A61 Liquid 3" ViscosityLINEST'!C88*'10A61 Liquid 3"'!$B$4^('10A61 Liquid 3" ViscosityLINEST'!I88-1)+'10A61 Liquid 3" ViscosityLINEST'!D88*'10A61 Liquid 3"'!$B$4^('10A61 Liquid 3" ViscosityLINEST'!I88-2)+'10A61 Liquid 3" ViscosityLINEST'!E88*'10A61 Liquid 3"'!$B$4^('10A61 Liquid 3" ViscosityLINEST'!I88-3)+'10A61 Liquid 3" ViscosityLINEST'!F88*'10A61 Liquid 3"'!$B$4^('10A61 Liquid 3" ViscosityLINEST'!I88-4)</f>
        <v>40.742622377622297</v>
      </c>
    </row>
    <row r="89" spans="1:10">
      <c r="A89">
        <v>0.6</v>
      </c>
      <c r="B89">
        <f t="array" ref="B89:H89">LINEST('10A61 Liquid 3"'!Q23:Q28,'10A61 Liquid 3"'!P23:P28^{1,2,3,4})</f>
        <v>-18.749999999947686</v>
      </c>
      <c r="C89">
        <v>65.601851851695301</v>
      </c>
      <c r="D89">
        <v>-75.10416666649455</v>
      </c>
      <c r="E89">
        <v>-6.5042328043150937</v>
      </c>
      <c r="F89">
        <v>71.05817460318903</v>
      </c>
      <c r="G89" t="e">
        <v>#N/A</v>
      </c>
      <c r="H89" t="e">
        <v>#N/A</v>
      </c>
      <c r="I89">
        <f t="shared" si="4"/>
        <v>4</v>
      </c>
      <c r="J89">
        <f>'10A61 Liquid 3" ViscosityLINEST'!B89*'10A61 Liquid 3"'!$B$4^'10A61 Liquid 3" ViscosityLINEST'!I89+'10A61 Liquid 3" ViscosityLINEST'!C89*'10A61 Liquid 3"'!$B$4^('10A61 Liquid 3" ViscosityLINEST'!I89-1)+'10A61 Liquid 3" ViscosityLINEST'!D89*'10A61 Liquid 3"'!$B$4^('10A61 Liquid 3" ViscosityLINEST'!I89-2)+'10A61 Liquid 3" ViscosityLINEST'!E89*'10A61 Liquid 3"'!$B$4^('10A61 Liquid 3" ViscosityLINEST'!I89-3)+'10A61 Liquid 3" ViscosityLINEST'!F89*'10A61 Liquid 3"'!$B$4^('10A61 Liquid 3" ViscosityLINEST'!I89-4)</f>
        <v>36.301626984126997</v>
      </c>
    </row>
    <row r="90" spans="1:10">
      <c r="B90">
        <f t="array" ref="B90:H90">LINEST('10A61 Liquid 3"'!Q28:Q36,'10A61 Liquid 3"'!P28:P36^{1,2,3,4})</f>
        <v>0.29557575757574572</v>
      </c>
      <c r="C90">
        <v>-4.3456228956227436</v>
      </c>
      <c r="D90">
        <v>24.183015151514464</v>
      </c>
      <c r="E90">
        <v>-63.535048821547548</v>
      </c>
      <c r="F90">
        <v>79.614555555554773</v>
      </c>
      <c r="G90" t="e">
        <v>#N/A</v>
      </c>
      <c r="H90" t="e">
        <v>#N/A</v>
      </c>
      <c r="I90">
        <f t="shared" si="4"/>
        <v>4</v>
      </c>
      <c r="J90">
        <f>'10A61 Liquid 3" ViscosityLINEST'!B90*'10A61 Liquid 3"'!$B$4^'10A61 Liquid 3" ViscosityLINEST'!I90+'10A61 Liquid 3" ViscosityLINEST'!C90*'10A61 Liquid 3"'!$B$4^('10A61 Liquid 3" ViscosityLINEST'!I90-1)+'10A61 Liquid 3" ViscosityLINEST'!D90*'10A61 Liquid 3"'!$B$4^('10A61 Liquid 3" ViscosityLINEST'!I90-2)+'10A61 Liquid 3" ViscosityLINEST'!E90*'10A61 Liquid 3"'!$B$4^('10A61 Liquid 3" ViscosityLINEST'!I90-3)+'10A61 Liquid 3" ViscosityLINEST'!F90*'10A61 Liquid 3"'!$B$4^('10A61 Liquid 3" ViscosityLINEST'!I90-4)</f>
        <v>36.212474747474687</v>
      </c>
    </row>
    <row r="91" spans="1:10">
      <c r="A91">
        <v>0.8</v>
      </c>
      <c r="B91">
        <f t="array" ref="B91:H91">LINEST('10A61 Liquid 3"'!Q41:Q46,'10A61 Liquid 3"'!P41:P46^{1,2,3,4})</f>
        <v>-85.416666666681976</v>
      </c>
      <c r="C91">
        <v>234.30555555560281</v>
      </c>
      <c r="D91">
        <v>-226.52083333338672</v>
      </c>
      <c r="E91">
        <v>58.919444444470614</v>
      </c>
      <c r="F91">
        <v>50.921666666661949</v>
      </c>
      <c r="G91" t="e">
        <v>#N/A</v>
      </c>
      <c r="H91" t="e">
        <v>#N/A</v>
      </c>
      <c r="I91">
        <f t="shared" si="4"/>
        <v>4</v>
      </c>
      <c r="J91">
        <f>'10A61 Liquid 3" ViscosityLINEST'!B91*'10A61 Liquid 3"'!$B$4^'10A61 Liquid 3" ViscosityLINEST'!I91+'10A61 Liquid 3" ViscosityLINEST'!C91*'10A61 Liquid 3"'!$B$4^('10A61 Liquid 3" ViscosityLINEST'!I91-1)+'10A61 Liquid 3" ViscosityLINEST'!D91*'10A61 Liquid 3"'!$B$4^('10A61 Liquid 3" ViscosityLINEST'!I91-2)+'10A61 Liquid 3" ViscosityLINEST'!E91*'10A61 Liquid 3"'!$B$4^('10A61 Liquid 3" ViscosityLINEST'!I91-3)+'10A61 Liquid 3" ViscosityLINEST'!F91*'10A61 Liquid 3"'!$B$4^('10A61 Liquid 3" ViscosityLINEST'!I91-4)</f>
        <v>32.209166666666675</v>
      </c>
    </row>
    <row r="92" spans="1:10">
      <c r="B92">
        <f t="array" ref="B92:H92">LINEST('10A61 Liquid 3"'!Q46:Q54,'10A61 Liquid 3"'!P46:P54^{1,2,3,4})</f>
        <v>0.25937995337994313</v>
      </c>
      <c r="C92">
        <v>-3.8122025382024032</v>
      </c>
      <c r="D92">
        <v>21.216821678321057</v>
      </c>
      <c r="E92">
        <v>-55.810782698781537</v>
      </c>
      <c r="F92">
        <v>70.262055555554838</v>
      </c>
      <c r="G92" t="e">
        <v>#N/A</v>
      </c>
      <c r="H92" t="e">
        <v>#N/A</v>
      </c>
      <c r="I92">
        <f t="shared" si="4"/>
        <v>4</v>
      </c>
      <c r="J92">
        <f>'10A61 Liquid 3" ViscosityLINEST'!B92*'10A61 Liquid 3"'!$B$4^'10A61 Liquid 3" ViscosityLINEST'!I92+'10A61 Liquid 3" ViscosityLINEST'!C92*'10A61 Liquid 3"'!$B$4^('10A61 Liquid 3" ViscosityLINEST'!I92-1)+'10A61 Liquid 3" ViscosityLINEST'!D92*'10A61 Liquid 3"'!$B$4^('10A61 Liquid 3" ViscosityLINEST'!I92-2)+'10A61 Liquid 3" ViscosityLINEST'!E92*'10A61 Liquid 3"'!$B$4^('10A61 Liquid 3" ViscosityLINEST'!I92-3)+'10A61 Liquid 3" ViscosityLINEST'!F92*'10A61 Liquid 3"'!$B$4^('10A61 Liquid 3" ViscosityLINEST'!I92-4)</f>
        <v>32.115271950271897</v>
      </c>
    </row>
    <row r="93" spans="1:10">
      <c r="A93">
        <v>1</v>
      </c>
      <c r="B93">
        <f t="array" ref="B93:H93">LINEST('10A61 Liquid 3"'!Q57:Q62,'10A61 Liquid 3"'!P57:P62^{1,2,3,4})</f>
        <v>79.166666666622191</v>
      </c>
      <c r="C93">
        <v>-250.83333333320155</v>
      </c>
      <c r="D93">
        <v>298.20833333319001</v>
      </c>
      <c r="E93">
        <v>-182.12023809517027</v>
      </c>
      <c r="F93">
        <v>83.901428571416773</v>
      </c>
      <c r="G93" t="e">
        <v>#N/A</v>
      </c>
      <c r="H93" t="e">
        <v>#N/A</v>
      </c>
      <c r="I93">
        <f t="shared" si="4"/>
        <v>4</v>
      </c>
      <c r="J93">
        <f>'10A61 Liquid 3" ViscosityLINEST'!B93*'10A61 Liquid 3"'!$B$4^'10A61 Liquid 3" ViscosityLINEST'!I93+'10A61 Liquid 3" ViscosityLINEST'!C93*'10A61 Liquid 3"'!$B$4^('10A61 Liquid 3" ViscosityLINEST'!I93-1)+'10A61 Liquid 3" ViscosityLINEST'!D93*'10A61 Liquid 3"'!$B$4^('10A61 Liquid 3" ViscosityLINEST'!I93-2)+'10A61 Liquid 3" ViscosityLINEST'!E93*'10A61 Liquid 3"'!$B$4^('10A61 Liquid 3" ViscosityLINEST'!I93-3)+'10A61 Liquid 3" ViscosityLINEST'!F93*'10A61 Liquid 3"'!$B$4^('10A61 Liquid 3" ViscosityLINEST'!I93-4)</f>
        <v>28.322857142857146</v>
      </c>
    </row>
    <row r="94" spans="1:10">
      <c r="B94">
        <f t="array" ref="B94:H94">LINEST('10A61 Liquid 3"'!Q62:Q70,'10A61 Liquid 3"'!P62:P70^{1,2,3,4})</f>
        <v>0.22788344988344045</v>
      </c>
      <c r="C94">
        <v>-3.3483455063453862</v>
      </c>
      <c r="D94">
        <v>18.625544289043745</v>
      </c>
      <c r="E94">
        <v>-48.971171199170186</v>
      </c>
      <c r="F94">
        <v>61.712388888888306</v>
      </c>
      <c r="G94" t="e">
        <v>#N/A</v>
      </c>
      <c r="H94" t="e">
        <v>#N/A</v>
      </c>
      <c r="I94">
        <f t="shared" si="4"/>
        <v>4</v>
      </c>
      <c r="J94">
        <f>'10A61 Liquid 3" ViscosityLINEST'!B94*'10A61 Liquid 3"'!$B$4^'10A61 Liquid 3" ViscosityLINEST'!I94+'10A61 Liquid 3" ViscosityLINEST'!C94*'10A61 Liquid 3"'!$B$4^('10A61 Liquid 3" ViscosityLINEST'!I94-1)+'10A61 Liquid 3" ViscosityLINEST'!D94*'10A61 Liquid 3"'!$B$4^('10A61 Liquid 3" ViscosityLINEST'!I94-2)+'10A61 Liquid 3" ViscosityLINEST'!E94*'10A61 Liquid 3"'!$B$4^('10A61 Liquid 3" ViscosityLINEST'!I94-3)+'10A61 Liquid 3" ViscosityLINEST'!F94*'10A61 Liquid 3"'!$B$4^('10A61 Liquid 3" ViscosityLINEST'!I94-4)</f>
        <v>28.246299922299919</v>
      </c>
    </row>
    <row r="95" spans="1:10">
      <c r="A95">
        <v>1.2</v>
      </c>
      <c r="B95">
        <f t="array" ref="B95:H95">LINEST('10A61 Liquid 3"'!Q73:Q78,'10A61 Liquid 3"'!P73:P78^{1,2,3,4})</f>
        <v>97.916666666634498</v>
      </c>
      <c r="C95">
        <v>-304.95370370360911</v>
      </c>
      <c r="D95">
        <v>355.72916666656454</v>
      </c>
      <c r="E95">
        <v>-204.82724867720066</v>
      </c>
      <c r="F95">
        <v>80.702936507928186</v>
      </c>
      <c r="G95" t="e">
        <v>#N/A</v>
      </c>
      <c r="H95" t="e">
        <v>#N/A</v>
      </c>
      <c r="I95">
        <f t="shared" si="4"/>
        <v>4</v>
      </c>
      <c r="J95">
        <f>'10A61 Liquid 3" ViscosityLINEST'!B95*'10A61 Liquid 3"'!$B$4^'10A61 Liquid 3" ViscosityLINEST'!I95+'10A61 Liquid 3" ViscosityLINEST'!C95*'10A61 Liquid 3"'!$B$4^('10A61 Liquid 3" ViscosityLINEST'!I95-1)+'10A61 Liquid 3" ViscosityLINEST'!D95*'10A61 Liquid 3"'!$B$4^('10A61 Liquid 3" ViscosityLINEST'!I95-2)+'10A61 Liquid 3" ViscosityLINEST'!E95*'10A61 Liquid 3"'!$B$4^('10A61 Liquid 3" ViscosityLINEST'!I95-3)+'10A61 Liquid 3" ViscosityLINEST'!F95*'10A61 Liquid 3"'!$B$4^('10A61 Liquid 3" ViscosityLINEST'!I95-4)</f>
        <v>24.567817460317471</v>
      </c>
    </row>
    <row r="96" spans="1:10">
      <c r="B96">
        <f t="array" ref="B96:H96">LINEST('10A61 Liquid 3"'!Q78:Q86,'10A61 Liquid 3"'!P78:P86^{1,2,3,4})</f>
        <v>0.198447552447544</v>
      </c>
      <c r="C96">
        <v>-2.9141181041179949</v>
      </c>
      <c r="D96">
        <v>16.195691142190643</v>
      </c>
      <c r="E96">
        <v>-42.534455322454392</v>
      </c>
      <c r="F96">
        <v>53.563499999999436</v>
      </c>
      <c r="G96" t="e">
        <v>#N/A</v>
      </c>
      <c r="H96" t="e">
        <v>#N/A</v>
      </c>
      <c r="I96">
        <f t="shared" si="4"/>
        <v>4</v>
      </c>
      <c r="J96">
        <f>'10A61 Liquid 3" ViscosityLINEST'!B96*'10A61 Liquid 3"'!$B$4^'10A61 Liquid 3" ViscosityLINEST'!I96+'10A61 Liquid 3" ViscosityLINEST'!C96*'10A61 Liquid 3"'!$B$4^('10A61 Liquid 3" ViscosityLINEST'!I96-1)+'10A61 Liquid 3" ViscosityLINEST'!D96*'10A61 Liquid 3"'!$B$4^('10A61 Liquid 3" ViscosityLINEST'!I96-2)+'10A61 Liquid 3" ViscosityLINEST'!E96*'10A61 Liquid 3"'!$B$4^('10A61 Liquid 3" ViscosityLINEST'!I96-3)+'10A61 Liquid 3" ViscosityLINEST'!F96*'10A61 Liquid 3"'!$B$4^('10A61 Liquid 3" ViscosityLINEST'!I96-4)</f>
        <v>24.509065268065235</v>
      </c>
    </row>
    <row r="97" spans="1:10">
      <c r="A97">
        <v>1.4</v>
      </c>
      <c r="B97">
        <f t="array" ref="B97:H97">LINEST('10A61 Liquid 3"'!Q92:Q97,'10A61 Liquid 3"'!P92:P97^{1,2,3,4})</f>
        <v>77.083333333304722</v>
      </c>
      <c r="C97">
        <v>-240.97222222213799</v>
      </c>
      <c r="D97">
        <v>282.35416666657562</v>
      </c>
      <c r="E97">
        <v>-164.59206349202071</v>
      </c>
      <c r="F97">
        <v>67.044047619040242</v>
      </c>
      <c r="G97" t="e">
        <v>#N/A</v>
      </c>
      <c r="H97" t="e">
        <v>#N/A</v>
      </c>
      <c r="I97">
        <f t="shared" si="4"/>
        <v>4</v>
      </c>
      <c r="J97">
        <f>'10A61 Liquid 3" ViscosityLINEST'!B97*'10A61 Liquid 3"'!$B$4^'10A61 Liquid 3" ViscosityLINEST'!I97+'10A61 Liquid 3" ViscosityLINEST'!C97*'10A61 Liquid 3"'!$B$4^('10A61 Liquid 3" ViscosityLINEST'!I97-1)+'10A61 Liquid 3" ViscosityLINEST'!D97*'10A61 Liquid 3"'!$B$4^('10A61 Liquid 3" ViscosityLINEST'!I97-2)+'10A61 Liquid 3" ViscosityLINEST'!E97*'10A61 Liquid 3"'!$B$4^('10A61 Liquid 3" ViscosityLINEST'!I97-3)+'10A61 Liquid 3" ViscosityLINEST'!F97*'10A61 Liquid 3"'!$B$4^('10A61 Liquid 3" ViscosityLINEST'!I97-4)</f>
        <v>20.917261904761887</v>
      </c>
    </row>
    <row r="98" spans="1:10">
      <c r="B98">
        <f t="array" ref="B98:H98">LINEST('10A61 Liquid 3"'!Q97:Q105,'10A61 Liquid 3"'!P97:P105^{1,2,3,4})</f>
        <v>0.16910955710955047</v>
      </c>
      <c r="C98">
        <v>-2.4828231028230174</v>
      </c>
      <c r="D98">
        <v>13.796268065267675</v>
      </c>
      <c r="E98">
        <v>-36.227233618232887</v>
      </c>
      <c r="F98">
        <v>45.609444444444023</v>
      </c>
      <c r="G98" t="e">
        <v>#N/A</v>
      </c>
      <c r="H98" t="e">
        <v>#N/A</v>
      </c>
      <c r="I98">
        <f t="shared" si="4"/>
        <v>4</v>
      </c>
      <c r="J98">
        <f>'10A61 Liquid 3" ViscosityLINEST'!B98*'10A61 Liquid 3"'!$B$4^'10A61 Liquid 3" ViscosityLINEST'!I98+'10A61 Liquid 3" ViscosityLINEST'!C98*'10A61 Liquid 3"'!$B$4^('10A61 Liquid 3" ViscosityLINEST'!I98-1)+'10A61 Liquid 3" ViscosityLINEST'!D98*'10A61 Liquid 3"'!$B$4^('10A61 Liquid 3" ViscosityLINEST'!I98-2)+'10A61 Liquid 3" ViscosityLINEST'!E98*'10A61 Liquid 3"'!$B$4^('10A61 Liquid 3" ViscosityLINEST'!I98-3)+'10A61 Liquid 3" ViscosityLINEST'!F98*'10A61 Liquid 3"'!$B$4^('10A61 Liquid 3" ViscosityLINEST'!I98-4)</f>
        <v>20.864765345765342</v>
      </c>
    </row>
    <row r="99" spans="1:10">
      <c r="A99">
        <v>1.5</v>
      </c>
      <c r="B99">
        <f t="array" ref="B99:H99">LINEST('10A61 Liquid 3"'!Q108:Q113,'10A61 Liquid 3"'!P108:P113^{1,2,3,4})</f>
        <v>60.416666666637553</v>
      </c>
      <c r="C99">
        <v>-190.04629629621036</v>
      </c>
      <c r="D99">
        <v>224.18749999990683</v>
      </c>
      <c r="E99">
        <v>-133.92989417985024</v>
      </c>
      <c r="F99">
        <v>58.479920634913057</v>
      </c>
      <c r="G99" t="e">
        <v>#N/A</v>
      </c>
      <c r="H99" t="e">
        <v>#N/A</v>
      </c>
      <c r="I99">
        <f t="shared" si="4"/>
        <v>4</v>
      </c>
      <c r="J99">
        <f>'10A61 Liquid 3" ViscosityLINEST'!B99*'10A61 Liquid 3"'!$B$4^'10A61 Liquid 3" ViscosityLINEST'!I99+'10A61 Liquid 3" ViscosityLINEST'!C99*'10A61 Liquid 3"'!$B$4^('10A61 Liquid 3" ViscosityLINEST'!I99-1)+'10A61 Liquid 3" ViscosityLINEST'!D99*'10A61 Liquid 3"'!$B$4^('10A61 Liquid 3" ViscosityLINEST'!I99-2)+'10A61 Liquid 3" ViscosityLINEST'!E99*'10A61 Liquid 3"'!$B$4^('10A61 Liquid 3" ViscosityLINEST'!I99-3)+'10A61 Liquid 3" ViscosityLINEST'!F99*'10A61 Liquid 3"'!$B$4^('10A61 Liquid 3" ViscosityLINEST'!I99-4)</f>
        <v>19.10789682539685</v>
      </c>
    </row>
    <row r="100" spans="1:10">
      <c r="B100">
        <f t="array" ref="B100:H100">LINEST('10A61 Liquid 3"'!Q113:Q121,'10A61 Liquid 3"'!P113:P121^{1,2,3,4})</f>
        <v>0.1539067599067539</v>
      </c>
      <c r="C100">
        <v>-2.2609080549079774</v>
      </c>
      <c r="D100">
        <v>12.572856643356287</v>
      </c>
      <c r="E100">
        <v>-33.046106319605656</v>
      </c>
      <c r="F100">
        <v>41.638222222221856</v>
      </c>
      <c r="G100" t="e">
        <v>#N/A</v>
      </c>
      <c r="H100" t="e">
        <v>#N/A</v>
      </c>
      <c r="I100">
        <f t="shared" si="4"/>
        <v>4</v>
      </c>
      <c r="J100">
        <f>'10A61 Liquid 3" ViscosityLINEST'!B100*'10A61 Liquid 3"'!$B$4^'10A61 Liquid 3" ViscosityLINEST'!I100+'10A61 Liquid 3" ViscosityLINEST'!C100*'10A61 Liquid 3"'!$B$4^('10A61 Liquid 3" ViscosityLINEST'!I100-1)+'10A61 Liquid 3" ViscosityLINEST'!D100*'10A61 Liquid 3"'!$B$4^('10A61 Liquid 3" ViscosityLINEST'!I100-2)+'10A61 Liquid 3" ViscosityLINEST'!E100*'10A61 Liquid 3"'!$B$4^('10A61 Liquid 3" ViscosityLINEST'!I100-3)+'10A61 Liquid 3" ViscosityLINEST'!F100*'10A61 Liquid 3"'!$B$4^('10A61 Liquid 3" ViscosityLINEST'!I100-4)</f>
        <v>19.057971250971264</v>
      </c>
    </row>
    <row r="101" spans="1:10">
      <c r="I101">
        <f t="shared" si="4"/>
        <v>-1</v>
      </c>
      <c r="J101">
        <f>'10A61 Liquid 3" ViscosityLINEST'!B101*'10A61 Liquid 3"'!$B$4^'10A61 Liquid 3" ViscosityLINEST'!I101+'10A61 Liquid 3" ViscosityLINEST'!C101*'10A61 Liquid 3"'!$B$4^('10A61 Liquid 3" ViscosityLINEST'!I101-1)+'10A61 Liquid 3" ViscosityLINEST'!D101*'10A61 Liquid 3"'!$B$4^('10A61 Liquid 3" ViscosityLINEST'!I101-2)+'10A61 Liquid 3" ViscosityLINEST'!E101*'10A61 Liquid 3"'!$B$4^('10A61 Liquid 3" ViscosityLINEST'!I101-3)+'10A61 Liquid 3" ViscosityLINEST'!F101*'10A61 Liquid 3"'!$B$4^('10A61 Liquid 3" ViscosityLINEST'!I101-4)</f>
        <v>0</v>
      </c>
    </row>
    <row r="102" spans="1:10">
      <c r="A102" t="s">
        <v>84</v>
      </c>
      <c r="I102">
        <f t="shared" si="4"/>
        <v>-1</v>
      </c>
      <c r="J102">
        <f>'10A61 Liquid 3" ViscosityLINEST'!B102*'10A61 Liquid 3"'!$B$4^'10A61 Liquid 3" ViscosityLINEST'!I102+'10A61 Liquid 3" ViscosityLINEST'!C102*'10A61 Liquid 3"'!$B$4^('10A61 Liquid 3" ViscosityLINEST'!I102-1)+'10A61 Liquid 3" ViscosityLINEST'!D102*'10A61 Liquid 3"'!$B$4^('10A61 Liquid 3" ViscosityLINEST'!I102-2)+'10A61 Liquid 3" ViscosityLINEST'!E102*'10A61 Liquid 3"'!$B$4^('10A61 Liquid 3" ViscosityLINEST'!I102-3)+'10A61 Liquid 3" ViscosityLINEST'!F102*'10A61 Liquid 3"'!$B$4^('10A61 Liquid 3" ViscosityLINEST'!I102-4)</f>
        <v>0</v>
      </c>
    </row>
    <row r="103" spans="1:10">
      <c r="A103">
        <v>0.4</v>
      </c>
      <c r="B103">
        <f t="array" ref="B103:H103">LINEST('10A61 Liquid 3"'!S6:S11,'10A61 Liquid 3"'!R6:R11^{1,2,3,4})</f>
        <v>-179.16666666671512</v>
      </c>
      <c r="C103">
        <v>486.38888888903716</v>
      </c>
      <c r="D103">
        <v>-463.95833333349998</v>
      </c>
      <c r="E103">
        <v>118.31825396833538</v>
      </c>
      <c r="F103">
        <v>104.56380952379496</v>
      </c>
      <c r="G103" t="e">
        <v>#N/A</v>
      </c>
      <c r="H103" t="e">
        <v>#N/A</v>
      </c>
      <c r="I103">
        <f t="shared" si="4"/>
        <v>4</v>
      </c>
      <c r="J103">
        <f>'10A61 Liquid 3" ViscosityLINEST'!B103*'10A61 Liquid 3"'!$B$4^'10A61 Liquid 3" ViscosityLINEST'!I103+'10A61 Liquid 3" ViscosityLINEST'!C103*'10A61 Liquid 3"'!$B$4^('10A61 Liquid 3" ViscosityLINEST'!I103-1)+'10A61 Liquid 3" ViscosityLINEST'!D103*'10A61 Liquid 3"'!$B$4^('10A61 Liquid 3" ViscosityLINEST'!I103-2)+'10A61 Liquid 3" ViscosityLINEST'!E103*'10A61 Liquid 3"'!$B$4^('10A61 Liquid 3" ViscosityLINEST'!I103-3)+'10A61 Liquid 3" ViscosityLINEST'!F103*'10A61 Liquid 3"'!$B$4^('10A61 Liquid 3" ViscosityLINEST'!I103-4)</f>
        <v>66.145952380952409</v>
      </c>
    </row>
    <row r="104" spans="1:10">
      <c r="B104">
        <f t="array" ref="B104:H104">LINEST('10A61 Liquid 3"'!S11:S19,'10A61 Liquid 3"'!R11:R19^{1,2,3,4})</f>
        <v>0.53328671328669208</v>
      </c>
      <c r="C104">
        <v>-7.8356021756019016</v>
      </c>
      <c r="D104">
        <v>43.590617715616474</v>
      </c>
      <c r="E104">
        <v>-114.60973581973353</v>
      </c>
      <c r="F104">
        <v>144.27499999999861</v>
      </c>
      <c r="G104" t="e">
        <v>#N/A</v>
      </c>
      <c r="H104" t="e">
        <v>#N/A</v>
      </c>
      <c r="I104">
        <f t="shared" si="4"/>
        <v>4</v>
      </c>
      <c r="J104">
        <f>'10A61 Liquid 3" ViscosityLINEST'!B104*'10A61 Liquid 3"'!$B$4^'10A61 Liquid 3" ViscosityLINEST'!I104+'10A61 Liquid 3" ViscosityLINEST'!C104*'10A61 Liquid 3"'!$B$4^('10A61 Liquid 3" ViscosityLINEST'!I104-1)+'10A61 Liquid 3" ViscosityLINEST'!D104*'10A61 Liquid 3"'!$B$4^('10A61 Liquid 3" ViscosityLINEST'!I104-2)+'10A61 Liquid 3" ViscosityLINEST'!E104*'10A61 Liquid 3"'!$B$4^('10A61 Liquid 3" ViscosityLINEST'!I104-3)+'10A61 Liquid 3" ViscosityLINEST'!F104*'10A61 Liquid 3"'!$B$4^('10A61 Liquid 3" ViscosityLINEST'!I104-4)</f>
        <v>65.953566433566351</v>
      </c>
    </row>
    <row r="105" spans="1:10">
      <c r="A105">
        <v>0.6</v>
      </c>
      <c r="B105">
        <f t="array" ref="B105:H105">LINEST('10A61 Liquid 3"'!S23:S28,'10A61 Liquid 3"'!R23:R28^{1,2,3,4})</f>
        <v>102.08333333337329</v>
      </c>
      <c r="C105">
        <v>-321.15740740752994</v>
      </c>
      <c r="D105">
        <v>381.52083333347161</v>
      </c>
      <c r="E105">
        <v>-245.74378306885095</v>
      </c>
      <c r="F105">
        <v>143.11658730159951</v>
      </c>
      <c r="G105" t="e">
        <v>#N/A</v>
      </c>
      <c r="H105" t="e">
        <v>#N/A</v>
      </c>
      <c r="I105">
        <f t="shared" si="4"/>
        <v>4</v>
      </c>
      <c r="J105">
        <f>'10A61 Liquid 3" ViscosityLINEST'!B105*'10A61 Liquid 3"'!$B$4^'10A61 Liquid 3" ViscosityLINEST'!I105+'10A61 Liquid 3" ViscosityLINEST'!C105*'10A61 Liquid 3"'!$B$4^('10A61 Liquid 3" ViscosityLINEST'!I105-1)+'10A61 Liquid 3" ViscosityLINEST'!D105*'10A61 Liquid 3"'!$B$4^('10A61 Liquid 3" ViscosityLINEST'!I105-2)+'10A61 Liquid 3" ViscosityLINEST'!E105*'10A61 Liquid 3"'!$B$4^('10A61 Liquid 3" ViscosityLINEST'!I105-3)+'10A61 Liquid 3" ViscosityLINEST'!F105*'10A61 Liquid 3"'!$B$4^('10A61 Liquid 3" ViscosityLINEST'!I105-4)</f>
        <v>59.819563492063509</v>
      </c>
    </row>
    <row r="106" spans="1:10">
      <c r="B106">
        <f t="array" ref="B106:H106">LINEST('10A61 Liquid 3"'!S28:S36,'10A61 Liquid 3"'!R28:R36^{1,2,3,4})</f>
        <v>0.40778554778553139</v>
      </c>
      <c r="C106">
        <v>-6.1127531727529574</v>
      </c>
      <c r="D106">
        <v>34.866235431234436</v>
      </c>
      <c r="E106">
        <v>-94.789235949234069</v>
      </c>
      <c r="F106">
        <v>125.40277777777663</v>
      </c>
      <c r="G106" t="e">
        <v>#N/A</v>
      </c>
      <c r="H106" t="e">
        <v>#N/A</v>
      </c>
      <c r="I106">
        <f t="shared" si="4"/>
        <v>4</v>
      </c>
      <c r="J106">
        <f>'10A61 Liquid 3" ViscosityLINEST'!B106*'10A61 Liquid 3"'!$B$4^'10A61 Liquid 3" ViscosityLINEST'!I106+'10A61 Liquid 3" ViscosityLINEST'!C106*'10A61 Liquid 3"'!$B$4^('10A61 Liquid 3" ViscosityLINEST'!I106-1)+'10A61 Liquid 3" ViscosityLINEST'!D106*'10A61 Liquid 3"'!$B$4^('10A61 Liquid 3" ViscosityLINEST'!I106-2)+'10A61 Liquid 3" ViscosityLINEST'!E106*'10A61 Liquid 3"'!$B$4^('10A61 Liquid 3" ViscosityLINEST'!I106-3)+'10A61 Liquid 3" ViscosityLINEST'!F106*'10A61 Liquid 3"'!$B$4^('10A61 Liquid 3" ViscosityLINEST'!I106-4)</f>
        <v>59.774809634809571</v>
      </c>
    </row>
    <row r="107" spans="1:10">
      <c r="A107">
        <v>0.8</v>
      </c>
      <c r="B107">
        <f t="array" ref="B107:H107">LINEST('10A61 Liquid 3"'!S41:S46,'10A61 Liquid 3"'!R41:R46^{1,2,3,4})</f>
        <v>-712.49999999990064</v>
      </c>
      <c r="C107">
        <v>2177.4999999997167</v>
      </c>
      <c r="D107">
        <v>-2444.374999999704</v>
      </c>
      <c r="E107">
        <v>1158.6321428570086</v>
      </c>
      <c r="F107">
        <v>-125.47285714283493</v>
      </c>
      <c r="G107" t="e">
        <v>#N/A</v>
      </c>
      <c r="H107" t="e">
        <v>#N/A</v>
      </c>
      <c r="I107">
        <f t="shared" si="4"/>
        <v>4</v>
      </c>
      <c r="J107">
        <f>'10A61 Liquid 3" ViscosityLINEST'!B107*'10A61 Liquid 3"'!$B$4^'10A61 Liquid 3" ViscosityLINEST'!I107+'10A61 Liquid 3" ViscosityLINEST'!C107*'10A61 Liquid 3"'!$B$4^('10A61 Liquid 3" ViscosityLINEST'!I107-1)+'10A61 Liquid 3" ViscosityLINEST'!D107*'10A61 Liquid 3"'!$B$4^('10A61 Liquid 3" ViscosityLINEST'!I107-2)+'10A61 Liquid 3" ViscosityLINEST'!E107*'10A61 Liquid 3"'!$B$4^('10A61 Liquid 3" ViscosityLINEST'!I107-3)+'10A61 Liquid 3" ViscosityLINEST'!F107*'10A61 Liquid 3"'!$B$4^('10A61 Liquid 3" ViscosityLINEST'!I107-4)</f>
        <v>53.784285714285772</v>
      </c>
    </row>
    <row r="108" spans="1:10">
      <c r="B108">
        <f t="array" ref="B108:H108">LINEST('10A61 Liquid 3"'!S46:S54,'10A61 Liquid 3"'!R46:R54^{1,2,3,4})</f>
        <v>0.24233100233098942</v>
      </c>
      <c r="C108">
        <v>-3.8926184926183285</v>
      </c>
      <c r="D108">
        <v>24.011841491840748</v>
      </c>
      <c r="E108">
        <v>-71.41639083138945</v>
      </c>
      <c r="F108">
        <v>104.83166666666591</v>
      </c>
      <c r="G108" t="e">
        <v>#N/A</v>
      </c>
      <c r="H108" t="e">
        <v>#N/A</v>
      </c>
      <c r="I108">
        <f t="shared" si="4"/>
        <v>4</v>
      </c>
      <c r="J108">
        <f>'10A61 Liquid 3" ViscosityLINEST'!B108*'10A61 Liquid 3"'!$B$4^'10A61 Liquid 3" ViscosityLINEST'!I108+'10A61 Liquid 3" ViscosityLINEST'!C108*'10A61 Liquid 3"'!$B$4^('10A61 Liquid 3" ViscosityLINEST'!I108-1)+'10A61 Liquid 3" ViscosityLINEST'!D108*'10A61 Liquid 3"'!$B$4^('10A61 Liquid 3" ViscosityLINEST'!I108-2)+'10A61 Liquid 3" ViscosityLINEST'!E108*'10A61 Liquid 3"'!$B$4^('10A61 Liquid 3" ViscosityLINEST'!I108-3)+'10A61 Liquid 3" ViscosityLINEST'!F108*'10A61 Liquid 3"'!$B$4^('10A61 Liquid 3" ViscosityLINEST'!I108-4)</f>
        <v>53.776829836829869</v>
      </c>
    </row>
    <row r="109" spans="1:10">
      <c r="A109">
        <v>1</v>
      </c>
      <c r="B109">
        <f t="array" ref="B109:H109">LINEST('10A61 Liquid 3"'!S57:S62,'10A61 Liquid 3"'!R57:R62^{1,2,3,4})</f>
        <v>-95.833333333340121</v>
      </c>
      <c r="C109">
        <v>337.87037037039323</v>
      </c>
      <c r="D109">
        <v>-429.62500000002814</v>
      </c>
      <c r="E109">
        <v>206.5820105820255</v>
      </c>
      <c r="F109">
        <v>29.843492063489222</v>
      </c>
      <c r="G109" t="e">
        <v>#N/A</v>
      </c>
      <c r="H109" t="e">
        <v>#N/A</v>
      </c>
      <c r="I109">
        <f t="shared" si="4"/>
        <v>4</v>
      </c>
      <c r="J109">
        <f>'10A61 Liquid 3" ViscosityLINEST'!B109*'10A61 Liquid 3"'!$B$4^'10A61 Liquid 3" ViscosityLINEST'!I109+'10A61 Liquid 3" ViscosityLINEST'!C109*'10A61 Liquid 3"'!$B$4^('10A61 Liquid 3" ViscosityLINEST'!I109-1)+'10A61 Liquid 3" ViscosityLINEST'!D109*'10A61 Liquid 3"'!$B$4^('10A61 Liquid 3" ViscosityLINEST'!I109-2)+'10A61 Liquid 3" ViscosityLINEST'!E109*'10A61 Liquid 3"'!$B$4^('10A61 Liquid 3" ViscosityLINEST'!I109-3)+'10A61 Liquid 3" ViscosityLINEST'!F109*'10A61 Liquid 3"'!$B$4^('10A61 Liquid 3" ViscosityLINEST'!I109-4)</f>
        <v>48.837539682539685</v>
      </c>
    </row>
    <row r="110" spans="1:10">
      <c r="B110">
        <f t="array" ref="B110:H110">LINEST('10A61 Liquid 3"'!S62:S70,'10A61 Liquid 3"'!R62:R70^{1,2,3,4})</f>
        <v>0.14158508158507249</v>
      </c>
      <c r="C110">
        <v>-2.5085159285158114</v>
      </c>
      <c r="D110">
        <v>17.053088578088044</v>
      </c>
      <c r="E110">
        <v>-55.827113442112442</v>
      </c>
      <c r="F110">
        <v>89.979999999999393</v>
      </c>
      <c r="G110" t="e">
        <v>#N/A</v>
      </c>
      <c r="H110" t="e">
        <v>#N/A</v>
      </c>
      <c r="I110">
        <f t="shared" si="4"/>
        <v>4</v>
      </c>
      <c r="J110">
        <f>'10A61 Liquid 3" ViscosityLINEST'!B110*'10A61 Liquid 3"'!$B$4^'10A61 Liquid 3" ViscosityLINEST'!I110+'10A61 Liquid 3" ViscosityLINEST'!C110*'10A61 Liquid 3"'!$B$4^('10A61 Liquid 3" ViscosityLINEST'!I110-1)+'10A61 Liquid 3" ViscosityLINEST'!D110*'10A61 Liquid 3"'!$B$4^('10A61 Liquid 3" ViscosityLINEST'!I110-2)+'10A61 Liquid 3" ViscosityLINEST'!E110*'10A61 Liquid 3"'!$B$4^('10A61 Liquid 3" ViscosityLINEST'!I110-3)+'10A61 Liquid 3" ViscosityLINEST'!F110*'10A61 Liquid 3"'!$B$4^('10A61 Liquid 3" ViscosityLINEST'!I110-4)</f>
        <v>48.839044289044253</v>
      </c>
    </row>
    <row r="111" spans="1:10">
      <c r="A111">
        <v>1.2</v>
      </c>
      <c r="B111">
        <f t="array" ref="B111:H111">LINEST('10A61 Liquid 3"'!S73:S78,'10A61 Liquid 3"'!R73:R78^{1,2,3,4})</f>
        <v>214.58333333326655</v>
      </c>
      <c r="C111">
        <v>-600.13888888869212</v>
      </c>
      <c r="D111">
        <v>608.97916666645347</v>
      </c>
      <c r="E111">
        <v>-287.58611111101055</v>
      </c>
      <c r="F111">
        <v>108.43833333331592</v>
      </c>
      <c r="G111" t="e">
        <v>#N/A</v>
      </c>
      <c r="H111" t="e">
        <v>#N/A</v>
      </c>
      <c r="I111">
        <f t="shared" si="4"/>
        <v>4</v>
      </c>
      <c r="J111">
        <f>'10A61 Liquid 3" ViscosityLINEST'!B111*'10A61 Liquid 3"'!$B$4^'10A61 Liquid 3" ViscosityLINEST'!I111+'10A61 Liquid 3" ViscosityLINEST'!C111*'10A61 Liquid 3"'!$B$4^('10A61 Liquid 3" ViscosityLINEST'!I111-1)+'10A61 Liquid 3" ViscosityLINEST'!D111*'10A61 Liquid 3"'!$B$4^('10A61 Liquid 3" ViscosityLINEST'!I111-2)+'10A61 Liquid 3" ViscosityLINEST'!E111*'10A61 Liquid 3"'!$B$4^('10A61 Liquid 3" ViscosityLINEST'!I111-3)+'10A61 Liquid 3" ViscosityLINEST'!F111*'10A61 Liquid 3"'!$B$4^('10A61 Liquid 3" ViscosityLINEST'!I111-4)</f>
        <v>44.275833333333239</v>
      </c>
    </row>
    <row r="112" spans="1:10">
      <c r="B112">
        <f t="array" ref="B112:H112">LINEST('10A61 Liquid 3"'!S78:S86,'10A61 Liquid 3"'!R78:R86^{1,2,3,4})</f>
        <v>6.7832167832161921E-2</v>
      </c>
      <c r="C112">
        <v>-1.4642890442889658</v>
      </c>
      <c r="D112">
        <v>11.629102564102201</v>
      </c>
      <c r="E112">
        <v>-43.213624708624025</v>
      </c>
      <c r="F112">
        <v>77.279999999999561</v>
      </c>
      <c r="G112" t="e">
        <v>#N/A</v>
      </c>
      <c r="H112" t="e">
        <v>#N/A</v>
      </c>
      <c r="I112">
        <f t="shared" si="4"/>
        <v>4</v>
      </c>
      <c r="J112">
        <f>'10A61 Liquid 3" ViscosityLINEST'!B112*'10A61 Liquid 3"'!$B$4^'10A61 Liquid 3" ViscosityLINEST'!I112+'10A61 Liquid 3" ViscosityLINEST'!C112*'10A61 Liquid 3"'!$B$4^('10A61 Liquid 3" ViscosityLINEST'!I112-1)+'10A61 Liquid 3" ViscosityLINEST'!D112*'10A61 Liquid 3"'!$B$4^('10A61 Liquid 3" ViscosityLINEST'!I112-2)+'10A61 Liquid 3" ViscosityLINEST'!E112*'10A61 Liquid 3"'!$B$4^('10A61 Liquid 3" ViscosityLINEST'!I112-3)+'10A61 Liquid 3" ViscosityLINEST'!F112*'10A61 Liquid 3"'!$B$4^('10A61 Liquid 3" ViscosityLINEST'!I112-4)</f>
        <v>44.299020979020931</v>
      </c>
    </row>
    <row r="113" spans="1:10">
      <c r="A113">
        <v>1.4</v>
      </c>
      <c r="B113">
        <f t="array" ref="B113:H113">LINEST('10A61 Liquid 3"'!S92:S97,'10A61 Liquid 3"'!R92:R97^{1,2,3,4})</f>
        <v>254.16666666661013</v>
      </c>
      <c r="C113">
        <v>-737.31481481464937</v>
      </c>
      <c r="D113">
        <v>780.29166666648894</v>
      </c>
      <c r="E113">
        <v>-375.83399470891158</v>
      </c>
      <c r="F113">
        <v>118.84174603173176</v>
      </c>
      <c r="G113" t="e">
        <v>#N/A</v>
      </c>
      <c r="H113" t="e">
        <v>#N/A</v>
      </c>
      <c r="I113">
        <f t="shared" si="4"/>
        <v>4</v>
      </c>
      <c r="J113">
        <f>'10A61 Liquid 3" ViscosityLINEST'!B113*'10A61 Liquid 3"'!$B$4^'10A61 Liquid 3" ViscosityLINEST'!I113+'10A61 Liquid 3" ViscosityLINEST'!C113*'10A61 Liquid 3"'!$B$4^('10A61 Liquid 3" ViscosityLINEST'!I113-1)+'10A61 Liquid 3" ViscosityLINEST'!D113*'10A61 Liquid 3"'!$B$4^('10A61 Liquid 3" ViscosityLINEST'!I113-2)+'10A61 Liquid 3" ViscosityLINEST'!E113*'10A61 Liquid 3"'!$B$4^('10A61 Liquid 3" ViscosityLINEST'!I113-3)+'10A61 Liquid 3" ViscosityLINEST'!F113*'10A61 Liquid 3"'!$B$4^('10A61 Liquid 3" ViscosityLINEST'!I113-4)</f>
        <v>40.15126984126988</v>
      </c>
    </row>
    <row r="114" spans="1:10">
      <c r="B114">
        <f t="array" ref="B114:H114">LINEST('10A61 Liquid 3"'!S97:S105,'10A61 Liquid 3"'!R97:R105^{1,2,3,4})</f>
        <v>1.9440559440554128E-2</v>
      </c>
      <c r="C114">
        <v>-0.76076146076139084</v>
      </c>
      <c r="D114">
        <v>7.8408974358971131</v>
      </c>
      <c r="E114">
        <v>-33.922688422687813</v>
      </c>
      <c r="F114">
        <v>67.028333333332952</v>
      </c>
      <c r="G114" t="e">
        <v>#N/A</v>
      </c>
      <c r="H114" t="e">
        <v>#N/A</v>
      </c>
      <c r="I114">
        <f t="shared" si="4"/>
        <v>4</v>
      </c>
      <c r="J114">
        <f>'10A61 Liquid 3" ViscosityLINEST'!B114*'10A61 Liquid 3"'!$B$4^'10A61 Liquid 3" ViscosityLINEST'!I114+'10A61 Liquid 3" ViscosityLINEST'!C114*'10A61 Liquid 3"'!$B$4^('10A61 Liquid 3" ViscosityLINEST'!I114-1)+'10A61 Liquid 3" ViscosityLINEST'!D114*'10A61 Liquid 3"'!$B$4^('10A61 Liquid 3" ViscosityLINEST'!I114-2)+'10A61 Liquid 3" ViscosityLINEST'!E114*'10A61 Liquid 3"'!$B$4^('10A61 Liquid 3" ViscosityLINEST'!I114-3)+'10A61 Liquid 3" ViscosityLINEST'!F114*'10A61 Liquid 3"'!$B$4^('10A61 Liquid 3" ViscosityLINEST'!I114-4)</f>
        <v>40.205221445221412</v>
      </c>
    </row>
    <row r="115" spans="1:10">
      <c r="A115">
        <v>1.5</v>
      </c>
      <c r="B115">
        <f t="array" ref="B115:H115">LINEST('10A61 Liquid 3"'!S108:S113,'10A61 Liquid 3"'!R108:R113^{1,2,3,4})</f>
        <v>237.49999999995353</v>
      </c>
      <c r="C115">
        <v>-694.722222222087</v>
      </c>
      <c r="D115">
        <v>741.62499999985562</v>
      </c>
      <c r="E115">
        <v>-359.89563492056794</v>
      </c>
      <c r="F115">
        <v>113.75047619046477</v>
      </c>
      <c r="G115" t="e">
        <v>#N/A</v>
      </c>
      <c r="H115" t="e">
        <v>#N/A</v>
      </c>
      <c r="I115">
        <f t="shared" si="4"/>
        <v>4</v>
      </c>
      <c r="J115">
        <f>'10A61 Liquid 3" ViscosityLINEST'!B115*'10A61 Liquid 3"'!$B$4^'10A61 Liquid 3" ViscosityLINEST'!I115+'10A61 Liquid 3" ViscosityLINEST'!C115*'10A61 Liquid 3"'!$B$4^('10A61 Liquid 3" ViscosityLINEST'!I115-1)+'10A61 Liquid 3" ViscosityLINEST'!D115*'10A61 Liquid 3"'!$B$4^('10A61 Liquid 3" ViscosityLINEST'!I115-2)+'10A61 Liquid 3" ViscosityLINEST'!E115*'10A61 Liquid 3"'!$B$4^('10A61 Liquid 3" ViscosityLINEST'!I115-3)+'10A61 Liquid 3" ViscosityLINEST'!F115*'10A61 Liquid 3"'!$B$4^('10A61 Liquid 3" ViscosityLINEST'!I115-4)</f>
        <v>38.257619047618945</v>
      </c>
    </row>
    <row r="116" spans="1:10">
      <c r="B116">
        <f t="array" ref="B116:H116">LINEST('10A61 Liquid 3"'!S113:S121,'10A61 Liquid 3"'!R113:R121^{1,2,3,4})</f>
        <v>3.2634032633986959E-3</v>
      </c>
      <c r="C116">
        <v>-0.51740999740993721</v>
      </c>
      <c r="D116">
        <v>6.4740326340323557</v>
      </c>
      <c r="E116">
        <v>-30.371405076404553</v>
      </c>
      <c r="F116">
        <v>62.733888888888579</v>
      </c>
      <c r="G116" t="e">
        <v>#N/A</v>
      </c>
      <c r="H116" t="e">
        <v>#N/A</v>
      </c>
      <c r="I116">
        <f t="shared" si="4"/>
        <v>4</v>
      </c>
      <c r="J116">
        <f>'10A61 Liquid 3" ViscosityLINEST'!B116*'10A61 Liquid 3"'!$B$4^'10A61 Liquid 3" ViscosityLINEST'!I116+'10A61 Liquid 3" ViscosityLINEST'!C116*'10A61 Liquid 3"'!$B$4^('10A61 Liquid 3" ViscosityLINEST'!I116-1)+'10A61 Liquid 3" ViscosityLINEST'!D116*'10A61 Liquid 3"'!$B$4^('10A61 Liquid 3" ViscosityLINEST'!I116-2)+'10A61 Liquid 3" ViscosityLINEST'!E116*'10A61 Liquid 3"'!$B$4^('10A61 Liquid 3" ViscosityLINEST'!I116-3)+'10A61 Liquid 3" ViscosityLINEST'!F116*'10A61 Liquid 3"'!$B$4^('10A61 Liquid 3" ViscosityLINEST'!I116-4)</f>
        <v>38.322369852369846</v>
      </c>
    </row>
    <row r="117" spans="1:10">
      <c r="I117">
        <f t="shared" si="4"/>
        <v>-1</v>
      </c>
      <c r="J117">
        <f>'10A61 Liquid 3" ViscosityLINEST'!B117*'10A61 Liquid 3"'!$B$4^'10A61 Liquid 3" ViscosityLINEST'!I117+'10A61 Liquid 3" ViscosityLINEST'!C117*'10A61 Liquid 3"'!$B$4^('10A61 Liquid 3" ViscosityLINEST'!I117-1)+'10A61 Liquid 3" ViscosityLINEST'!D117*'10A61 Liquid 3"'!$B$4^('10A61 Liquid 3" ViscosityLINEST'!I117-2)+'10A61 Liquid 3" ViscosityLINEST'!E117*'10A61 Liquid 3"'!$B$4^('10A61 Liquid 3" ViscosityLINEST'!I117-3)+'10A61 Liquid 3" ViscosityLINEST'!F117*'10A61 Liquid 3"'!$B$4^('10A61 Liquid 3" ViscosityLINEST'!I117-4)</f>
        <v>0</v>
      </c>
    </row>
    <row r="118" spans="1:10">
      <c r="A118" t="s">
        <v>85</v>
      </c>
      <c r="I118">
        <f t="shared" si="4"/>
        <v>-1</v>
      </c>
      <c r="J118">
        <f>'10A61 Liquid 3" ViscosityLINEST'!B118*'10A61 Liquid 3"'!$B$4^'10A61 Liquid 3" ViscosityLINEST'!I118+'10A61 Liquid 3" ViscosityLINEST'!C118*'10A61 Liquid 3"'!$B$4^('10A61 Liquid 3" ViscosityLINEST'!I118-1)+'10A61 Liquid 3" ViscosityLINEST'!D118*'10A61 Liquid 3"'!$B$4^('10A61 Liquid 3" ViscosityLINEST'!I118-2)+'10A61 Liquid 3" ViscosityLINEST'!E118*'10A61 Liquid 3"'!$B$4^('10A61 Liquid 3" ViscosityLINEST'!I118-3)+'10A61 Liquid 3" ViscosityLINEST'!F118*'10A61 Liquid 3"'!$B$4^('10A61 Liquid 3" ViscosityLINEST'!I118-4)</f>
        <v>0</v>
      </c>
    </row>
    <row r="119" spans="1:10">
      <c r="A119">
        <v>0.4</v>
      </c>
      <c r="B119">
        <f t="array" ref="B119:H119">LINEST('10A61 Liquid 3"'!U6:U11,'10A61 Liquid 3"'!T6:T11^{1,2,3,4})</f>
        <v>-83.333333333371328</v>
      </c>
      <c r="C119">
        <v>381.48148148160027</v>
      </c>
      <c r="D119">
        <v>-570.0000000001362</v>
      </c>
      <c r="E119">
        <v>278.14947089953864</v>
      </c>
      <c r="F119">
        <v>118.0253968253845</v>
      </c>
      <c r="G119" t="e">
        <v>#N/A</v>
      </c>
      <c r="H119" t="e">
        <v>#N/A</v>
      </c>
      <c r="I119">
        <f t="shared" si="4"/>
        <v>4</v>
      </c>
      <c r="J119">
        <f>'10A61 Liquid 3" ViscosityLINEST'!B119*'10A61 Liquid 3"'!$B$4^'10A61 Liquid 3" ViscosityLINEST'!I119+'10A61 Liquid 3" ViscosityLINEST'!C119*'10A61 Liquid 3"'!$B$4^('10A61 Liquid 3" ViscosityLINEST'!I119-1)+'10A61 Liquid 3" ViscosityLINEST'!D119*'10A61 Liquid 3"'!$B$4^('10A61 Liquid 3" ViscosityLINEST'!I119-2)+'10A61 Liquid 3" ViscosityLINEST'!E119*'10A61 Liquid 3"'!$B$4^('10A61 Liquid 3" ViscosityLINEST'!I119-3)+'10A61 Liquid 3" ViscosityLINEST'!F119*'10A61 Liquid 3"'!$B$4^('10A61 Liquid 3" ViscosityLINEST'!I119-4)</f>
        <v>124.32301587301588</v>
      </c>
    </row>
    <row r="120" spans="1:10">
      <c r="B120">
        <f t="array" ref="B120:H120">LINEST('10A61 Liquid 3"'!U11:U19,'10A61 Liquid 3"'!T11:T19^{1,2,3,4})</f>
        <v>0.33328671328668902</v>
      </c>
      <c r="C120">
        <v>-6.0267132867129742</v>
      </c>
      <c r="D120">
        <v>41.73001165501023</v>
      </c>
      <c r="E120">
        <v>-138.89332167831901</v>
      </c>
      <c r="F120">
        <v>227.1866666666651</v>
      </c>
      <c r="G120" t="e">
        <v>#N/A</v>
      </c>
      <c r="H120" t="e">
        <v>#N/A</v>
      </c>
      <c r="I120">
        <f t="shared" si="4"/>
        <v>4</v>
      </c>
      <c r="J120">
        <f>'10A61 Liquid 3" ViscosityLINEST'!B120*'10A61 Liquid 3"'!$B$4^'10A61 Liquid 3" ViscosityLINEST'!I120+'10A61 Liquid 3" ViscosityLINEST'!C120*'10A61 Liquid 3"'!$B$4^('10A61 Liquid 3" ViscosityLINEST'!I120-1)+'10A61 Liquid 3" ViscosityLINEST'!D120*'10A61 Liquid 3"'!$B$4^('10A61 Liquid 3" ViscosityLINEST'!I120-2)+'10A61 Liquid 3" ViscosityLINEST'!E120*'10A61 Liquid 3"'!$B$4^('10A61 Liquid 3" ViscosityLINEST'!I120-3)+'10A61 Liquid 3" ViscosityLINEST'!F120*'10A61 Liquid 3"'!$B$4^('10A61 Liquid 3" ViscosityLINEST'!I120-4)</f>
        <v>124.32993006993004</v>
      </c>
    </row>
    <row r="121" spans="1:10">
      <c r="A121">
        <v>0.6</v>
      </c>
      <c r="B121">
        <f t="array" ref="B121:H121">LINEST('10A61 Liquid 3"'!U23:U28,'10A61 Liquid 3"'!T23:T28^{1,2,3,4})</f>
        <v>625.00000000000807</v>
      </c>
      <c r="C121">
        <v>-1936.1111111111502</v>
      </c>
      <c r="D121">
        <v>2188.7500000000591</v>
      </c>
      <c r="E121">
        <v>-1112.1388888889246</v>
      </c>
      <c r="F121">
        <v>343.06666666667422</v>
      </c>
      <c r="G121" t="e">
        <v>#N/A</v>
      </c>
      <c r="H121" t="e">
        <v>#N/A</v>
      </c>
      <c r="I121">
        <f t="shared" si="4"/>
        <v>4</v>
      </c>
      <c r="J121">
        <f>'10A61 Liquid 3" ViscosityLINEST'!B121*'10A61 Liquid 3"'!$B$4^'10A61 Liquid 3" ViscosityLINEST'!I121+'10A61 Liquid 3" ViscosityLINEST'!C121*'10A61 Liquid 3"'!$B$4^('10A61 Liquid 3" ViscosityLINEST'!I121-1)+'10A61 Liquid 3" ViscosityLINEST'!D121*'10A61 Liquid 3"'!$B$4^('10A61 Liquid 3" ViscosityLINEST'!I121-2)+'10A61 Liquid 3" ViscosityLINEST'!E121*'10A61 Liquid 3"'!$B$4^('10A61 Liquid 3" ViscosityLINEST'!I121-3)+'10A61 Liquid 3" ViscosityLINEST'!F121*'10A61 Liquid 3"'!$B$4^('10A61 Liquid 3" ViscosityLINEST'!I121-4)</f>
        <v>108.56666666666649</v>
      </c>
    </row>
    <row r="122" spans="1:10">
      <c r="B122">
        <f t="array" ref="B122:H122">LINEST('10A61 Liquid 3"'!U28:U36,'10A61 Liquid 3"'!T28:T36^{1,2,3,4})</f>
        <v>-7.7762237762248179E-2</v>
      </c>
      <c r="C122">
        <v>-8.2341362341225854E-2</v>
      </c>
      <c r="D122">
        <v>10.60489510489448</v>
      </c>
      <c r="E122">
        <v>-68.582141932140772</v>
      </c>
      <c r="F122">
        <v>166.96444444444379</v>
      </c>
      <c r="G122" t="e">
        <v>#N/A</v>
      </c>
      <c r="H122" t="e">
        <v>#N/A</v>
      </c>
      <c r="I122">
        <f t="shared" si="4"/>
        <v>4</v>
      </c>
      <c r="J122">
        <f>'10A61 Liquid 3" ViscosityLINEST'!B122*'10A61 Liquid 3"'!$B$4^'10A61 Liquid 3" ViscosityLINEST'!I122+'10A61 Liquid 3" ViscosityLINEST'!C122*'10A61 Liquid 3"'!$B$4^('10A61 Liquid 3" ViscosityLINEST'!I122-1)+'10A61 Liquid 3" ViscosityLINEST'!D122*'10A61 Liquid 3"'!$B$4^('10A61 Liquid 3" ViscosityLINEST'!I122-2)+'10A61 Liquid 3" ViscosityLINEST'!E122*'10A61 Liquid 3"'!$B$4^('10A61 Liquid 3" ViscosityLINEST'!I122-3)+'10A61 Liquid 3" ViscosityLINEST'!F122*'10A61 Liquid 3"'!$B$4^('10A61 Liquid 3" ViscosityLINEST'!I122-4)</f>
        <v>108.82709401709403</v>
      </c>
    </row>
    <row r="123" spans="1:10">
      <c r="A123">
        <v>0.8</v>
      </c>
      <c r="B123">
        <f t="array" ref="B123:H123">LINEST('10A61 Liquid 3"'!U41:U46,'10A61 Liquid 3"'!T41:T46^{1,2,3,4})</f>
        <v>-445.83333333329847</v>
      </c>
      <c r="C123">
        <v>1242.129629629532</v>
      </c>
      <c r="D123">
        <v>-1258.9583333332334</v>
      </c>
      <c r="E123">
        <v>516.98941798937381</v>
      </c>
      <c r="F123">
        <v>43.63793650794355</v>
      </c>
      <c r="G123" t="e">
        <v>#N/A</v>
      </c>
      <c r="H123" t="e">
        <v>#N/A</v>
      </c>
      <c r="I123">
        <f t="shared" si="4"/>
        <v>4</v>
      </c>
      <c r="J123">
        <f>'10A61 Liquid 3" ViscosityLINEST'!B123*'10A61 Liquid 3"'!$B$4^'10A61 Liquid 3" ViscosityLINEST'!I123+'10A61 Liquid 3" ViscosityLINEST'!C123*'10A61 Liquid 3"'!$B$4^('10A61 Liquid 3" ViscosityLINEST'!I123-1)+'10A61 Liquid 3" ViscosityLINEST'!D123*'10A61 Liquid 3"'!$B$4^('10A61 Liquid 3" ViscosityLINEST'!I123-2)+'10A61 Liquid 3" ViscosityLINEST'!E123*'10A61 Liquid 3"'!$B$4^('10A61 Liquid 3" ViscosityLINEST'!I123-3)+'10A61 Liquid 3" ViscosityLINEST'!F123*'10A61 Liquid 3"'!$B$4^('10A61 Liquid 3" ViscosityLINEST'!I123-4)</f>
        <v>97.965317460317465</v>
      </c>
    </row>
    <row r="124" spans="1:10">
      <c r="B124">
        <f t="array" ref="B124:H124">LINEST('10A61 Liquid 3"'!U46:U54,'10A61 Liquid 3"'!T46:T54^{1,2,3,4})</f>
        <v>-0.12372960372960781</v>
      </c>
      <c r="C124">
        <v>0.91694379694385175</v>
      </c>
      <c r="D124">
        <v>3.1885081585079029</v>
      </c>
      <c r="E124">
        <v>-45.491357161356682</v>
      </c>
      <c r="F124">
        <v>139.58111111111083</v>
      </c>
      <c r="G124" t="e">
        <v>#N/A</v>
      </c>
      <c r="H124" t="e">
        <v>#N/A</v>
      </c>
      <c r="I124">
        <f t="shared" si="4"/>
        <v>4</v>
      </c>
      <c r="J124">
        <f>'10A61 Liquid 3" ViscosityLINEST'!B124*'10A61 Liquid 3"'!$B$4^'10A61 Liquid 3" ViscosityLINEST'!I124+'10A61 Liquid 3" ViscosityLINEST'!C124*'10A61 Liquid 3"'!$B$4^('10A61 Liquid 3" ViscosityLINEST'!I124-1)+'10A61 Liquid 3" ViscosityLINEST'!D124*'10A61 Liquid 3"'!$B$4^('10A61 Liquid 3" ViscosityLINEST'!I124-2)+'10A61 Liquid 3" ViscosityLINEST'!E124*'10A61 Liquid 3"'!$B$4^('10A61 Liquid 3" ViscosityLINEST'!I124-3)+'10A61 Liquid 3" ViscosityLINEST'!F124*'10A61 Liquid 3"'!$B$4^('10A61 Liquid 3" ViscosityLINEST'!I124-4)</f>
        <v>98.071476301476295</v>
      </c>
    </row>
    <row r="125" spans="1:10">
      <c r="A125">
        <v>1</v>
      </c>
      <c r="B125">
        <f t="array" ref="B125:H125">LINEST('10A61 Liquid 3"'!U57:U62,'10A61 Liquid 3"'!T57:T62^{1,2,3,4})</f>
        <v>97.916666666642868</v>
      </c>
      <c r="C125">
        <v>-298.84259259252309</v>
      </c>
      <c r="D125">
        <v>349.72916666659228</v>
      </c>
      <c r="E125">
        <v>-211.2312169311823</v>
      </c>
      <c r="F125">
        <v>152.41341269840677</v>
      </c>
      <c r="G125" t="e">
        <v>#N/A</v>
      </c>
      <c r="H125" t="e">
        <v>#N/A</v>
      </c>
      <c r="I125">
        <f t="shared" si="4"/>
        <v>4</v>
      </c>
      <c r="J125">
        <f>'10A61 Liquid 3" ViscosityLINEST'!B125*'10A61 Liquid 3"'!$B$4^'10A61 Liquid 3" ViscosityLINEST'!I125+'10A61 Liquid 3" ViscosityLINEST'!C125*'10A61 Liquid 3"'!$B$4^('10A61 Liquid 3" ViscosityLINEST'!I125-1)+'10A61 Liquid 3" ViscosityLINEST'!D125*'10A61 Liquid 3"'!$B$4^('10A61 Liquid 3" ViscosityLINEST'!I125-2)+'10A61 Liquid 3" ViscosityLINEST'!E125*'10A61 Liquid 3"'!$B$4^('10A61 Liquid 3" ViscosityLINEST'!I125-3)+'10A61 Liquid 3" ViscosityLINEST'!F125*'10A61 Liquid 3"'!$B$4^('10A61 Liquid 3" ViscosityLINEST'!I125-4)</f>
        <v>89.985436507936527</v>
      </c>
    </row>
    <row r="126" spans="1:10">
      <c r="B126">
        <f t="array" ref="B126:H126">LINEST('10A61 Liquid 3"'!U62:U70,'10A61 Liquid 3"'!T62:T70^{1,2,3,4})</f>
        <v>-0.19002331002330922</v>
      </c>
      <c r="C126">
        <v>1.9733436933436885</v>
      </c>
      <c r="D126">
        <v>-3.2358275058275061</v>
      </c>
      <c r="E126">
        <v>-27.631669256669223</v>
      </c>
      <c r="F126">
        <v>119.07722222222216</v>
      </c>
      <c r="G126" t="e">
        <v>#N/A</v>
      </c>
      <c r="H126" t="e">
        <v>#N/A</v>
      </c>
      <c r="I126">
        <f t="shared" si="4"/>
        <v>4</v>
      </c>
      <c r="J126">
        <f>'10A61 Liquid 3" ViscosityLINEST'!B126*'10A61 Liquid 3"'!$B$4^'10A61 Liquid 3" ViscosityLINEST'!I126+'10A61 Liquid 3" ViscosityLINEST'!C126*'10A61 Liquid 3"'!$B$4^('10A61 Liquid 3" ViscosityLINEST'!I126-1)+'10A61 Liquid 3" ViscosityLINEST'!D126*'10A61 Liquid 3"'!$B$4^('10A61 Liquid 3" ViscosityLINEST'!I126-2)+'10A61 Liquid 3" ViscosityLINEST'!E126*'10A61 Liquid 3"'!$B$4^('10A61 Liquid 3" ViscosityLINEST'!I126-3)+'10A61 Liquid 3" ViscosityLINEST'!F126*'10A61 Liquid 3"'!$B$4^('10A61 Liquid 3" ViscosityLINEST'!I126-4)</f>
        <v>89.99304584304582</v>
      </c>
    </row>
    <row r="127" spans="1:10">
      <c r="A127">
        <v>1.2</v>
      </c>
      <c r="B127">
        <f t="array" ref="B127:H127">LINEST('10A61 Liquid 3"'!U73:U78,'10A61 Liquid 3"'!T73:T78^{1,2,3,4})</f>
        <v>-43.749999999986251</v>
      </c>
      <c r="C127">
        <v>146.15740740736788</v>
      </c>
      <c r="D127">
        <v>-171.10416666662496</v>
      </c>
      <c r="E127">
        <v>60.922354497335363</v>
      </c>
      <c r="F127">
        <v>90.061984126987369</v>
      </c>
      <c r="G127" t="e">
        <v>#N/A</v>
      </c>
      <c r="H127" t="e">
        <v>#N/A</v>
      </c>
      <c r="I127">
        <f t="shared" si="4"/>
        <v>4</v>
      </c>
      <c r="J127">
        <f>'10A61 Liquid 3" ViscosityLINEST'!B127*'10A61 Liquid 3"'!$B$4^'10A61 Liquid 3" ViscosityLINEST'!I127+'10A61 Liquid 3" ViscosityLINEST'!C127*'10A61 Liquid 3"'!$B$4^('10A61 Liquid 3" ViscosityLINEST'!I127-1)+'10A61 Liquid 3" ViscosityLINEST'!D127*'10A61 Liquid 3"'!$B$4^('10A61 Liquid 3" ViscosityLINEST'!I127-2)+'10A61 Liquid 3" ViscosityLINEST'!E127*'10A61 Liquid 3"'!$B$4^('10A61 Liquid 3" ViscosityLINEST'!I127-3)+'10A61 Liquid 3" ViscosityLINEST'!F127*'10A61 Liquid 3"'!$B$4^('10A61 Liquid 3" ViscosityLINEST'!I127-4)</f>
        <v>82.287579365079409</v>
      </c>
    </row>
    <row r="128" spans="1:10">
      <c r="B128">
        <f t="array" ref="B128:H128">LINEST('10A61 Liquid 3"'!U78:U86,'10A61 Liquid 3"'!T78:T86^{1,2,3,4})</f>
        <v>-0.11571095571095459</v>
      </c>
      <c r="C128">
        <v>1.2304169904169786</v>
      </c>
      <c r="D128">
        <v>-1.5559207459207025</v>
      </c>
      <c r="E128">
        <v>-24.545180005180075</v>
      </c>
      <c r="F128">
        <v>107.20444444444449</v>
      </c>
      <c r="G128" t="e">
        <v>#N/A</v>
      </c>
      <c r="H128" t="e">
        <v>#N/A</v>
      </c>
      <c r="I128">
        <f t="shared" si="4"/>
        <v>4</v>
      </c>
      <c r="J128">
        <f>'10A61 Liquid 3" ViscosityLINEST'!B128*'10A61 Liquid 3"'!$B$4^'10A61 Liquid 3" ViscosityLINEST'!I128+'10A61 Liquid 3" ViscosityLINEST'!C128*'10A61 Liquid 3"'!$B$4^('10A61 Liquid 3" ViscosityLINEST'!I128-1)+'10A61 Liquid 3" ViscosityLINEST'!D128*'10A61 Liquid 3"'!$B$4^('10A61 Liquid 3" ViscosityLINEST'!I128-2)+'10A61 Liquid 3" ViscosityLINEST'!E128*'10A61 Liquid 3"'!$B$4^('10A61 Liquid 3" ViscosityLINEST'!I128-3)+'10A61 Liquid 3" ViscosityLINEST'!F128*'10A61 Liquid 3"'!$B$4^('10A61 Liquid 3" ViscosityLINEST'!I128-4)</f>
        <v>82.218049728049735</v>
      </c>
    </row>
    <row r="129" spans="1:10">
      <c r="A129">
        <v>1.4</v>
      </c>
      <c r="B129">
        <f t="array" ref="B129:H129">LINEST('10A61 Liquid 3"'!U92:U97,'10A61 Liquid 3"'!T92:T97^{1,2,3,4})</f>
        <v>-143.74999999995805</v>
      </c>
      <c r="C129">
        <v>459.86111111098842</v>
      </c>
      <c r="D129">
        <v>-537.68749999986824</v>
      </c>
      <c r="E129">
        <v>252.2746031745416</v>
      </c>
      <c r="F129">
        <v>45.334047619058168</v>
      </c>
      <c r="G129" t="e">
        <v>#N/A</v>
      </c>
      <c r="H129" t="e">
        <v>#N/A</v>
      </c>
      <c r="I129">
        <f t="shared" si="4"/>
        <v>4</v>
      </c>
      <c r="J129">
        <f>'10A61 Liquid 3" ViscosityLINEST'!B129*'10A61 Liquid 3"'!$B$4^'10A61 Liquid 3" ViscosityLINEST'!I129+'10A61 Liquid 3" ViscosityLINEST'!C129*'10A61 Liquid 3"'!$B$4^('10A61 Liquid 3" ViscosityLINEST'!I129-1)+'10A61 Liquid 3" ViscosityLINEST'!D129*'10A61 Liquid 3"'!$B$4^('10A61 Liquid 3" ViscosityLINEST'!I129-2)+'10A61 Liquid 3" ViscosityLINEST'!E129*'10A61 Liquid 3"'!$B$4^('10A61 Liquid 3" ViscosityLINEST'!I129-3)+'10A61 Liquid 3" ViscosityLINEST'!F129*'10A61 Liquid 3"'!$B$4^('10A61 Liquid 3" ViscosityLINEST'!I129-4)</f>
        <v>76.032261904761896</v>
      </c>
    </row>
    <row r="130" spans="1:10">
      <c r="B130">
        <f t="array" ref="B130:H130">LINEST('10A61 Liquid 3"'!U97:U105,'10A61 Liquid 3"'!T97:T105^{1,2,3,4})</f>
        <v>-0.13006993006992873</v>
      </c>
      <c r="C130">
        <v>1.5419839419839285</v>
      </c>
      <c r="D130">
        <v>-4.0229370629370154</v>
      </c>
      <c r="E130">
        <v>-15.834435379435449</v>
      </c>
      <c r="F130">
        <v>94.45388888888894</v>
      </c>
      <c r="G130" t="e">
        <v>#N/A</v>
      </c>
      <c r="H130" t="e">
        <v>#N/A</v>
      </c>
      <c r="I130">
        <f t="shared" si="4"/>
        <v>4</v>
      </c>
      <c r="J130">
        <f>'10A61 Liquid 3" ViscosityLINEST'!B130*'10A61 Liquid 3"'!$B$4^'10A61 Liquid 3" ViscosityLINEST'!I130+'10A61 Liquid 3" ViscosityLINEST'!C130*'10A61 Liquid 3"'!$B$4^('10A61 Liquid 3" ViscosityLINEST'!I130-1)+'10A61 Liquid 3" ViscosityLINEST'!D130*'10A61 Liquid 3"'!$B$4^('10A61 Liquid 3" ViscosityLINEST'!I130-2)+'10A61 Liquid 3" ViscosityLINEST'!E130*'10A61 Liquid 3"'!$B$4^('10A61 Liquid 3" ViscosityLINEST'!I130-3)+'10A61 Liquid 3" ViscosityLINEST'!F130*'10A61 Liquid 3"'!$B$4^('10A61 Liquid 3" ViscosityLINEST'!I130-4)</f>
        <v>76.008430458430468</v>
      </c>
    </row>
    <row r="131" spans="1:10">
      <c r="A131">
        <v>1.5</v>
      </c>
      <c r="B131">
        <f t="array" ref="B131:H131">LINEST('10A61 Liquid 3"'!U108:U113,'10A61 Liquid 3"'!T108:T113^{1,2,3,4})</f>
        <v>-210.41666666661635</v>
      </c>
      <c r="C131">
        <v>666.71296296281662</v>
      </c>
      <c r="D131">
        <v>-774.93749999984402</v>
      </c>
      <c r="E131">
        <v>372.38108465601249</v>
      </c>
      <c r="F131">
        <v>19.572936507948725</v>
      </c>
      <c r="G131" t="e">
        <v>#N/A</v>
      </c>
      <c r="H131" t="e">
        <v>#N/A</v>
      </c>
      <c r="I131">
        <f t="shared" si="4"/>
        <v>4</v>
      </c>
      <c r="J131">
        <f>'10A61 Liquid 3" ViscosityLINEST'!B131*'10A61 Liquid 3"'!$B$4^'10A61 Liquid 3" ViscosityLINEST'!I131+'10A61 Liquid 3" ViscosityLINEST'!C131*'10A61 Liquid 3"'!$B$4^('10A61 Liquid 3" ViscosityLINEST'!I131-1)+'10A61 Liquid 3" ViscosityLINEST'!D131*'10A61 Liquid 3"'!$B$4^('10A61 Liquid 3" ViscosityLINEST'!I131-2)+'10A61 Liquid 3" ViscosityLINEST'!E131*'10A61 Liquid 3"'!$B$4^('10A61 Liquid 3" ViscosityLINEST'!I131-3)+'10A61 Liquid 3" ViscosityLINEST'!F131*'10A61 Liquid 3"'!$B$4^('10A61 Liquid 3" ViscosityLINEST'!I131-4)</f>
        <v>73.312817460317433</v>
      </c>
    </row>
    <row r="132" spans="1:10">
      <c r="B132">
        <f t="array" ref="B132:H132">LINEST('10A61 Liquid 3"'!U113:U121,'10A61 Liquid 3"'!T113:T121^{1,2,3,4})</f>
        <v>-0.11804195804195634</v>
      </c>
      <c r="C132">
        <v>1.4446516446516251</v>
      </c>
      <c r="D132">
        <v>-4.0532167832167048</v>
      </c>
      <c r="E132">
        <v>-13.936465941466066</v>
      </c>
      <c r="F132">
        <v>89.94277777777782</v>
      </c>
      <c r="G132" t="e">
        <v>#N/A</v>
      </c>
      <c r="H132" t="e">
        <v>#N/A</v>
      </c>
      <c r="I132">
        <f t="shared" si="4"/>
        <v>4</v>
      </c>
      <c r="J132">
        <f>'10A61 Liquid 3" ViscosityLINEST'!B132*'10A61 Liquid 3"'!$B$4^'10A61 Liquid 3" ViscosityLINEST'!I132+'10A61 Liquid 3" ViscosityLINEST'!C132*'10A61 Liquid 3"'!$B$4^('10A61 Liquid 3" ViscosityLINEST'!I132-1)+'10A61 Liquid 3" ViscosityLINEST'!D132*'10A61 Liquid 3"'!$B$4^('10A61 Liquid 3" ViscosityLINEST'!I132-2)+'10A61 Liquid 3" ViscosityLINEST'!E132*'10A61 Liquid 3"'!$B$4^('10A61 Liquid 3" ViscosityLINEST'!I132-3)+'10A61 Liquid 3" ViscosityLINEST'!F132*'10A61 Liquid 3"'!$B$4^('10A61 Liquid 3" ViscosityLINEST'!I132-4)</f>
        <v>73.279704739704727</v>
      </c>
    </row>
    <row r="133" spans="1:10">
      <c r="I133">
        <f t="shared" si="4"/>
        <v>-1</v>
      </c>
      <c r="J133">
        <f>'10A61 Liquid 3" ViscosityLINEST'!B133*'10A61 Liquid 3"'!$B$4^'10A61 Liquid 3" ViscosityLINEST'!I133+'10A61 Liquid 3" ViscosityLINEST'!C133*'10A61 Liquid 3"'!$B$4^('10A61 Liquid 3" ViscosityLINEST'!I133-1)+'10A61 Liquid 3" ViscosityLINEST'!D133*'10A61 Liquid 3"'!$B$4^('10A61 Liquid 3" ViscosityLINEST'!I133-2)+'10A61 Liquid 3" ViscosityLINEST'!E133*'10A61 Liquid 3"'!$B$4^('10A61 Liquid 3" ViscosityLINEST'!I133-3)+'10A61 Liquid 3" ViscosityLINEST'!F133*'10A61 Liquid 3"'!$B$4^('10A61 Liquid 3" ViscosityLINEST'!I133-4)</f>
        <v>0</v>
      </c>
    </row>
    <row r="134" spans="1:10">
      <c r="A134" t="s">
        <v>86</v>
      </c>
      <c r="I134">
        <f t="shared" si="4"/>
        <v>-1</v>
      </c>
      <c r="J134">
        <f>'10A61 Liquid 3" ViscosityLINEST'!B134*'10A61 Liquid 3"'!$B$4^'10A61 Liquid 3" ViscosityLINEST'!I134+'10A61 Liquid 3" ViscosityLINEST'!C134*'10A61 Liquid 3"'!$B$4^('10A61 Liquid 3" ViscosityLINEST'!I134-1)+'10A61 Liquid 3" ViscosityLINEST'!D134*'10A61 Liquid 3"'!$B$4^('10A61 Liquid 3" ViscosityLINEST'!I134-2)+'10A61 Liquid 3" ViscosityLINEST'!E134*'10A61 Liquid 3"'!$B$4^('10A61 Liquid 3" ViscosityLINEST'!I134-3)+'10A61 Liquid 3" ViscosityLINEST'!F134*'10A61 Liquid 3"'!$B$4^('10A61 Liquid 3" ViscosityLINEST'!I134-4)</f>
        <v>0</v>
      </c>
    </row>
    <row r="135" spans="1:10">
      <c r="A135">
        <v>0.4</v>
      </c>
      <c r="B135">
        <f t="array" ref="B135:H135">LINEST('10A61 Liquid 3"'!W6:W11,'10A61 Liquid 3"'!V6:V11^{1,2,3,4})</f>
        <v>-833.33333333328108</v>
      </c>
      <c r="C135">
        <v>2331.4814814813367</v>
      </c>
      <c r="D135">
        <v>-2374.999999999854</v>
      </c>
      <c r="E135">
        <v>977.97089947083566</v>
      </c>
      <c r="F135">
        <v>95.896825396835879</v>
      </c>
      <c r="G135" t="e">
        <v>#N/A</v>
      </c>
      <c r="H135" t="e">
        <v>#N/A</v>
      </c>
      <c r="I135">
        <f t="shared" ref="I135:I164" si="5">COUNT(B135:H135)-1</f>
        <v>4</v>
      </c>
      <c r="J135">
        <f>'10A61 Liquid 3" ViscosityLINEST'!B135*'10A61 Liquid 3"'!$B$4^'10A61 Liquid 3" ViscosityLINEST'!I135+'10A61 Liquid 3" ViscosityLINEST'!C135*'10A61 Liquid 3"'!$B$4^('10A61 Liquid 3" ViscosityLINEST'!I135-1)+'10A61 Liquid 3" ViscosityLINEST'!D135*'10A61 Liquid 3"'!$B$4^('10A61 Liquid 3" ViscosityLINEST'!I135-2)+'10A61 Liquid 3" ViscosityLINEST'!E135*'10A61 Liquid 3"'!$B$4^('10A61 Liquid 3" ViscosityLINEST'!I135-3)+'10A61 Liquid 3" ViscosityLINEST'!F135*'10A61 Liquid 3"'!$B$4^('10A61 Liquid 3" ViscosityLINEST'!I135-4)</f>
        <v>197.01587301587301</v>
      </c>
    </row>
    <row r="136" spans="1:10">
      <c r="B136">
        <f t="array" ref="B136:H136">LINEST('10A61 Liquid 3"'!W11:W19,'10A61 Liquid 3"'!V11:V19^{1,2,3,4})</f>
        <v>-0.25006993006993922</v>
      </c>
      <c r="C136">
        <v>1.8754519554520741</v>
      </c>
      <c r="D136">
        <v>6.1664568764563406</v>
      </c>
      <c r="E136">
        <v>-90.760832685831716</v>
      </c>
      <c r="F136">
        <v>280.17611111111057</v>
      </c>
      <c r="G136" t="e">
        <v>#N/A</v>
      </c>
      <c r="H136" t="e">
        <v>#N/A</v>
      </c>
      <c r="I136">
        <f t="shared" si="5"/>
        <v>4</v>
      </c>
      <c r="J136">
        <f>'10A61 Liquid 3" ViscosityLINEST'!B136*'10A61 Liquid 3"'!$B$4^'10A61 Liquid 3" ViscosityLINEST'!I136+'10A61 Liquid 3" ViscosityLINEST'!C136*'10A61 Liquid 3"'!$B$4^('10A61 Liquid 3" ViscosityLINEST'!I136-1)+'10A61 Liquid 3" ViscosityLINEST'!D136*'10A61 Liquid 3"'!$B$4^('10A61 Liquid 3" ViscosityLINEST'!I136-2)+'10A61 Liquid 3" ViscosityLINEST'!E136*'10A61 Liquid 3"'!$B$4^('10A61 Liquid 3" ViscosityLINEST'!I136-3)+'10A61 Liquid 3" ViscosityLINEST'!F136*'10A61 Liquid 3"'!$B$4^('10A61 Liquid 3" ViscosityLINEST'!I136-4)</f>
        <v>197.20711732711732</v>
      </c>
    </row>
    <row r="137" spans="1:10">
      <c r="A137">
        <v>0.6</v>
      </c>
      <c r="B137">
        <f t="array" ref="B137:H137">LINEST('10A61 Liquid 3"'!W23:W28,'10A61 Liquid 3"'!V23:V28^{1,2,3,4})</f>
        <v>-208.33333333327604</v>
      </c>
      <c r="C137">
        <v>669.44444444427643</v>
      </c>
      <c r="D137">
        <v>-777.91666666648587</v>
      </c>
      <c r="E137">
        <v>341.7341269840424</v>
      </c>
      <c r="F137">
        <v>144.76190476191925</v>
      </c>
      <c r="G137" t="e">
        <v>#N/A</v>
      </c>
      <c r="H137" t="e">
        <v>#N/A</v>
      </c>
      <c r="I137">
        <f t="shared" si="5"/>
        <v>4</v>
      </c>
      <c r="J137">
        <f>'10A61 Liquid 3" ViscosityLINEST'!B137*'10A61 Liquid 3"'!$B$4^'10A61 Liquid 3" ViscosityLINEST'!I137+'10A61 Liquid 3" ViscosityLINEST'!C137*'10A61 Liquid 3"'!$B$4^('10A61 Liquid 3" ViscosityLINEST'!I137-1)+'10A61 Liquid 3" ViscosityLINEST'!D137*'10A61 Liquid 3"'!$B$4^('10A61 Liquid 3" ViscosityLINEST'!I137-2)+'10A61 Liquid 3" ViscosityLINEST'!E137*'10A61 Liquid 3"'!$B$4^('10A61 Liquid 3" ViscosityLINEST'!I137-3)+'10A61 Liquid 3" ViscosityLINEST'!F137*'10A61 Liquid 3"'!$B$4^('10A61 Liquid 3" ViscosityLINEST'!I137-4)</f>
        <v>169.69047619047615</v>
      </c>
    </row>
    <row r="138" spans="1:10">
      <c r="B138">
        <f t="array" ref="B138:H138">LINEST('10A61 Liquid 3"'!W28:W36,'10A61 Liquid 3"'!V28:V36^{1,2,3,4})</f>
        <v>-0.30731934731934785</v>
      </c>
      <c r="C138">
        <v>3.4999533799533946</v>
      </c>
      <c r="D138">
        <v>-8.1258974358975333</v>
      </c>
      <c r="E138">
        <v>-40.016958041957814</v>
      </c>
      <c r="F138">
        <v>214.6216666666665</v>
      </c>
      <c r="G138" t="e">
        <v>#N/A</v>
      </c>
      <c r="H138" t="e">
        <v>#N/A</v>
      </c>
      <c r="I138">
        <f t="shared" si="5"/>
        <v>4</v>
      </c>
      <c r="J138">
        <f>'10A61 Liquid 3" ViscosityLINEST'!B138*'10A61 Liquid 3"'!$B$4^'10A61 Liquid 3" ViscosityLINEST'!I138+'10A61 Liquid 3" ViscosityLINEST'!C138*'10A61 Liquid 3"'!$B$4^('10A61 Liquid 3" ViscosityLINEST'!I138-1)+'10A61 Liquid 3" ViscosityLINEST'!D138*'10A61 Liquid 3"'!$B$4^('10A61 Liquid 3" ViscosityLINEST'!I138-2)+'10A61 Liquid 3" ViscosityLINEST'!E138*'10A61 Liquid 3"'!$B$4^('10A61 Liquid 3" ViscosityLINEST'!I138-3)+'10A61 Liquid 3" ViscosityLINEST'!F138*'10A61 Liquid 3"'!$B$4^('10A61 Liquid 3" ViscosityLINEST'!I138-4)</f>
        <v>169.6714452214452</v>
      </c>
    </row>
    <row r="139" spans="1:10">
      <c r="A139">
        <v>0.8</v>
      </c>
      <c r="B139">
        <f t="array" ref="B139:H139">LINEST('10A61 Liquid 3"'!W41:W46,'10A61 Liquid 3"'!V41:V46^{1,2,3,4})</f>
        <v>-291.66666666664935</v>
      </c>
      <c r="C139">
        <v>936.11111111106595</v>
      </c>
      <c r="D139">
        <v>-1107.0833333332907</v>
      </c>
      <c r="E139">
        <v>535.92460317458597</v>
      </c>
      <c r="F139">
        <v>76.91904761905019</v>
      </c>
      <c r="G139" t="e">
        <v>#N/A</v>
      </c>
      <c r="H139" t="e">
        <v>#N/A</v>
      </c>
      <c r="I139">
        <f t="shared" si="5"/>
        <v>4</v>
      </c>
      <c r="J139">
        <f>'10A61 Liquid 3" ViscosityLINEST'!B139*'10A61 Liquid 3"'!$B$4^'10A61 Liquid 3" ViscosityLINEST'!I139+'10A61 Liquid 3" ViscosityLINEST'!C139*'10A61 Liquid 3"'!$B$4^('10A61 Liquid 3" ViscosityLINEST'!I139-1)+'10A61 Liquid 3" ViscosityLINEST'!D139*'10A61 Liquid 3"'!$B$4^('10A61 Liquid 3" ViscosityLINEST'!I139-2)+'10A61 Liquid 3" ViscosityLINEST'!E139*'10A61 Liquid 3"'!$B$4^('10A61 Liquid 3" ViscosityLINEST'!I139-3)+'10A61 Liquid 3" ViscosityLINEST'!F139*'10A61 Liquid 3"'!$B$4^('10A61 Liquid 3" ViscosityLINEST'!I139-4)</f>
        <v>150.20476190476202</v>
      </c>
    </row>
    <row r="140" spans="1:10">
      <c r="B140">
        <f t="array" ref="B140:H140">LINEST('10A61 Liquid 3"'!W46:W54,'10A61 Liquid 3"'!V46:V54^{1,2,3,4})</f>
        <v>-0.22578088578088495</v>
      </c>
      <c r="C140">
        <v>3.0200103600103532</v>
      </c>
      <c r="D140">
        <v>-10.458706293706275</v>
      </c>
      <c r="E140">
        <v>-19.260760165760193</v>
      </c>
      <c r="F140">
        <v>177.00222222222223</v>
      </c>
      <c r="G140" t="e">
        <v>#N/A</v>
      </c>
      <c r="H140" t="e">
        <v>#N/A</v>
      </c>
      <c r="I140">
        <f t="shared" si="5"/>
        <v>4</v>
      </c>
      <c r="J140">
        <f>'10A61 Liquid 3" ViscosityLINEST'!B140*'10A61 Liquid 3"'!$B$4^'10A61 Liquid 3" ViscosityLINEST'!I140+'10A61 Liquid 3" ViscosityLINEST'!C140*'10A61 Liquid 3"'!$B$4^('10A61 Liquid 3" ViscosityLINEST'!I140-1)+'10A61 Liquid 3" ViscosityLINEST'!D140*'10A61 Liquid 3"'!$B$4^('10A61 Liquid 3" ViscosityLINEST'!I140-2)+'10A61 Liquid 3" ViscosityLINEST'!E140*'10A61 Liquid 3"'!$B$4^('10A61 Liquid 3" ViscosityLINEST'!I140-3)+'10A61 Liquid 3" ViscosityLINEST'!F140*'10A61 Liquid 3"'!$B$4^('10A61 Liquid 3" ViscosityLINEST'!I140-4)</f>
        <v>150.07698523698522</v>
      </c>
    </row>
    <row r="141" spans="1:10">
      <c r="A141">
        <v>1</v>
      </c>
      <c r="B141">
        <f t="array" ref="B141:H141">LINEST('10A61 Liquid 3"'!W57:W62,'10A61 Liquid 3"'!V57:V62^{1,2,3,4})</f>
        <v>395.83333333323873</v>
      </c>
      <c r="C141">
        <v>-1155.0925925923164</v>
      </c>
      <c r="D141">
        <v>1228.124999999704</v>
      </c>
      <c r="E141">
        <v>-589.85978835965034</v>
      </c>
      <c r="F141">
        <v>257.31984126981774</v>
      </c>
      <c r="G141" t="e">
        <v>#N/A</v>
      </c>
      <c r="H141" t="e">
        <v>#N/A</v>
      </c>
      <c r="I141">
        <f t="shared" si="5"/>
        <v>4</v>
      </c>
      <c r="J141">
        <f>'10A61 Liquid 3" ViscosityLINEST'!B141*'10A61 Liquid 3"'!$B$4^'10A61 Liquid 3" ViscosityLINEST'!I141+'10A61 Liquid 3" ViscosityLINEST'!C141*'10A61 Liquid 3"'!$B$4^('10A61 Liquid 3" ViscosityLINEST'!I141-1)+'10A61 Liquid 3" ViscosityLINEST'!D141*'10A61 Liquid 3"'!$B$4^('10A61 Liquid 3" ViscosityLINEST'!I141-2)+'10A61 Liquid 3" ViscosityLINEST'!E141*'10A61 Liquid 3"'!$B$4^('10A61 Liquid 3" ViscosityLINEST'!I141-3)+'10A61 Liquid 3" ViscosityLINEST'!F141*'10A61 Liquid 3"'!$B$4^('10A61 Liquid 3" ViscosityLINEST'!I141-4)</f>
        <v>136.32579365079368</v>
      </c>
    </row>
    <row r="142" spans="1:10">
      <c r="B142">
        <f t="array" ref="B142:H142">LINEST('10A61 Liquid 3"'!W62:W70,'10A61 Liquid 3"'!V62:V70^{1,2,3,4})</f>
        <v>-0.18004662004661307</v>
      </c>
      <c r="C142">
        <v>2.546822066821981</v>
      </c>
      <c r="D142">
        <v>-9.9268065268061516</v>
      </c>
      <c r="E142">
        <v>-11.804129759130442</v>
      </c>
      <c r="F142">
        <v>155.72166666666709</v>
      </c>
      <c r="G142" t="e">
        <v>#N/A</v>
      </c>
      <c r="H142" t="e">
        <v>#N/A</v>
      </c>
      <c r="I142">
        <f t="shared" si="5"/>
        <v>4</v>
      </c>
      <c r="J142">
        <f>'10A61 Liquid 3" ViscosityLINEST'!B142*'10A61 Liquid 3"'!$B$4^'10A61 Liquid 3" ViscosityLINEST'!I142+'10A61 Liquid 3" ViscosityLINEST'!C142*'10A61 Liquid 3"'!$B$4^('10A61 Liquid 3" ViscosityLINEST'!I142-1)+'10A61 Liquid 3" ViscosityLINEST'!D142*'10A61 Liquid 3"'!$B$4^('10A61 Liquid 3" ViscosityLINEST'!I142-2)+'10A61 Liquid 3" ViscosityLINEST'!E142*'10A61 Liquid 3"'!$B$4^('10A61 Liquid 3" ViscosityLINEST'!I142-3)+'10A61 Liquid 3" ViscosityLINEST'!F142*'10A61 Liquid 3"'!$B$4^('10A61 Liquid 3" ViscosityLINEST'!I142-4)</f>
        <v>136.35750582750586</v>
      </c>
    </row>
    <row r="143" spans="1:10">
      <c r="A143">
        <v>1.2</v>
      </c>
      <c r="B143">
        <f t="array" ref="B143:H143">LINEST('10A61 Liquid 3"'!W73:W78,'10A61 Liquid 3"'!V73:V78^{1,2,3,4})</f>
        <v>374.99999999995748</v>
      </c>
      <c r="C143">
        <v>-1152.7777777776589</v>
      </c>
      <c r="D143">
        <v>1296.249999999879</v>
      </c>
      <c r="E143">
        <v>-652.7579365078833</v>
      </c>
      <c r="F143">
        <v>259.78095238094375</v>
      </c>
      <c r="G143" t="e">
        <v>#N/A</v>
      </c>
      <c r="H143" t="e">
        <v>#N/A</v>
      </c>
      <c r="I143">
        <f t="shared" si="5"/>
        <v>4</v>
      </c>
      <c r="J143">
        <f>'10A61 Liquid 3" ViscosityLINEST'!B143*'10A61 Liquid 3"'!$B$4^'10A61 Liquid 3" ViscosityLINEST'!I143+'10A61 Liquid 3" ViscosityLINEST'!C143*'10A61 Liquid 3"'!$B$4^('10A61 Liquid 3" ViscosityLINEST'!I143-1)+'10A61 Liquid 3" ViscosityLINEST'!D143*'10A61 Liquid 3"'!$B$4^('10A61 Liquid 3" ViscosityLINEST'!I143-2)+'10A61 Liquid 3" ViscosityLINEST'!E143*'10A61 Liquid 3"'!$B$4^('10A61 Liquid 3" ViscosityLINEST'!I143-3)+'10A61 Liquid 3" ViscosityLINEST'!F143*'10A61 Liquid 3"'!$B$4^('10A61 Liquid 3" ViscosityLINEST'!I143-4)</f>
        <v>125.49523809523805</v>
      </c>
    </row>
    <row r="144" spans="1:10">
      <c r="B144">
        <f t="array" ref="B144:H144">LINEST('10A61 Liquid 3"'!W78:W86,'10A61 Liquid 3"'!V78:V86^{1,2,3,4})</f>
        <v>-0.10027972027972339</v>
      </c>
      <c r="C144">
        <v>1.5789121989122368</v>
      </c>
      <c r="D144">
        <v>-6.5879603729605325</v>
      </c>
      <c r="E144">
        <v>-11.891546231545968</v>
      </c>
      <c r="F144">
        <v>142.68166666666653</v>
      </c>
      <c r="G144" t="e">
        <v>#N/A</v>
      </c>
      <c r="H144" t="e">
        <v>#N/A</v>
      </c>
      <c r="I144">
        <f t="shared" si="5"/>
        <v>4</v>
      </c>
      <c r="J144">
        <f>'10A61 Liquid 3" ViscosityLINEST'!B144*'10A61 Liquid 3"'!$B$4^'10A61 Liquid 3" ViscosityLINEST'!I144+'10A61 Liquid 3" ViscosityLINEST'!C144*'10A61 Liquid 3"'!$B$4^('10A61 Liquid 3" ViscosityLINEST'!I144-1)+'10A61 Liquid 3" ViscosityLINEST'!D144*'10A61 Liquid 3"'!$B$4^('10A61 Liquid 3" ViscosityLINEST'!I144-2)+'10A61 Liquid 3" ViscosityLINEST'!E144*'10A61 Liquid 3"'!$B$4^('10A61 Liquid 3" ViscosityLINEST'!I144-3)+'10A61 Liquid 3" ViscosityLINEST'!F144*'10A61 Liquid 3"'!$B$4^('10A61 Liquid 3" ViscosityLINEST'!I144-4)</f>
        <v>125.68079254079254</v>
      </c>
    </row>
    <row r="145" spans="1:10">
      <c r="A145">
        <v>1.4</v>
      </c>
      <c r="B145">
        <f t="array" ref="B145:H145">LINEST('10A61 Liquid 3"'!W92:W97,'10A61 Liquid 3"'!V92:V97^{1,2,3,4})</f>
        <v>166.6666666666712</v>
      </c>
      <c r="C145">
        <v>-551.85185185187004</v>
      </c>
      <c r="D145">
        <v>665.00000000002512</v>
      </c>
      <c r="E145">
        <v>-363.91005291006735</v>
      </c>
      <c r="F145">
        <v>200.88253968254264</v>
      </c>
      <c r="G145" t="e">
        <v>#N/A</v>
      </c>
      <c r="H145" t="e">
        <v>#N/A</v>
      </c>
      <c r="I145">
        <f t="shared" si="5"/>
        <v>4</v>
      </c>
      <c r="J145">
        <f>'10A61 Liquid 3" ViscosityLINEST'!B145*'10A61 Liquid 3"'!$B$4^'10A61 Liquid 3" ViscosityLINEST'!I145+'10A61 Liquid 3" ViscosityLINEST'!C145*'10A61 Liquid 3"'!$B$4^('10A61 Liquid 3" ViscosityLINEST'!I145-1)+'10A61 Liquid 3" ViscosityLINEST'!D145*'10A61 Liquid 3"'!$B$4^('10A61 Liquid 3" ViscosityLINEST'!I145-2)+'10A61 Liquid 3" ViscosityLINEST'!E145*'10A61 Liquid 3"'!$B$4^('10A61 Liquid 3" ViscosityLINEST'!I145-3)+'10A61 Liquid 3" ViscosityLINEST'!F145*'10A61 Liquid 3"'!$B$4^('10A61 Liquid 3" ViscosityLINEST'!I145-4)</f>
        <v>116.78730158730156</v>
      </c>
    </row>
    <row r="146" spans="1:10">
      <c r="B146">
        <f t="array" ref="B146:H146">LINEST('10A61 Liquid 3"'!W97:W105,'10A61 Liquid 3"'!V97:V105^{1,2,3,4})</f>
        <v>-3.2634032634150313E-4</v>
      </c>
      <c r="C146">
        <v>0.31819217819219503</v>
      </c>
      <c r="D146">
        <v>-1.5547668997669799</v>
      </c>
      <c r="E146">
        <v>-16.66545713545699</v>
      </c>
      <c r="F146">
        <v>134.7905555555555</v>
      </c>
      <c r="G146" t="e">
        <v>#N/A</v>
      </c>
      <c r="H146" t="e">
        <v>#N/A</v>
      </c>
      <c r="I146">
        <f t="shared" si="5"/>
        <v>4</v>
      </c>
      <c r="J146">
        <f>'10A61 Liquid 3" ViscosityLINEST'!B146*'10A61 Liquid 3"'!$B$4^'10A61 Liquid 3" ViscosityLINEST'!I146+'10A61 Liquid 3" ViscosityLINEST'!C146*'10A61 Liquid 3"'!$B$4^('10A61 Liquid 3" ViscosityLINEST'!I146-1)+'10A61 Liquid 3" ViscosityLINEST'!D146*'10A61 Liquid 3"'!$B$4^('10A61 Liquid 3" ViscosityLINEST'!I146-2)+'10A61 Liquid 3" ViscosityLINEST'!E146*'10A61 Liquid 3"'!$B$4^('10A61 Liquid 3" ViscosityLINEST'!I146-3)+'10A61 Liquid 3" ViscosityLINEST'!F146*'10A61 Liquid 3"'!$B$4^('10A61 Liquid 3" ViscosityLINEST'!I146-4)</f>
        <v>116.88819735819739</v>
      </c>
    </row>
    <row r="147" spans="1:10">
      <c r="A147">
        <v>1.5</v>
      </c>
      <c r="B147">
        <f t="array" ref="B147:H147">LINEST('10A61 Liquid 3"'!W108:W113,'10A61 Liquid 3"'!V108:V113^{1,2,3,4})</f>
        <v>-41.666666666639841</v>
      </c>
      <c r="C147">
        <v>69.444444444363171</v>
      </c>
      <c r="D147">
        <v>-14.583333333242811</v>
      </c>
      <c r="E147">
        <v>-39.765873015916853</v>
      </c>
      <c r="F147">
        <v>139.56190476191253</v>
      </c>
      <c r="G147" t="e">
        <v>#N/A</v>
      </c>
      <c r="H147" t="e">
        <v>#N/A</v>
      </c>
      <c r="I147">
        <f t="shared" si="5"/>
        <v>4</v>
      </c>
      <c r="J147">
        <f>'10A61 Liquid 3" ViscosityLINEST'!B147*'10A61 Liquid 3"'!$B$4^'10A61 Liquid 3" ViscosityLINEST'!I147+'10A61 Liquid 3" ViscosityLINEST'!C147*'10A61 Liquid 3"'!$B$4^('10A61 Liquid 3" ViscosityLINEST'!I147-1)+'10A61 Liquid 3" ViscosityLINEST'!D147*'10A61 Liquid 3"'!$B$4^('10A61 Liquid 3" ViscosityLINEST'!I147-2)+'10A61 Liquid 3" ViscosityLINEST'!E147*'10A61 Liquid 3"'!$B$4^('10A61 Liquid 3" ViscosityLINEST'!I147-3)+'10A61 Liquid 3" ViscosityLINEST'!F147*'10A61 Liquid 3"'!$B$4^('10A61 Liquid 3" ViscosityLINEST'!I147-4)</f>
        <v>112.99047619047619</v>
      </c>
    </row>
    <row r="148" spans="1:10">
      <c r="B148">
        <f t="array" ref="B148:H148">LINEST('10A61 Liquid 3"'!W113:W121,'10A61 Liquid 3"'!V113:V121^{1,2,3,4})</f>
        <v>1.5058275058272706E-2</v>
      </c>
      <c r="C148">
        <v>9.1421911421942781E-2</v>
      </c>
      <c r="D148">
        <v>-0.6046736596738026</v>
      </c>
      <c r="E148">
        <v>-16.929067599067348</v>
      </c>
      <c r="F148">
        <v>130.50499999999985</v>
      </c>
      <c r="G148" t="e">
        <v>#N/A</v>
      </c>
      <c r="H148" t="e">
        <v>#N/A</v>
      </c>
      <c r="I148">
        <f t="shared" si="5"/>
        <v>4</v>
      </c>
      <c r="J148">
        <f>'10A61 Liquid 3" ViscosityLINEST'!B148*'10A61 Liquid 3"'!$B$4^'10A61 Liquid 3" ViscosityLINEST'!I148+'10A61 Liquid 3" ViscosityLINEST'!C148*'10A61 Liquid 3"'!$B$4^('10A61 Liquid 3" ViscosityLINEST'!I148-1)+'10A61 Liquid 3" ViscosityLINEST'!D148*'10A61 Liquid 3"'!$B$4^('10A61 Liquid 3" ViscosityLINEST'!I148-2)+'10A61 Liquid 3" ViscosityLINEST'!E148*'10A61 Liquid 3"'!$B$4^('10A61 Liquid 3" ViscosityLINEST'!I148-3)+'10A61 Liquid 3" ViscosityLINEST'!F148*'10A61 Liquid 3"'!$B$4^('10A61 Liquid 3" ViscosityLINEST'!I148-4)</f>
        <v>113.07773892773892</v>
      </c>
    </row>
    <row r="149" spans="1:10">
      <c r="I149">
        <f t="shared" si="5"/>
        <v>-1</v>
      </c>
      <c r="J149">
        <f>'10A61 Liquid 3" ViscosityLINEST'!B149*'10A61 Liquid 3"'!$B$4^'10A61 Liquid 3" ViscosityLINEST'!I149+'10A61 Liquid 3" ViscosityLINEST'!C149*'10A61 Liquid 3"'!$B$4^('10A61 Liquid 3" ViscosityLINEST'!I149-1)+'10A61 Liquid 3" ViscosityLINEST'!D149*'10A61 Liquid 3"'!$B$4^('10A61 Liquid 3" ViscosityLINEST'!I149-2)+'10A61 Liquid 3" ViscosityLINEST'!E149*'10A61 Liquid 3"'!$B$4^('10A61 Liquid 3" ViscosityLINEST'!I149-3)+'10A61 Liquid 3" ViscosityLINEST'!F149*'10A61 Liquid 3"'!$B$4^('10A61 Liquid 3" ViscosityLINEST'!I149-4)</f>
        <v>0</v>
      </c>
    </row>
    <row r="150" spans="1:10">
      <c r="A150" t="s">
        <v>87</v>
      </c>
      <c r="I150">
        <f t="shared" si="5"/>
        <v>-1</v>
      </c>
      <c r="J150">
        <f>'10A61 Liquid 3" ViscosityLINEST'!B150*'10A61 Liquid 3"'!$B$4^'10A61 Liquid 3" ViscosityLINEST'!I150+'10A61 Liquid 3" ViscosityLINEST'!C150*'10A61 Liquid 3"'!$B$4^('10A61 Liquid 3" ViscosityLINEST'!I150-1)+'10A61 Liquid 3" ViscosityLINEST'!D150*'10A61 Liquid 3"'!$B$4^('10A61 Liquid 3" ViscosityLINEST'!I150-2)+'10A61 Liquid 3" ViscosityLINEST'!E150*'10A61 Liquid 3"'!$B$4^('10A61 Liquid 3" ViscosityLINEST'!I150-3)+'10A61 Liquid 3" ViscosityLINEST'!F150*'10A61 Liquid 3"'!$B$4^('10A61 Liquid 3" ViscosityLINEST'!I150-4)</f>
        <v>0</v>
      </c>
    </row>
    <row r="151" spans="1:10">
      <c r="A151">
        <v>0.4</v>
      </c>
      <c r="B151">
        <f t="array" ref="B151:H151">LINEST('10A61 Liquid 3"'!Y6:Y11,'10A61 Liquid 3"'!X6:X11^{1,2,3,4})</f>
        <v>-229.16666666668013</v>
      </c>
      <c r="C151">
        <v>597.68518518522842</v>
      </c>
      <c r="D151">
        <v>-535.62500000005082</v>
      </c>
      <c r="E151">
        <v>121.04100529103108</v>
      </c>
      <c r="F151">
        <v>258.58174603174126</v>
      </c>
      <c r="G151" t="e">
        <v>#N/A</v>
      </c>
      <c r="H151" t="e">
        <v>#N/A</v>
      </c>
      <c r="I151">
        <f t="shared" si="5"/>
        <v>4</v>
      </c>
      <c r="J151">
        <f>'10A61 Liquid 3" ViscosityLINEST'!B151*'10A61 Liquid 3"'!$B$4^'10A61 Liquid 3" ViscosityLINEST'!I151+'10A61 Liquid 3" ViscosityLINEST'!C151*'10A61 Liquid 3"'!$B$4^('10A61 Liquid 3" ViscosityLINEST'!I151-1)+'10A61 Liquid 3" ViscosityLINEST'!D151*'10A61 Liquid 3"'!$B$4^('10A61 Liquid 3" ViscosityLINEST'!I151-2)+'10A61 Liquid 3" ViscosityLINEST'!E151*'10A61 Liquid 3"'!$B$4^('10A61 Liquid 3" ViscosityLINEST'!I151-3)+'10A61 Liquid 3" ViscosityLINEST'!F151*'10A61 Liquid 3"'!$B$4^('10A61 Liquid 3" ViscosityLINEST'!I151-4)</f>
        <v>212.51626984126978</v>
      </c>
    </row>
    <row r="152" spans="1:10">
      <c r="B152">
        <f t="array" ref="B152:H152">LINEST('10A61 Liquid 3"'!Y11:Y19,'10A61 Liquid 3"'!X11:X19^{1,2,3,4})</f>
        <v>-0.37850815850815872</v>
      </c>
      <c r="C152">
        <v>3.6095053095053213</v>
      </c>
      <c r="D152">
        <v>-1.8520396270397146</v>
      </c>
      <c r="E152">
        <v>-78.689042994042794</v>
      </c>
      <c r="F152">
        <v>289.93555555555542</v>
      </c>
      <c r="G152" t="e">
        <v>#N/A</v>
      </c>
      <c r="H152" t="e">
        <v>#N/A</v>
      </c>
      <c r="I152">
        <f t="shared" si="5"/>
        <v>4</v>
      </c>
      <c r="J152">
        <f>'10A61 Liquid 3" ViscosityLINEST'!B152*'10A61 Liquid 3"'!$B$4^'10A61 Liquid 3" ViscosityLINEST'!I152+'10A61 Liquid 3" ViscosityLINEST'!C152*'10A61 Liquid 3"'!$B$4^('10A61 Liquid 3" ViscosityLINEST'!I152-1)+'10A61 Liquid 3" ViscosityLINEST'!D152*'10A61 Liquid 3"'!$B$4^('10A61 Liquid 3" ViscosityLINEST'!I152-2)+'10A61 Liquid 3" ViscosityLINEST'!E152*'10A61 Liquid 3"'!$B$4^('10A61 Liquid 3" ViscosityLINEST'!I152-3)+'10A61 Liquid 3" ViscosityLINEST'!F152*'10A61 Liquid 3"'!$B$4^('10A61 Liquid 3" ViscosityLINEST'!I152-4)</f>
        <v>212.62547008547008</v>
      </c>
    </row>
    <row r="153" spans="1:10">
      <c r="A153">
        <v>0.6</v>
      </c>
      <c r="B153">
        <f t="array" ref="B153:H153">LINEST('10A61 Liquid 3"'!Y23:Y28,'10A61 Liquid 3"'!X23:X28^{1,2,3,4})</f>
        <v>-437.49999999990433</v>
      </c>
      <c r="C153">
        <v>1394.90740740713</v>
      </c>
      <c r="D153">
        <v>-1628.5416666663718</v>
      </c>
      <c r="E153">
        <v>777.56878306864701</v>
      </c>
      <c r="F153">
        <v>74.848412698435766</v>
      </c>
      <c r="G153" t="e">
        <v>#N/A</v>
      </c>
      <c r="H153" t="e">
        <v>#N/A</v>
      </c>
      <c r="I153">
        <f t="shared" si="5"/>
        <v>4</v>
      </c>
      <c r="J153">
        <f>'10A61 Liquid 3" ViscosityLINEST'!B153*'10A61 Liquid 3"'!$B$4^'10A61 Liquid 3" ViscosityLINEST'!I153+'10A61 Liquid 3" ViscosityLINEST'!C153*'10A61 Liquid 3"'!$B$4^('10A61 Liquid 3" ViscosityLINEST'!I153-1)+'10A61 Liquid 3" ViscosityLINEST'!D153*'10A61 Liquid 3"'!$B$4^('10A61 Liquid 3" ViscosityLINEST'!I153-2)+'10A61 Liquid 3" ViscosityLINEST'!E153*'10A61 Liquid 3"'!$B$4^('10A61 Liquid 3" ViscosityLINEST'!I153-3)+'10A61 Liquid 3" ViscosityLINEST'!F153*'10A61 Liquid 3"'!$B$4^('10A61 Liquid 3" ViscosityLINEST'!I153-4)</f>
        <v>181.28293650793665</v>
      </c>
    </row>
    <row r="154" spans="1:10">
      <c r="B154">
        <f t="array" ref="B154:H154">LINEST('10A61 Liquid 3"'!Y28:Y36,'10A61 Liquid 3"'!X28:X36^{1,2,3,4})</f>
        <v>-0.28979020979020442</v>
      </c>
      <c r="C154">
        <v>3.4998394198393599</v>
      </c>
      <c r="D154">
        <v>-9.3860372960370579</v>
      </c>
      <c r="E154">
        <v>-36.482384097384504</v>
      </c>
      <c r="F154">
        <v>223.87388888888913</v>
      </c>
      <c r="G154" t="e">
        <v>#N/A</v>
      </c>
      <c r="H154" t="e">
        <v>#N/A</v>
      </c>
      <c r="I154">
        <f t="shared" si="5"/>
        <v>4</v>
      </c>
      <c r="J154">
        <f>'10A61 Liquid 3" ViscosityLINEST'!B154*'10A61 Liquid 3"'!$B$4^'10A61 Liquid 3" ViscosityLINEST'!I154+'10A61 Liquid 3" ViscosityLINEST'!C154*'10A61 Liquid 3"'!$B$4^('10A61 Liquid 3" ViscosityLINEST'!I154-1)+'10A61 Liquid 3" ViscosityLINEST'!D154*'10A61 Liquid 3"'!$B$4^('10A61 Liquid 3" ViscosityLINEST'!I154-2)+'10A61 Liquid 3" ViscosityLINEST'!E154*'10A61 Liquid 3"'!$B$4^('10A61 Liquid 3" ViscosityLINEST'!I154-3)+'10A61 Liquid 3" ViscosityLINEST'!F154*'10A61 Liquid 3"'!$B$4^('10A61 Liquid 3" ViscosityLINEST'!I154-4)</f>
        <v>181.21551670551673</v>
      </c>
    </row>
    <row r="155" spans="1:10">
      <c r="A155">
        <v>0.8</v>
      </c>
      <c r="B155">
        <f t="array" ref="B155:H155">LINEST('10A61 Liquid 3"'!Y41:Y46,'10A61 Liquid 3"'!X41:X46^{1,2,3,4})</f>
        <v>124.99999999994189</v>
      </c>
      <c r="C155">
        <v>-319.44444444427216</v>
      </c>
      <c r="D155">
        <v>281.24999999981236</v>
      </c>
      <c r="E155">
        <v>-130.55555555546661</v>
      </c>
      <c r="F155">
        <v>204.36666666665118</v>
      </c>
      <c r="G155" t="e">
        <v>#N/A</v>
      </c>
      <c r="H155" t="e">
        <v>#N/A</v>
      </c>
      <c r="I155">
        <f t="shared" si="5"/>
        <v>4</v>
      </c>
      <c r="J155">
        <f>'10A61 Liquid 3" ViscosityLINEST'!B155*'10A61 Liquid 3"'!$B$4^'10A61 Liquid 3" ViscosityLINEST'!I155+'10A61 Liquid 3" ViscosityLINEST'!C155*'10A61 Liquid 3"'!$B$4^('10A61 Liquid 3" ViscosityLINEST'!I155-1)+'10A61 Liquid 3" ViscosityLINEST'!D155*'10A61 Liquid 3"'!$B$4^('10A61 Liquid 3" ViscosityLINEST'!I155-2)+'10A61 Liquid 3" ViscosityLINEST'!E155*'10A61 Liquid 3"'!$B$4^('10A61 Liquid 3" ViscosityLINEST'!I155-3)+'10A61 Liquid 3" ViscosityLINEST'!F155*'10A61 Liquid 3"'!$B$4^('10A61 Liquid 3" ViscosityLINEST'!I155-4)</f>
        <v>160.61666666666667</v>
      </c>
    </row>
    <row r="156" spans="1:10">
      <c r="B156">
        <f t="array" ref="B156:H156">LINEST('10A61 Liquid 3"'!Y46:Y54,'10A61 Liquid 3"'!X46:X54^{1,2,3,4})</f>
        <v>-0.24167832167831332</v>
      </c>
      <c r="C156">
        <v>3.3158974358973383</v>
      </c>
      <c r="D156">
        <v>-12.440489510489103</v>
      </c>
      <c r="E156">
        <v>-15.131853146853848</v>
      </c>
      <c r="F156">
        <v>185.03166666666706</v>
      </c>
      <c r="G156" t="e">
        <v>#N/A</v>
      </c>
      <c r="H156" t="e">
        <v>#N/A</v>
      </c>
      <c r="I156">
        <f t="shared" si="5"/>
        <v>4</v>
      </c>
      <c r="J156">
        <f>'10A61 Liquid 3" ViscosityLINEST'!B156*'10A61 Liquid 3"'!$B$4^'10A61 Liquid 3" ViscosityLINEST'!I156+'10A61 Liquid 3" ViscosityLINEST'!C156*'10A61 Liquid 3"'!$B$4^('10A61 Liquid 3" ViscosityLINEST'!I156-1)+'10A61 Liquid 3" ViscosityLINEST'!D156*'10A61 Liquid 3"'!$B$4^('10A61 Liquid 3" ViscosityLINEST'!I156-2)+'10A61 Liquid 3" ViscosityLINEST'!E156*'10A61 Liquid 3"'!$B$4^('10A61 Liquid 3" ViscosityLINEST'!I156-3)+'10A61 Liquid 3" ViscosityLINEST'!F156*'10A61 Liquid 3"'!$B$4^('10A61 Liquid 3" ViscosityLINEST'!I156-4)</f>
        <v>160.53354312354315</v>
      </c>
    </row>
    <row r="157" spans="1:10">
      <c r="A157">
        <v>1</v>
      </c>
      <c r="B157">
        <f t="array" ref="B157:H157">LINEST('10A61 Liquid 3"'!Y57:Y62,'10A61 Liquid 3"'!X57:X62^{1,2,3,4})</f>
        <v>458.3333333332489</v>
      </c>
      <c r="C157">
        <v>-1384.2592592590145</v>
      </c>
      <c r="D157">
        <v>1528.7499999997394</v>
      </c>
      <c r="E157">
        <v>-757.01455026442954</v>
      </c>
      <c r="F157">
        <v>299.89841269839224</v>
      </c>
      <c r="G157" t="e">
        <v>#N/A</v>
      </c>
      <c r="H157" t="e">
        <v>#N/A</v>
      </c>
      <c r="I157">
        <f t="shared" si="5"/>
        <v>4</v>
      </c>
      <c r="J157">
        <f>'10A61 Liquid 3" ViscosityLINEST'!B157*'10A61 Liquid 3"'!$B$4^'10A61 Liquid 3" ViscosityLINEST'!I157+'10A61 Liquid 3" ViscosityLINEST'!C157*'10A61 Liquid 3"'!$B$4^('10A61 Liquid 3" ViscosityLINEST'!I157-1)+'10A61 Liquid 3" ViscosityLINEST'!D157*'10A61 Liquid 3"'!$B$4^('10A61 Liquid 3" ViscosityLINEST'!I157-2)+'10A61 Liquid 3" ViscosityLINEST'!E157*'10A61 Liquid 3"'!$B$4^('10A61 Liquid 3" ViscosityLINEST'!I157-3)+'10A61 Liquid 3" ViscosityLINEST'!F157*'10A61 Liquid 3"'!$B$4^('10A61 Liquid 3" ViscosityLINEST'!I157-4)</f>
        <v>145.70793650793655</v>
      </c>
    </row>
    <row r="158" spans="1:10">
      <c r="B158">
        <f t="array" ref="B158:H158">LINEST('10A61 Liquid 3"'!Y62:Y70,'10A61 Liquid 3"'!X62:X70^{1,2,3,4})</f>
        <v>-0.13519813519813714</v>
      </c>
      <c r="C158">
        <v>2.0614348614348845</v>
      </c>
      <c r="D158">
        <v>-8.4255944055944969</v>
      </c>
      <c r="E158">
        <v>-13.602328412328282</v>
      </c>
      <c r="F158">
        <v>165.99111111111105</v>
      </c>
      <c r="G158" t="e">
        <v>#N/A</v>
      </c>
      <c r="H158" t="e">
        <v>#N/A</v>
      </c>
      <c r="I158">
        <f t="shared" si="5"/>
        <v>4</v>
      </c>
      <c r="J158">
        <f>'10A61 Liquid 3" ViscosityLINEST'!B158*'10A61 Liquid 3"'!$B$4^'10A61 Liquid 3" ViscosityLINEST'!I158+'10A61 Liquid 3" ViscosityLINEST'!C158*'10A61 Liquid 3"'!$B$4^('10A61 Liquid 3" ViscosityLINEST'!I158-1)+'10A61 Liquid 3" ViscosityLINEST'!D158*'10A61 Liquid 3"'!$B$4^('10A61 Liquid 3" ViscosityLINEST'!I158-2)+'10A61 Liquid 3" ViscosityLINEST'!E158*'10A61 Liquid 3"'!$B$4^('10A61 Liquid 3" ViscosityLINEST'!I158-3)+'10A61 Liquid 3" ViscosityLINEST'!F158*'10A61 Liquid 3"'!$B$4^('10A61 Liquid 3" ViscosityLINEST'!I158-4)</f>
        <v>145.88942501942503</v>
      </c>
    </row>
    <row r="159" spans="1:10">
      <c r="A159">
        <v>1.2</v>
      </c>
      <c r="B159">
        <f t="array" ref="B159:H159">LINEST('10A61 Liquid 3"'!Y73:Y78,'10A61 Liquid 3"'!X73:X78^{1,2,3,4})</f>
        <v>250.00000000002564</v>
      </c>
      <c r="C159">
        <v>-803.70370370378691</v>
      </c>
      <c r="D159">
        <v>943.33333333343239</v>
      </c>
      <c r="E159">
        <v>-500.14153439158525</v>
      </c>
      <c r="F159">
        <v>244.69365079366025</v>
      </c>
      <c r="G159" t="e">
        <v>#N/A</v>
      </c>
      <c r="H159" t="e">
        <v>#N/A</v>
      </c>
      <c r="I159">
        <f t="shared" si="5"/>
        <v>4</v>
      </c>
      <c r="J159">
        <f>'10A61 Liquid 3" ViscosityLINEST'!B159*'10A61 Liquid 3"'!$B$4^'10A61 Liquid 3" ViscosityLINEST'!I159+'10A61 Liquid 3" ViscosityLINEST'!C159*'10A61 Liquid 3"'!$B$4^('10A61 Liquid 3" ViscosityLINEST'!I159-1)+'10A61 Liquid 3" ViscosityLINEST'!D159*'10A61 Liquid 3"'!$B$4^('10A61 Liquid 3" ViscosityLINEST'!I159-2)+'10A61 Liquid 3" ViscosityLINEST'!E159*'10A61 Liquid 3"'!$B$4^('10A61 Liquid 3" ViscosityLINEST'!I159-3)+'10A61 Liquid 3" ViscosityLINEST'!F159*'10A61 Liquid 3"'!$B$4^('10A61 Liquid 3" ViscosityLINEST'!I159-4)</f>
        <v>134.18174603174617</v>
      </c>
    </row>
    <row r="160" spans="1:10">
      <c r="B160">
        <f t="array" ref="B160:H160">LINEST('10A61 Liquid 3"'!Y78:Y86,'10A61 Liquid 3"'!X78:X86^{1,2,3,4})</f>
        <v>-2.1258741258742338E-2</v>
      </c>
      <c r="C160">
        <v>0.62116550116551716</v>
      </c>
      <c r="D160">
        <v>-2.7865034965035735</v>
      </c>
      <c r="E160">
        <v>-17.966048951048815</v>
      </c>
      <c r="F160">
        <v>154.47499999999991</v>
      </c>
      <c r="G160" t="e">
        <v>#N/A</v>
      </c>
      <c r="H160" t="e">
        <v>#N/A</v>
      </c>
      <c r="I160">
        <f t="shared" si="5"/>
        <v>4</v>
      </c>
      <c r="J160">
        <f>'10A61 Liquid 3" ViscosityLINEST'!B160*'10A61 Liquid 3"'!$B$4^'10A61 Liquid 3" ViscosityLINEST'!I160+'10A61 Liquid 3" ViscosityLINEST'!C160*'10A61 Liquid 3"'!$B$4^('10A61 Liquid 3" ViscosityLINEST'!I160-1)+'10A61 Liquid 3" ViscosityLINEST'!D160*'10A61 Liquid 3"'!$B$4^('10A61 Liquid 3" ViscosityLINEST'!I160-2)+'10A61 Liquid 3" ViscosityLINEST'!E160*'10A61 Liquid 3"'!$B$4^('10A61 Liquid 3" ViscosityLINEST'!I160-3)+'10A61 Liquid 3" ViscosityLINEST'!F160*'10A61 Liquid 3"'!$B$4^('10A61 Liquid 3" ViscosityLINEST'!I160-4)</f>
        <v>134.32235431235429</v>
      </c>
    </row>
    <row r="161" spans="1:10">
      <c r="A161">
        <v>1.4</v>
      </c>
      <c r="B161">
        <f t="array" ref="B161:H161">LINEST('10A61 Liquid 3"'!Y92:Y97,'10A61 Liquid 3"'!X92:X97^{1,2,3,4})</f>
        <v>-166.66666666663343</v>
      </c>
      <c r="C161">
        <v>448.14814814805095</v>
      </c>
      <c r="D161">
        <v>-434.16666666656249</v>
      </c>
      <c r="E161">
        <v>160.26851851847002</v>
      </c>
      <c r="F161">
        <v>117.41111111111945</v>
      </c>
      <c r="G161" t="e">
        <v>#N/A</v>
      </c>
      <c r="H161" t="e">
        <v>#N/A</v>
      </c>
      <c r="I161">
        <f t="shared" si="5"/>
        <v>4</v>
      </c>
      <c r="J161">
        <f>'10A61 Liquid 3" ViscosityLINEST'!B161*'10A61 Liquid 3"'!$B$4^'10A61 Liquid 3" ViscosityLINEST'!I161+'10A61 Liquid 3" ViscosityLINEST'!C161*'10A61 Liquid 3"'!$B$4^('10A61 Liquid 3" ViscosityLINEST'!I161-1)+'10A61 Liquid 3" ViscosityLINEST'!D161*'10A61 Liquid 3"'!$B$4^('10A61 Liquid 3" ViscosityLINEST'!I161-2)+'10A61 Liquid 3" ViscosityLINEST'!E161*'10A61 Liquid 3"'!$B$4^('10A61 Liquid 3" ViscosityLINEST'!I161-3)+'10A61 Liquid 3" ViscosityLINEST'!F161*'10A61 Liquid 3"'!$B$4^('10A61 Liquid 3" ViscosityLINEST'!I161-4)</f>
        <v>124.9944444444445</v>
      </c>
    </row>
    <row r="162" spans="1:10">
      <c r="B162">
        <f t="array" ref="B162:H162">LINEST('10A61 Liquid 3"'!Y97:Y105,'10A61 Liquid 3"'!X97:X105^{1,2,3,4})</f>
        <v>3.7715617715615025E-2</v>
      </c>
      <c r="C162">
        <v>-0.21629111629108239</v>
      </c>
      <c r="D162">
        <v>0.83602564102549193</v>
      </c>
      <c r="E162">
        <v>-20.948654493654235</v>
      </c>
      <c r="F162">
        <v>145.36888888888876</v>
      </c>
      <c r="G162" t="e">
        <v>#N/A</v>
      </c>
      <c r="H162" t="e">
        <v>#N/A</v>
      </c>
      <c r="I162">
        <f t="shared" si="5"/>
        <v>4</v>
      </c>
      <c r="J162">
        <f>'10A61 Liquid 3" ViscosityLINEST'!B162*'10A61 Liquid 3"'!$B$4^'10A61 Liquid 3" ViscosityLINEST'!I162+'10A61 Liquid 3" ViscosityLINEST'!C162*'10A61 Liquid 3"'!$B$4^('10A61 Liquid 3" ViscosityLINEST'!I162-1)+'10A61 Liquid 3" ViscosityLINEST'!D162*'10A61 Liquid 3"'!$B$4^('10A61 Liquid 3" ViscosityLINEST'!I162-2)+'10A61 Liquid 3" ViscosityLINEST'!E162*'10A61 Liquid 3"'!$B$4^('10A61 Liquid 3" ViscosityLINEST'!I162-3)+'10A61 Liquid 3" ViscosityLINEST'!F162*'10A61 Liquid 3"'!$B$4^('10A61 Liquid 3" ViscosityLINEST'!I162-4)</f>
        <v>125.07768453768455</v>
      </c>
    </row>
    <row r="163" spans="1:10">
      <c r="A163">
        <v>1.5</v>
      </c>
      <c r="B163">
        <f t="array" ref="B163:H163">LINEST('10A61 Liquid 3"'!Y108:Y113,'10A61 Liquid 3"'!X108:X113^{1,2,3,4})</f>
        <v>-395.83333333327874</v>
      </c>
      <c r="C163">
        <v>1136.5740740739175</v>
      </c>
      <c r="D163">
        <v>-1193.9583333331682</v>
      </c>
      <c r="E163">
        <v>526.5092592591833</v>
      </c>
      <c r="F163">
        <v>47.705555555568395</v>
      </c>
      <c r="G163" t="e">
        <v>#N/A</v>
      </c>
      <c r="H163" t="e">
        <v>#N/A</v>
      </c>
      <c r="I163">
        <f t="shared" si="5"/>
        <v>4</v>
      </c>
      <c r="J163">
        <f>'10A61 Liquid 3" ViscosityLINEST'!B163*'10A61 Liquid 3"'!$B$4^'10A61 Liquid 3" ViscosityLINEST'!I163+'10A61 Liquid 3" ViscosityLINEST'!C163*'10A61 Liquid 3"'!$B$4^('10A61 Liquid 3" ViscosityLINEST'!I163-1)+'10A61 Liquid 3" ViscosityLINEST'!D163*'10A61 Liquid 3"'!$B$4^('10A61 Liquid 3" ViscosityLINEST'!I163-2)+'10A61 Liquid 3" ViscosityLINEST'!E163*'10A61 Liquid 3"'!$B$4^('10A61 Liquid 3" ViscosityLINEST'!I163-3)+'10A61 Liquid 3" ViscosityLINEST'!F163*'10A61 Liquid 3"'!$B$4^('10A61 Liquid 3" ViscosityLINEST'!I163-4)</f>
        <v>120.99722222222229</v>
      </c>
    </row>
    <row r="164" spans="1:10">
      <c r="B164">
        <f t="array" ref="B164:H164">LINEST('10A61 Liquid 3"'!Y113:Y121,'10A61 Liquid 3"'!X113:X121^{1,2,3,4})</f>
        <v>-0.12909090909091062</v>
      </c>
      <c r="C164">
        <v>1.5141414141414382</v>
      </c>
      <c r="D164">
        <v>-4.9189393939395174</v>
      </c>
      <c r="E164">
        <v>-13.299595959595718</v>
      </c>
      <c r="F164">
        <v>138.0883333333332</v>
      </c>
      <c r="G164" t="e">
        <v>#N/A</v>
      </c>
      <c r="H164" t="e">
        <v>#N/A</v>
      </c>
      <c r="I164">
        <f t="shared" si="5"/>
        <v>4</v>
      </c>
      <c r="J164">
        <f>'10A61 Liquid 3" ViscosityLINEST'!B164*'10A61 Liquid 3"'!$B$4^'10A61 Liquid 3" ViscosityLINEST'!I164+'10A61 Liquid 3" ViscosityLINEST'!C164*'10A61 Liquid 3"'!$B$4^('10A61 Liquid 3" ViscosityLINEST'!I164-1)+'10A61 Liquid 3" ViscosityLINEST'!D164*'10A61 Liquid 3"'!$B$4^('10A61 Liquid 3" ViscosityLINEST'!I164-2)+'10A61 Liquid 3" ViscosityLINEST'!E164*'10A61 Liquid 3"'!$B$4^('10A61 Liquid 3" ViscosityLINEST'!I164-3)+'10A61 Liquid 3" ViscosityLINEST'!F164*'10A61 Liquid 3"'!$B$4^('10A61 Liquid 3" ViscosityLINEST'!I164-4)</f>
        <v>121.25484848484848</v>
      </c>
    </row>
    <row r="165" spans="1:10">
      <c r="J165">
        <f>'10A61 Liquid 3" ViscosityLINEST'!B165*'10A61 Liquid 3"'!$B$4^'10A61 Liquid 3" ViscosityLINEST'!I165+'10A61 Liquid 3" ViscosityLINEST'!C165*'10A61 Liquid 3"'!$B$4^('10A61 Liquid 3" ViscosityLINEST'!I165-1)+'10A61 Liquid 3" ViscosityLINEST'!D165*'10A61 Liquid 3"'!$B$4^('10A61 Liquid 3" ViscosityLINEST'!I165-2)+'10A61 Liquid 3" ViscosityLINEST'!E165*'10A61 Liquid 3"'!$B$4^('10A61 Liquid 3" ViscosityLINEST'!I165-3)+'10A61 Liquid 3" ViscosityLINEST'!F165*'10A61 Liquid 3"'!$B$4^('10A61 Liquid 3" ViscosityLINEST'!I165-4)</f>
        <v>0</v>
      </c>
    </row>
    <row r="166" spans="1:10">
      <c r="A166" s="5" t="s">
        <v>88</v>
      </c>
      <c r="I166">
        <f t="shared" ref="I166:I180" si="6">COUNT(B166:H166)-1</f>
        <v>-1</v>
      </c>
      <c r="J166">
        <f>'10A61 Liquid 3" ViscosityLINEST'!B166*'10A61 Liquid 3"'!$B$4^'10A61 Liquid 3" ViscosityLINEST'!I166+'10A61 Liquid 3" ViscosityLINEST'!C166*'10A61 Liquid 3"'!$B$4^('10A61 Liquid 3" ViscosityLINEST'!I166-1)+'10A61 Liquid 3" ViscosityLINEST'!D166*'10A61 Liquid 3"'!$B$4^('10A61 Liquid 3" ViscosityLINEST'!I166-2)+'10A61 Liquid 3" ViscosityLINEST'!E166*'10A61 Liquid 3"'!$B$4^('10A61 Liquid 3" ViscosityLINEST'!I166-3)+'10A61 Liquid 3" ViscosityLINEST'!F166*'10A61 Liquid 3"'!$B$4^('10A61 Liquid 3" ViscosityLINEST'!I166-4)</f>
        <v>0</v>
      </c>
    </row>
    <row r="167" spans="1:10">
      <c r="A167">
        <v>0.4</v>
      </c>
      <c r="B167">
        <f t="array" ref="B167:H167">LINEST('10A61 Liquid 3"'!AA6:AA11,'10A61 Liquid 3"'!Z6:Z11^{1,2,3,4})</f>
        <v>-187.50000000006352</v>
      </c>
      <c r="C167">
        <v>763.425925926123</v>
      </c>
      <c r="D167">
        <v>-1012.708333333558</v>
      </c>
      <c r="E167">
        <v>369.38359788370929</v>
      </c>
      <c r="F167">
        <v>277.53730158728126</v>
      </c>
      <c r="G167" t="e">
        <v>#N/A</v>
      </c>
      <c r="H167" t="e">
        <v>#N/A</v>
      </c>
      <c r="I167">
        <f t="shared" si="6"/>
        <v>4</v>
      </c>
      <c r="J167">
        <f>'10A61 Liquid 3" ViscosityLINEST'!B167*'10A61 Liquid 3"'!$B$4^'10A61 Liquid 3" ViscosityLINEST'!I167+'10A61 Liquid 3" ViscosityLINEST'!C167*'10A61 Liquid 3"'!$B$4^('10A61 Liquid 3" ViscosityLINEST'!I167-1)+'10A61 Liquid 3" ViscosityLINEST'!D167*'10A61 Liquid 3"'!$B$4^('10A61 Liquid 3" ViscosityLINEST'!I167-2)+'10A61 Liquid 3" ViscosityLINEST'!E167*'10A61 Liquid 3"'!$B$4^('10A61 Liquid 3" ViscosityLINEST'!I167-3)+'10A61 Liquid 3" ViscosityLINEST'!F167*'10A61 Liquid 3"'!$B$4^('10A61 Liquid 3" ViscosityLINEST'!I167-4)</f>
        <v>210.13849206349198</v>
      </c>
    </row>
    <row r="168" spans="1:10">
      <c r="B168">
        <f t="array" ref="B168:H168">LINEST('10A61 Liquid 3"'!AA11:AA19,'10A61 Liquid 3"'!Z11:Z19^{1,2,3,4})</f>
        <v>1.1183216783216328</v>
      </c>
      <c r="C168">
        <v>-16.97514633514573</v>
      </c>
      <c r="D168">
        <v>99.324662004659203</v>
      </c>
      <c r="E168">
        <v>-283.45166796166268</v>
      </c>
      <c r="F168">
        <v>409.63777777777466</v>
      </c>
      <c r="G168" t="e">
        <v>#N/A</v>
      </c>
      <c r="H168" t="e">
        <v>#N/A</v>
      </c>
      <c r="I168">
        <f t="shared" si="6"/>
        <v>4</v>
      </c>
      <c r="J168">
        <f>'10A61 Liquid 3" ViscosityLINEST'!B168*'10A61 Liquid 3"'!$B$4^'10A61 Liquid 3" ViscosityLINEST'!I168+'10A61 Liquid 3" ViscosityLINEST'!C168*'10A61 Liquid 3"'!$B$4^('10A61 Liquid 3" ViscosityLINEST'!I168-1)+'10A61 Liquid 3" ViscosityLINEST'!D168*'10A61 Liquid 3"'!$B$4^('10A61 Liquid 3" ViscosityLINEST'!I168-2)+'10A61 Liquid 3" ViscosityLINEST'!E168*'10A61 Liquid 3"'!$B$4^('10A61 Liquid 3" ViscosityLINEST'!I168-3)+'10A61 Liquid 3" ViscosityLINEST'!F168*'10A61 Liquid 3"'!$B$4^('10A61 Liquid 3" ViscosityLINEST'!I168-4)</f>
        <v>209.65394716394707</v>
      </c>
    </row>
    <row r="169" spans="1:10">
      <c r="A169">
        <v>0.6</v>
      </c>
      <c r="B169">
        <f t="array" ref="B169:H169">LINEST('10A61 Liquid 3"'!AA23:AA28,'10A61 Liquid 3"'!Z23:Z28^{1,2,3,4})</f>
        <v>437.50000000002137</v>
      </c>
      <c r="C169">
        <v>-1165.2777777778501</v>
      </c>
      <c r="D169">
        <v>1101.8750000000896</v>
      </c>
      <c r="E169">
        <v>-547.57936507941281</v>
      </c>
      <c r="F169">
        <v>349.95952380953304</v>
      </c>
      <c r="G169" t="e">
        <v>#N/A</v>
      </c>
      <c r="H169" t="e">
        <v>#N/A</v>
      </c>
      <c r="I169">
        <f t="shared" si="6"/>
        <v>4</v>
      </c>
      <c r="J169">
        <f>'10A61 Liquid 3" ViscosityLINEST'!B169*'10A61 Liquid 3"'!$B$4^'10A61 Liquid 3" ViscosityLINEST'!I169+'10A61 Liquid 3" ViscosityLINEST'!C169*'10A61 Liquid 3"'!$B$4^('10A61 Liquid 3" ViscosityLINEST'!I169-1)+'10A61 Liquid 3" ViscosityLINEST'!D169*'10A61 Liquid 3"'!$B$4^('10A61 Liquid 3" ViscosityLINEST'!I169-2)+'10A61 Liquid 3" ViscosityLINEST'!E169*'10A61 Liquid 3"'!$B$4^('10A61 Liquid 3" ViscosityLINEST'!I169-3)+'10A61 Liquid 3" ViscosityLINEST'!F169*'10A61 Liquid 3"'!$B$4^('10A61 Liquid 3" ViscosityLINEST'!I169-4)</f>
        <v>176.47738095238105</v>
      </c>
    </row>
    <row r="170" spans="1:10">
      <c r="B170">
        <f t="array" ref="B170:H170">LINEST('10A61 Liquid 3"'!AA28:AA36,'10A61 Liquid 3"'!Z28:Z36^{1,2,3,4})</f>
        <v>0.65594405594402116</v>
      </c>
      <c r="C170">
        <v>-10.469847189846742</v>
      </c>
      <c r="D170">
        <v>65.247226107224066</v>
      </c>
      <c r="E170">
        <v>-201.72481092980709</v>
      </c>
      <c r="F170">
        <v>322.76611111110873</v>
      </c>
      <c r="G170" t="e">
        <v>#N/A</v>
      </c>
      <c r="H170" t="e">
        <v>#N/A</v>
      </c>
      <c r="I170">
        <f t="shared" si="6"/>
        <v>4</v>
      </c>
      <c r="J170">
        <f>'10A61 Liquid 3" ViscosityLINEST'!B170*'10A61 Liquid 3"'!$B$4^'10A61 Liquid 3" ViscosityLINEST'!I170+'10A61 Liquid 3" ViscosityLINEST'!C170*'10A61 Liquid 3"'!$B$4^('10A61 Liquid 3" ViscosityLINEST'!I170-1)+'10A61 Liquid 3" ViscosityLINEST'!D170*'10A61 Liquid 3"'!$B$4^('10A61 Liquid 3" ViscosityLINEST'!I170-2)+'10A61 Liquid 3" ViscosityLINEST'!E170*'10A61 Liquid 3"'!$B$4^('10A61 Liquid 3" ViscosityLINEST'!I170-3)+'10A61 Liquid 3" ViscosityLINEST'!F170*'10A61 Liquid 3"'!$B$4^('10A61 Liquid 3" ViscosityLINEST'!I170-4)</f>
        <v>176.47462315462298</v>
      </c>
    </row>
    <row r="171" spans="1:10">
      <c r="A171">
        <v>0.8</v>
      </c>
      <c r="B171">
        <f t="array" ref="B171:H171">LINEST('10A61 Liquid 3"'!AA41:AA46,'10A61 Liquid 3"'!Z41:Z46^{1,2,3,4})</f>
        <v>-41.666666666538546</v>
      </c>
      <c r="C171">
        <v>171.29629629591375</v>
      </c>
      <c r="D171">
        <v>-268.74999999958061</v>
      </c>
      <c r="E171">
        <v>95.894179893980066</v>
      </c>
      <c r="F171">
        <v>193.17936507939996</v>
      </c>
      <c r="G171" t="e">
        <v>#N/A</v>
      </c>
      <c r="H171" t="e">
        <v>#N/A</v>
      </c>
      <c r="I171">
        <f t="shared" si="6"/>
        <v>4</v>
      </c>
      <c r="J171">
        <f>'10A61 Liquid 3" ViscosityLINEST'!B171*'10A61 Liquid 3"'!$B$4^'10A61 Liquid 3" ViscosityLINEST'!I171+'10A61 Liquid 3" ViscosityLINEST'!C171*'10A61 Liquid 3"'!$B$4^('10A61 Liquid 3" ViscosityLINEST'!I171-1)+'10A61 Liquid 3" ViscosityLINEST'!D171*'10A61 Liquid 3"'!$B$4^('10A61 Liquid 3" ViscosityLINEST'!I171-2)+'10A61 Liquid 3" ViscosityLINEST'!E171*'10A61 Liquid 3"'!$B$4^('10A61 Liquid 3" ViscosityLINEST'!I171-3)+'10A61 Liquid 3" ViscosityLINEST'!F171*'10A61 Liquid 3"'!$B$4^('10A61 Liquid 3" ViscosityLINEST'!I171-4)</f>
        <v>149.9531746031746</v>
      </c>
    </row>
    <row r="172" spans="1:10">
      <c r="B172">
        <f t="array" ref="B172:H172">LINEST('10A61 Liquid 3"'!AA46:AA54,'10A61 Liquid 3"'!Z46:Z54^{1,2,3,4})</f>
        <v>0.49505827505825123</v>
      </c>
      <c r="C172">
        <v>-7.9609686609683461</v>
      </c>
      <c r="D172">
        <v>50.323508158506705</v>
      </c>
      <c r="E172">
        <v>-159.64672753172479</v>
      </c>
      <c r="F172">
        <v>266.74555555555389</v>
      </c>
      <c r="G172" t="e">
        <v>#N/A</v>
      </c>
      <c r="H172" t="e">
        <v>#N/A</v>
      </c>
      <c r="I172">
        <f t="shared" si="6"/>
        <v>4</v>
      </c>
      <c r="J172">
        <f>'10A61 Liquid 3" ViscosityLINEST'!B172*'10A61 Liquid 3"'!$B$4^'10A61 Liquid 3" ViscosityLINEST'!I172+'10A61 Liquid 3" ViscosityLINEST'!C172*'10A61 Liquid 3"'!$B$4^('10A61 Liquid 3" ViscosityLINEST'!I172-1)+'10A61 Liquid 3" ViscosityLINEST'!D172*'10A61 Liquid 3"'!$B$4^('10A61 Liquid 3" ViscosityLINEST'!I172-2)+'10A61 Liquid 3" ViscosityLINEST'!E172*'10A61 Liquid 3"'!$B$4^('10A61 Liquid 3" ViscosityLINEST'!I172-3)+'10A61 Liquid 3" ViscosityLINEST'!F172*'10A61 Liquid 3"'!$B$4^('10A61 Liquid 3" ViscosityLINEST'!I172-4)</f>
        <v>149.95642579642572</v>
      </c>
    </row>
    <row r="173" spans="1:10">
      <c r="A173">
        <v>1</v>
      </c>
      <c r="B173">
        <f t="array" ref="B173:H173">LINEST('10A61 Liquid 3"'!AA57:AA62,'10A61 Liquid 3"'!Z57:Z62^{1,2,3,4})</f>
        <v>-166.66666666664889</v>
      </c>
      <c r="C173">
        <v>507.40740740735606</v>
      </c>
      <c r="D173">
        <v>-589.99999999994566</v>
      </c>
      <c r="E173">
        <v>241.71164021161516</v>
      </c>
      <c r="F173">
        <v>135.1412698412741</v>
      </c>
      <c r="G173" t="e">
        <v>#N/A</v>
      </c>
      <c r="H173" t="e">
        <v>#N/A</v>
      </c>
      <c r="I173">
        <f t="shared" si="6"/>
        <v>4</v>
      </c>
      <c r="J173">
        <f>'10A61 Liquid 3" ViscosityLINEST'!B173*'10A61 Liquid 3"'!$B$4^'10A61 Liquid 3" ViscosityLINEST'!I173+'10A61 Liquid 3" ViscosityLINEST'!C173*'10A61 Liquid 3"'!$B$4^('10A61 Liquid 3" ViscosityLINEST'!I173-1)+'10A61 Liquid 3" ViscosityLINEST'!D173*'10A61 Liquid 3"'!$B$4^('10A61 Liquid 3" ViscosityLINEST'!I173-2)+'10A61 Liquid 3" ViscosityLINEST'!E173*'10A61 Liquid 3"'!$B$4^('10A61 Liquid 3" ViscosityLINEST'!I173-3)+'10A61 Liquid 3" ViscosityLINEST'!F173*'10A61 Liquid 3"'!$B$4^('10A61 Liquid 3" ViscosityLINEST'!I173-4)</f>
        <v>127.59365079365077</v>
      </c>
    </row>
    <row r="174" spans="1:10">
      <c r="B174">
        <f t="array" ref="B174:H174">LINEST('10A61 Liquid 3"'!AA62:AA70,'10A61 Liquid 3"'!Z62:Z70^{1,2,3,4})</f>
        <v>0.39967365967363838</v>
      </c>
      <c r="C174">
        <v>-6.4725148925146128</v>
      </c>
      <c r="D174">
        <v>41.259778554777256</v>
      </c>
      <c r="E174">
        <v>-132.3317197617173</v>
      </c>
      <c r="F174">
        <v>224.74055555555398</v>
      </c>
      <c r="G174" t="e">
        <v>#N/A</v>
      </c>
      <c r="H174" t="e">
        <v>#N/A</v>
      </c>
      <c r="I174">
        <f t="shared" si="6"/>
        <v>4</v>
      </c>
      <c r="J174">
        <f>'10A61 Liquid 3" ViscosityLINEST'!B174*'10A61 Liquid 3"'!$B$4^'10A61 Liquid 3" ViscosityLINEST'!I174+'10A61 Liquid 3" ViscosityLINEST'!C174*'10A61 Liquid 3"'!$B$4^('10A61 Liquid 3" ViscosityLINEST'!I174-1)+'10A61 Liquid 3" ViscosityLINEST'!D174*'10A61 Liquid 3"'!$B$4^('10A61 Liquid 3" ViscosityLINEST'!I174-2)+'10A61 Liquid 3" ViscosityLINEST'!E174*'10A61 Liquid 3"'!$B$4^('10A61 Liquid 3" ViscosityLINEST'!I174-3)+'10A61 Liquid 3" ViscosityLINEST'!F174*'10A61 Liquid 3"'!$B$4^('10A61 Liquid 3" ViscosityLINEST'!I174-4)</f>
        <v>127.59577311577297</v>
      </c>
    </row>
    <row r="175" spans="1:10">
      <c r="A175">
        <v>1.2</v>
      </c>
      <c r="B175">
        <f t="array" ref="B175:H175">LINEST('10A61 Liquid 3"'!AA73:AA78,'10A61 Liquid 3"'!Z73:Z78^{1,2,3,4})</f>
        <v>-145.83333333332408</v>
      </c>
      <c r="C175">
        <v>440.27777777775424</v>
      </c>
      <c r="D175">
        <v>-507.2916666666456</v>
      </c>
      <c r="E175">
        <v>207.29365079364305</v>
      </c>
      <c r="F175">
        <v>112.85476190476288</v>
      </c>
      <c r="G175" t="e">
        <v>#N/A</v>
      </c>
      <c r="H175" t="e">
        <v>#N/A</v>
      </c>
      <c r="I175">
        <f t="shared" si="6"/>
        <v>4</v>
      </c>
      <c r="J175">
        <f>'10A61 Liquid 3" ViscosityLINEST'!B175*'10A61 Liquid 3"'!$B$4^'10A61 Liquid 3" ViscosityLINEST'!I175+'10A61 Liquid 3" ViscosityLINEST'!C175*'10A61 Liquid 3"'!$B$4^('10A61 Liquid 3" ViscosityLINEST'!I175-1)+'10A61 Liquid 3" ViscosityLINEST'!D175*'10A61 Liquid 3"'!$B$4^('10A61 Liquid 3" ViscosityLINEST'!I175-2)+'10A61 Liquid 3" ViscosityLINEST'!E175*'10A61 Liquid 3"'!$B$4^('10A61 Liquid 3" ViscosityLINEST'!I175-3)+'10A61 Liquid 3" ViscosityLINEST'!F175*'10A61 Liquid 3"'!$B$4^('10A61 Liquid 3" ViscosityLINEST'!I175-4)</f>
        <v>107.30119047619047</v>
      </c>
    </row>
    <row r="176" spans="1:10">
      <c r="B176">
        <f t="array" ref="B176:H176">LINEST('10A61 Liquid 3"'!AA78:AA86,'10A61 Liquid 3"'!Z78:Z86^{1,2,3,4})</f>
        <v>0.33006993006991203</v>
      </c>
      <c r="C176">
        <v>-5.3554519554517208</v>
      </c>
      <c r="D176">
        <v>34.234755244754169</v>
      </c>
      <c r="E176">
        <v>-110.25977337477136</v>
      </c>
      <c r="F176">
        <v>188.35388888888767</v>
      </c>
      <c r="G176" t="e">
        <v>#N/A</v>
      </c>
      <c r="H176" t="e">
        <v>#N/A</v>
      </c>
      <c r="I176">
        <f t="shared" si="6"/>
        <v>4</v>
      </c>
      <c r="J176">
        <f>'10A61 Liquid 3" ViscosityLINEST'!B176*'10A61 Liquid 3"'!$B$4^'10A61 Liquid 3" ViscosityLINEST'!I176+'10A61 Liquid 3" ViscosityLINEST'!C176*'10A61 Liquid 3"'!$B$4^('10A61 Liquid 3" ViscosityLINEST'!I176-1)+'10A61 Liquid 3" ViscosityLINEST'!D176*'10A61 Liquid 3"'!$B$4^('10A61 Liquid 3" ViscosityLINEST'!I176-2)+'10A61 Liquid 3" ViscosityLINEST'!E176*'10A61 Liquid 3"'!$B$4^('10A61 Liquid 3" ViscosityLINEST'!I176-3)+'10A61 Liquid 3" ViscosityLINEST'!F176*'10A61 Liquid 3"'!$B$4^('10A61 Liquid 3" ViscosityLINEST'!I176-4)</f>
        <v>107.30348873348868</v>
      </c>
    </row>
    <row r="177" spans="1:10">
      <c r="A177">
        <v>1.4</v>
      </c>
      <c r="B177">
        <f t="array" ref="B177:H177">LINEST('10A61 Liquid 3"'!AA92:AA97,'10A61 Liquid 3"'!Z92:Z97^{1,2,3,4})</f>
        <v>-87.499999999948571</v>
      </c>
      <c r="C177">
        <v>281.01851851836631</v>
      </c>
      <c r="D177">
        <v>-346.54166666650133</v>
      </c>
      <c r="E177">
        <v>143.35767195759388</v>
      </c>
      <c r="F177">
        <v>98.111746031759566</v>
      </c>
      <c r="G177" t="e">
        <v>#N/A</v>
      </c>
      <c r="H177" t="e">
        <v>#N/A</v>
      </c>
      <c r="I177">
        <f t="shared" si="6"/>
        <v>4</v>
      </c>
      <c r="J177">
        <f>'10A61 Liquid 3" ViscosityLINEST'!B177*'10A61 Liquid 3"'!$B$4^'10A61 Liquid 3" ViscosityLINEST'!I177+'10A61 Liquid 3" ViscosityLINEST'!C177*'10A61 Liquid 3"'!$B$4^('10A61 Liquid 3" ViscosityLINEST'!I177-1)+'10A61 Liquid 3" ViscosityLINEST'!D177*'10A61 Liquid 3"'!$B$4^('10A61 Liquid 3" ViscosityLINEST'!I177-2)+'10A61 Liquid 3" ViscosityLINEST'!E177*'10A61 Liquid 3"'!$B$4^('10A61 Liquid 3" ViscosityLINEST'!I177-3)+'10A61 Liquid 3" ViscosityLINEST'!F177*'10A61 Liquid 3"'!$B$4^('10A61 Liquid 3" ViscosityLINEST'!I177-4)</f>
        <v>88.446269841269867</v>
      </c>
    </row>
    <row r="178" spans="1:10">
      <c r="B178">
        <f t="array" ref="B178:H178">LINEST('10A61 Liquid 3"'!AA97:AA105,'10A61 Liquid 3"'!Z97:Z105^{1,2,3,4})</f>
        <v>0.28913752913751395</v>
      </c>
      <c r="C178">
        <v>-4.6497176897174883</v>
      </c>
      <c r="D178">
        <v>29.399230769229824</v>
      </c>
      <c r="E178">
        <v>-93.396661486659681</v>
      </c>
      <c r="F178">
        <v>156.81222222222112</v>
      </c>
      <c r="G178" t="e">
        <v>#N/A</v>
      </c>
      <c r="H178" t="e">
        <v>#N/A</v>
      </c>
      <c r="I178">
        <f t="shared" si="6"/>
        <v>4</v>
      </c>
      <c r="J178">
        <f>'10A61 Liquid 3" ViscosityLINEST'!B178*'10A61 Liquid 3"'!$B$4^'10A61 Liquid 3" ViscosityLINEST'!I178+'10A61 Liquid 3" ViscosityLINEST'!C178*'10A61 Liquid 3"'!$B$4^('10A61 Liquid 3" ViscosityLINEST'!I178-1)+'10A61 Liquid 3" ViscosityLINEST'!D178*'10A61 Liquid 3"'!$B$4^('10A61 Liquid 3" ViscosityLINEST'!I178-2)+'10A61 Liquid 3" ViscosityLINEST'!E178*'10A61 Liquid 3"'!$B$4^('10A61 Liquid 3" ViscosityLINEST'!I178-3)+'10A61 Liquid 3" ViscosityLINEST'!F178*'10A61 Liquid 3"'!$B$4^('10A61 Liquid 3" ViscosityLINEST'!I178-4)</f>
        <v>88.454211344211288</v>
      </c>
    </row>
    <row r="179" spans="1:10">
      <c r="A179">
        <v>1.5</v>
      </c>
      <c r="B179">
        <f t="array" ref="B179:H179">LINEST('10A61 Liquid 3"'!AA108:AA113,'10A61 Liquid 3"'!Z108:Z113^{1,2,3,4})</f>
        <v>-31.249999999929525</v>
      </c>
      <c r="C179">
        <v>123.84259259238108</v>
      </c>
      <c r="D179">
        <v>-184.89583333310026</v>
      </c>
      <c r="E179">
        <v>73.545502645391011</v>
      </c>
      <c r="F179">
        <v>98.05087301589262</v>
      </c>
      <c r="G179" t="e">
        <v>#N/A</v>
      </c>
      <c r="H179" t="e">
        <v>#N/A</v>
      </c>
      <c r="I179">
        <f t="shared" si="6"/>
        <v>4</v>
      </c>
      <c r="J179">
        <f>'10A61 Liquid 3" ViscosityLINEST'!B179*'10A61 Liquid 3"'!$B$4^'10A61 Liquid 3" ViscosityLINEST'!I179+'10A61 Liquid 3" ViscosityLINEST'!C179*'10A61 Liquid 3"'!$B$4^('10A61 Liquid 3" ViscosityLINEST'!I179-1)+'10A61 Liquid 3" ViscosityLINEST'!D179*'10A61 Liquid 3"'!$B$4^('10A61 Liquid 3" ViscosityLINEST'!I179-2)+'10A61 Liquid 3" ViscosityLINEST'!E179*'10A61 Liquid 3"'!$B$4^('10A61 Liquid 3" ViscosityLINEST'!I179-3)+'10A61 Liquid 3" ViscosityLINEST'!F179*'10A61 Liquid 3"'!$B$4^('10A61 Liquid 3" ViscosityLINEST'!I179-4)</f>
        <v>79.293134920634927</v>
      </c>
    </row>
    <row r="180" spans="1:10">
      <c r="B180">
        <f t="array" ref="B180:H180">LINEST('10A61 Liquid 3"'!AA113:AA121,'10A61 Liquid 3"'!Z113:Z121^{1,2,3,4})</f>
        <v>0.27160839160837685</v>
      </c>
      <c r="C180">
        <v>-4.3492670292668398</v>
      </c>
      <c r="D180">
        <v>27.315734265733411</v>
      </c>
      <c r="E180">
        <v>-85.874501424499854</v>
      </c>
      <c r="F180">
        <v>141.95222222222131</v>
      </c>
      <c r="G180" t="e">
        <v>#N/A</v>
      </c>
      <c r="H180" t="e">
        <v>#N/A</v>
      </c>
      <c r="I180">
        <f t="shared" si="6"/>
        <v>4</v>
      </c>
      <c r="J180">
        <f>'10A61 Liquid 3" ViscosityLINEST'!B180*'10A61 Liquid 3"'!$B$4^'10A61 Liquid 3" ViscosityLINEST'!I180+'10A61 Liquid 3" ViscosityLINEST'!C180*'10A61 Liquid 3"'!$B$4^('10A61 Liquid 3" ViscosityLINEST'!I180-1)+'10A61 Liquid 3" ViscosityLINEST'!D180*'10A61 Liquid 3"'!$B$4^('10A61 Liquid 3" ViscosityLINEST'!I180-2)+'10A61 Liquid 3" ViscosityLINEST'!E180*'10A61 Liquid 3"'!$B$4^('10A61 Liquid 3" ViscosityLINEST'!I180-3)+'10A61 Liquid 3" ViscosityLINEST'!F180*'10A61 Liquid 3"'!$B$4^('10A61 Liquid 3" ViscosityLINEST'!I180-4)</f>
        <v>79.315796425796407</v>
      </c>
    </row>
    <row r="181" spans="1:10">
      <c r="J181">
        <f>'10A61 Liquid 3" ViscosityLINEST'!B181*'10A61 Liquid 3"'!$B$4^'10A61 Liquid 3" ViscosityLINEST'!I181+'10A61 Liquid 3" ViscosityLINEST'!C181*'10A61 Liquid 3"'!$B$4^('10A61 Liquid 3" ViscosityLINEST'!I181-1)+'10A61 Liquid 3" ViscosityLINEST'!D181*'10A61 Liquid 3"'!$B$4^('10A61 Liquid 3" ViscosityLINEST'!I181-2)+'10A61 Liquid 3" ViscosityLINEST'!E181*'10A61 Liquid 3"'!$B$4^('10A61 Liquid 3" ViscosityLINEST'!I181-3)+'10A61 Liquid 3" ViscosityLINEST'!F181*'10A61 Liquid 3"'!$B$4^('10A61 Liquid 3" ViscosityLINEST'!I181-4)</f>
        <v>0</v>
      </c>
    </row>
    <row r="182" spans="1:10">
      <c r="A182" s="5" t="s">
        <v>89</v>
      </c>
      <c r="I182">
        <f t="shared" ref="I182:I196" si="7">COUNT(B182:H182)-1</f>
        <v>-1</v>
      </c>
      <c r="J182">
        <f>'10A61 Liquid 3" ViscosityLINEST'!B182*'10A61 Liquid 3"'!$B$4^'10A61 Liquid 3" ViscosityLINEST'!I182+'10A61 Liquid 3" ViscosityLINEST'!C182*'10A61 Liquid 3"'!$B$4^('10A61 Liquid 3" ViscosityLINEST'!I182-1)+'10A61 Liquid 3" ViscosityLINEST'!D182*'10A61 Liquid 3"'!$B$4^('10A61 Liquid 3" ViscosityLINEST'!I182-2)+'10A61 Liquid 3" ViscosityLINEST'!E182*'10A61 Liquid 3"'!$B$4^('10A61 Liquid 3" ViscosityLINEST'!I182-3)+'10A61 Liquid 3" ViscosityLINEST'!F182*'10A61 Liquid 3"'!$B$4^('10A61 Liquid 3" ViscosityLINEST'!I182-4)</f>
        <v>0</v>
      </c>
    </row>
    <row r="183" spans="1:10">
      <c r="A183">
        <v>0.4</v>
      </c>
      <c r="B183">
        <f t="array" ref="B183:H183">LINEST('10A61 Liquid 3"'!AC6:AC11,'10A61 Liquid 3"'!AB6:AB11^{1,2,3,4})</f>
        <v>-812.5000000002085</v>
      </c>
      <c r="C183">
        <v>2319.9074074080477</v>
      </c>
      <c r="D183">
        <v>-2477.2916666673887</v>
      </c>
      <c r="E183">
        <v>1012.3544973548509</v>
      </c>
      <c r="F183">
        <v>305.43412698406394</v>
      </c>
      <c r="G183" t="e">
        <v>#N/A</v>
      </c>
      <c r="H183" t="e">
        <v>#N/A</v>
      </c>
      <c r="I183">
        <f t="shared" si="7"/>
        <v>4</v>
      </c>
      <c r="J183">
        <f>'10A61 Liquid 3" ViscosityLINEST'!B183*'10A61 Liquid 3"'!$B$4^'10A61 Liquid 3" ViscosityLINEST'!I183+'10A61 Liquid 3" ViscosityLINEST'!C183*'10A61 Liquid 3"'!$B$4^('10A61 Liquid 3" ViscosityLINEST'!I183-1)+'10A61 Liquid 3" ViscosityLINEST'!D183*'10A61 Liquid 3"'!$B$4^('10A61 Liquid 3" ViscosityLINEST'!I183-2)+'10A61 Liquid 3" ViscosityLINEST'!E183*'10A61 Liquid 3"'!$B$4^('10A61 Liquid 3" ViscosityLINEST'!I183-3)+'10A61 Liquid 3" ViscosityLINEST'!F183*'10A61 Liquid 3"'!$B$4^('10A61 Liquid 3" ViscosityLINEST'!I183-4)</f>
        <v>347.90436507936533</v>
      </c>
    </row>
    <row r="184" spans="1:10">
      <c r="B184">
        <f t="array" ref="B184:H184">LINEST('10A61 Liquid 3"'!AC11:AC19,'10A61 Liquid 3"'!AB11:AB19^{1,2,3,4})</f>
        <v>0.9296037296036731</v>
      </c>
      <c r="C184">
        <v>-15.452887852887123</v>
      </c>
      <c r="D184">
        <v>101.63426573426243</v>
      </c>
      <c r="E184">
        <v>-338.13677803677194</v>
      </c>
      <c r="F184">
        <v>598.85555555555197</v>
      </c>
      <c r="G184" t="e">
        <v>#N/A</v>
      </c>
      <c r="H184" t="e">
        <v>#N/A</v>
      </c>
      <c r="I184">
        <f t="shared" si="7"/>
        <v>4</v>
      </c>
      <c r="J184">
        <f>'10A61 Liquid 3" ViscosityLINEST'!B184*'10A61 Liquid 3"'!$B$4^'10A61 Liquid 3" ViscosityLINEST'!I184+'10A61 Liquid 3" ViscosityLINEST'!C184*'10A61 Liquid 3"'!$B$4^('10A61 Liquid 3" ViscosityLINEST'!I184-1)+'10A61 Liquid 3" ViscosityLINEST'!D184*'10A61 Liquid 3"'!$B$4^('10A61 Liquid 3" ViscosityLINEST'!I184-2)+'10A61 Liquid 3" ViscosityLINEST'!E184*'10A61 Liquid 3"'!$B$4^('10A61 Liquid 3" ViscosityLINEST'!I184-3)+'10A61 Liquid 3" ViscosityLINEST'!F184*'10A61 Liquid 3"'!$B$4^('10A61 Liquid 3" ViscosityLINEST'!I184-4)</f>
        <v>347.829759129759</v>
      </c>
    </row>
    <row r="185" spans="1:10">
      <c r="A185">
        <v>0.6</v>
      </c>
      <c r="B185">
        <f t="array" ref="B185:H185">LINEST('10A61 Liquid 3"'!AC23:AC28,'10A61 Liquid 3"'!AB23:AB28^{1,2,3,4})</f>
        <v>895.83333333341841</v>
      </c>
      <c r="C185">
        <v>-2810.6481481484257</v>
      </c>
      <c r="D185">
        <v>3223.1250000003311</v>
      </c>
      <c r="E185">
        <v>-1703.0185185186888</v>
      </c>
      <c r="F185">
        <v>694.03888888892038</v>
      </c>
      <c r="G185" t="e">
        <v>#N/A</v>
      </c>
      <c r="H185" t="e">
        <v>#N/A</v>
      </c>
      <c r="I185">
        <f t="shared" si="7"/>
        <v>4</v>
      </c>
      <c r="J185">
        <f>'10A61 Liquid 3" ViscosityLINEST'!B185*'10A61 Liquid 3"'!$B$4^'10A61 Liquid 3" ViscosityLINEST'!I185+'10A61 Liquid 3" ViscosityLINEST'!C185*'10A61 Liquid 3"'!$B$4^('10A61 Liquid 3" ViscosityLINEST'!I185-1)+'10A61 Liquid 3" ViscosityLINEST'!D185*'10A61 Liquid 3"'!$B$4^('10A61 Liquid 3" ViscosityLINEST'!I185-2)+'10A61 Liquid 3" ViscosityLINEST'!E185*'10A61 Liquid 3"'!$B$4^('10A61 Liquid 3" ViscosityLINEST'!I185-3)+'10A61 Liquid 3" ViscosityLINEST'!F185*'10A61 Liquid 3"'!$B$4^('10A61 Liquid 3" ViscosityLINEST'!I185-4)</f>
        <v>299.33055555555552</v>
      </c>
    </row>
    <row r="186" spans="1:10">
      <c r="B186">
        <f t="array" ref="B186:H186">LINEST('10A61 Liquid 3"'!AC28:AC36,'10A61 Liquid 3"'!AB28:AB36^{1,2,3,4})</f>
        <v>-0.8924941724942046</v>
      </c>
      <c r="C186">
        <v>6.045687645688063</v>
      </c>
      <c r="D186">
        <v>12.443123543121652</v>
      </c>
      <c r="E186">
        <v>-175.66142191141844</v>
      </c>
      <c r="F186">
        <v>459.3033333333313</v>
      </c>
      <c r="G186" t="e">
        <v>#N/A</v>
      </c>
      <c r="H186" t="e">
        <v>#N/A</v>
      </c>
      <c r="I186">
        <f t="shared" si="7"/>
        <v>4</v>
      </c>
      <c r="J186">
        <f>'10A61 Liquid 3" ViscosityLINEST'!B186*'10A61 Liquid 3"'!$B$4^'10A61 Liquid 3" ViscosityLINEST'!I186+'10A61 Liquid 3" ViscosityLINEST'!C186*'10A61 Liquid 3"'!$B$4^('10A61 Liquid 3" ViscosityLINEST'!I186-1)+'10A61 Liquid 3" ViscosityLINEST'!D186*'10A61 Liquid 3"'!$B$4^('10A61 Liquid 3" ViscosityLINEST'!I186-2)+'10A61 Liquid 3" ViscosityLINEST'!E186*'10A61 Liquid 3"'!$B$4^('10A61 Liquid 3" ViscosityLINEST'!I186-3)+'10A61 Liquid 3" ViscosityLINEST'!F186*'10A61 Liquid 3"'!$B$4^('10A61 Liquid 3" ViscosityLINEST'!I186-4)</f>
        <v>301.23822843822836</v>
      </c>
    </row>
    <row r="187" spans="1:10">
      <c r="A187">
        <v>0.8</v>
      </c>
      <c r="B187">
        <f t="array" ref="B187:H187">LINEST('10A61 Liquid 3"'!AC41:AC46,'10A61 Liquid 3"'!AB41:AB46^{1,2,3,4})</f>
        <v>-1416.6666666665756</v>
      </c>
      <c r="C187">
        <v>4148.1481481479013</v>
      </c>
      <c r="D187">
        <v>-4456.666666666425</v>
      </c>
      <c r="E187">
        <v>2002.6256613755597</v>
      </c>
      <c r="F187">
        <v>-15.931746031730768</v>
      </c>
      <c r="G187" t="e">
        <v>#N/A</v>
      </c>
      <c r="H187" t="e">
        <v>#N/A</v>
      </c>
      <c r="I187">
        <f t="shared" si="7"/>
        <v>4</v>
      </c>
      <c r="J187">
        <f>'10A61 Liquid 3" ViscosityLINEST'!B187*'10A61 Liquid 3"'!$B$4^'10A61 Liquid 3" ViscosityLINEST'!I187+'10A61 Liquid 3" ViscosityLINEST'!C187*'10A61 Liquid 3"'!$B$4^('10A61 Liquid 3" ViscosityLINEST'!I187-1)+'10A61 Liquid 3" ViscosityLINEST'!D187*'10A61 Liquid 3"'!$B$4^('10A61 Liquid 3" ViscosityLINEST'!I187-2)+'10A61 Liquid 3" ViscosityLINEST'!E187*'10A61 Liquid 3"'!$B$4^('10A61 Liquid 3" ViscosityLINEST'!I187-3)+'10A61 Liquid 3" ViscosityLINEST'!F187*'10A61 Liquid 3"'!$B$4^('10A61 Liquid 3" ViscosityLINEST'!I187-4)</f>
        <v>261.50873015872969</v>
      </c>
    </row>
    <row r="188" spans="1:10">
      <c r="B188">
        <f t="array" ref="B188:H188">LINEST('10A61 Liquid 3"'!AC46:AC54,'10A61 Liquid 3"'!AB46:AB54^{1,2,3,4})</f>
        <v>3.860139860138441E-2</v>
      </c>
      <c r="C188">
        <v>-2.2862470862468984</v>
      </c>
      <c r="D188">
        <v>28.371561771560899</v>
      </c>
      <c r="E188">
        <v>-149.33904428904265</v>
      </c>
      <c r="F188">
        <v>384.72666666666566</v>
      </c>
      <c r="G188" t="e">
        <v>#N/A</v>
      </c>
      <c r="H188" t="e">
        <v>#N/A</v>
      </c>
      <c r="I188">
        <f t="shared" si="7"/>
        <v>4</v>
      </c>
      <c r="J188">
        <f>'10A61 Liquid 3" ViscosityLINEST'!B188*'10A61 Liquid 3"'!$B$4^'10A61 Liquid 3" ViscosityLINEST'!I188+'10A61 Liquid 3" ViscosityLINEST'!C188*'10A61 Liquid 3"'!$B$4^('10A61 Liquid 3" ViscosityLINEST'!I188-1)+'10A61 Liquid 3" ViscosityLINEST'!D188*'10A61 Liquid 3"'!$B$4^('10A61 Liquid 3" ViscosityLINEST'!I188-2)+'10A61 Liquid 3" ViscosityLINEST'!E188*'10A61 Liquid 3"'!$B$4^('10A61 Liquid 3" ViscosityLINEST'!I188-3)+'10A61 Liquid 3" ViscosityLINEST'!F188*'10A61 Liquid 3"'!$B$4^('10A61 Liquid 3" ViscosityLINEST'!I188-4)</f>
        <v>261.51153846153841</v>
      </c>
    </row>
    <row r="189" spans="1:10">
      <c r="A189">
        <v>1</v>
      </c>
      <c r="B189">
        <f t="array" ref="B189:H189">LINEST('10A61 Liquid 3"'!AC57:AC62,'10A61 Liquid 3"'!AB57:AB62^{1,2,3,4})</f>
        <v>-229.16666666668837</v>
      </c>
      <c r="C189">
        <v>705.09259259266344</v>
      </c>
      <c r="D189">
        <v>-782.29166666675167</v>
      </c>
      <c r="E189">
        <v>307.25264550268969</v>
      </c>
      <c r="F189">
        <v>231.82301587300748</v>
      </c>
      <c r="G189" t="e">
        <v>#N/A</v>
      </c>
      <c r="H189" t="e">
        <v>#N/A</v>
      </c>
      <c r="I189">
        <f t="shared" si="7"/>
        <v>4</v>
      </c>
      <c r="J189">
        <f>'10A61 Liquid 3" ViscosityLINEST'!B189*'10A61 Liquid 3"'!$B$4^'10A61 Liquid 3" ViscosityLINEST'!I189+'10A61 Liquid 3" ViscosityLINEST'!C189*'10A61 Liquid 3"'!$B$4^('10A61 Liquid 3" ViscosityLINEST'!I189-1)+'10A61 Liquid 3" ViscosityLINEST'!D189*'10A61 Liquid 3"'!$B$4^('10A61 Liquid 3" ViscosityLINEST'!I189-2)+'10A61 Liquid 3" ViscosityLINEST'!E189*'10A61 Liquid 3"'!$B$4^('10A61 Liquid 3" ViscosityLINEST'!I189-3)+'10A61 Liquid 3" ViscosityLINEST'!F189*'10A61 Liquid 3"'!$B$4^('10A61 Liquid 3" ViscosityLINEST'!I189-4)</f>
        <v>232.70992063492059</v>
      </c>
    </row>
    <row r="190" spans="1:10">
      <c r="B190">
        <f t="array" ref="B190:H190">LINEST('10A61 Liquid 3"'!AC62:AC70,'10A61 Liquid 3"'!AB62:AB70^{1,2,3,4})</f>
        <v>-0.15314685314686219</v>
      </c>
      <c r="C190">
        <v>0.63863765863778599</v>
      </c>
      <c r="D190">
        <v>11.400407925407302</v>
      </c>
      <c r="E190">
        <v>-102.54405335405212</v>
      </c>
      <c r="F190">
        <v>323.3294444444436</v>
      </c>
      <c r="G190" t="e">
        <v>#N/A</v>
      </c>
      <c r="H190" t="e">
        <v>#N/A</v>
      </c>
      <c r="I190">
        <f t="shared" si="7"/>
        <v>4</v>
      </c>
      <c r="J190">
        <f>'10A61 Liquid 3" ViscosityLINEST'!B190*'10A61 Liquid 3"'!$B$4^'10A61 Liquid 3" ViscosityLINEST'!I190+'10A61 Liquid 3" ViscosityLINEST'!C190*'10A61 Liquid 3"'!$B$4^('10A61 Liquid 3" ViscosityLINEST'!I190-1)+'10A61 Liquid 3" ViscosityLINEST'!D190*'10A61 Liquid 3"'!$B$4^('10A61 Liquid 3" ViscosityLINEST'!I190-2)+'10A61 Liquid 3" ViscosityLINEST'!E190*'10A61 Liquid 3"'!$B$4^('10A61 Liquid 3" ViscosityLINEST'!I190-3)+'10A61 Liquid 3" ViscosityLINEST'!F190*'10A61 Liquid 3"'!$B$4^('10A61 Liquid 3" ViscosityLINEST'!I190-4)</f>
        <v>232.67128982128969</v>
      </c>
    </row>
    <row r="191" spans="1:10">
      <c r="A191">
        <v>1.2</v>
      </c>
      <c r="B191">
        <f t="array" ref="B191:H191">LINEST('10A61 Liquid 3"'!AC73:AC78,'10A61 Liquid 3"'!AB73:AB78^{1,2,3,4})</f>
        <v>333.33333333323884</v>
      </c>
      <c r="C191">
        <v>-974.07407407379606</v>
      </c>
      <c r="D191">
        <v>1058.3333333330331</v>
      </c>
      <c r="E191">
        <v>-560.1878306876896</v>
      </c>
      <c r="F191">
        <v>350.81587301584858</v>
      </c>
      <c r="G191" t="e">
        <v>#N/A</v>
      </c>
      <c r="H191" t="e">
        <v>#N/A</v>
      </c>
      <c r="I191">
        <f t="shared" si="7"/>
        <v>4</v>
      </c>
      <c r="J191">
        <f>'10A61 Liquid 3" ViscosityLINEST'!B191*'10A61 Liquid 3"'!$B$4^'10A61 Liquid 3" ViscosityLINEST'!I191+'10A61 Liquid 3" ViscosityLINEST'!C191*'10A61 Liquid 3"'!$B$4^('10A61 Liquid 3" ViscosityLINEST'!I191-1)+'10A61 Liquid 3" ViscosityLINEST'!D191*'10A61 Liquid 3"'!$B$4^('10A61 Liquid 3" ViscosityLINEST'!I191-2)+'10A61 Liquid 3" ViscosityLINEST'!E191*'10A61 Liquid 3"'!$B$4^('10A61 Liquid 3" ViscosityLINEST'!I191-3)+'10A61 Liquid 3" ViscosityLINEST'!F191*'10A61 Liquid 3"'!$B$4^('10A61 Liquid 3" ViscosityLINEST'!I191-4)</f>
        <v>208.22063492063495</v>
      </c>
    </row>
    <row r="192" spans="1:10">
      <c r="B192">
        <f t="array" ref="B192:H192">LINEST('10A61 Liquid 3"'!AC78:AC86,'10A61 Liquid 3"'!AB78:AB86^{1,2,3,4})</f>
        <v>-0.279766899766903</v>
      </c>
      <c r="C192">
        <v>2.5839368039368509</v>
      </c>
      <c r="D192">
        <v>-8.7937062937291213E-2</v>
      </c>
      <c r="E192">
        <v>-69.510378140377696</v>
      </c>
      <c r="F192">
        <v>275.58277777777749</v>
      </c>
      <c r="G192" t="e">
        <v>#N/A</v>
      </c>
      <c r="H192" t="e">
        <v>#N/A</v>
      </c>
      <c r="I192">
        <f t="shared" si="7"/>
        <v>4</v>
      </c>
      <c r="J192">
        <f>'10A61 Liquid 3" ViscosityLINEST'!B192*'10A61 Liquid 3"'!$B$4^'10A61 Liquid 3" ViscosityLINEST'!I192+'10A61 Liquid 3" ViscosityLINEST'!C192*'10A61 Liquid 3"'!$B$4^('10A61 Liquid 3" ViscosityLINEST'!I192-1)+'10A61 Liquid 3" ViscosityLINEST'!D192*'10A61 Liquid 3"'!$B$4^('10A61 Liquid 3" ViscosityLINEST'!I192-2)+'10A61 Liquid 3" ViscosityLINEST'!E192*'10A61 Liquid 3"'!$B$4^('10A61 Liquid 3" ViscosityLINEST'!I192-3)+'10A61 Liquid 3" ViscosityLINEST'!F192*'10A61 Liquid 3"'!$B$4^('10A61 Liquid 3" ViscosityLINEST'!I192-4)</f>
        <v>208.28863247863245</v>
      </c>
    </row>
    <row r="193" spans="1:10">
      <c r="A193">
        <v>1.4</v>
      </c>
      <c r="B193">
        <f t="array" ref="B193:H193">LINEST('10A61 Liquid 3"'!AC92:AC97,'10A61 Liquid 3"'!AB92:AB97^{1,2,3,4})</f>
        <v>291.66666666659467</v>
      </c>
      <c r="C193">
        <v>-863.88888888867746</v>
      </c>
      <c r="D193">
        <v>949.58333333310532</v>
      </c>
      <c r="E193">
        <v>-505.39682539671838</v>
      </c>
      <c r="F193">
        <v>315.1476190476007</v>
      </c>
      <c r="G193" t="e">
        <v>#N/A</v>
      </c>
      <c r="H193" t="e">
        <v>#N/A</v>
      </c>
      <c r="I193">
        <f t="shared" si="7"/>
        <v>4</v>
      </c>
      <c r="J193">
        <f>'10A61 Liquid 3" ViscosityLINEST'!B193*'10A61 Liquid 3"'!$B$4^'10A61 Liquid 3" ViscosityLINEST'!I193+'10A61 Liquid 3" ViscosityLINEST'!C193*'10A61 Liquid 3"'!$B$4^('10A61 Liquid 3" ViscosityLINEST'!I193-1)+'10A61 Liquid 3" ViscosityLINEST'!D193*'10A61 Liquid 3"'!$B$4^('10A61 Liquid 3" ViscosityLINEST'!I193-2)+'10A61 Liquid 3" ViscosityLINEST'!E193*'10A61 Liquid 3"'!$B$4^('10A61 Liquid 3" ViscosityLINEST'!I193-3)+'10A61 Liquid 3" ViscosityLINEST'!F193*'10A61 Liquid 3"'!$B$4^('10A61 Liquid 3" ViscosityLINEST'!I193-4)</f>
        <v>187.11190476190484</v>
      </c>
    </row>
    <row r="194" spans="1:10">
      <c r="B194">
        <f t="array" ref="B194:H194">LINEST('10A61 Liquid 3"'!AC97:AC105,'10A61 Liquid 3"'!AB97:AB105^{1,2,3,4})</f>
        <v>-0.33650349650349981</v>
      </c>
      <c r="C194">
        <v>3.5573685573686031</v>
      </c>
      <c r="D194">
        <v>-6.5998135198137424</v>
      </c>
      <c r="E194">
        <v>-47.91737244237202</v>
      </c>
      <c r="F194">
        <v>238.60722222222199</v>
      </c>
      <c r="G194" t="e">
        <v>#N/A</v>
      </c>
      <c r="H194" t="e">
        <v>#N/A</v>
      </c>
      <c r="I194">
        <f t="shared" si="7"/>
        <v>4</v>
      </c>
      <c r="J194">
        <f>'10A61 Liquid 3" ViscosityLINEST'!B194*'10A61 Liquid 3"'!$B$4^'10A61 Liquid 3" ViscosityLINEST'!I194+'10A61 Liquid 3" ViscosityLINEST'!C194*'10A61 Liquid 3"'!$B$4^('10A61 Liquid 3" ViscosityLINEST'!I194-1)+'10A61 Liquid 3" ViscosityLINEST'!D194*'10A61 Liquid 3"'!$B$4^('10A61 Liquid 3" ViscosityLINEST'!I194-2)+'10A61 Liquid 3" ViscosityLINEST'!E194*'10A61 Liquid 3"'!$B$4^('10A61 Liquid 3" ViscosityLINEST'!I194-3)+'10A61 Liquid 3" ViscosityLINEST'!F194*'10A61 Liquid 3"'!$B$4^('10A61 Liquid 3" ViscosityLINEST'!I194-4)</f>
        <v>187.31090132090134</v>
      </c>
    </row>
    <row r="195" spans="1:10">
      <c r="A195">
        <v>1.5</v>
      </c>
      <c r="B195">
        <f t="array" ref="B195:H195">LINEST('10A61 Liquid 3"'!AC108:AC113,'10A61 Liquid 3"'!AB108:AB113^{1,2,3,4})</f>
        <v>249.99999999996376</v>
      </c>
      <c r="C195">
        <v>-731.4814814813767</v>
      </c>
      <c r="D195">
        <v>793.33333333322184</v>
      </c>
      <c r="E195">
        <v>-421.43518518513343</v>
      </c>
      <c r="F195">
        <v>287.3888888888801</v>
      </c>
      <c r="G195" t="e">
        <v>#N/A</v>
      </c>
      <c r="H195" t="e">
        <v>#N/A</v>
      </c>
      <c r="I195">
        <f t="shared" si="7"/>
        <v>4</v>
      </c>
      <c r="J195">
        <f>'10A61 Liquid 3" ViscosityLINEST'!B195*'10A61 Liquid 3"'!$B$4^'10A61 Liquid 3" ViscosityLINEST'!I195+'10A61 Liquid 3" ViscosityLINEST'!C195*'10A61 Liquid 3"'!$B$4^('10A61 Liquid 3" ViscosityLINEST'!I195-1)+'10A61 Liquid 3" ViscosityLINEST'!D195*'10A61 Liquid 3"'!$B$4^('10A61 Liquid 3" ViscosityLINEST'!I195-2)+'10A61 Liquid 3" ViscosityLINEST'!E195*'10A61 Liquid 3"'!$B$4^('10A61 Liquid 3" ViscosityLINEST'!I195-3)+'10A61 Liquid 3" ViscosityLINEST'!F195*'10A61 Liquid 3"'!$B$4^('10A61 Liquid 3" ViscosityLINEST'!I195-4)</f>
        <v>177.80555555555554</v>
      </c>
    </row>
    <row r="196" spans="1:10">
      <c r="B196">
        <f t="array" ref="B196:H196">LINEST('10A61 Liquid 3"'!AC113:AC121,'10A61 Liquid 3"'!AB113:AB121^{1,2,3,4})</f>
        <v>-0.34820512820512789</v>
      </c>
      <c r="C196">
        <v>3.7814918414918419</v>
      </c>
      <c r="D196">
        <v>-8.3381002331002545</v>
      </c>
      <c r="E196">
        <v>-40.986130536130467</v>
      </c>
      <c r="F196">
        <v>223.9516666666666</v>
      </c>
      <c r="G196" t="e">
        <v>#N/A</v>
      </c>
      <c r="H196" t="e">
        <v>#N/A</v>
      </c>
      <c r="I196">
        <f t="shared" si="7"/>
        <v>4</v>
      </c>
      <c r="J196">
        <f>'10A61 Liquid 3" ViscosityLINEST'!B196*'10A61 Liquid 3"'!$B$4^'10A61 Liquid 3" ViscosityLINEST'!I196+'10A61 Liquid 3" ViscosityLINEST'!C196*'10A61 Liquid 3"'!$B$4^('10A61 Liquid 3" ViscosityLINEST'!I196-1)+'10A61 Liquid 3" ViscosityLINEST'!D196*'10A61 Liquid 3"'!$B$4^('10A61 Liquid 3" ViscosityLINEST'!I196-2)+'10A61 Liquid 3" ViscosityLINEST'!E196*'10A61 Liquid 3"'!$B$4^('10A61 Liquid 3" ViscosityLINEST'!I196-3)+'10A61 Liquid 3" ViscosityLINEST'!F196*'10A61 Liquid 3"'!$B$4^('10A61 Liquid 3" ViscosityLINEST'!I196-4)</f>
        <v>178.06072261072259</v>
      </c>
    </row>
    <row r="197" spans="1:10">
      <c r="J197">
        <f>'10A61 Liquid 3" ViscosityLINEST'!B197*'10A61 Liquid 3"'!$B$4^'10A61 Liquid 3" ViscosityLINEST'!I197+'10A61 Liquid 3" ViscosityLINEST'!C197*'10A61 Liquid 3"'!$B$4^('10A61 Liquid 3" ViscosityLINEST'!I197-1)+'10A61 Liquid 3" ViscosityLINEST'!D197*'10A61 Liquid 3"'!$B$4^('10A61 Liquid 3" ViscosityLINEST'!I197-2)+'10A61 Liquid 3" ViscosityLINEST'!E197*'10A61 Liquid 3"'!$B$4^('10A61 Liquid 3" ViscosityLINEST'!I197-3)+'10A61 Liquid 3" ViscosityLINEST'!F197*'10A61 Liquid 3"'!$B$4^('10A61 Liquid 3" ViscosityLINEST'!I197-4)</f>
        <v>0</v>
      </c>
    </row>
    <row r="198" spans="1:10">
      <c r="A198" s="5" t="s">
        <v>90</v>
      </c>
      <c r="I198">
        <f t="shared" ref="I198:I212" si="8">COUNT(B198:H198)-1</f>
        <v>-1</v>
      </c>
      <c r="J198">
        <f>'10A61 Liquid 3" ViscosityLINEST'!B198*'10A61 Liquid 3"'!$B$4^'10A61 Liquid 3" ViscosityLINEST'!I198+'10A61 Liquid 3" ViscosityLINEST'!C198*'10A61 Liquid 3"'!$B$4^('10A61 Liquid 3" ViscosityLINEST'!I198-1)+'10A61 Liquid 3" ViscosityLINEST'!D198*'10A61 Liquid 3"'!$B$4^('10A61 Liquid 3" ViscosityLINEST'!I198-2)+'10A61 Liquid 3" ViscosityLINEST'!E198*'10A61 Liquid 3"'!$B$4^('10A61 Liquid 3" ViscosityLINEST'!I198-3)+'10A61 Liquid 3" ViscosityLINEST'!F198*'10A61 Liquid 3"'!$B$4^('10A61 Liquid 3" ViscosityLINEST'!I198-4)</f>
        <v>0</v>
      </c>
    </row>
    <row r="199" spans="1:10">
      <c r="A199">
        <v>0.4</v>
      </c>
      <c r="B199">
        <f t="array" ref="B199:H199">LINEST('10A61 Liquid 3"'!AE6:AE11,'10A61 Liquid 3"'!AD6:AD11^{1,2,3,4})</f>
        <v>-83.333333333378278</v>
      </c>
      <c r="C199">
        <v>253.70370370383881</v>
      </c>
      <c r="D199">
        <v>-225.00000000014956</v>
      </c>
      <c r="E199">
        <v>-83.358465608393459</v>
      </c>
      <c r="F199">
        <v>528.20634920633643</v>
      </c>
      <c r="G199" t="e">
        <v>#N/A</v>
      </c>
      <c r="H199" t="e">
        <v>#N/A</v>
      </c>
      <c r="I199">
        <f t="shared" si="8"/>
        <v>4</v>
      </c>
      <c r="J199">
        <f>'10A61 Liquid 3" ViscosityLINEST'!B199*'10A61 Liquid 3"'!$B$4^'10A61 Liquid 3" ViscosityLINEST'!I199+'10A61 Liquid 3" ViscosityLINEST'!C199*'10A61 Liquid 3"'!$B$4^('10A61 Liquid 3" ViscosityLINEST'!I199-1)+'10A61 Liquid 3" ViscosityLINEST'!D199*'10A61 Liquid 3"'!$B$4^('10A61 Liquid 3" ViscosityLINEST'!I199-2)+'10A61 Liquid 3" ViscosityLINEST'!E199*'10A61 Liquid 3"'!$B$4^('10A61 Liquid 3" ViscosityLINEST'!I199-3)+'10A61 Liquid 3" ViscosityLINEST'!F199*'10A61 Liquid 3"'!$B$4^('10A61 Liquid 3" ViscosityLINEST'!I199-4)</f>
        <v>390.21825396825398</v>
      </c>
    </row>
    <row r="200" spans="1:10">
      <c r="B200">
        <f t="array" ref="B200:H200">LINEST('10A61 Liquid 3"'!AE11:AE19,'10A61 Liquid 3"'!AD11:AD19^{1,2,3,4})</f>
        <v>-0.26480186480188889</v>
      </c>
      <c r="C200">
        <v>1.3284641284644458</v>
      </c>
      <c r="D200">
        <v>18.635897435895966</v>
      </c>
      <c r="E200">
        <v>-180.21696451696175</v>
      </c>
      <c r="F200">
        <v>550.95555555555381</v>
      </c>
      <c r="G200" t="e">
        <v>#N/A</v>
      </c>
      <c r="H200" t="e">
        <v>#N/A</v>
      </c>
      <c r="I200">
        <f t="shared" si="8"/>
        <v>4</v>
      </c>
      <c r="J200">
        <f>'10A61 Liquid 3" ViscosityLINEST'!B200*'10A61 Liquid 3"'!$B$4^'10A61 Liquid 3" ViscosityLINEST'!I200+'10A61 Liquid 3" ViscosityLINEST'!C200*'10A61 Liquid 3"'!$B$4^('10A61 Liquid 3" ViscosityLINEST'!I200-1)+'10A61 Liquid 3" ViscosityLINEST'!D200*'10A61 Liquid 3"'!$B$4^('10A61 Liquid 3" ViscosityLINEST'!I200-2)+'10A61 Liquid 3" ViscosityLINEST'!E200*'10A61 Liquid 3"'!$B$4^('10A61 Liquid 3" ViscosityLINEST'!I200-3)+'10A61 Liquid 3" ViscosityLINEST'!F200*'10A61 Liquid 3"'!$B$4^('10A61 Liquid 3" ViscosityLINEST'!I200-4)</f>
        <v>390.43815073815063</v>
      </c>
    </row>
    <row r="201" spans="1:10">
      <c r="A201">
        <v>0.6</v>
      </c>
      <c r="B201">
        <f t="array" ref="B201:H201">LINEST('10A61 Liquid 3"'!AE23:AE28,'10A61 Liquid 3"'!AD23:AD28^{1,2,3,4})</f>
        <v>-520.83333333323446</v>
      </c>
      <c r="C201">
        <v>1730.0925925923059</v>
      </c>
      <c r="D201">
        <v>-2099.3749999996949</v>
      </c>
      <c r="E201">
        <v>1008.2883597882187</v>
      </c>
      <c r="F201">
        <v>194.70873015875392</v>
      </c>
      <c r="G201" t="e">
        <v>#N/A</v>
      </c>
      <c r="H201" t="e">
        <v>#N/A</v>
      </c>
      <c r="I201">
        <f t="shared" si="8"/>
        <v>4</v>
      </c>
      <c r="J201">
        <f>'10A61 Liquid 3" ViscosityLINEST'!B201*'10A61 Liquid 3"'!$B$4^'10A61 Liquid 3" ViscosityLINEST'!I201+'10A61 Liquid 3" ViscosityLINEST'!C201*'10A61 Liquid 3"'!$B$4^('10A61 Liquid 3" ViscosityLINEST'!I201-1)+'10A61 Liquid 3" ViscosityLINEST'!D201*'10A61 Liquid 3"'!$B$4^('10A61 Liquid 3" ViscosityLINEST'!I201-2)+'10A61 Liquid 3" ViscosityLINEST'!E201*'10A61 Liquid 3"'!$B$4^('10A61 Liquid 3" ViscosityLINEST'!I201-3)+'10A61 Liquid 3" ViscosityLINEST'!F201*'10A61 Liquid 3"'!$B$4^('10A61 Liquid 3" ViscosityLINEST'!I201-4)</f>
        <v>312.88134920634911</v>
      </c>
    </row>
    <row r="202" spans="1:10">
      <c r="B202">
        <f t="array" ref="B202:H202">LINEST('10A61 Liquid 3"'!AE28:AE36,'10A61 Liquid 3"'!AD28:AD36^{1,2,3,4})</f>
        <v>-0.61724941724942062</v>
      </c>
      <c r="C202">
        <v>7.008339808339862</v>
      </c>
      <c r="D202">
        <v>-17.482051282051561</v>
      </c>
      <c r="E202">
        <v>-68.467236467235921</v>
      </c>
      <c r="F202">
        <v>392.92222222222193</v>
      </c>
      <c r="G202" t="e">
        <v>#N/A</v>
      </c>
      <c r="H202" t="e">
        <v>#N/A</v>
      </c>
      <c r="I202">
        <f t="shared" si="8"/>
        <v>4</v>
      </c>
      <c r="J202">
        <f>'10A61 Liquid 3" ViscosityLINEST'!B202*'10A61 Liquid 3"'!$B$4^'10A61 Liquid 3" ViscosityLINEST'!I202+'10A61 Liquid 3" ViscosityLINEST'!C202*'10A61 Liquid 3"'!$B$4^('10A61 Liquid 3" ViscosityLINEST'!I202-1)+'10A61 Liquid 3" ViscosityLINEST'!D202*'10A61 Liquid 3"'!$B$4^('10A61 Liquid 3" ViscosityLINEST'!I202-2)+'10A61 Liquid 3" ViscosityLINEST'!E202*'10A61 Liquid 3"'!$B$4^('10A61 Liquid 3" ViscosityLINEST'!I202-3)+'10A61 Liquid 3" ViscosityLINEST'!F202*'10A61 Liquid 3"'!$B$4^('10A61 Liquid 3" ViscosityLINEST'!I202-4)</f>
        <v>313.36402486402488</v>
      </c>
    </row>
    <row r="203" spans="1:10">
      <c r="A203">
        <v>0.8</v>
      </c>
      <c r="B203">
        <f t="array" ref="B203:H203">LINEST('10A61 Liquid 3"'!AE41:AE46,'10A61 Liquid 3"'!AD41:AD46^{1,2,3,4})</f>
        <v>-541.66666666649485</v>
      </c>
      <c r="C203">
        <v>1763.8888888883839</v>
      </c>
      <c r="D203">
        <v>-2122.0833333327887</v>
      </c>
      <c r="E203">
        <v>1045.0396825394271</v>
      </c>
      <c r="F203">
        <v>114.19523809528206</v>
      </c>
      <c r="G203" t="e">
        <v>#N/A</v>
      </c>
      <c r="H203" t="e">
        <v>#N/A</v>
      </c>
      <c r="I203">
        <f t="shared" si="8"/>
        <v>4</v>
      </c>
      <c r="J203">
        <f>'10A61 Liquid 3" ViscosityLINEST'!B203*'10A61 Liquid 3"'!$B$4^'10A61 Liquid 3" ViscosityLINEST'!I203+'10A61 Liquid 3" ViscosityLINEST'!C203*'10A61 Liquid 3"'!$B$4^('10A61 Liquid 3" ViscosityLINEST'!I203-1)+'10A61 Liquid 3" ViscosityLINEST'!D203*'10A61 Liquid 3"'!$B$4^('10A61 Liquid 3" ViscosityLINEST'!I203-2)+'10A61 Liquid 3" ViscosityLINEST'!E203*'10A61 Liquid 3"'!$B$4^('10A61 Liquid 3" ViscosityLINEST'!I203-3)+'10A61 Liquid 3" ViscosityLINEST'!F203*'10A61 Liquid 3"'!$B$4^('10A61 Liquid 3" ViscosityLINEST'!I203-4)</f>
        <v>259.37380952380954</v>
      </c>
    </row>
    <row r="204" spans="1:10">
      <c r="B204">
        <f t="array" ref="B204:H204">LINEST('10A61 Liquid 3"'!AE46:AE54,'10A61 Liquid 3"'!AD46:AD54^{1,2,3,4})</f>
        <v>-0.49305361305360706</v>
      </c>
      <c r="C204">
        <v>5.923646723646657</v>
      </c>
      <c r="D204">
        <v>-17.748251748251484</v>
      </c>
      <c r="E204">
        <v>-42.238487438487866</v>
      </c>
      <c r="F204">
        <v>314.10222222222245</v>
      </c>
      <c r="G204" t="e">
        <v>#N/A</v>
      </c>
      <c r="H204" t="e">
        <v>#N/A</v>
      </c>
      <c r="I204">
        <f t="shared" si="8"/>
        <v>4</v>
      </c>
      <c r="J204">
        <f>'10A61 Liquid 3" ViscosityLINEST'!B204*'10A61 Liquid 3"'!$B$4^'10A61 Liquid 3" ViscosityLINEST'!I204+'10A61 Liquid 3" ViscosityLINEST'!C204*'10A61 Liquid 3"'!$B$4^('10A61 Liquid 3" ViscosityLINEST'!I204-1)+'10A61 Liquid 3" ViscosityLINEST'!D204*'10A61 Liquid 3"'!$B$4^('10A61 Liquid 3" ViscosityLINEST'!I204-2)+'10A61 Liquid 3" ViscosityLINEST'!E204*'10A61 Liquid 3"'!$B$4^('10A61 Liquid 3" ViscosityLINEST'!I204-3)+'10A61 Liquid 3" ViscosityLINEST'!F204*'10A61 Liquid 3"'!$B$4^('10A61 Liquid 3" ViscosityLINEST'!I204-4)</f>
        <v>259.54607614607613</v>
      </c>
    </row>
    <row r="205" spans="1:10">
      <c r="A205">
        <v>1</v>
      </c>
      <c r="B205">
        <f t="array" ref="B205:H205">LINEST('10A61 Liquid 3"'!AE57:AE62,'10A61 Liquid 3"'!AD57:AD62^{1,2,3,4})</f>
        <v>-208.33333333330083</v>
      </c>
      <c r="C205">
        <v>724.99999999990712</v>
      </c>
      <c r="D205">
        <v>-932.91666666656931</v>
      </c>
      <c r="E205">
        <v>468.24999999995555</v>
      </c>
      <c r="F205">
        <v>165.90000000000748</v>
      </c>
      <c r="G205" t="e">
        <v>#N/A</v>
      </c>
      <c r="H205" t="e">
        <v>#N/A</v>
      </c>
      <c r="I205">
        <f t="shared" si="8"/>
        <v>4</v>
      </c>
      <c r="J205">
        <f>'10A61 Liquid 3" ViscosityLINEST'!B205*'10A61 Liquid 3"'!$B$4^'10A61 Liquid 3" ViscosityLINEST'!I205+'10A61 Liquid 3" ViscosityLINEST'!C205*'10A61 Liquid 3"'!$B$4^('10A61 Liquid 3" ViscosityLINEST'!I205-1)+'10A61 Liquid 3" ViscosityLINEST'!D205*'10A61 Liquid 3"'!$B$4^('10A61 Liquid 3" ViscosityLINEST'!I205-2)+'10A61 Liquid 3" ViscosityLINEST'!E205*'10A61 Liquid 3"'!$B$4^('10A61 Liquid 3" ViscosityLINEST'!I205-3)+'10A61 Liquid 3" ViscosityLINEST'!F205*'10A61 Liquid 3"'!$B$4^('10A61 Liquid 3" ViscosityLINEST'!I205-4)</f>
        <v>217.89999999999998</v>
      </c>
    </row>
    <row r="206" spans="1:10">
      <c r="B206">
        <f t="array" ref="B206:H206">LINEST('10A61 Liquid 3"'!AE62:AE70,'10A61 Liquid 3"'!AD62:AD70^{1,2,3,4})</f>
        <v>-0.37846153846153346</v>
      </c>
      <c r="C206">
        <v>4.6170940170939545</v>
      </c>
      <c r="D206">
        <v>-14.182960372960094</v>
      </c>
      <c r="E206">
        <v>-33.702152292152824</v>
      </c>
      <c r="F206">
        <v>261.64333333333366</v>
      </c>
      <c r="G206" t="e">
        <v>#N/A</v>
      </c>
      <c r="H206" t="e">
        <v>#N/A</v>
      </c>
      <c r="I206">
        <f t="shared" si="8"/>
        <v>4</v>
      </c>
      <c r="J206">
        <f>'10A61 Liquid 3" ViscosityLINEST'!B206*'10A61 Liquid 3"'!$B$4^'10A61 Liquid 3" ViscosityLINEST'!I206+'10A61 Liquid 3" ViscosityLINEST'!C206*'10A61 Liquid 3"'!$B$4^('10A61 Liquid 3" ViscosityLINEST'!I206-1)+'10A61 Liquid 3" ViscosityLINEST'!D206*'10A61 Liquid 3"'!$B$4^('10A61 Liquid 3" ViscosityLINEST'!I206-2)+'10A61 Liquid 3" ViscosityLINEST'!E206*'10A61 Liquid 3"'!$B$4^('10A61 Liquid 3" ViscosityLINEST'!I206-3)+'10A61 Liquid 3" ViscosityLINEST'!F206*'10A61 Liquid 3"'!$B$4^('10A61 Liquid 3" ViscosityLINEST'!I206-4)</f>
        <v>217.99685314685314</v>
      </c>
    </row>
    <row r="207" spans="1:10">
      <c r="A207">
        <v>1.2</v>
      </c>
      <c r="B207">
        <f t="array" ref="B207:H207">LINEST('10A61 Liquid 3"'!AE73:AE78,'10A61 Liquid 3"'!AD73:AD78^{1,2,3,4})</f>
        <v>-145.83333333332291</v>
      </c>
      <c r="C207">
        <v>519.90740740738181</v>
      </c>
      <c r="D207">
        <v>-683.95833333331177</v>
      </c>
      <c r="E207">
        <v>345.35449735449021</v>
      </c>
      <c r="F207">
        <v>147.53412698412774</v>
      </c>
      <c r="G207" t="e">
        <v>#N/A</v>
      </c>
      <c r="H207" t="e">
        <v>#N/A</v>
      </c>
      <c r="I207">
        <f t="shared" si="8"/>
        <v>4</v>
      </c>
      <c r="J207">
        <f>'10A61 Liquid 3" ViscosityLINEST'!B207*'10A61 Liquid 3"'!$B$4^'10A61 Liquid 3" ViscosityLINEST'!I207+'10A61 Liquid 3" ViscosityLINEST'!C207*'10A61 Liquid 3"'!$B$4^('10A61 Liquid 3" ViscosityLINEST'!I207-1)+'10A61 Liquid 3" ViscosityLINEST'!D207*'10A61 Liquid 3"'!$B$4^('10A61 Liquid 3" ViscosityLINEST'!I207-2)+'10A61 Liquid 3" ViscosityLINEST'!E207*'10A61 Liquid 3"'!$B$4^('10A61 Liquid 3" ViscosityLINEST'!I207-3)+'10A61 Liquid 3" ViscosityLINEST'!F207*'10A61 Liquid 3"'!$B$4^('10A61 Liquid 3" ViscosityLINEST'!I207-4)</f>
        <v>183.00436507936507</v>
      </c>
    </row>
    <row r="208" spans="1:10">
      <c r="B208">
        <f t="array" ref="B208:H208">LINEST('10A61 Liquid 3"'!AE78:AE86,'10A61 Liquid 3"'!AD78:AD86^{1,2,3,4})</f>
        <v>-0.32223776223775819</v>
      </c>
      <c r="C208">
        <v>3.9446982646982192</v>
      </c>
      <c r="D208">
        <v>-12.311864801864624</v>
      </c>
      <c r="E208">
        <v>-27.213295778296068</v>
      </c>
      <c r="F208">
        <v>218.97277777777794</v>
      </c>
      <c r="G208" t="e">
        <v>#N/A</v>
      </c>
      <c r="H208" t="e">
        <v>#N/A</v>
      </c>
      <c r="I208">
        <f t="shared" si="8"/>
        <v>4</v>
      </c>
      <c r="J208">
        <f>'10A61 Liquid 3" ViscosityLINEST'!B208*'10A61 Liquid 3"'!$B$4^'10A61 Liquid 3" ViscosityLINEST'!I208+'10A61 Liquid 3" ViscosityLINEST'!C208*'10A61 Liquid 3"'!$B$4^('10A61 Liquid 3" ViscosityLINEST'!I208-1)+'10A61 Liquid 3" ViscosityLINEST'!D208*'10A61 Liquid 3"'!$B$4^('10A61 Liquid 3" ViscosityLINEST'!I208-2)+'10A61 Liquid 3" ViscosityLINEST'!E208*'10A61 Liquid 3"'!$B$4^('10A61 Liquid 3" ViscosityLINEST'!I208-3)+'10A61 Liquid 3" ViscosityLINEST'!F208*'10A61 Liquid 3"'!$B$4^('10A61 Liquid 3" ViscosityLINEST'!I208-4)</f>
        <v>183.07007770007772</v>
      </c>
    </row>
    <row r="209" spans="1:10">
      <c r="A209">
        <v>1.4</v>
      </c>
      <c r="B209">
        <f t="array" ref="B209:H209">LINEST('10A61 Liquid 3"'!AE92:AE97,'10A61 Liquid 3"'!AD92:AD97^{1,2,3,4})</f>
        <v>-229.16666666663608</v>
      </c>
      <c r="C209">
        <v>760.648148148063</v>
      </c>
      <c r="D209">
        <v>-934.7916666665808</v>
      </c>
      <c r="E209">
        <v>462.73280423276691</v>
      </c>
      <c r="F209">
        <v>92.575396825402834</v>
      </c>
      <c r="G209" t="e">
        <v>#N/A</v>
      </c>
      <c r="H209" t="e">
        <v>#N/A</v>
      </c>
      <c r="I209">
        <f t="shared" si="8"/>
        <v>4</v>
      </c>
      <c r="J209">
        <f>'10A61 Liquid 3" ViscosityLINEST'!B209*'10A61 Liquid 3"'!$B$4^'10A61 Liquid 3" ViscosityLINEST'!I209+'10A61 Liquid 3" ViscosityLINEST'!C209*'10A61 Liquid 3"'!$B$4^('10A61 Liquid 3" ViscosityLINEST'!I209-1)+'10A61 Liquid 3" ViscosityLINEST'!D209*'10A61 Liquid 3"'!$B$4^('10A61 Liquid 3" ViscosityLINEST'!I209-2)+'10A61 Liquid 3" ViscosityLINEST'!E209*'10A61 Liquid 3"'!$B$4^('10A61 Liquid 3" ViscosityLINEST'!I209-3)+'10A61 Liquid 3" ViscosityLINEST'!F209*'10A61 Liquid 3"'!$B$4^('10A61 Liquid 3" ViscosityLINEST'!I209-4)</f>
        <v>151.9980158730159</v>
      </c>
    </row>
    <row r="210" spans="1:10">
      <c r="B210">
        <f t="array" ref="B210:H210">LINEST('10A61 Liquid 3"'!AE97:AE105,'10A61 Liquid 3"'!AD97:AD105^{1,2,3,4})</f>
        <v>-0.27226107226106877</v>
      </c>
      <c r="C210">
        <v>3.303765863765824</v>
      </c>
      <c r="D210">
        <v>-10.02344988344972</v>
      </c>
      <c r="E210">
        <v>-24.206850556850849</v>
      </c>
      <c r="F210">
        <v>183.2544444444446</v>
      </c>
      <c r="G210" t="e">
        <v>#N/A</v>
      </c>
      <c r="H210" t="e">
        <v>#N/A</v>
      </c>
      <c r="I210">
        <f t="shared" si="8"/>
        <v>4</v>
      </c>
      <c r="J210">
        <f>'10A61 Liquid 3" ViscosityLINEST'!B210*'10A61 Liquid 3"'!$B$4^'10A61 Liquid 3" ViscosityLINEST'!I210+'10A61 Liquid 3" ViscosityLINEST'!C210*'10A61 Liquid 3"'!$B$4^('10A61 Liquid 3" ViscosityLINEST'!I210-1)+'10A61 Liquid 3" ViscosityLINEST'!D210*'10A61 Liquid 3"'!$B$4^('10A61 Liquid 3" ViscosityLINEST'!I210-2)+'10A61 Liquid 3" ViscosityLINEST'!E210*'10A61 Liquid 3"'!$B$4^('10A61 Liquid 3" ViscosityLINEST'!I210-3)+'10A61 Liquid 3" ViscosityLINEST'!F210*'10A61 Liquid 3"'!$B$4^('10A61 Liquid 3" ViscosityLINEST'!I210-4)</f>
        <v>152.05564879564878</v>
      </c>
    </row>
    <row r="211" spans="1:10">
      <c r="A211">
        <v>1.5</v>
      </c>
      <c r="B211">
        <f t="array" ref="B211:H211">LINEST('10A61 Liquid 3"'!AE108:AE113,'10A61 Liquid 3"'!AD108:AD113^{1,2,3,4})</f>
        <v>-333.33333333326829</v>
      </c>
      <c r="C211">
        <v>1081.4814814812946</v>
      </c>
      <c r="D211">
        <v>-1294.999999999804</v>
      </c>
      <c r="E211">
        <v>639.25661375652464</v>
      </c>
      <c r="F211">
        <v>44.98253968255446</v>
      </c>
      <c r="G211" t="e">
        <v>#N/A</v>
      </c>
      <c r="H211" t="e">
        <v>#N/A</v>
      </c>
      <c r="I211">
        <f t="shared" si="8"/>
        <v>4</v>
      </c>
      <c r="J211">
        <f>'10A61 Liquid 3" ViscosityLINEST'!B211*'10A61 Liquid 3"'!$B$4^'10A61 Liquid 3" ViscosityLINEST'!I211+'10A61 Liquid 3" ViscosityLINEST'!C211*'10A61 Liquid 3"'!$B$4^('10A61 Liquid 3" ViscosityLINEST'!I211-1)+'10A61 Liquid 3" ViscosityLINEST'!D211*'10A61 Liquid 3"'!$B$4^('10A61 Liquid 3" ViscosityLINEST'!I211-2)+'10A61 Liquid 3" ViscosityLINEST'!E211*'10A61 Liquid 3"'!$B$4^('10A61 Liquid 3" ViscosityLINEST'!I211-3)+'10A61 Liquid 3" ViscosityLINEST'!F211*'10A61 Liquid 3"'!$B$4^('10A61 Liquid 3" ViscosityLINEST'!I211-4)</f>
        <v>137.38730158730149</v>
      </c>
    </row>
    <row r="212" spans="1:10">
      <c r="B212">
        <f t="array" ref="B212:H212">LINEST('10A61 Liquid 3"'!AE113:AE121,'10A61 Liquid 3"'!AD113:AD121^{1,2,3,4})</f>
        <v>-0.2629836829836818</v>
      </c>
      <c r="C212">
        <v>3.1460398860398779</v>
      </c>
      <c r="D212">
        <v>-9.3300116550116421</v>
      </c>
      <c r="E212">
        <v>-22.828631183631185</v>
      </c>
      <c r="F212">
        <v>166.7522222222222</v>
      </c>
      <c r="G212" t="e">
        <v>#N/A</v>
      </c>
      <c r="H212" t="e">
        <v>#N/A</v>
      </c>
      <c r="I212">
        <f t="shared" si="8"/>
        <v>4</v>
      </c>
      <c r="J212">
        <f>'10A61 Liquid 3" ViscosityLINEST'!B212*'10A61 Liquid 3"'!$B$4^'10A61 Liquid 3" ViscosityLINEST'!I212+'10A61 Liquid 3" ViscosityLINEST'!C212*'10A61 Liquid 3"'!$B$4^('10A61 Liquid 3" ViscosityLINEST'!I212-1)+'10A61 Liquid 3" ViscosityLINEST'!D212*'10A61 Liquid 3"'!$B$4^('10A61 Liquid 3" ViscosityLINEST'!I212-2)+'10A61 Liquid 3" ViscosityLINEST'!E212*'10A61 Liquid 3"'!$B$4^('10A61 Liquid 3" ViscosityLINEST'!I212-3)+'10A61 Liquid 3" ViscosityLINEST'!F212*'10A61 Liquid 3"'!$B$4^('10A61 Liquid 3" ViscosityLINEST'!I212-4)</f>
        <v>137.47663558663558</v>
      </c>
    </row>
    <row r="213" spans="1:10">
      <c r="J213">
        <f>'10A61 Liquid 3" ViscosityLINEST'!B213*'10A61 Liquid 3"'!$B$4^'10A61 Liquid 3" ViscosityLINEST'!I213+'10A61 Liquid 3" ViscosityLINEST'!C213*'10A61 Liquid 3"'!$B$4^('10A61 Liquid 3" ViscosityLINEST'!I213-1)+'10A61 Liquid 3" ViscosityLINEST'!D213*'10A61 Liquid 3"'!$B$4^('10A61 Liquid 3" ViscosityLINEST'!I213-2)+'10A61 Liquid 3" ViscosityLINEST'!E213*'10A61 Liquid 3"'!$B$4^('10A61 Liquid 3" ViscosityLINEST'!I213-3)+'10A61 Liquid 3" ViscosityLINEST'!F213*'10A61 Liquid 3"'!$B$4^('10A61 Liquid 3" ViscosityLINEST'!I213-4)</f>
        <v>0</v>
      </c>
    </row>
    <row r="214" spans="1:10">
      <c r="A214" s="5" t="s">
        <v>91</v>
      </c>
      <c r="I214">
        <f t="shared" ref="I214:I228" si="9">COUNT(B214:H214)-1</f>
        <v>-1</v>
      </c>
      <c r="J214">
        <f>'10A61 Liquid 3" ViscosityLINEST'!B214*'10A61 Liquid 3"'!$B$4^'10A61 Liquid 3" ViscosityLINEST'!I214+'10A61 Liquid 3" ViscosityLINEST'!C214*'10A61 Liquid 3"'!$B$4^('10A61 Liquid 3" ViscosityLINEST'!I214-1)+'10A61 Liquid 3" ViscosityLINEST'!D214*'10A61 Liquid 3"'!$B$4^('10A61 Liquid 3" ViscosityLINEST'!I214-2)+'10A61 Liquid 3" ViscosityLINEST'!E214*'10A61 Liquid 3"'!$B$4^('10A61 Liquid 3" ViscosityLINEST'!I214-3)+'10A61 Liquid 3" ViscosityLINEST'!F214*'10A61 Liquid 3"'!$B$4^('10A61 Liquid 3" ViscosityLINEST'!I214-4)</f>
        <v>0</v>
      </c>
    </row>
    <row r="215" spans="1:10">
      <c r="A215">
        <v>0.4</v>
      </c>
      <c r="B215">
        <f t="array" ref="B215:H215">LINEST('10A61 Liquid 3"'!AG6:AG11,'10A61 Liquid 3"'!AF6:AF11^{1,2,3,4})</f>
        <v>2291.6666666662904</v>
      </c>
      <c r="C215">
        <v>-6256.4814814803849</v>
      </c>
      <c r="D215">
        <v>6210.4166666654965</v>
      </c>
      <c r="E215">
        <v>-2774.4351851846427</v>
      </c>
      <c r="F215">
        <v>1122.5888888887966</v>
      </c>
      <c r="G215" t="e">
        <v>#N/A</v>
      </c>
      <c r="H215" t="e">
        <v>#N/A</v>
      </c>
      <c r="I215">
        <f t="shared" si="9"/>
        <v>4</v>
      </c>
      <c r="J215">
        <f>'10A61 Liquid 3" ViscosityLINEST'!B215*'10A61 Liquid 3"'!$B$4^'10A61 Liquid 3" ViscosityLINEST'!I215+'10A61 Liquid 3" ViscosityLINEST'!C215*'10A61 Liquid 3"'!$B$4^('10A61 Liquid 3" ViscosityLINEST'!I215-1)+'10A61 Liquid 3" ViscosityLINEST'!D215*'10A61 Liquid 3"'!$B$4^('10A61 Liquid 3" ViscosityLINEST'!I215-2)+'10A61 Liquid 3" ViscosityLINEST'!E215*'10A61 Liquid 3"'!$B$4^('10A61 Liquid 3" ViscosityLINEST'!I215-3)+'10A61 Liquid 3" ViscosityLINEST'!F215*'10A61 Liquid 3"'!$B$4^('10A61 Liquid 3" ViscosityLINEST'!I215-4)</f>
        <v>593.75555555555593</v>
      </c>
    </row>
    <row r="216" spans="1:10">
      <c r="B216">
        <f t="array" ref="B216:H216">LINEST('10A61 Liquid 3"'!AG11:AG19,'10A61 Liquid 3"'!AF11:AF19^{1,2,3,4})</f>
        <v>-0.36829836829835494</v>
      </c>
      <c r="C216">
        <v>4.0114996114994588</v>
      </c>
      <c r="D216">
        <v>-0.55641025640963993</v>
      </c>
      <c r="E216">
        <v>-156.51196581196686</v>
      </c>
      <c r="F216">
        <v>746.80000000000064</v>
      </c>
      <c r="G216" t="e">
        <v>#N/A</v>
      </c>
      <c r="H216" t="e">
        <v>#N/A</v>
      </c>
      <c r="I216">
        <f t="shared" si="9"/>
        <v>4</v>
      </c>
      <c r="J216">
        <f>'10A61 Liquid 3" ViscosityLINEST'!B216*'10A61 Liquid 3"'!$B$4^'10A61 Liquid 3" ViscosityLINEST'!I216+'10A61 Liquid 3" ViscosityLINEST'!C216*'10A61 Liquid 3"'!$B$4^('10A61 Liquid 3" ViscosityLINEST'!I216-1)+'10A61 Liquid 3" ViscosityLINEST'!D216*'10A61 Liquid 3"'!$B$4^('10A61 Liquid 3" ViscosityLINEST'!I216-2)+'10A61 Liquid 3" ViscosityLINEST'!E216*'10A61 Liquid 3"'!$B$4^('10A61 Liquid 3" ViscosityLINEST'!I216-3)+'10A61 Liquid 3" ViscosityLINEST'!F216*'10A61 Liquid 3"'!$B$4^('10A61 Liquid 3" ViscosityLINEST'!I216-4)</f>
        <v>593.37482517482522</v>
      </c>
    </row>
    <row r="217" spans="1:10">
      <c r="A217">
        <v>0.6</v>
      </c>
      <c r="B217">
        <f t="array" ref="B217:H217">LINEST('10A61 Liquid 3"'!AG23:AG28,'10A61 Liquid 3"'!AF23:AF28^{1,2,3,4})</f>
        <v>1416.6666666666708</v>
      </c>
      <c r="C217">
        <v>-4453.7037037037517</v>
      </c>
      <c r="D217">
        <v>5104.1666666667588</v>
      </c>
      <c r="E217">
        <v>-2602.3915343915974</v>
      </c>
      <c r="F217">
        <v>1016.5936507936653</v>
      </c>
      <c r="G217" t="e">
        <v>#N/A</v>
      </c>
      <c r="H217" t="e">
        <v>#N/A</v>
      </c>
      <c r="I217">
        <f t="shared" si="9"/>
        <v>4</v>
      </c>
      <c r="J217">
        <f>'10A61 Liquid 3" ViscosityLINEST'!B217*'10A61 Liquid 3"'!$B$4^'10A61 Liquid 3" ViscosityLINEST'!I217+'10A61 Liquid 3" ViscosityLINEST'!C217*'10A61 Liquid 3"'!$B$4^('10A61 Liquid 3" ViscosityLINEST'!I217-1)+'10A61 Liquid 3" ViscosityLINEST'!D217*'10A61 Liquid 3"'!$B$4^('10A61 Liquid 3" ViscosityLINEST'!I217-2)+'10A61 Liquid 3" ViscosityLINEST'!E217*'10A61 Liquid 3"'!$B$4^('10A61 Liquid 3" ViscosityLINEST'!I217-3)+'10A61 Liquid 3" ViscosityLINEST'!F217*'10A61 Liquid 3"'!$B$4^('10A61 Liquid 3" ViscosityLINEST'!I217-4)</f>
        <v>481.33174603174575</v>
      </c>
    </row>
    <row r="218" spans="1:10">
      <c r="B218">
        <f t="array" ref="B218:H218">LINEST('10A61 Liquid 3"'!AG28:AG36,'10A61 Liquid 3"'!AF28:AF36^{1,2,3,4})</f>
        <v>-0.40279720279719955</v>
      </c>
      <c r="C218">
        <v>5.7440041440041165</v>
      </c>
      <c r="D218">
        <v>-21.196270396270332</v>
      </c>
      <c r="E218">
        <v>-56.320849520849549</v>
      </c>
      <c r="F218">
        <v>553.32222222222219</v>
      </c>
      <c r="G218" t="e">
        <v>#N/A</v>
      </c>
      <c r="H218" t="e">
        <v>#N/A</v>
      </c>
      <c r="I218">
        <f t="shared" si="9"/>
        <v>4</v>
      </c>
      <c r="J218">
        <f>'10A61 Liquid 3" ViscosityLINEST'!B218*'10A61 Liquid 3"'!$B$4^'10A61 Liquid 3" ViscosityLINEST'!I218+'10A61 Liquid 3" ViscosityLINEST'!C218*'10A61 Liquid 3"'!$B$4^('10A61 Liquid 3" ViscosityLINEST'!I218-1)+'10A61 Liquid 3" ViscosityLINEST'!D218*'10A61 Liquid 3"'!$B$4^('10A61 Liquid 3" ViscosityLINEST'!I218-2)+'10A61 Liquid 3" ViscosityLINEST'!E218*'10A61 Liquid 3"'!$B$4^('10A61 Liquid 3" ViscosityLINEST'!I218-3)+'10A61 Liquid 3" ViscosityLINEST'!F218*'10A61 Liquid 3"'!$B$4^('10A61 Liquid 3" ViscosityLINEST'!I218-4)</f>
        <v>481.14630924630922</v>
      </c>
    </row>
    <row r="219" spans="1:10">
      <c r="A219">
        <v>0.8</v>
      </c>
      <c r="B219">
        <f t="array" ref="B219:H219">LINEST('10A61 Liquid 3"'!AG41:AG46,'10A61 Liquid 3"'!AF41:AF46^{1,2,3,4})</f>
        <v>-770.83333333331939</v>
      </c>
      <c r="C219">
        <v>2041.2037037036753</v>
      </c>
      <c r="D219">
        <v>-1934.3749999999834</v>
      </c>
      <c r="E219">
        <v>712.85582010581913</v>
      </c>
      <c r="F219">
        <v>364.37063492063362</v>
      </c>
      <c r="G219" t="e">
        <v>#N/A</v>
      </c>
      <c r="H219" t="e">
        <v>#N/A</v>
      </c>
      <c r="I219">
        <f t="shared" si="9"/>
        <v>4</v>
      </c>
      <c r="J219">
        <f>'10A61 Liquid 3" ViscosityLINEST'!B219*'10A61 Liquid 3"'!$B$4^'10A61 Liquid 3" ViscosityLINEST'!I219+'10A61 Liquid 3" ViscosityLINEST'!C219*'10A61 Liquid 3"'!$B$4^('10A61 Liquid 3" ViscosityLINEST'!I219-1)+'10A61 Liquid 3" ViscosityLINEST'!D219*'10A61 Liquid 3"'!$B$4^('10A61 Liquid 3" ViscosityLINEST'!I219-2)+'10A61 Liquid 3" ViscosityLINEST'!E219*'10A61 Liquid 3"'!$B$4^('10A61 Liquid 3" ViscosityLINEST'!I219-3)+'10A61 Liquid 3" ViscosityLINEST'!F219*'10A61 Liquid 3"'!$B$4^('10A61 Liquid 3" ViscosityLINEST'!I219-4)</f>
        <v>413.22182539682524</v>
      </c>
    </row>
    <row r="220" spans="1:10">
      <c r="B220">
        <f t="array" ref="B220:H220">LINEST('10A61 Liquid 3"'!AG46:AG54,'10A61 Liquid 3"'!AF46:AF54^{1,2,3,4})</f>
        <v>0.2708624708624594</v>
      </c>
      <c r="C220">
        <v>-2.5291375291373832</v>
      </c>
      <c r="D220">
        <v>11.268648018647358</v>
      </c>
      <c r="E220">
        <v>-86.102564102562894</v>
      </c>
      <c r="F220">
        <v>489.94999999999942</v>
      </c>
      <c r="G220" t="e">
        <v>#N/A</v>
      </c>
      <c r="H220" t="e">
        <v>#N/A</v>
      </c>
      <c r="I220">
        <f t="shared" si="9"/>
        <v>4</v>
      </c>
      <c r="J220">
        <f>'10A61 Liquid 3" ViscosityLINEST'!B220*'10A61 Liquid 3"'!$B$4^'10A61 Liquid 3" ViscosityLINEST'!I220+'10A61 Liquid 3" ViscosityLINEST'!C220*'10A61 Liquid 3"'!$B$4^('10A61 Liquid 3" ViscosityLINEST'!I220-1)+'10A61 Liquid 3" ViscosityLINEST'!D220*'10A61 Liquid 3"'!$B$4^('10A61 Liquid 3" ViscosityLINEST'!I220-2)+'10A61 Liquid 3" ViscosityLINEST'!E220*'10A61 Liquid 3"'!$B$4^('10A61 Liquid 3" ViscosityLINEST'!I220-3)+'10A61 Liquid 3" ViscosityLINEST'!F220*'10A61 Liquid 3"'!$B$4^('10A61 Liquid 3" ViscosityLINEST'!I220-4)</f>
        <v>412.85780885780895</v>
      </c>
    </row>
    <row r="221" spans="1:10">
      <c r="A221">
        <v>1</v>
      </c>
      <c r="B221">
        <f t="array" ref="B221:H221">LINEST('10A61 Liquid 3"'!AG57:AG62,'10A61 Liquid 3"'!AF57:AF62^{1,2,3,4})</f>
        <v>-166.66666666664079</v>
      </c>
      <c r="C221">
        <v>411.11111111103514</v>
      </c>
      <c r="D221">
        <v>-318.33333333325129</v>
      </c>
      <c r="E221">
        <v>22.174603174564616</v>
      </c>
      <c r="F221">
        <v>415.01904761905428</v>
      </c>
      <c r="G221" t="e">
        <v>#N/A</v>
      </c>
      <c r="H221" t="e">
        <v>#N/A</v>
      </c>
      <c r="I221">
        <f t="shared" si="9"/>
        <v>4</v>
      </c>
      <c r="J221">
        <f>'10A61 Liquid 3" ViscosityLINEST'!B221*'10A61 Liquid 3"'!$B$4^'10A61 Liquid 3" ViscosityLINEST'!I221+'10A61 Liquid 3" ViscosityLINEST'!C221*'10A61 Liquid 3"'!$B$4^('10A61 Liquid 3" ViscosityLINEST'!I221-1)+'10A61 Liquid 3" ViscosityLINEST'!D221*'10A61 Liquid 3"'!$B$4^('10A61 Liquid 3" ViscosityLINEST'!I221-2)+'10A61 Liquid 3" ViscosityLINEST'!E221*'10A61 Liquid 3"'!$B$4^('10A61 Liquid 3" ViscosityLINEST'!I221-3)+'10A61 Liquid 3" ViscosityLINEST'!F221*'10A61 Liquid 3"'!$B$4^('10A61 Liquid 3" ViscosityLINEST'!I221-4)</f>
        <v>363.30476190476196</v>
      </c>
    </row>
    <row r="222" spans="1:10">
      <c r="B222">
        <f t="array" ref="B222:H222">LINEST('10A61 Liquid 3"'!AG62:AG70,'10A61 Liquid 3"'!AF62:AF70^{1,2,3,4})</f>
        <v>0.30536130536130462</v>
      </c>
      <c r="C222">
        <v>-3.1761201761201572</v>
      </c>
      <c r="D222">
        <v>13.784265734265611</v>
      </c>
      <c r="E222">
        <v>-77.602939652939384</v>
      </c>
      <c r="F222">
        <v>429.55555555555549</v>
      </c>
      <c r="G222" t="e">
        <v>#N/A</v>
      </c>
      <c r="H222" t="e">
        <v>#N/A</v>
      </c>
      <c r="I222">
        <f t="shared" si="9"/>
        <v>4</v>
      </c>
      <c r="J222">
        <f>'10A61 Liquid 3" ViscosityLINEST'!B222*'10A61 Liquid 3"'!$B$4^'10A61 Liquid 3" ViscosityLINEST'!I222+'10A61 Liquid 3" ViscosityLINEST'!C222*'10A61 Liquid 3"'!$B$4^('10A61 Liquid 3" ViscosityLINEST'!I222-1)+'10A61 Liquid 3" ViscosityLINEST'!D222*'10A61 Liquid 3"'!$B$4^('10A61 Liquid 3" ViscosityLINEST'!I222-2)+'10A61 Liquid 3" ViscosityLINEST'!E222*'10A61 Liquid 3"'!$B$4^('10A61 Liquid 3" ViscosityLINEST'!I222-3)+'10A61 Liquid 3" ViscosityLINEST'!F222*'10A61 Liquid 3"'!$B$4^('10A61 Liquid 3" ViscosityLINEST'!I222-4)</f>
        <v>362.86612276612288</v>
      </c>
    </row>
    <row r="223" spans="1:10">
      <c r="A223">
        <v>1.2</v>
      </c>
      <c r="B223">
        <f t="array" ref="B223:H223">LINEST('10A61 Liquid 3"'!AG73:AG78,'10A61 Liquid 3"'!AF73:AF78^{1,2,3,4})</f>
        <v>-62.500000000018979</v>
      </c>
      <c r="C223">
        <v>138.42592592598393</v>
      </c>
      <c r="D223">
        <v>-58.958333333398059</v>
      </c>
      <c r="E223">
        <v>-78.437830687799448</v>
      </c>
      <c r="F223">
        <v>384.06587301586745</v>
      </c>
      <c r="G223" t="e">
        <v>#N/A</v>
      </c>
      <c r="H223" t="e">
        <v>#N/A</v>
      </c>
      <c r="I223">
        <f t="shared" si="9"/>
        <v>4</v>
      </c>
      <c r="J223">
        <f>'10A61 Liquid 3" ViscosityLINEST'!B223*'10A61 Liquid 3"'!$B$4^'10A61 Liquid 3" ViscosityLINEST'!I223+'10A61 Liquid 3" ViscosityLINEST'!C223*'10A61 Liquid 3"'!$B$4^('10A61 Liquid 3" ViscosityLINEST'!I223-1)+'10A61 Liquid 3" ViscosityLINEST'!D223*'10A61 Liquid 3"'!$B$4^('10A61 Liquid 3" ViscosityLINEST'!I223-2)+'10A61 Liquid 3" ViscosityLINEST'!E223*'10A61 Liquid 3"'!$B$4^('10A61 Liquid 3" ViscosityLINEST'!I223-3)+'10A61 Liquid 3" ViscosityLINEST'!F223*'10A61 Liquid 3"'!$B$4^('10A61 Liquid 3" ViscosityLINEST'!I223-4)</f>
        <v>322.59563492063489</v>
      </c>
    </row>
    <row r="224" spans="1:10">
      <c r="B224">
        <f t="array" ref="B224:H224">LINEST('10A61 Liquid 3"'!AG78:AG86,'10A61 Liquid 3"'!AF78:AF86^{1,2,3,4})</f>
        <v>0.24662004662003784</v>
      </c>
      <c r="C224">
        <v>-2.6705516705515566</v>
      </c>
      <c r="D224">
        <v>11.771678321677813</v>
      </c>
      <c r="E224">
        <v>-65.415695415694529</v>
      </c>
      <c r="F224">
        <v>378.44999999999953</v>
      </c>
      <c r="G224" t="e">
        <v>#N/A</v>
      </c>
      <c r="H224" t="e">
        <v>#N/A</v>
      </c>
      <c r="I224">
        <f t="shared" si="9"/>
        <v>4</v>
      </c>
      <c r="J224">
        <f>'10A61 Liquid 3" ViscosityLINEST'!B224*'10A61 Liquid 3"'!$B$4^'10A61 Liquid 3" ViscosityLINEST'!I224+'10A61 Liquid 3" ViscosityLINEST'!C224*'10A61 Liquid 3"'!$B$4^('10A61 Liquid 3" ViscosityLINEST'!I224-1)+'10A61 Liquid 3" ViscosityLINEST'!D224*'10A61 Liquid 3"'!$B$4^('10A61 Liquid 3" ViscosityLINEST'!I224-2)+'10A61 Liquid 3" ViscosityLINEST'!E224*'10A61 Liquid 3"'!$B$4^('10A61 Liquid 3" ViscosityLINEST'!I224-3)+'10A61 Liquid 3" ViscosityLINEST'!F224*'10A61 Liquid 3"'!$B$4^('10A61 Liquid 3" ViscosityLINEST'!I224-4)</f>
        <v>322.38205128205129</v>
      </c>
    </row>
    <row r="225" spans="1:10">
      <c r="A225">
        <v>1.4</v>
      </c>
      <c r="B225">
        <f t="array" ref="B225:H225">LINEST('10A61 Liquid 3"'!AG92:AG97,'10A61 Liquid 3"'!AF92:AF97^{1,2,3,4})</f>
        <v>-62.499999999999282</v>
      </c>
      <c r="C225">
        <v>153.24074074074036</v>
      </c>
      <c r="D225">
        <v>-97.291666666667979</v>
      </c>
      <c r="E225">
        <v>-42.657407407406133</v>
      </c>
      <c r="F225">
        <v>337.90555555555528</v>
      </c>
      <c r="G225" t="e">
        <v>#N/A</v>
      </c>
      <c r="H225" t="e">
        <v>#N/A</v>
      </c>
      <c r="I225">
        <f t="shared" si="9"/>
        <v>4</v>
      </c>
      <c r="J225">
        <f>'10A61 Liquid 3" ViscosityLINEST'!B225*'10A61 Liquid 3"'!$B$4^'10A61 Liquid 3" ViscosityLINEST'!I225+'10A61 Liquid 3" ViscosityLINEST'!C225*'10A61 Liquid 3"'!$B$4^('10A61 Liquid 3" ViscosityLINEST'!I225-1)+'10A61 Liquid 3" ViscosityLINEST'!D225*'10A61 Liquid 3"'!$B$4^('10A61 Liquid 3" ViscosityLINEST'!I225-2)+'10A61 Liquid 3" ViscosityLINEST'!E225*'10A61 Liquid 3"'!$B$4^('10A61 Liquid 3" ViscosityLINEST'!I225-3)+'10A61 Liquid 3" ViscosityLINEST'!F225*'10A61 Liquid 3"'!$B$4^('10A61 Liquid 3" ViscosityLINEST'!I225-4)</f>
        <v>288.69722222222225</v>
      </c>
    </row>
    <row r="226" spans="1:10">
      <c r="B226">
        <f t="array" ref="B226:H226">LINEST('10A61 Liquid 3"'!AG97:AG105,'10A61 Liquid 3"'!AF97:AF105^{1,2,3,4})</f>
        <v>0.1878787878787796</v>
      </c>
      <c r="C226">
        <v>-2.0451178451177405</v>
      </c>
      <c r="D226">
        <v>9.0136363636358965</v>
      </c>
      <c r="E226">
        <v>-53.952356902356065</v>
      </c>
      <c r="F226">
        <v>335.42222222222176</v>
      </c>
      <c r="G226" t="e">
        <v>#N/A</v>
      </c>
      <c r="H226" t="e">
        <v>#N/A</v>
      </c>
      <c r="I226">
        <f t="shared" si="9"/>
        <v>4</v>
      </c>
      <c r="J226">
        <f>'10A61 Liquid 3" ViscosityLINEST'!B226*'10A61 Liquid 3"'!$B$4^'10A61 Liquid 3" ViscosityLINEST'!I226+'10A61 Liquid 3" ViscosityLINEST'!C226*'10A61 Liquid 3"'!$B$4^('10A61 Liquid 3" ViscosityLINEST'!I226-1)+'10A61 Liquid 3" ViscosityLINEST'!D226*'10A61 Liquid 3"'!$B$4^('10A61 Liquid 3" ViscosityLINEST'!I226-2)+'10A61 Liquid 3" ViscosityLINEST'!E226*'10A61 Liquid 3"'!$B$4^('10A61 Liquid 3" ViscosityLINEST'!I226-3)+'10A61 Liquid 3" ViscosityLINEST'!F226*'10A61 Liquid 3"'!$B$4^('10A61 Liquid 3" ViscosityLINEST'!I226-4)</f>
        <v>288.62626262626264</v>
      </c>
    </row>
    <row r="227" spans="1:10">
      <c r="A227">
        <v>1.5</v>
      </c>
      <c r="B227">
        <f t="array" ref="B227:H227">LINEST('10A61 Liquid 3"'!AG108:AG113,'10A61 Liquid 3"'!AF108:AF113^{1,2,3,4})</f>
        <v>-124.99999999995822</v>
      </c>
      <c r="C227">
        <v>345.37037037024811</v>
      </c>
      <c r="D227">
        <v>-317.08333333320178</v>
      </c>
      <c r="E227">
        <v>70.189153439091783</v>
      </c>
      <c r="F227">
        <v>300.32063492064549</v>
      </c>
      <c r="G227" t="e">
        <v>#N/A</v>
      </c>
      <c r="H227" t="e">
        <v>#N/A</v>
      </c>
      <c r="I227">
        <f t="shared" si="9"/>
        <v>4</v>
      </c>
      <c r="J227">
        <f>'10A61 Liquid 3" ViscosityLINEST'!B227*'10A61 Liquid 3"'!$B$4^'10A61 Liquid 3" ViscosityLINEST'!I227+'10A61 Liquid 3" ViscosityLINEST'!C227*'10A61 Liquid 3"'!$B$4^('10A61 Liquid 3" ViscosityLINEST'!I227-1)+'10A61 Liquid 3" ViscosityLINEST'!D227*'10A61 Liquid 3"'!$B$4^('10A61 Liquid 3" ViscosityLINEST'!I227-2)+'10A61 Liquid 3" ViscosityLINEST'!E227*'10A61 Liquid 3"'!$B$4^('10A61 Liquid 3" ViscosityLINEST'!I227-3)+'10A61 Liquid 3" ViscosityLINEST'!F227*'10A61 Liquid 3"'!$B$4^('10A61 Liquid 3" ViscosityLINEST'!I227-4)</f>
        <v>273.7968253968254</v>
      </c>
    </row>
    <row r="228" spans="1:10">
      <c r="B228">
        <f t="array" ref="B228:H228">LINEST('10A61 Liquid 3"'!AG113:AG121,'10A61 Liquid 3"'!AF113:AF121^{1,2,3,4})</f>
        <v>0.18648018648018111</v>
      </c>
      <c r="C228">
        <v>-2.0465164465163763</v>
      </c>
      <c r="D228">
        <v>8.9170163170159906</v>
      </c>
      <c r="E228">
        <v>-50.970189070188461</v>
      </c>
      <c r="F228">
        <v>317.68888888888858</v>
      </c>
      <c r="G228" t="e">
        <v>#N/A</v>
      </c>
      <c r="H228" t="e">
        <v>#N/A</v>
      </c>
      <c r="I228">
        <f t="shared" si="9"/>
        <v>4</v>
      </c>
      <c r="J228">
        <f>'10A61 Liquid 3" ViscosityLINEST'!B228*'10A61 Liquid 3"'!$B$4^'10A61 Liquid 3" ViscosityLINEST'!I228+'10A61 Liquid 3" ViscosityLINEST'!C228*'10A61 Liquid 3"'!$B$4^('10A61 Liquid 3" ViscosityLINEST'!I228-1)+'10A61 Liquid 3" ViscosityLINEST'!D228*'10A61 Liquid 3"'!$B$4^('10A61 Liquid 3" ViscosityLINEST'!I228-2)+'10A61 Liquid 3" ViscosityLINEST'!E228*'10A61 Liquid 3"'!$B$4^('10A61 Liquid 3" ViscosityLINEST'!I228-3)+'10A61 Liquid 3" ViscosityLINEST'!F228*'10A61 Liquid 3"'!$B$4^('10A61 Liquid 3" ViscosityLINEST'!I228-4)</f>
        <v>273.77567987567994</v>
      </c>
    </row>
    <row r="230" spans="1:10">
      <c r="A230" s="5" t="s">
        <v>92</v>
      </c>
      <c r="I230">
        <f t="shared" ref="I230:I244" si="10">COUNT(B230:H230)-1</f>
        <v>-1</v>
      </c>
      <c r="J230">
        <f>'10A61 Liquid 3" ViscosityLINEST'!B230*'10A61 Liquid 3"'!$B$4^'10A61 Liquid 3" ViscosityLINEST'!I230+'10A61 Liquid 3" ViscosityLINEST'!C230*'10A61 Liquid 3"'!$B$4^('10A61 Liquid 3" ViscosityLINEST'!I230-1)+'10A61 Liquid 3" ViscosityLINEST'!D230*'10A61 Liquid 3"'!$B$4^('10A61 Liquid 3" ViscosityLINEST'!I230-2)+'10A61 Liquid 3" ViscosityLINEST'!E230*'10A61 Liquid 3"'!$B$4^('10A61 Liquid 3" ViscosityLINEST'!I230-3)+'10A61 Liquid 3" ViscosityLINEST'!F230*'10A61 Liquid 3"'!$B$4^('10A61 Liquid 3" ViscosityLINEST'!I230-4)</f>
        <v>0</v>
      </c>
    </row>
    <row r="231" spans="1:10">
      <c r="A231">
        <v>0.4</v>
      </c>
      <c r="B231">
        <f t="array" ref="B231:H231">LINEST('10A61 Liquid 3"'!AI6:AI11,'10A61 Liquid 3"'!AH6:AH11^{1,2,3,4})</f>
        <v>-125.00000000011275</v>
      </c>
      <c r="C231">
        <v>456.48148148182554</v>
      </c>
      <c r="D231">
        <v>-552.08333333371866</v>
      </c>
      <c r="E231">
        <v>109.57804232822983</v>
      </c>
      <c r="F231">
        <v>701.75396825393477</v>
      </c>
      <c r="G231" t="e">
        <v>#N/A</v>
      </c>
      <c r="H231" t="e">
        <v>#N/A</v>
      </c>
      <c r="I231">
        <f t="shared" si="10"/>
        <v>4</v>
      </c>
      <c r="J231">
        <f>'10A61 Liquid 3" ViscosityLINEST'!B231*'10A61 Liquid 3"'!$B$4^'10A61 Liquid 3" ViscosityLINEST'!I231+'10A61 Liquid 3" ViscosityLINEST'!C231*'10A61 Liquid 3"'!$B$4^('10A61 Liquid 3" ViscosityLINEST'!I231-1)+'10A61 Liquid 3" ViscosityLINEST'!D231*'10A61 Liquid 3"'!$B$4^('10A61 Liquid 3" ViscosityLINEST'!I231-2)+'10A61 Liquid 3" ViscosityLINEST'!E231*'10A61 Liquid 3"'!$B$4^('10A61 Liquid 3" ViscosityLINEST'!I231-3)+'10A61 Liquid 3" ViscosityLINEST'!F231*'10A61 Liquid 3"'!$B$4^('10A61 Liquid 3" ViscosityLINEST'!I231-4)</f>
        <v>590.73015873015868</v>
      </c>
    </row>
    <row r="232" spans="1:10">
      <c r="B232">
        <f t="array" ref="B232:H232">LINEST('10A61 Liquid 3"'!AI11:AI19,'10A61 Liquid 3"'!AH11:AH19^{1,2,3,4})</f>
        <v>-0.43822843822845037</v>
      </c>
      <c r="C232">
        <v>2.329448329448506</v>
      </c>
      <c r="D232">
        <v>25.200466200465321</v>
      </c>
      <c r="E232">
        <v>-251.79448329448155</v>
      </c>
      <c r="F232">
        <v>815.33333333333212</v>
      </c>
      <c r="G232" t="e">
        <v>#N/A</v>
      </c>
      <c r="H232" t="e">
        <v>#N/A</v>
      </c>
      <c r="I232">
        <f t="shared" si="10"/>
        <v>4</v>
      </c>
      <c r="J232">
        <f>'10A61 Liquid 3" ViscosityLINEST'!B232*'10A61 Liquid 3"'!$B$4^'10A61 Liquid 3" ViscosityLINEST'!I232+'10A61 Liquid 3" ViscosityLINEST'!C232*'10A61 Liquid 3"'!$B$4^('10A61 Liquid 3" ViscosityLINEST'!I232-1)+'10A61 Liquid 3" ViscosityLINEST'!D232*'10A61 Liquid 3"'!$B$4^('10A61 Liquid 3" ViscosityLINEST'!I232-2)+'10A61 Liquid 3" ViscosityLINEST'!E232*'10A61 Liquid 3"'!$B$4^('10A61 Liquid 3" ViscosityLINEST'!I232-3)+'10A61 Liquid 3" ViscosityLINEST'!F232*'10A61 Liquid 3"'!$B$4^('10A61 Liquid 3" ViscosityLINEST'!I232-4)</f>
        <v>590.63053613053592</v>
      </c>
    </row>
    <row r="233" spans="1:10">
      <c r="A233">
        <v>0.6</v>
      </c>
      <c r="B233">
        <f t="array" ref="B233:H233">LINEST('10A61 Liquid 3"'!AI23:AI28,'10A61 Liquid 3"'!AH23:AH28^{1,2,3,4})</f>
        <v>-62.499999999851838</v>
      </c>
      <c r="C233">
        <v>212.4999999995554</v>
      </c>
      <c r="D233">
        <v>-275.62499999951064</v>
      </c>
      <c r="E233">
        <v>50.535714285480495</v>
      </c>
      <c r="F233">
        <v>569.43571428575513</v>
      </c>
      <c r="G233" t="e">
        <v>#N/A</v>
      </c>
      <c r="H233" t="e">
        <v>#N/A</v>
      </c>
      <c r="I233">
        <f t="shared" si="10"/>
        <v>4</v>
      </c>
      <c r="J233">
        <f>'10A61 Liquid 3" ViscosityLINEST'!B233*'10A61 Liquid 3"'!$B$4^'10A61 Liquid 3" ViscosityLINEST'!I233+'10A61 Liquid 3" ViscosityLINEST'!C233*'10A61 Liquid 3"'!$B$4^('10A61 Liquid 3" ViscosityLINEST'!I233-1)+'10A61 Liquid 3" ViscosityLINEST'!D233*'10A61 Liquid 3"'!$B$4^('10A61 Liquid 3" ViscosityLINEST'!I233-2)+'10A61 Liquid 3" ViscosityLINEST'!E233*'10A61 Liquid 3"'!$B$4^('10A61 Liquid 3" ViscosityLINEST'!I233-3)+'10A61 Liquid 3" ViscosityLINEST'!F233*'10A61 Liquid 3"'!$B$4^('10A61 Liquid 3" ViscosityLINEST'!I233-4)</f>
        <v>494.34642857142853</v>
      </c>
    </row>
    <row r="234" spans="1:10">
      <c r="B234">
        <f t="array" ref="B234:H234">LINEST('10A61 Liquid 3"'!AI28:AI36,'10A61 Liquid 3"'!AH28:AH36^{1,2,3,4})</f>
        <v>-0.9766899766899706</v>
      </c>
      <c r="C234">
        <v>11.757316757316696</v>
      </c>
      <c r="D234">
        <v>-36.101282051281835</v>
      </c>
      <c r="E234">
        <v>-70.666601916602247</v>
      </c>
      <c r="F234">
        <v>591.24444444444453</v>
      </c>
      <c r="G234" t="e">
        <v>#N/A</v>
      </c>
      <c r="H234" t="e">
        <v>#N/A</v>
      </c>
      <c r="I234">
        <f t="shared" si="10"/>
        <v>4</v>
      </c>
      <c r="J234">
        <f>'10A61 Liquid 3" ViscosityLINEST'!B234*'10A61 Liquid 3"'!$B$4^'10A61 Liquid 3" ViscosityLINEST'!I234+'10A61 Liquid 3" ViscosityLINEST'!C234*'10A61 Liquid 3"'!$B$4^('10A61 Liquid 3" ViscosityLINEST'!I234-1)+'10A61 Liquid 3" ViscosityLINEST'!D234*'10A61 Liquid 3"'!$B$4^('10A61 Liquid 3" ViscosityLINEST'!I234-2)+'10A61 Liquid 3" ViscosityLINEST'!E234*'10A61 Liquid 3"'!$B$4^('10A61 Liquid 3" ViscosityLINEST'!I234-3)+'10A61 Liquid 3" ViscosityLINEST'!F234*'10A61 Liquid 3"'!$B$4^('10A61 Liquid 3" ViscosityLINEST'!I234-4)</f>
        <v>495.25718725718718</v>
      </c>
    </row>
    <row r="235" spans="1:10">
      <c r="A235">
        <v>0.8</v>
      </c>
      <c r="B235">
        <f t="array" ref="B235:H235">LINEST('10A61 Liquid 3"'!AI41:AI46,'10A61 Liquid 3"'!AH41:AH46^{1,2,3,4})</f>
        <v>-916.66666666657659</v>
      </c>
      <c r="C235">
        <v>2816.6666666664191</v>
      </c>
      <c r="D235">
        <v>-3200.8333333330866</v>
      </c>
      <c r="E235">
        <v>1512.6904761903706</v>
      </c>
      <c r="F235">
        <v>221.95714285715923</v>
      </c>
      <c r="G235" t="e">
        <v>#N/A</v>
      </c>
      <c r="H235" t="e">
        <v>#N/A</v>
      </c>
      <c r="I235">
        <f t="shared" si="10"/>
        <v>4</v>
      </c>
      <c r="J235">
        <f>'10A61 Liquid 3" ViscosityLINEST'!B235*'10A61 Liquid 3"'!$B$4^'10A61 Liquid 3" ViscosityLINEST'!I235+'10A61 Liquid 3" ViscosityLINEST'!C235*'10A61 Liquid 3"'!$B$4^('10A61 Liquid 3" ViscosityLINEST'!I235-1)+'10A61 Liquid 3" ViscosityLINEST'!D235*'10A61 Liquid 3"'!$B$4^('10A61 Liquid 3" ViscosityLINEST'!I235-2)+'10A61 Liquid 3" ViscosityLINEST'!E235*'10A61 Liquid 3"'!$B$4^('10A61 Liquid 3" ViscosityLINEST'!I235-3)+'10A61 Liquid 3" ViscosityLINEST'!F235*'10A61 Liquid 3"'!$B$4^('10A61 Liquid 3" ViscosityLINEST'!I235-4)</f>
        <v>433.81428571428597</v>
      </c>
    </row>
    <row r="236" spans="1:10">
      <c r="B236">
        <f t="array" ref="B236:H236">LINEST('10A61 Liquid 3"'!AI46:AI54,'10A61 Liquid 3"'!AH46:AH54^{1,2,3,4})</f>
        <v>-0.82610722610721232</v>
      </c>
      <c r="C236">
        <v>10.64864024864008</v>
      </c>
      <c r="D236">
        <v>-39.269230769230042</v>
      </c>
      <c r="E236">
        <v>-28.024281274282544</v>
      </c>
      <c r="F236">
        <v>491.81666666666729</v>
      </c>
      <c r="G236" t="e">
        <v>#N/A</v>
      </c>
      <c r="H236" t="e">
        <v>#N/A</v>
      </c>
      <c r="I236">
        <f t="shared" si="10"/>
        <v>4</v>
      </c>
      <c r="J236">
        <f>'10A61 Liquid 3" ViscosityLINEST'!B236*'10A61 Liquid 3"'!$B$4^'10A61 Liquid 3" ViscosityLINEST'!I236+'10A61 Liquid 3" ViscosityLINEST'!C236*'10A61 Liquid 3"'!$B$4^('10A61 Liquid 3" ViscosityLINEST'!I236-1)+'10A61 Liquid 3" ViscosityLINEST'!D236*'10A61 Liquid 3"'!$B$4^('10A61 Liquid 3" ViscosityLINEST'!I236-2)+'10A61 Liquid 3" ViscosityLINEST'!E236*'10A61 Liquid 3"'!$B$4^('10A61 Liquid 3" ViscosityLINEST'!I236-3)+'10A61 Liquid 3" ViscosityLINEST'!F236*'10A61 Liquid 3"'!$B$4^('10A61 Liquid 3" ViscosityLINEST'!I236-4)</f>
        <v>434.34568764568758</v>
      </c>
    </row>
    <row r="237" spans="1:10">
      <c r="A237">
        <v>1</v>
      </c>
      <c r="B237">
        <f t="array" ref="B237:H237">LINEST('10A61 Liquid 3"'!AI57:AI62,'10A61 Liquid 3"'!AH57:AH62^{1,2,3,4})</f>
        <v>749.99999999975876</v>
      </c>
      <c r="C237">
        <v>-2138.8888888881756</v>
      </c>
      <c r="D237">
        <v>2212.4999999992256</v>
      </c>
      <c r="E237">
        <v>-1041.7539682536024</v>
      </c>
      <c r="F237">
        <v>608.19047619041271</v>
      </c>
      <c r="G237" t="e">
        <v>#N/A</v>
      </c>
      <c r="H237" t="e">
        <v>#N/A</v>
      </c>
      <c r="I237">
        <f t="shared" si="10"/>
        <v>4</v>
      </c>
      <c r="J237">
        <f>'10A61 Liquid 3" ViscosityLINEST'!B237*'10A61 Liquid 3"'!$B$4^'10A61 Liquid 3" ViscosityLINEST'!I237+'10A61 Liquid 3" ViscosityLINEST'!C237*'10A61 Liquid 3"'!$B$4^('10A61 Liquid 3" ViscosityLINEST'!I237-1)+'10A61 Liquid 3" ViscosityLINEST'!D237*'10A61 Liquid 3"'!$B$4^('10A61 Liquid 3" ViscosityLINEST'!I237-2)+'10A61 Liquid 3" ViscosityLINEST'!E237*'10A61 Liquid 3"'!$B$4^('10A61 Liquid 3" ViscosityLINEST'!I237-3)+'10A61 Liquid 3" ViscosityLINEST'!F237*'10A61 Liquid 3"'!$B$4^('10A61 Liquid 3" ViscosityLINEST'!I237-4)</f>
        <v>390.04761904761904</v>
      </c>
    </row>
    <row r="238" spans="1:10">
      <c r="B238">
        <f t="array" ref="B238:H238">LINEST('10A61 Liquid 3"'!AI62:AI70,'10A61 Liquid 3"'!AH62:AH70^{1,2,3,4})</f>
        <v>-1.0354312354312052</v>
      </c>
      <c r="C238">
        <v>13.454804454804087</v>
      </c>
      <c r="D238">
        <v>-55.065384615383003</v>
      </c>
      <c r="E238">
        <v>21.165086765083796</v>
      </c>
      <c r="F238">
        <v>411.70555555555734</v>
      </c>
      <c r="G238" t="e">
        <v>#N/A</v>
      </c>
      <c r="H238" t="e">
        <v>#N/A</v>
      </c>
      <c r="I238">
        <f t="shared" si="10"/>
        <v>4</v>
      </c>
      <c r="J238">
        <f>'10A61 Liquid 3" ViscosityLINEST'!B238*'10A61 Liquid 3"'!$B$4^'10A61 Liquid 3" ViscosityLINEST'!I238+'10A61 Liquid 3" ViscosityLINEST'!C238*'10A61 Liquid 3"'!$B$4^('10A61 Liquid 3" ViscosityLINEST'!I238-1)+'10A61 Liquid 3" ViscosityLINEST'!D238*'10A61 Liquid 3"'!$B$4^('10A61 Liquid 3" ViscosityLINEST'!I238-2)+'10A61 Liquid 3" ViscosityLINEST'!E238*'10A61 Liquid 3"'!$B$4^('10A61 Liquid 3" ViscosityLINEST'!I238-3)+'10A61 Liquid 3" ViscosityLINEST'!F238*'10A61 Liquid 3"'!$B$4^('10A61 Liquid 3" ViscosityLINEST'!I238-4)</f>
        <v>390.22463092463101</v>
      </c>
    </row>
    <row r="239" spans="1:10">
      <c r="A239">
        <v>1.2</v>
      </c>
      <c r="B239">
        <f t="array" ref="B239:H239">LINEST('10A61 Liquid 3"'!AI73:AI78,'10A61 Liquid 3"'!AH73:AH78^{1,2,3,4})</f>
        <v>354.16666666662832</v>
      </c>
      <c r="C239">
        <v>-1004.1666666665585</v>
      </c>
      <c r="D239">
        <v>1010.2083333332214</v>
      </c>
      <c r="E239">
        <v>-469.72619047614018</v>
      </c>
      <c r="F239">
        <v>464.2071428571345</v>
      </c>
      <c r="G239" t="e">
        <v>#N/A</v>
      </c>
      <c r="H239" t="e">
        <v>#N/A</v>
      </c>
      <c r="I239">
        <f t="shared" si="10"/>
        <v>4</v>
      </c>
      <c r="J239">
        <f>'10A61 Liquid 3" ViscosityLINEST'!B239*'10A61 Liquid 3"'!$B$4^'10A61 Liquid 3" ViscosityLINEST'!I239+'10A61 Liquid 3" ViscosityLINEST'!C239*'10A61 Liquid 3"'!$B$4^('10A61 Liquid 3" ViscosityLINEST'!I239-1)+'10A61 Liquid 3" ViscosityLINEST'!D239*'10A61 Liquid 3"'!$B$4^('10A61 Liquid 3" ViscosityLINEST'!I239-2)+'10A61 Liquid 3" ViscosityLINEST'!E239*'10A61 Liquid 3"'!$B$4^('10A61 Liquid 3" ViscosityLINEST'!I239-3)+'10A61 Liquid 3" ViscosityLINEST'!F239*'10A61 Liquid 3"'!$B$4^('10A61 Liquid 3" ViscosityLINEST'!I239-4)</f>
        <v>354.68928571428552</v>
      </c>
    </row>
    <row r="240" spans="1:10">
      <c r="B240">
        <f t="array" ref="B240:H240">LINEST('10A61 Liquid 3"'!AI78:AI86,'10A61 Liquid 3"'!AH78:AH86^{1,2,3,4})</f>
        <v>-0.72680652680650704</v>
      </c>
      <c r="C240">
        <v>9.7122507122504658</v>
      </c>
      <c r="D240">
        <v>-40.906177156176049</v>
      </c>
      <c r="E240">
        <v>11.249210049207973</v>
      </c>
      <c r="F240">
        <v>375.32777777777915</v>
      </c>
      <c r="G240" t="e">
        <v>#N/A</v>
      </c>
      <c r="H240" t="e">
        <v>#N/A</v>
      </c>
      <c r="I240">
        <f t="shared" si="10"/>
        <v>4</v>
      </c>
      <c r="J240">
        <f>'10A61 Liquid 3" ViscosityLINEST'!B240*'10A61 Liquid 3"'!$B$4^'10A61 Liquid 3" ViscosityLINEST'!I240+'10A61 Liquid 3" ViscosityLINEST'!C240*'10A61 Liquid 3"'!$B$4^('10A61 Liquid 3" ViscosityLINEST'!I240-1)+'10A61 Liquid 3" ViscosityLINEST'!D240*'10A61 Liquid 3"'!$B$4^('10A61 Liquid 3" ViscosityLINEST'!I240-2)+'10A61 Liquid 3" ViscosityLINEST'!E240*'10A61 Liquid 3"'!$B$4^('10A61 Liquid 3" ViscosityLINEST'!I240-3)+'10A61 Liquid 3" ViscosityLINEST'!F240*'10A61 Liquid 3"'!$B$4^('10A61 Liquid 3" ViscosityLINEST'!I240-4)</f>
        <v>354.65625485625503</v>
      </c>
    </row>
    <row r="241" spans="1:10">
      <c r="A241">
        <v>1.4</v>
      </c>
      <c r="B241">
        <f t="array" ref="B241:H241">LINEST('10A61 Liquid 3"'!AI92:AI97,'10A61 Liquid 3"'!AH92:AH97^{1,2,3,4})</f>
        <v>145.83333333340187</v>
      </c>
      <c r="C241">
        <v>-405.09259259280151</v>
      </c>
      <c r="D241">
        <v>373.12500000023357</v>
      </c>
      <c r="E241">
        <v>-162.96693121704456</v>
      </c>
      <c r="F241">
        <v>375.46269841271845</v>
      </c>
      <c r="G241" t="e">
        <v>#N/A</v>
      </c>
      <c r="H241" t="e">
        <v>#N/A</v>
      </c>
      <c r="I241">
        <f t="shared" si="10"/>
        <v>4</v>
      </c>
      <c r="J241">
        <f>'10A61 Liquid 3" ViscosityLINEST'!B241*'10A61 Liquid 3"'!$B$4^'10A61 Liquid 3" ViscosityLINEST'!I241+'10A61 Liquid 3" ViscosityLINEST'!C241*'10A61 Liquid 3"'!$B$4^('10A61 Liquid 3" ViscosityLINEST'!I241-1)+'10A61 Liquid 3" ViscosityLINEST'!D241*'10A61 Liquid 3"'!$B$4^('10A61 Liquid 3" ViscosityLINEST'!I241-2)+'10A61 Liquid 3" ViscosityLINEST'!E241*'10A61 Liquid 3"'!$B$4^('10A61 Liquid 3" ViscosityLINEST'!I241-3)+'10A61 Liquid 3" ViscosityLINEST'!F241*'10A61 Liquid 3"'!$B$4^('10A61 Liquid 3" ViscosityLINEST'!I241-4)</f>
        <v>326.36150793650779</v>
      </c>
    </row>
    <row r="242" spans="1:10">
      <c r="B242">
        <f t="array" ref="B242:H242">LINEST('10A61 Liquid 3"'!AI97:AI105,'10A61 Liquid 3"'!AH97:AH105^{1,2,3,4})</f>
        <v>5.9673659673642306E-2</v>
      </c>
      <c r="C242">
        <v>-0.63662263662241925</v>
      </c>
      <c r="D242">
        <v>5.727505827504876</v>
      </c>
      <c r="E242">
        <v>-65.178723128721444</v>
      </c>
      <c r="F242">
        <v>387.19444444444338</v>
      </c>
      <c r="G242" t="e">
        <v>#N/A</v>
      </c>
      <c r="H242" t="e">
        <v>#N/A</v>
      </c>
      <c r="I242">
        <f t="shared" si="10"/>
        <v>4</v>
      </c>
      <c r="J242">
        <f>'10A61 Liquid 3" ViscosityLINEST'!B242*'10A61 Liquid 3"'!$B$4^'10A61 Liquid 3" ViscosityLINEST'!I242+'10A61 Liquid 3" ViscosityLINEST'!C242*'10A61 Liquid 3"'!$B$4^('10A61 Liquid 3" ViscosityLINEST'!I242-1)+'10A61 Liquid 3" ViscosityLINEST'!D242*'10A61 Liquid 3"'!$B$4^('10A61 Liquid 3" ViscosityLINEST'!I242-2)+'10A61 Liquid 3" ViscosityLINEST'!E242*'10A61 Liquid 3"'!$B$4^('10A61 Liquid 3" ViscosityLINEST'!I242-3)+'10A61 Liquid 3" ViscosityLINEST'!F242*'10A61 Liquid 3"'!$B$4^('10A61 Liquid 3" ViscosityLINEST'!I242-4)</f>
        <v>327.16627816627806</v>
      </c>
    </row>
    <row r="243" spans="1:10">
      <c r="A243">
        <v>1.5</v>
      </c>
      <c r="B243">
        <f t="array" ref="B243:H243">LINEST('10A61 Liquid 3"'!AI108:AI113,'10A61 Liquid 3"'!AH108:AH113^{1,2,3,4})</f>
        <v>-229.16666666658458</v>
      </c>
      <c r="C243">
        <v>719.90740740716876</v>
      </c>
      <c r="D243">
        <v>-865.62499999974534</v>
      </c>
      <c r="E243">
        <v>432.96164021152202</v>
      </c>
      <c r="F243">
        <v>255.99126984128992</v>
      </c>
      <c r="G243" t="e">
        <v>#N/A</v>
      </c>
      <c r="H243" t="e">
        <v>#N/A</v>
      </c>
      <c r="I243">
        <f t="shared" si="10"/>
        <v>4</v>
      </c>
      <c r="J243">
        <f>'10A61 Liquid 3" ViscosityLINEST'!B243*'10A61 Liquid 3"'!$B$4^'10A61 Liquid 3" ViscosityLINEST'!I243+'10A61 Liquid 3" ViscosityLINEST'!C243*'10A61 Liquid 3"'!$B$4^('10A61 Liquid 3" ViscosityLINEST'!I243-1)+'10A61 Liquid 3" ViscosityLINEST'!D243*'10A61 Liquid 3"'!$B$4^('10A61 Liquid 3" ViscosityLINEST'!I243-2)+'10A61 Liquid 3" ViscosityLINEST'!E243*'10A61 Liquid 3"'!$B$4^('10A61 Liquid 3" ViscosityLINEST'!I243-3)+'10A61 Liquid 3" ViscosityLINEST'!F243*'10A61 Liquid 3"'!$B$4^('10A61 Liquid 3" ViscosityLINEST'!I243-4)</f>
        <v>314.06865079365082</v>
      </c>
    </row>
    <row r="244" spans="1:10">
      <c r="B244">
        <f t="array" ref="B244:H244">LINEST('10A61 Liquid 3"'!AI113:AI121,'10A61 Liquid 3"'!AH113:AH121^{1,2,3,4})</f>
        <v>-0.3319347319347154</v>
      </c>
      <c r="C244">
        <v>4.951566951566746</v>
      </c>
      <c r="D244">
        <v>-22.5958041958033</v>
      </c>
      <c r="E244">
        <v>-4.8318311318327289</v>
      </c>
      <c r="F244">
        <v>336.64444444444536</v>
      </c>
      <c r="G244" t="e">
        <v>#N/A</v>
      </c>
      <c r="H244" t="e">
        <v>#N/A</v>
      </c>
      <c r="I244">
        <f t="shared" si="10"/>
        <v>4</v>
      </c>
      <c r="J244">
        <f>'10A61 Liquid 3" ViscosityLINEST'!B244*'10A61 Liquid 3"'!$B$4^'10A61 Liquid 3" ViscosityLINEST'!I244+'10A61 Liquid 3" ViscosityLINEST'!C244*'10A61 Liquid 3"'!$B$4^('10A61 Liquid 3" ViscosityLINEST'!I244-1)+'10A61 Liquid 3" ViscosityLINEST'!D244*'10A61 Liquid 3"'!$B$4^('10A61 Liquid 3" ViscosityLINEST'!I244-2)+'10A61 Liquid 3" ViscosityLINEST'!E244*'10A61 Liquid 3"'!$B$4^('10A61 Liquid 3" ViscosityLINEST'!I244-3)+'10A61 Liquid 3" ViscosityLINEST'!F244*'10A61 Liquid 3"'!$B$4^('10A61 Liquid 3" ViscosityLINEST'!I244-4)</f>
        <v>313.83644133644134</v>
      </c>
    </row>
    <row r="246" spans="1:10">
      <c r="A246" s="5" t="s">
        <v>93</v>
      </c>
      <c r="I246">
        <f t="shared" ref="I246:I260" si="11">COUNT(B246:H246)-1</f>
        <v>-1</v>
      </c>
      <c r="J246">
        <f>'10A61 Liquid 3" ViscosityLINEST'!B246*'10A61 Liquid 3"'!$B$4^'10A61 Liquid 3" ViscosityLINEST'!I246+'10A61 Liquid 3" ViscosityLINEST'!C246*'10A61 Liquid 3"'!$B$4^('10A61 Liquid 3" ViscosityLINEST'!I246-1)+'10A61 Liquid 3" ViscosityLINEST'!D246*'10A61 Liquid 3"'!$B$4^('10A61 Liquid 3" ViscosityLINEST'!I246-2)+'10A61 Liquid 3" ViscosityLINEST'!E246*'10A61 Liquid 3"'!$B$4^('10A61 Liquid 3" ViscosityLINEST'!I246-3)+'10A61 Liquid 3" ViscosityLINEST'!F246*'10A61 Liquid 3"'!$B$4^('10A61 Liquid 3" ViscosityLINEST'!I246-4)</f>
        <v>0</v>
      </c>
    </row>
    <row r="247" spans="1:10">
      <c r="A247">
        <v>0.4</v>
      </c>
      <c r="B247">
        <f t="array" ref="B247:H247">LINEST('10A61 Liquid 3"'!AK6:AK11,'10A61 Liquid 3"'!AJ6:AJ11^{1,2,3,4})</f>
        <v>-1687.4999999998631</v>
      </c>
      <c r="C247">
        <v>5193.0555555551746</v>
      </c>
      <c r="D247">
        <v>-5911.8749999996126</v>
      </c>
      <c r="E247">
        <v>2787.7658730157023</v>
      </c>
      <c r="F247">
        <v>490.08809523812238</v>
      </c>
      <c r="G247" t="e">
        <v>#N/A</v>
      </c>
      <c r="H247" t="e">
        <v>#N/A</v>
      </c>
      <c r="I247">
        <f t="shared" si="11"/>
        <v>4</v>
      </c>
      <c r="J247">
        <f>'10A61 Liquid 3" ViscosityLINEST'!B247*'10A61 Liquid 3"'!$B$4^'10A61 Liquid 3" ViscosityLINEST'!I247+'10A61 Liquid 3" ViscosityLINEST'!C247*'10A61 Liquid 3"'!$B$4^('10A61 Liquid 3" ViscosityLINEST'!I247-1)+'10A61 Liquid 3" ViscosityLINEST'!D247*'10A61 Liquid 3"'!$B$4^('10A61 Liquid 3" ViscosityLINEST'!I247-2)+'10A61 Liquid 3" ViscosityLINEST'!E247*'10A61 Liquid 3"'!$B$4^('10A61 Liquid 3" ViscosityLINEST'!I247-3)+'10A61 Liquid 3" ViscosityLINEST'!F247*'10A61 Liquid 3"'!$B$4^('10A61 Liquid 3" ViscosityLINEST'!I247-4)</f>
        <v>871.53452380952353</v>
      </c>
    </row>
    <row r="248" spans="1:10">
      <c r="B248">
        <f t="array" ref="B248:H248">LINEST('10A61 Liquid 3"'!AK11:AK19,'10A61 Liquid 3"'!AJ11:AJ19^{1,2,3,4})</f>
        <v>-1.6787878787878587</v>
      </c>
      <c r="C248">
        <v>21.647811447811197</v>
      </c>
      <c r="D248">
        <v>-80.243939393938248</v>
      </c>
      <c r="E248">
        <v>-52.913468013470279</v>
      </c>
      <c r="F248">
        <v>985.77222222222395</v>
      </c>
      <c r="G248" t="e">
        <v>#N/A</v>
      </c>
      <c r="H248" t="e">
        <v>#N/A</v>
      </c>
      <c r="I248">
        <f t="shared" si="11"/>
        <v>4</v>
      </c>
      <c r="J248">
        <f>'10A61 Liquid 3" ViscosityLINEST'!B248*'10A61 Liquid 3"'!$B$4^'10A61 Liquid 3" ViscosityLINEST'!I248+'10A61 Liquid 3" ViscosityLINEST'!C248*'10A61 Liquid 3"'!$B$4^('10A61 Liquid 3" ViscosityLINEST'!I248-1)+'10A61 Liquid 3" ViscosityLINEST'!D248*'10A61 Liquid 3"'!$B$4^('10A61 Liquid 3" ViscosityLINEST'!I248-2)+'10A61 Liquid 3" ViscosityLINEST'!E248*'10A61 Liquid 3"'!$B$4^('10A61 Liquid 3" ViscosityLINEST'!I248-3)+'10A61 Liquid 3" ViscosityLINEST'!F248*'10A61 Liquid 3"'!$B$4^('10A61 Liquid 3" ViscosityLINEST'!I248-4)</f>
        <v>872.58383838383872</v>
      </c>
    </row>
    <row r="249" spans="1:10">
      <c r="A249">
        <v>0.6</v>
      </c>
      <c r="B249">
        <f t="array" ref="B249:H249">LINEST('10A61 Liquid 3"'!AK23:AK28,'10A61 Liquid 3"'!AJ23:AJ28^{1,2,3,4})</f>
        <v>583.33333333339226</v>
      </c>
      <c r="C249">
        <v>-1657.4074074075991</v>
      </c>
      <c r="D249">
        <v>1650.8333333335615</v>
      </c>
      <c r="E249">
        <v>-763.14021164032931</v>
      </c>
      <c r="F249">
        <v>916.53015873018091</v>
      </c>
      <c r="G249" t="e">
        <v>#N/A</v>
      </c>
      <c r="H249" t="e">
        <v>#N/A</v>
      </c>
      <c r="I249">
        <f t="shared" si="11"/>
        <v>4</v>
      </c>
      <c r="J249">
        <f>'10A61 Liquid 3" ViscosityLINEST'!B249*'10A61 Liquid 3"'!$B$4^'10A61 Liquid 3" ViscosityLINEST'!I249+'10A61 Liquid 3" ViscosityLINEST'!C249*'10A61 Liquid 3"'!$B$4^('10A61 Liquid 3" ViscosityLINEST'!I249-1)+'10A61 Liquid 3" ViscosityLINEST'!D249*'10A61 Liquid 3"'!$B$4^('10A61 Liquid 3" ViscosityLINEST'!I249-2)+'10A61 Liquid 3" ViscosityLINEST'!E249*'10A61 Liquid 3"'!$B$4^('10A61 Liquid 3" ViscosityLINEST'!I249-3)+'10A61 Liquid 3" ViscosityLINEST'!F249*'10A61 Liquid 3"'!$B$4^('10A61 Liquid 3" ViscosityLINEST'!I249-4)</f>
        <v>730.14920634920645</v>
      </c>
    </row>
    <row r="250" spans="1:10">
      <c r="B250">
        <f t="array" ref="B250:H250">LINEST('10A61 Liquid 3"'!AK28:AK36,'10A61 Liquid 3"'!AJ28:AJ36^{1,2,3,4})</f>
        <v>-1.3496503496503041</v>
      </c>
      <c r="C250">
        <v>18.246309246308666</v>
      </c>
      <c r="D250">
        <v>-77.726223776221175</v>
      </c>
      <c r="E250">
        <v>17.203574203569367</v>
      </c>
      <c r="F250">
        <v>773.55000000000314</v>
      </c>
      <c r="G250" t="e">
        <v>#N/A</v>
      </c>
      <c r="H250" t="e">
        <v>#N/A</v>
      </c>
      <c r="I250">
        <f t="shared" si="11"/>
        <v>4</v>
      </c>
      <c r="J250">
        <f>'10A61 Liquid 3" ViscosityLINEST'!B250*'10A61 Liquid 3"'!$B$4^'10A61 Liquid 3" ViscosityLINEST'!I250+'10A61 Liquid 3" ViscosityLINEST'!C250*'10A61 Liquid 3"'!$B$4^('10A61 Liquid 3" ViscosityLINEST'!I250-1)+'10A61 Liquid 3" ViscosityLINEST'!D250*'10A61 Liquid 3"'!$B$4^('10A61 Liquid 3" ViscosityLINEST'!I250-2)+'10A61 Liquid 3" ViscosityLINEST'!E250*'10A61 Liquid 3"'!$B$4^('10A61 Liquid 3" ViscosityLINEST'!I250-3)+'10A61 Liquid 3" ViscosityLINEST'!F250*'10A61 Liquid 3"'!$B$4^('10A61 Liquid 3" ViscosityLINEST'!I250-4)</f>
        <v>729.92400932400972</v>
      </c>
    </row>
    <row r="251" spans="1:10">
      <c r="A251">
        <v>0.8</v>
      </c>
      <c r="B251">
        <f t="array" ref="B251:H251">LINEST('10A61 Liquid 3"'!AK41:AK46,'10A61 Liquid 3"'!AJ41:AJ46^{1,2,3,4})</f>
        <v>-1166.6666666665781</v>
      </c>
      <c r="C251">
        <v>3479.6296296293854</v>
      </c>
      <c r="D251">
        <v>-3874.9999999997535</v>
      </c>
      <c r="E251">
        <v>1849.9179894178819</v>
      </c>
      <c r="F251">
        <v>352.23650793652473</v>
      </c>
      <c r="G251" t="e">
        <v>#N/A</v>
      </c>
      <c r="H251" t="e">
        <v>#N/A</v>
      </c>
      <c r="I251">
        <f t="shared" si="11"/>
        <v>4</v>
      </c>
      <c r="J251">
        <f>'10A61 Liquid 3" ViscosityLINEST'!B251*'10A61 Liquid 3"'!$B$4^'10A61 Liquid 3" ViscosityLINEST'!I251+'10A61 Liquid 3" ViscosityLINEST'!C251*'10A61 Liquid 3"'!$B$4^('10A61 Liquid 3" ViscosityLINEST'!I251-1)+'10A61 Liquid 3" ViscosityLINEST'!D251*'10A61 Liquid 3"'!$B$4^('10A61 Liquid 3" ViscosityLINEST'!I251-2)+'10A61 Liquid 3" ViscosityLINEST'!E251*'10A61 Liquid 3"'!$B$4^('10A61 Liquid 3" ViscosityLINEST'!I251-3)+'10A61 Liquid 3" ViscosityLINEST'!F251*'10A61 Liquid 3"'!$B$4^('10A61 Liquid 3" ViscosityLINEST'!I251-4)</f>
        <v>640.1174603174602</v>
      </c>
    </row>
    <row r="252" spans="1:10">
      <c r="B252">
        <f t="array" ref="B252:H252">LINEST('10A61 Liquid 3"'!AK46:AK54,'10A61 Liquid 3"'!AJ46:AJ54^{1,2,3,4})</f>
        <v>-0.26433566433564215</v>
      </c>
      <c r="C252">
        <v>5.4541828541825872</v>
      </c>
      <c r="D252">
        <v>-29.852097902096755</v>
      </c>
      <c r="E252">
        <v>-23.337788137790223</v>
      </c>
      <c r="F252">
        <v>687.10555555555686</v>
      </c>
      <c r="G252" t="e">
        <v>#N/A</v>
      </c>
      <c r="H252" t="e">
        <v>#N/A</v>
      </c>
      <c r="I252">
        <f t="shared" si="11"/>
        <v>4</v>
      </c>
      <c r="J252">
        <f>'10A61 Liquid 3" ViscosityLINEST'!B252*'10A61 Liquid 3"'!$B$4^'10A61 Liquid 3" ViscosityLINEST'!I252+'10A61 Liquid 3" ViscosityLINEST'!C252*'10A61 Liquid 3"'!$B$4^('10A61 Liquid 3" ViscosityLINEST'!I252-1)+'10A61 Liquid 3" ViscosityLINEST'!D252*'10A61 Liquid 3"'!$B$4^('10A61 Liquid 3" ViscosityLINEST'!I252-2)+'10A61 Liquid 3" ViscosityLINEST'!E252*'10A61 Liquid 3"'!$B$4^('10A61 Liquid 3" ViscosityLINEST'!I252-3)+'10A61 Liquid 3" ViscosityLINEST'!F252*'10A61 Liquid 3"'!$B$4^('10A61 Liquid 3" ViscosityLINEST'!I252-4)</f>
        <v>639.10551670551683</v>
      </c>
    </row>
    <row r="253" spans="1:10">
      <c r="A253">
        <v>1</v>
      </c>
      <c r="B253">
        <f t="array" ref="B253:H253">LINEST('10A61 Liquid 3"'!AK57:AK62,'10A61 Liquid 3"'!AJ57:AJ62^{1,2,3,4})</f>
        <v>1145.8333333331227</v>
      </c>
      <c r="C253">
        <v>-3471.7592592586516</v>
      </c>
      <c r="D253">
        <v>3850.6249999993565</v>
      </c>
      <c r="E253">
        <v>-1893.9788359785396</v>
      </c>
      <c r="F253">
        <v>946.23412698407662</v>
      </c>
      <c r="G253" t="e">
        <v>#N/A</v>
      </c>
      <c r="H253" t="e">
        <v>#N/A</v>
      </c>
      <c r="I253">
        <f t="shared" si="11"/>
        <v>4</v>
      </c>
      <c r="J253">
        <f>'10A61 Liquid 3" ViscosityLINEST'!B253*'10A61 Liquid 3"'!$B$4^'10A61 Liquid 3" ViscosityLINEST'!I253+'10A61 Liquid 3" ViscosityLINEST'!C253*'10A61 Liquid 3"'!$B$4^('10A61 Liquid 3" ViscosityLINEST'!I253-1)+'10A61 Liquid 3" ViscosityLINEST'!D253*'10A61 Liquid 3"'!$B$4^('10A61 Liquid 3" ViscosityLINEST'!I253-2)+'10A61 Liquid 3" ViscosityLINEST'!E253*'10A61 Liquid 3"'!$B$4^('10A61 Liquid 3" ViscosityLINEST'!I253-3)+'10A61 Liquid 3" ViscosityLINEST'!F253*'10A61 Liquid 3"'!$B$4^('10A61 Liquid 3" ViscosityLINEST'!I253-4)</f>
        <v>576.95436507936495</v>
      </c>
    </row>
    <row r="254" spans="1:10">
      <c r="B254">
        <f t="array" ref="B254:H254">LINEST('10A61 Liquid 3"'!AK62:AK70,'10A61 Liquid 3"'!AJ62:AJ70^{1,2,3,4})</f>
        <v>0.12820512820512245</v>
      </c>
      <c r="C254">
        <v>-6.4750064749243387E-3</v>
      </c>
      <c r="D254">
        <v>-5.447202797203202</v>
      </c>
      <c r="E254">
        <v>-49.657472157471368</v>
      </c>
      <c r="F254">
        <v>631.194444444444</v>
      </c>
      <c r="G254" t="e">
        <v>#N/A</v>
      </c>
      <c r="H254" t="e">
        <v>#N/A</v>
      </c>
      <c r="I254">
        <f t="shared" si="11"/>
        <v>4</v>
      </c>
      <c r="J254">
        <f>'10A61 Liquid 3" ViscosityLINEST'!B254*'10A61 Liquid 3"'!$B$4^'10A61 Liquid 3" ViscosityLINEST'!I254+'10A61 Liquid 3" ViscosityLINEST'!C254*'10A61 Liquid 3"'!$B$4^('10A61 Liquid 3" ViscosityLINEST'!I254-1)+'10A61 Liquid 3" ViscosityLINEST'!D254*'10A61 Liquid 3"'!$B$4^('10A61 Liquid 3" ViscosityLINEST'!I254-2)+'10A61 Liquid 3" ViscosityLINEST'!E254*'10A61 Liquid 3"'!$B$4^('10A61 Liquid 3" ViscosityLINEST'!I254-3)+'10A61 Liquid 3" ViscosityLINEST'!F254*'10A61 Liquid 3"'!$B$4^('10A61 Liquid 3" ViscosityLINEST'!I254-4)</f>
        <v>576.21149961149968</v>
      </c>
    </row>
    <row r="255" spans="1:10">
      <c r="A255">
        <v>1.2</v>
      </c>
      <c r="B255">
        <f t="array" ref="B255:H255">LINEST('10A61 Liquid 3"'!AK73:AK78,'10A61 Liquid 3"'!AJ73:AJ78^{1,2,3,4})</f>
        <v>1395.8333333331702</v>
      </c>
      <c r="C255">
        <v>-4399.537037036579</v>
      </c>
      <c r="D255">
        <v>5100.6249999995298</v>
      </c>
      <c r="E255">
        <v>-2608.7367724865626</v>
      </c>
      <c r="F255">
        <v>1038.3150793650443</v>
      </c>
      <c r="G255" t="e">
        <v>#N/A</v>
      </c>
      <c r="H255" t="e">
        <v>#N/A</v>
      </c>
      <c r="I255">
        <f t="shared" si="11"/>
        <v>4</v>
      </c>
      <c r="J255">
        <f>'10A61 Liquid 3" ViscosityLINEST'!B255*'10A61 Liquid 3"'!$B$4^'10A61 Liquid 3" ViscosityLINEST'!I255+'10A61 Liquid 3" ViscosityLINEST'!C255*'10A61 Liquid 3"'!$B$4^('10A61 Liquid 3" ViscosityLINEST'!I255-1)+'10A61 Liquid 3" ViscosityLINEST'!D255*'10A61 Liquid 3"'!$B$4^('10A61 Liquid 3" ViscosityLINEST'!I255-2)+'10A61 Liquid 3" ViscosityLINEST'!E255*'10A61 Liquid 3"'!$B$4^('10A61 Liquid 3" ViscosityLINEST'!I255-3)+'10A61 Liquid 3" ViscosityLINEST'!F255*'10A61 Liquid 3"'!$B$4^('10A61 Liquid 3" ViscosityLINEST'!I255-4)</f>
        <v>526.49960317460273</v>
      </c>
    </row>
    <row r="256" spans="1:10">
      <c r="B256">
        <f t="array" ref="B256:H256">LINEST('10A61 Liquid 3"'!AK78:AK86,'10A61 Liquid 3"'!AJ78:AJ86^{1,2,3,4})</f>
        <v>0.48717948717947607</v>
      </c>
      <c r="C256">
        <v>-4.6629888629887173</v>
      </c>
      <c r="D256">
        <v>14.260023310022641</v>
      </c>
      <c r="E256">
        <v>-70.158495208493974</v>
      </c>
      <c r="F256">
        <v>586.38888888888812</v>
      </c>
      <c r="G256" t="e">
        <v>#N/A</v>
      </c>
      <c r="H256" t="e">
        <v>#N/A</v>
      </c>
      <c r="I256">
        <f t="shared" si="11"/>
        <v>4</v>
      </c>
      <c r="J256">
        <f>'10A61 Liquid 3" ViscosityLINEST'!B256*'10A61 Liquid 3"'!$B$4^'10A61 Liquid 3" ViscosityLINEST'!I256+'10A61 Liquid 3" ViscosityLINEST'!C256*'10A61 Liquid 3"'!$B$4^('10A61 Liquid 3" ViscosityLINEST'!I256-1)+'10A61 Liquid 3" ViscosityLINEST'!D256*'10A61 Liquid 3"'!$B$4^('10A61 Liquid 3" ViscosityLINEST'!I256-2)+'10A61 Liquid 3" ViscosityLINEST'!E256*'10A61 Liquid 3"'!$B$4^('10A61 Liquid 3" ViscosityLINEST'!I256-3)+'10A61 Liquid 3" ViscosityLINEST'!F256*'10A61 Liquid 3"'!$B$4^('10A61 Liquid 3" ViscosityLINEST'!I256-4)</f>
        <v>526.31460761460755</v>
      </c>
    </row>
    <row r="257" spans="1:10">
      <c r="A257">
        <v>1.4</v>
      </c>
      <c r="B257">
        <f t="array" ref="B257:H257">LINEST('10A61 Liquid 3"'!AK92:AK97,'10A61 Liquid 3"'!AJ92:AJ97^{1,2,3,4})</f>
        <v>333.33333333338686</v>
      </c>
      <c r="C257">
        <v>-1235.1851851853548</v>
      </c>
      <c r="D257">
        <v>1653.3333333335313</v>
      </c>
      <c r="E257">
        <v>-979.79100529110553</v>
      </c>
      <c r="F257">
        <v>714.56825396827253</v>
      </c>
      <c r="G257" t="e">
        <v>#N/A</v>
      </c>
      <c r="H257" t="e">
        <v>#N/A</v>
      </c>
      <c r="I257">
        <f t="shared" si="11"/>
        <v>4</v>
      </c>
      <c r="J257">
        <f>'10A61 Liquid 3" ViscosityLINEST'!B257*'10A61 Liquid 3"'!$B$4^'10A61 Liquid 3" ViscosityLINEST'!I257+'10A61 Liquid 3" ViscosityLINEST'!C257*'10A61 Liquid 3"'!$B$4^('10A61 Liquid 3" ViscosityLINEST'!I257-1)+'10A61 Liquid 3" ViscosityLINEST'!D257*'10A61 Liquid 3"'!$B$4^('10A61 Liquid 3" ViscosityLINEST'!I257-2)+'10A61 Liquid 3" ViscosityLINEST'!E257*'10A61 Liquid 3"'!$B$4^('10A61 Liquid 3" ViscosityLINEST'!I257-3)+'10A61 Liquid 3" ViscosityLINEST'!F257*'10A61 Liquid 3"'!$B$4^('10A61 Liquid 3" ViscosityLINEST'!I257-4)</f>
        <v>486.25873015873037</v>
      </c>
    </row>
    <row r="258" spans="1:10">
      <c r="B258">
        <f t="array" ref="B258:H258">LINEST('10A61 Liquid 3"'!AK97:AK105,'10A61 Liquid 3"'!AJ97:AJ105^{1,2,3,4})</f>
        <v>0.73193473193471492</v>
      </c>
      <c r="C258">
        <v>-7.7906241906239835</v>
      </c>
      <c r="D258">
        <v>27.453379953379059</v>
      </c>
      <c r="E258">
        <v>-83.337192437190851</v>
      </c>
      <c r="F258">
        <v>549.27777777777681</v>
      </c>
      <c r="G258" t="e">
        <v>#N/A</v>
      </c>
      <c r="H258" t="e">
        <v>#N/A</v>
      </c>
      <c r="I258">
        <f t="shared" si="11"/>
        <v>4</v>
      </c>
      <c r="J258">
        <f>'10A61 Liquid 3" ViscosityLINEST'!B258*'10A61 Liquid 3"'!$B$4^'10A61 Liquid 3" ViscosityLINEST'!I258+'10A61 Liquid 3" ViscosityLINEST'!C258*'10A61 Liquid 3"'!$B$4^('10A61 Liquid 3" ViscosityLINEST'!I258-1)+'10A61 Liquid 3" ViscosityLINEST'!D258*'10A61 Liquid 3"'!$B$4^('10A61 Liquid 3" ViscosityLINEST'!I258-2)+'10A61 Liquid 3" ViscosityLINEST'!E258*'10A61 Liquid 3"'!$B$4^('10A61 Liquid 3" ViscosityLINEST'!I258-3)+'10A61 Liquid 3" ViscosityLINEST'!F258*'10A61 Liquid 3"'!$B$4^('10A61 Liquid 3" ViscosityLINEST'!I258-4)</f>
        <v>486.33527583527575</v>
      </c>
    </row>
    <row r="259" spans="1:10">
      <c r="A259">
        <v>1.5</v>
      </c>
      <c r="B259">
        <f t="array" ref="B259:H259">LINEST('10A61 Liquid 3"'!AK108:AK113,'10A61 Liquid 3"'!AJ108:AJ113^{1,2,3,4})</f>
        <v>1.0957781531802337E-10</v>
      </c>
      <c r="C259">
        <v>-233.33333333367011</v>
      </c>
      <c r="D259">
        <v>552.50000000038062</v>
      </c>
      <c r="E259">
        <v>-454.55952380971092</v>
      </c>
      <c r="F259">
        <v>604.45714285717668</v>
      </c>
      <c r="G259" t="e">
        <v>#N/A</v>
      </c>
      <c r="H259" t="e">
        <v>#N/A</v>
      </c>
      <c r="I259">
        <f t="shared" si="11"/>
        <v>4</v>
      </c>
      <c r="J259">
        <f>'10A61 Liquid 3" ViscosityLINEST'!B259*'10A61 Liquid 3"'!$B$4^'10A61 Liquid 3" ViscosityLINEST'!I259+'10A61 Liquid 3" ViscosityLINEST'!C259*'10A61 Liquid 3"'!$B$4^('10A61 Liquid 3" ViscosityLINEST'!I259-1)+'10A61 Liquid 3" ViscosityLINEST'!D259*'10A61 Liquid 3"'!$B$4^('10A61 Liquid 3" ViscosityLINEST'!I259-2)+'10A61 Liquid 3" ViscosityLINEST'!E259*'10A61 Liquid 3"'!$B$4^('10A61 Liquid 3" ViscosityLINEST'!I259-3)+'10A61 Liquid 3" ViscosityLINEST'!F259*'10A61 Liquid 3"'!$B$4^('10A61 Liquid 3" ViscosityLINEST'!I259-4)</f>
        <v>469.06428571428586</v>
      </c>
    </row>
    <row r="260" spans="1:10">
      <c r="B260">
        <f t="array" ref="B260:H260">LINEST('10A61 Liquid 3"'!AK113:AK121,'10A61 Liquid 3"'!AJ113:AJ121^{1,2,3,4})</f>
        <v>0.73379953379951712</v>
      </c>
      <c r="C260">
        <v>-8.0298368298366203</v>
      </c>
      <c r="D260">
        <v>29.198368298367367</v>
      </c>
      <c r="E260">
        <v>-83.883449883448193</v>
      </c>
      <c r="F260">
        <v>531.23333333333221</v>
      </c>
      <c r="G260" t="e">
        <v>#N/A</v>
      </c>
      <c r="H260" t="e">
        <v>#N/A</v>
      </c>
      <c r="I260">
        <f t="shared" si="11"/>
        <v>4</v>
      </c>
      <c r="J260">
        <f>'10A61 Liquid 3" ViscosityLINEST'!B260*'10A61 Liquid 3"'!$B$4^'10A61 Liquid 3" ViscosityLINEST'!I260+'10A61 Liquid 3" ViscosityLINEST'!C260*'10A61 Liquid 3"'!$B$4^('10A61 Liquid 3" ViscosityLINEST'!I260-1)+'10A61 Liquid 3" ViscosityLINEST'!D260*'10A61 Liquid 3"'!$B$4^('10A61 Liquid 3" ViscosityLINEST'!I260-2)+'10A61 Liquid 3" ViscosityLINEST'!E260*'10A61 Liquid 3"'!$B$4^('10A61 Liquid 3" ViscosityLINEST'!I260-3)+'10A61 Liquid 3" ViscosityLINEST'!F260*'10A61 Liquid 3"'!$B$4^('10A61 Liquid 3" ViscosityLINEST'!I260-4)</f>
        <v>469.25221445221428</v>
      </c>
    </row>
    <row r="262" spans="1:10">
      <c r="A262" s="5" t="s">
        <v>94</v>
      </c>
      <c r="I262">
        <f t="shared" ref="I262:I276" si="12">COUNT(B262:H262)-1</f>
        <v>-1</v>
      </c>
      <c r="J262">
        <f>'10A61 Liquid 3" ViscosityLINEST'!B262*'10A61 Liquid 3"'!$B$4^'10A61 Liquid 3" ViscosityLINEST'!I262+'10A61 Liquid 3" ViscosityLINEST'!C262*'10A61 Liquid 3"'!$B$4^('10A61 Liquid 3" ViscosityLINEST'!I262-1)+'10A61 Liquid 3" ViscosityLINEST'!D262*'10A61 Liquid 3"'!$B$4^('10A61 Liquid 3" ViscosityLINEST'!I262-2)+'10A61 Liquid 3" ViscosityLINEST'!E262*'10A61 Liquid 3"'!$B$4^('10A61 Liquid 3" ViscosityLINEST'!I262-3)+'10A61 Liquid 3" ViscosityLINEST'!F262*'10A61 Liquid 3"'!$B$4^('10A61 Liquid 3" ViscosityLINEST'!I262-4)</f>
        <v>0</v>
      </c>
    </row>
    <row r="263" spans="1:10">
      <c r="A263">
        <v>0.4</v>
      </c>
      <c r="B263">
        <f t="array" ref="B263:H263">LINEST('10A61 Liquid 3"'!AM6:AM11,'10A61 Liquid 3"'!AL6:AL11^{1,2,3,4})</f>
        <v>-166.66666666667484</v>
      </c>
      <c r="C263">
        <v>314.81481481483922</v>
      </c>
      <c r="D263">
        <v>-41.666666666693942</v>
      </c>
      <c r="E263">
        <v>-296.71957671956312</v>
      </c>
      <c r="F263">
        <v>1110.6396825396801</v>
      </c>
      <c r="G263" t="e">
        <v>#N/A</v>
      </c>
      <c r="H263" t="e">
        <v>#N/A</v>
      </c>
      <c r="I263">
        <f t="shared" si="12"/>
        <v>4</v>
      </c>
      <c r="J263">
        <f>'10A61 Liquid 3" ViscosityLINEST'!B263*'10A61 Liquid 3"'!$B$4^'10A61 Liquid 3" ViscosityLINEST'!I263+'10A61 Liquid 3" ViscosityLINEST'!C263*'10A61 Liquid 3"'!$B$4^('10A61 Liquid 3" ViscosityLINEST'!I263-1)+'10A61 Liquid 3" ViscosityLINEST'!D263*'10A61 Liquid 3"'!$B$4^('10A61 Liquid 3" ViscosityLINEST'!I263-2)+'10A61 Liquid 3" ViscosityLINEST'!E263*'10A61 Liquid 3"'!$B$4^('10A61 Liquid 3" ViscosityLINEST'!I263-3)+'10A61 Liquid 3" ViscosityLINEST'!F263*'10A61 Liquid 3"'!$B$4^('10A61 Liquid 3" ViscosityLINEST'!I263-4)</f>
        <v>920.40158730158737</v>
      </c>
    </row>
    <row r="264" spans="1:10">
      <c r="B264">
        <f t="array" ref="B264:H264">LINEST('10A61 Liquid 3"'!AM11:AM19,'10A61 Liquid 3"'!AL11:AL19^{1,2,3,4})</f>
        <v>0.71701631701628898</v>
      </c>
      <c r="C264">
        <v>-7.4876974876971172</v>
      </c>
      <c r="D264">
        <v>32.89953379953208</v>
      </c>
      <c r="E264">
        <v>-192.16746956746636</v>
      </c>
      <c r="F264">
        <v>1085.3555555555536</v>
      </c>
      <c r="G264" t="e">
        <v>#N/A</v>
      </c>
      <c r="H264" t="e">
        <v>#N/A</v>
      </c>
      <c r="I264">
        <f t="shared" si="12"/>
        <v>4</v>
      </c>
      <c r="J264">
        <f>'10A61 Liquid 3" ViscosityLINEST'!B264*'10A61 Liquid 3"'!$B$4^'10A61 Liquid 3" ViscosityLINEST'!I264+'10A61 Liquid 3" ViscosityLINEST'!C264*'10A61 Liquid 3"'!$B$4^('10A61 Liquid 3" ViscosityLINEST'!I264-1)+'10A61 Liquid 3" ViscosityLINEST'!D264*'10A61 Liquid 3"'!$B$4^('10A61 Liquid 3" ViscosityLINEST'!I264-2)+'10A61 Liquid 3" ViscosityLINEST'!E264*'10A61 Liquid 3"'!$B$4^('10A61 Liquid 3" ViscosityLINEST'!I264-3)+'10A61 Liquid 3" ViscosityLINEST'!F264*'10A61 Liquid 3"'!$B$4^('10A61 Liquid 3" ViscosityLINEST'!I264-4)</f>
        <v>919.3169386169385</v>
      </c>
    </row>
    <row r="265" spans="1:10">
      <c r="A265">
        <v>0.6</v>
      </c>
      <c r="B265">
        <f t="array" ref="B265:H265">LINEST('10A61 Liquid 3"'!AM23:AM28,'10A61 Liquid 3"'!AL23:AL28^{1,2,3,4})</f>
        <v>-937.49999999988745</v>
      </c>
      <c r="C265">
        <v>2941.2037037033738</v>
      </c>
      <c r="D265">
        <v>-3337.7083333329788</v>
      </c>
      <c r="E265">
        <v>1525.6415343913686</v>
      </c>
      <c r="F265">
        <v>563.15634920637763</v>
      </c>
      <c r="G265" t="e">
        <v>#N/A</v>
      </c>
      <c r="H265" t="e">
        <v>#N/A</v>
      </c>
      <c r="I265">
        <f t="shared" si="12"/>
        <v>4</v>
      </c>
      <c r="J265">
        <f>'10A61 Liquid 3" ViscosityLINEST'!B265*'10A61 Liquid 3"'!$B$4^'10A61 Liquid 3" ViscosityLINEST'!I265+'10A61 Liquid 3" ViscosityLINEST'!C265*'10A61 Liquid 3"'!$B$4^('10A61 Liquid 3" ViscosityLINEST'!I265-1)+'10A61 Liquid 3" ViscosityLINEST'!D265*'10A61 Liquid 3"'!$B$4^('10A61 Liquid 3" ViscosityLINEST'!I265-2)+'10A61 Liquid 3" ViscosityLINEST'!E265*'10A61 Liquid 3"'!$B$4^('10A61 Liquid 3" ViscosityLINEST'!I265-3)+'10A61 Liquid 3" ViscosityLINEST'!F265*'10A61 Liquid 3"'!$B$4^('10A61 Liquid 3" ViscosityLINEST'!I265-4)</f>
        <v>754.79325396825379</v>
      </c>
    </row>
    <row r="266" spans="1:10">
      <c r="B266">
        <f t="array" ref="B266:H266">LINEST('10A61 Liquid 3"'!AM28:AM36,'10A61 Liquid 3"'!AL28:AL36^{1,2,3,4})</f>
        <v>0.30116550116548801</v>
      </c>
      <c r="C266">
        <v>-3.2234136234134501</v>
      </c>
      <c r="D266">
        <v>13.809557109556305</v>
      </c>
      <c r="E266">
        <v>-111.16990416990268</v>
      </c>
      <c r="F266">
        <v>855.37777777777706</v>
      </c>
      <c r="G266" t="e">
        <v>#N/A</v>
      </c>
      <c r="H266" t="e">
        <v>#N/A</v>
      </c>
      <c r="I266">
        <f t="shared" si="12"/>
        <v>4</v>
      </c>
      <c r="J266">
        <f>'10A61 Liquid 3" ViscosityLINEST'!B266*'10A61 Liquid 3"'!$B$4^'10A61 Liquid 3" ViscosityLINEST'!I266+'10A61 Liquid 3" ViscosityLINEST'!C266*'10A61 Liquid 3"'!$B$4^('10A61 Liquid 3" ViscosityLINEST'!I266-1)+'10A61 Liquid 3" ViscosityLINEST'!D266*'10A61 Liquid 3"'!$B$4^('10A61 Liquid 3" ViscosityLINEST'!I266-2)+'10A61 Liquid 3" ViscosityLINEST'!E266*'10A61 Liquid 3"'!$B$4^('10A61 Liquid 3" ViscosityLINEST'!I266-3)+'10A61 Liquid 3" ViscosityLINEST'!F266*'10A61 Liquid 3"'!$B$4^('10A61 Liquid 3" ViscosityLINEST'!I266-4)</f>
        <v>755.09518259518268</v>
      </c>
    </row>
    <row r="267" spans="1:10">
      <c r="A267">
        <v>0.8</v>
      </c>
      <c r="B267">
        <f t="array" ref="B267:H267">LINEST('10A61 Liquid 3"'!AM41:AM46,'10A61 Liquid 3"'!AL41:AL46^{1,2,3,4})</f>
        <v>-312.50000000001052</v>
      </c>
      <c r="C267">
        <v>1138.4259259259718</v>
      </c>
      <c r="D267">
        <v>-1478.9583333334001</v>
      </c>
      <c r="E267">
        <v>739.74074074078067</v>
      </c>
      <c r="F267">
        <v>565.39444444443598</v>
      </c>
      <c r="G267" t="e">
        <v>#N/A</v>
      </c>
      <c r="H267" t="e">
        <v>#N/A</v>
      </c>
      <c r="I267">
        <f t="shared" si="12"/>
        <v>4</v>
      </c>
      <c r="J267">
        <f>'10A61 Liquid 3" ViscosityLINEST'!B267*'10A61 Liquid 3"'!$B$4^'10A61 Liquid 3" ViscosityLINEST'!I267+'10A61 Liquid 3" ViscosityLINEST'!C267*'10A61 Liquid 3"'!$B$4^('10A61 Liquid 3" ViscosityLINEST'!I267-1)+'10A61 Liquid 3" ViscosityLINEST'!D267*'10A61 Liquid 3"'!$B$4^('10A61 Liquid 3" ViscosityLINEST'!I267-2)+'10A61 Liquid 3" ViscosityLINEST'!E267*'10A61 Liquid 3"'!$B$4^('10A61 Liquid 3" ViscosityLINEST'!I267-3)+'10A61 Liquid 3" ViscosityLINEST'!F267*'10A61 Liquid 3"'!$B$4^('10A61 Liquid 3" ViscosityLINEST'!I267-4)</f>
        <v>652.10277777777787</v>
      </c>
    </row>
    <row r="268" spans="1:10">
      <c r="B268">
        <f t="array" ref="B268:H268">LINEST('10A61 Liquid 3"'!AM46:AM54,'10A61 Liquid 3"'!AL46:AL54^{1,2,3,4})</f>
        <v>2.692773892773809</v>
      </c>
      <c r="C268">
        <v>-30.730795130794078</v>
      </c>
      <c r="D268">
        <v>120.16620046619585</v>
      </c>
      <c r="E268">
        <v>-252.30366485365664</v>
      </c>
      <c r="F268">
        <v>814.86111111110654</v>
      </c>
      <c r="G268" t="e">
        <v>#N/A</v>
      </c>
      <c r="H268" t="e">
        <v>#N/A</v>
      </c>
      <c r="I268">
        <f t="shared" si="12"/>
        <v>4</v>
      </c>
      <c r="J268">
        <f>'10A61 Liquid 3" ViscosityLINEST'!B268*'10A61 Liquid 3"'!$B$4^'10A61 Liquid 3" ViscosityLINEST'!I268+'10A61 Liquid 3" ViscosityLINEST'!C268*'10A61 Liquid 3"'!$B$4^('10A61 Liquid 3" ViscosityLINEST'!I268-1)+'10A61 Liquid 3" ViscosityLINEST'!D268*'10A61 Liquid 3"'!$B$4^('10A61 Liquid 3" ViscosityLINEST'!I268-2)+'10A61 Liquid 3" ViscosityLINEST'!E268*'10A61 Liquid 3"'!$B$4^('10A61 Liquid 3" ViscosityLINEST'!I268-3)+'10A61 Liquid 3" ViscosityLINEST'!F268*'10A61 Liquid 3"'!$B$4^('10A61 Liquid 3" ViscosityLINEST'!I268-4)</f>
        <v>654.68562548562545</v>
      </c>
    </row>
    <row r="269" spans="1:10">
      <c r="A269">
        <v>1</v>
      </c>
      <c r="B269">
        <f t="array" ref="B269:H269">LINEST('10A61 Liquid 3"'!AM57:AM62,'10A61 Liquid 3"'!AL57:AL62^{1,2,3,4})</f>
        <v>749.99999999979241</v>
      </c>
      <c r="C269">
        <v>-2138.8888888882725</v>
      </c>
      <c r="D269">
        <v>2212.4999999993279</v>
      </c>
      <c r="E269">
        <v>-1041.7539682536494</v>
      </c>
      <c r="F269">
        <v>798.19047619042067</v>
      </c>
      <c r="G269" t="e">
        <v>#N/A</v>
      </c>
      <c r="H269" t="e">
        <v>#N/A</v>
      </c>
      <c r="I269">
        <f t="shared" si="12"/>
        <v>4</v>
      </c>
      <c r="J269">
        <f>'10A61 Liquid 3" ViscosityLINEST'!B269*'10A61 Liquid 3"'!$B$4^'10A61 Liquid 3" ViscosityLINEST'!I269+'10A61 Liquid 3" ViscosityLINEST'!C269*'10A61 Liquid 3"'!$B$4^('10A61 Liquid 3" ViscosityLINEST'!I269-1)+'10A61 Liquid 3" ViscosityLINEST'!D269*'10A61 Liquid 3"'!$B$4^('10A61 Liquid 3" ViscosityLINEST'!I269-2)+'10A61 Liquid 3" ViscosityLINEST'!E269*'10A61 Liquid 3"'!$B$4^('10A61 Liquid 3" ViscosityLINEST'!I269-3)+'10A61 Liquid 3" ViscosityLINEST'!F269*'10A61 Liquid 3"'!$B$4^('10A61 Liquid 3" ViscosityLINEST'!I269-4)</f>
        <v>580.04761904761904</v>
      </c>
    </row>
    <row r="270" spans="1:10">
      <c r="B270">
        <f t="array" ref="B270:H270">LINEST('10A61 Liquid 3"'!AM62:AM70,'10A61 Liquid 3"'!AL62:AL70^{1,2,3,4})</f>
        <v>-0.39114219114219312</v>
      </c>
      <c r="C270">
        <v>5.1980833980834156</v>
      </c>
      <c r="D270">
        <v>-23.477972027972058</v>
      </c>
      <c r="E270">
        <v>-9.5783087283088069</v>
      </c>
      <c r="F270">
        <v>609.08888888888896</v>
      </c>
      <c r="G270" t="e">
        <v>#N/A</v>
      </c>
      <c r="H270" t="e">
        <v>#N/A</v>
      </c>
      <c r="I270">
        <f t="shared" si="12"/>
        <v>4</v>
      </c>
      <c r="J270">
        <f>'10A61 Liquid 3" ViscosityLINEST'!B270*'10A61 Liquid 3"'!$B$4^'10A61 Liquid 3" ViscosityLINEST'!I270+'10A61 Liquid 3" ViscosityLINEST'!C270*'10A61 Liquid 3"'!$B$4^('10A61 Liquid 3" ViscosityLINEST'!I270-1)+'10A61 Liquid 3" ViscosityLINEST'!D270*'10A61 Liquid 3"'!$B$4^('10A61 Liquid 3" ViscosityLINEST'!I270-2)+'10A61 Liquid 3" ViscosityLINEST'!E270*'10A61 Liquid 3"'!$B$4^('10A61 Liquid 3" ViscosityLINEST'!I270-3)+'10A61 Liquid 3" ViscosityLINEST'!F270*'10A61 Liquid 3"'!$B$4^('10A61 Liquid 3" ViscosityLINEST'!I270-4)</f>
        <v>580.83954933954931</v>
      </c>
    </row>
    <row r="271" spans="1:10">
      <c r="A271">
        <v>1.2</v>
      </c>
      <c r="B271">
        <f t="array" ref="B271:H271">LINEST('10A61 Liquid 3"'!AM73:AM78,'10A61 Liquid 3"'!AL73:AL78^{1,2,3,4})</f>
        <v>916.66666666654874</v>
      </c>
      <c r="C271">
        <v>-2809.2592592589226</v>
      </c>
      <c r="D271">
        <v>3156.6666666663155</v>
      </c>
      <c r="E271">
        <v>-1589.9431216929627</v>
      </c>
      <c r="F271">
        <v>851.56984126981502</v>
      </c>
      <c r="G271" t="e">
        <v>#N/A</v>
      </c>
      <c r="H271" t="e">
        <v>#N/A</v>
      </c>
      <c r="I271">
        <f t="shared" si="12"/>
        <v>4</v>
      </c>
      <c r="J271">
        <f>'10A61 Liquid 3" ViscosityLINEST'!B271*'10A61 Liquid 3"'!$B$4^'10A61 Liquid 3" ViscosityLINEST'!I271+'10A61 Liquid 3" ViscosityLINEST'!C271*'10A61 Liquid 3"'!$B$4^('10A61 Liquid 3" ViscosityLINEST'!I271-1)+'10A61 Liquid 3" ViscosityLINEST'!D271*'10A61 Liquid 3"'!$B$4^('10A61 Liquid 3" ViscosityLINEST'!I271-2)+'10A61 Liquid 3" ViscosityLINEST'!E271*'10A61 Liquid 3"'!$B$4^('10A61 Liquid 3" ViscosityLINEST'!I271-3)+'10A61 Liquid 3" ViscosityLINEST'!F271*'10A61 Liquid 3"'!$B$4^('10A61 Liquid 3" ViscosityLINEST'!I271-4)</f>
        <v>525.70079365079391</v>
      </c>
    </row>
    <row r="272" spans="1:10">
      <c r="B272">
        <f t="array" ref="B272:H272">LINEST('10A61 Liquid 3"'!AM78:AM86,'10A61 Liquid 3"'!AL78:AL86^{1,2,3,4})</f>
        <v>-0.50023310023308531</v>
      </c>
      <c r="C272">
        <v>6.117948717948539</v>
      </c>
      <c r="D272">
        <v>-25.571911421910659</v>
      </c>
      <c r="E272">
        <v>-0.54766899767036425</v>
      </c>
      <c r="F272">
        <v>546.53333333333421</v>
      </c>
      <c r="G272" t="e">
        <v>#N/A</v>
      </c>
      <c r="H272" t="e">
        <v>#N/A</v>
      </c>
      <c r="I272">
        <f t="shared" si="12"/>
        <v>4</v>
      </c>
      <c r="J272">
        <f>'10A61 Liquid 3" ViscosityLINEST'!B272*'10A61 Liquid 3"'!$B$4^'10A61 Liquid 3" ViscosityLINEST'!I272+'10A61 Liquid 3" ViscosityLINEST'!C272*'10A61 Liquid 3"'!$B$4^('10A61 Liquid 3" ViscosityLINEST'!I272-1)+'10A61 Liquid 3" ViscosityLINEST'!D272*'10A61 Liquid 3"'!$B$4^('10A61 Liquid 3" ViscosityLINEST'!I272-2)+'10A61 Liquid 3" ViscosityLINEST'!E272*'10A61 Liquid 3"'!$B$4^('10A61 Liquid 3" ViscosityLINEST'!I272-3)+'10A61 Liquid 3" ViscosityLINEST'!F272*'10A61 Liquid 3"'!$B$4^('10A61 Liquid 3" ViscosityLINEST'!I272-4)</f>
        <v>526.03146853146859</v>
      </c>
    </row>
    <row r="273" spans="1:10">
      <c r="A273">
        <v>1.4</v>
      </c>
      <c r="B273">
        <f t="array" ref="B273:H273">LINEST('10A61 Liquid 3"'!AM92:AM97,'10A61 Liquid 3"'!AL92:AL97^{1,2,3,4})</f>
        <v>916.66666666662707</v>
      </c>
      <c r="C273">
        <v>-2911.1111111110117</v>
      </c>
      <c r="D273">
        <v>3393.3333333332453</v>
      </c>
      <c r="E273">
        <v>-1761.2103174602851</v>
      </c>
      <c r="F273">
        <v>844.59523809523375</v>
      </c>
      <c r="G273" t="e">
        <v>#N/A</v>
      </c>
      <c r="H273" t="e">
        <v>#N/A</v>
      </c>
      <c r="I273">
        <f t="shared" si="12"/>
        <v>4</v>
      </c>
      <c r="J273">
        <f>'10A61 Liquid 3" ViscosityLINEST'!B273*'10A61 Liquid 3"'!$B$4^'10A61 Liquid 3" ViscosityLINEST'!I273+'10A61 Liquid 3" ViscosityLINEST'!C273*'10A61 Liquid 3"'!$B$4^('10A61 Liquid 3" ViscosityLINEST'!I273-1)+'10A61 Liquid 3" ViscosityLINEST'!D273*'10A61 Liquid 3"'!$B$4^('10A61 Liquid 3" ViscosityLINEST'!I273-2)+'10A61 Liquid 3" ViscosityLINEST'!E273*'10A61 Liquid 3"'!$B$4^('10A61 Liquid 3" ViscosityLINEST'!I273-3)+'10A61 Liquid 3" ViscosityLINEST'!F273*'10A61 Liquid 3"'!$B$4^('10A61 Liquid 3" ViscosityLINEST'!I273-4)</f>
        <v>482.27380952380918</v>
      </c>
    </row>
    <row r="274" spans="1:10">
      <c r="B274">
        <f t="array" ref="B274:H274">LINEST('10A61 Liquid 3"'!AM97:AM105,'10A61 Liquid 3"'!AL97:AL105^{1,2,3,4})</f>
        <v>-0.40233100233099134</v>
      </c>
      <c r="C274">
        <v>4.8744366744365406</v>
      </c>
      <c r="D274">
        <v>-20.153962703962122</v>
      </c>
      <c r="E274">
        <v>-3.824669774670828</v>
      </c>
      <c r="F274">
        <v>501.86666666666736</v>
      </c>
      <c r="G274" t="e">
        <v>#N/A</v>
      </c>
      <c r="H274" t="e">
        <v>#N/A</v>
      </c>
      <c r="I274">
        <f t="shared" si="12"/>
        <v>4</v>
      </c>
      <c r="J274">
        <f>'10A61 Liquid 3" ViscosityLINEST'!B274*'10A61 Liquid 3"'!$B$4^'10A61 Liquid 3" ViscosityLINEST'!I274+'10A61 Liquid 3" ViscosityLINEST'!C274*'10A61 Liquid 3"'!$B$4^('10A61 Liquid 3" ViscosityLINEST'!I274-1)+'10A61 Liquid 3" ViscosityLINEST'!D274*'10A61 Liquid 3"'!$B$4^('10A61 Liquid 3" ViscosityLINEST'!I274-2)+'10A61 Liquid 3" ViscosityLINEST'!E274*'10A61 Liquid 3"'!$B$4^('10A61 Liquid 3" ViscosityLINEST'!I274-3)+'10A61 Liquid 3" ViscosityLINEST'!F274*'10A61 Liquid 3"'!$B$4^('10A61 Liquid 3" ViscosityLINEST'!I274-4)</f>
        <v>482.36013986013995</v>
      </c>
    </row>
    <row r="275" spans="1:10">
      <c r="A275">
        <v>1.5</v>
      </c>
      <c r="B275">
        <f t="array" ref="B275:H275">LINEST('10A61 Liquid 3"'!AM108:AM113,'10A61 Liquid 3"'!AL108:AL113^{1,2,3,4})</f>
        <v>729.16666666658352</v>
      </c>
      <c r="C275">
        <v>-2368.0555555553228</v>
      </c>
      <c r="D275">
        <v>2823.9583333330957</v>
      </c>
      <c r="E275">
        <v>-1503.4801587300537</v>
      </c>
      <c r="F275">
        <v>781.99761904760248</v>
      </c>
      <c r="G275" t="e">
        <v>#N/A</v>
      </c>
      <c r="H275" t="e">
        <v>#N/A</v>
      </c>
      <c r="I275">
        <f t="shared" si="12"/>
        <v>4</v>
      </c>
      <c r="J275">
        <f>'10A61 Liquid 3" ViscosityLINEST'!B275*'10A61 Liquid 3"'!$B$4^'10A61 Liquid 3" ViscosityLINEST'!I275+'10A61 Liquid 3" ViscosityLINEST'!C275*'10A61 Liquid 3"'!$B$4^('10A61 Liquid 3" ViscosityLINEST'!I275-1)+'10A61 Liquid 3" ViscosityLINEST'!D275*'10A61 Liquid 3"'!$B$4^('10A61 Liquid 3" ViscosityLINEST'!I275-2)+'10A61 Liquid 3" ViscosityLINEST'!E275*'10A61 Liquid 3"'!$B$4^('10A61 Liquid 3" ViscosityLINEST'!I275-3)+'10A61 Liquid 3" ViscosityLINEST'!F275*'10A61 Liquid 3"'!$B$4^('10A61 Liquid 3" ViscosityLINEST'!I275-4)</f>
        <v>463.58690476190509</v>
      </c>
    </row>
    <row r="276" spans="1:10">
      <c r="B276">
        <f t="array" ref="B276:H276">LINEST('10A61 Liquid 3"'!AM113:AM121,'10A61 Liquid 3"'!AL113:AL121^{1,2,3,4})</f>
        <v>-0.25920745920744903</v>
      </c>
      <c r="C276">
        <v>3.2263144263142993</v>
      </c>
      <c r="D276">
        <v>-13.644289044288481</v>
      </c>
      <c r="E276">
        <v>-11.685366485367522</v>
      </c>
      <c r="F276">
        <v>485.94444444444514</v>
      </c>
      <c r="G276" t="e">
        <v>#N/A</v>
      </c>
      <c r="H276" t="e">
        <v>#N/A</v>
      </c>
      <c r="I276">
        <f t="shared" si="12"/>
        <v>4</v>
      </c>
      <c r="J276">
        <f>'10A61 Liquid 3" ViscosityLINEST'!B276*'10A61 Liquid 3"'!$B$4^'10A61 Liquid 3" ViscosityLINEST'!I276+'10A61 Liquid 3" ViscosityLINEST'!C276*'10A61 Liquid 3"'!$B$4^('10A61 Liquid 3" ViscosityLINEST'!I276-1)+'10A61 Liquid 3" ViscosityLINEST'!D276*'10A61 Liquid 3"'!$B$4^('10A61 Liquid 3" ViscosityLINEST'!I276-2)+'10A61 Liquid 3" ViscosityLINEST'!E276*'10A61 Liquid 3"'!$B$4^('10A61 Liquid 3" ViscosityLINEST'!I276-3)+'10A61 Liquid 3" ViscosityLINEST'!F276*'10A61 Liquid 3"'!$B$4^('10A61 Liquid 3" ViscosityLINEST'!I276-4)</f>
        <v>463.581895881896</v>
      </c>
    </row>
    <row r="278" spans="1:10">
      <c r="A278" s="5" t="s">
        <v>95</v>
      </c>
      <c r="I278">
        <f t="shared" ref="I278:I292" si="13">COUNT(B278:H278)-1</f>
        <v>-1</v>
      </c>
      <c r="J278">
        <f>'10A61 Liquid 3" ViscosityLINEST'!B278*'10A61 Liquid 3"'!$B$4^'10A61 Liquid 3" ViscosityLINEST'!I278+'10A61 Liquid 3" ViscosityLINEST'!C278*'10A61 Liquid 3"'!$B$4^('10A61 Liquid 3" ViscosityLINEST'!I278-1)+'10A61 Liquid 3" ViscosityLINEST'!D278*'10A61 Liquid 3"'!$B$4^('10A61 Liquid 3" ViscosityLINEST'!I278-2)+'10A61 Liquid 3" ViscosityLINEST'!E278*'10A61 Liquid 3"'!$B$4^('10A61 Liquid 3" ViscosityLINEST'!I278-3)+'10A61 Liquid 3" ViscosityLINEST'!F278*'10A61 Liquid 3"'!$B$4^('10A61 Liquid 3" ViscosityLINEST'!I278-4)</f>
        <v>0</v>
      </c>
    </row>
    <row r="279" spans="1:10">
      <c r="A279">
        <v>0.4</v>
      </c>
      <c r="B279">
        <f t="array" ref="B279:H279">LINEST('10A61 Liquid 3"'!AO6:AO11,'10A61 Liquid 3"'!AN6:AN11^{1,2,3,4})</f>
        <v>270.83333333310003</v>
      </c>
      <c r="C279">
        <v>-606.01851851782237</v>
      </c>
      <c r="D279">
        <v>390.20833333256985</v>
      </c>
      <c r="E279">
        <v>-185.45767195730755</v>
      </c>
      <c r="F279">
        <v>1059.9182539681899</v>
      </c>
      <c r="G279" t="e">
        <v>#N/A</v>
      </c>
      <c r="H279" t="e">
        <v>#N/A</v>
      </c>
      <c r="I279">
        <f t="shared" si="13"/>
        <v>4</v>
      </c>
      <c r="J279">
        <f>'10A61 Liquid 3" ViscosityLINEST'!B279*'10A61 Liquid 3"'!$B$4^'10A61 Liquid 3" ViscosityLINEST'!I279+'10A61 Liquid 3" ViscosityLINEST'!C279*'10A61 Liquid 3"'!$B$4^('10A61 Liquid 3" ViscosityLINEST'!I279-1)+'10A61 Liquid 3" ViscosityLINEST'!D279*'10A61 Liquid 3"'!$B$4^('10A61 Liquid 3" ViscosityLINEST'!I279-2)+'10A61 Liquid 3" ViscosityLINEST'!E279*'10A61 Liquid 3"'!$B$4^('10A61 Liquid 3" ViscosityLINEST'!I279-3)+'10A61 Liquid 3" ViscosityLINEST'!F279*'10A61 Liquid 3"'!$B$4^('10A61 Liquid 3" ViscosityLINEST'!I279-4)</f>
        <v>929.48373015872983</v>
      </c>
    </row>
    <row r="280" spans="1:10">
      <c r="B280">
        <f t="array" ref="B280:H280">LINEST('10A61 Liquid 3"'!AO11:AO19,'10A61 Liquid 3"'!AN11:AN19^{1,2,3,4})</f>
        <v>-2.1696969696969224</v>
      </c>
      <c r="C280">
        <v>28.133333333332757</v>
      </c>
      <c r="D280">
        <v>-111.34242424242173</v>
      </c>
      <c r="E280">
        <v>4.0757575757530731</v>
      </c>
      <c r="F280">
        <v>1011.5000000000024</v>
      </c>
      <c r="G280" t="e">
        <v>#N/A</v>
      </c>
      <c r="H280" t="e">
        <v>#N/A</v>
      </c>
      <c r="I280">
        <f t="shared" si="13"/>
        <v>4</v>
      </c>
      <c r="J280">
        <f>'10A61 Liquid 3" ViscosityLINEST'!B280*'10A61 Liquid 3"'!$B$4^'10A61 Liquid 3" ViscosityLINEST'!I280+'10A61 Liquid 3" ViscosityLINEST'!C280*'10A61 Liquid 3"'!$B$4^('10A61 Liquid 3" ViscosityLINEST'!I280-1)+'10A61 Liquid 3" ViscosityLINEST'!D280*'10A61 Liquid 3"'!$B$4^('10A61 Liquid 3" ViscosityLINEST'!I280-2)+'10A61 Liquid 3" ViscosityLINEST'!E280*'10A61 Liquid 3"'!$B$4^('10A61 Liquid 3" ViscosityLINEST'!I280-3)+'10A61 Liquid 3" ViscosityLINEST'!F280*'10A61 Liquid 3"'!$B$4^('10A61 Liquid 3" ViscosityLINEST'!I280-4)</f>
        <v>930.19696969696952</v>
      </c>
    </row>
    <row r="281" spans="1:10">
      <c r="A281">
        <v>0.6</v>
      </c>
      <c r="B281">
        <f t="array" ref="B281:H281">LINEST('10A61 Liquid 3"'!AO23:AO28,'10A61 Liquid 3"'!AN23:AN28^{1,2,3,4})</f>
        <v>-312.49999999975734</v>
      </c>
      <c r="C281">
        <v>1025.4629629622457</v>
      </c>
      <c r="D281">
        <v>-1317.2916666658889</v>
      </c>
      <c r="E281">
        <v>678.37037037000403</v>
      </c>
      <c r="F281">
        <v>702.87222222228525</v>
      </c>
      <c r="G281" t="e">
        <v>#N/A</v>
      </c>
      <c r="H281" t="e">
        <v>#N/A</v>
      </c>
      <c r="I281">
        <f t="shared" si="13"/>
        <v>4</v>
      </c>
      <c r="J281">
        <f>'10A61 Liquid 3" ViscosityLINEST'!B281*'10A61 Liquid 3"'!$B$4^'10A61 Liquid 3" ViscosityLINEST'!I281+'10A61 Liquid 3" ViscosityLINEST'!C281*'10A61 Liquid 3"'!$B$4^('10A61 Liquid 3" ViscosityLINEST'!I281-1)+'10A61 Liquid 3" ViscosityLINEST'!D281*'10A61 Liquid 3"'!$B$4^('10A61 Liquid 3" ViscosityLINEST'!I281-2)+'10A61 Liquid 3" ViscosityLINEST'!E281*'10A61 Liquid 3"'!$B$4^('10A61 Liquid 3" ViscosityLINEST'!I281-3)+'10A61 Liquid 3" ViscosityLINEST'!F281*'10A61 Liquid 3"'!$B$4^('10A61 Liquid 3" ViscosityLINEST'!I281-4)</f>
        <v>776.91388888888866</v>
      </c>
    </row>
    <row r="282" spans="1:10">
      <c r="B282">
        <f t="array" ref="B282:H282">LINEST('10A61 Liquid 3"'!AO28:AO36,'10A61 Liquid 3"'!AN28:AN36^{1,2,3,4})</f>
        <v>-0.8890442890442728</v>
      </c>
      <c r="C282">
        <v>13.001864801864617</v>
      </c>
      <c r="D282">
        <v>-58.480769230768502</v>
      </c>
      <c r="E282">
        <v>-9.832284382285593</v>
      </c>
      <c r="F282">
        <v>832.63333333333389</v>
      </c>
      <c r="G282" t="e">
        <v>#N/A</v>
      </c>
      <c r="H282" t="e">
        <v>#N/A</v>
      </c>
      <c r="I282">
        <f t="shared" si="13"/>
        <v>4</v>
      </c>
      <c r="J282">
        <f>'10A61 Liquid 3" ViscosityLINEST'!B282*'10A61 Liquid 3"'!$B$4^'10A61 Liquid 3" ViscosityLINEST'!I282+'10A61 Liquid 3" ViscosityLINEST'!C282*'10A61 Liquid 3"'!$B$4^('10A61 Liquid 3" ViscosityLINEST'!I282-1)+'10A61 Liquid 3" ViscosityLINEST'!D282*'10A61 Liquid 3"'!$B$4^('10A61 Liquid 3" ViscosityLINEST'!I282-2)+'10A61 Liquid 3" ViscosityLINEST'!E282*'10A61 Liquid 3"'!$B$4^('10A61 Liquid 3" ViscosityLINEST'!I282-3)+'10A61 Liquid 3" ViscosityLINEST'!F282*'10A61 Liquid 3"'!$B$4^('10A61 Liquid 3" ViscosityLINEST'!I282-4)</f>
        <v>776.43310023310016</v>
      </c>
    </row>
    <row r="283" spans="1:10">
      <c r="A283">
        <v>0.8</v>
      </c>
      <c r="B283">
        <f t="array" ref="B283:H283">LINEST('10A61 Liquid 3"'!AO41:AO46,'10A61 Liquid 3"'!AN41:AN46^{1,2,3,4})</f>
        <v>166.66666666651747</v>
      </c>
      <c r="C283">
        <v>-553.7037037032552</v>
      </c>
      <c r="D283">
        <v>629.16666666617186</v>
      </c>
      <c r="E283">
        <v>-345.85582010558295</v>
      </c>
      <c r="F283">
        <v>785.47936507932343</v>
      </c>
      <c r="G283" t="e">
        <v>#N/A</v>
      </c>
      <c r="H283" t="e">
        <v>#N/A</v>
      </c>
      <c r="I283">
        <f t="shared" si="13"/>
        <v>4</v>
      </c>
      <c r="J283">
        <f>'10A61 Liquid 3" ViscosityLINEST'!B283*'10A61 Liquid 3"'!$B$4^'10A61 Liquid 3" ViscosityLINEST'!I283+'10A61 Liquid 3" ViscosityLINEST'!C283*'10A61 Liquid 3"'!$B$4^('10A61 Liquid 3" ViscosityLINEST'!I283-1)+'10A61 Liquid 3" ViscosityLINEST'!D283*'10A61 Liquid 3"'!$B$4^('10A61 Liquid 3" ViscosityLINEST'!I283-2)+'10A61 Liquid 3" ViscosityLINEST'!E283*'10A61 Liquid 3"'!$B$4^('10A61 Liquid 3" ViscosityLINEST'!I283-3)+'10A61 Liquid 3" ViscosityLINEST'!F283*'10A61 Liquid 3"'!$B$4^('10A61 Liquid 3" ViscosityLINEST'!I283-4)</f>
        <v>681.75317460317456</v>
      </c>
    </row>
    <row r="284" spans="1:10">
      <c r="B284">
        <f t="array" ref="B284:H284">LINEST('10A61 Liquid 3"'!AO46:AO54,'10A61 Liquid 3"'!AN46:AN54^{1,2,3,4})</f>
        <v>-3.1473193473192453</v>
      </c>
      <c r="C284">
        <v>38.50924630924505</v>
      </c>
      <c r="D284">
        <v>-159.77074592074038</v>
      </c>
      <c r="E284">
        <v>180.75147630146628</v>
      </c>
      <c r="F284">
        <v>622.26666666667234</v>
      </c>
      <c r="G284" t="e">
        <v>#N/A</v>
      </c>
      <c r="H284" t="e">
        <v>#N/A</v>
      </c>
      <c r="I284">
        <f t="shared" si="13"/>
        <v>4</v>
      </c>
      <c r="J284">
        <f>'10A61 Liquid 3" ViscosityLINEST'!B284*'10A61 Liquid 3"'!$B$4^'10A61 Liquid 3" ViscosityLINEST'!I284+'10A61 Liquid 3" ViscosityLINEST'!C284*'10A61 Liquid 3"'!$B$4^('10A61 Liquid 3" ViscosityLINEST'!I284-1)+'10A61 Liquid 3" ViscosityLINEST'!D284*'10A61 Liquid 3"'!$B$4^('10A61 Liquid 3" ViscosityLINEST'!I284-2)+'10A61 Liquid 3" ViscosityLINEST'!E284*'10A61 Liquid 3"'!$B$4^('10A61 Liquid 3" ViscosityLINEST'!I284-3)+'10A61 Liquid 3" ViscosityLINEST'!F284*'10A61 Liquid 3"'!$B$4^('10A61 Liquid 3" ViscosityLINEST'!I284-4)</f>
        <v>678.60932400932404</v>
      </c>
    </row>
    <row r="285" spans="1:10">
      <c r="A285">
        <v>1</v>
      </c>
      <c r="B285">
        <f t="array" ref="B285:H285">LINEST('10A61 Liquid 3"'!AO57:AO62,'10A61 Liquid 3"'!AN57:AN62^{1,2,3,4})</f>
        <v>1874.9999999996494</v>
      </c>
      <c r="C285">
        <v>-5823.1481481471365</v>
      </c>
      <c r="D285">
        <v>6649.5833333322653</v>
      </c>
      <c r="E285">
        <v>-3345.9828042323147</v>
      </c>
      <c r="F285">
        <v>1257.6746031745211</v>
      </c>
      <c r="G285" t="e">
        <v>#N/A</v>
      </c>
      <c r="H285" t="e">
        <v>#N/A</v>
      </c>
      <c r="I285">
        <f t="shared" si="13"/>
        <v>4</v>
      </c>
      <c r="J285">
        <f>'10A61 Liquid 3" ViscosityLINEST'!B285*'10A61 Liquid 3"'!$B$4^'10A61 Liquid 3" ViscosityLINEST'!I285+'10A61 Liquid 3" ViscosityLINEST'!C285*'10A61 Liquid 3"'!$B$4^('10A61 Liquid 3" ViscosityLINEST'!I285-1)+'10A61 Liquid 3" ViscosityLINEST'!D285*'10A61 Liquid 3"'!$B$4^('10A61 Liquid 3" ViscosityLINEST'!I285-2)+'10A61 Liquid 3" ViscosityLINEST'!E285*'10A61 Liquid 3"'!$B$4^('10A61 Liquid 3" ViscosityLINEST'!I285-3)+'10A61 Liquid 3" ViscosityLINEST'!F285*'10A61 Liquid 3"'!$B$4^('10A61 Liquid 3" ViscosityLINEST'!I285-4)</f>
        <v>613.12698412698455</v>
      </c>
    </row>
    <row r="286" spans="1:10">
      <c r="B286">
        <f t="array" ref="B286:H286">LINEST('10A61 Liquid 3"'!AO62:AO70,'10A61 Liquid 3"'!AN62:AN70^{1,2,3,4})</f>
        <v>0.42284382284380795</v>
      </c>
      <c r="C286">
        <v>-3.6539238539236609</v>
      </c>
      <c r="D286">
        <v>9.4033799533790763</v>
      </c>
      <c r="E286">
        <v>-72.574397824396257</v>
      </c>
      <c r="F286">
        <v>679.16666666666595</v>
      </c>
      <c r="G286" t="e">
        <v>#N/A</v>
      </c>
      <c r="H286" t="e">
        <v>#N/A</v>
      </c>
      <c r="I286">
        <f t="shared" si="13"/>
        <v>4</v>
      </c>
      <c r="J286">
        <f>'10A61 Liquid 3" ViscosityLINEST'!B286*'10A61 Liquid 3"'!$B$4^'10A61 Liquid 3" ViscosityLINEST'!I286+'10A61 Liquid 3" ViscosityLINEST'!C286*'10A61 Liquid 3"'!$B$4^('10A61 Liquid 3" ViscosityLINEST'!I286-1)+'10A61 Liquid 3" ViscosityLINEST'!D286*'10A61 Liquid 3"'!$B$4^('10A61 Liquid 3" ViscosityLINEST'!I286-2)+'10A61 Liquid 3" ViscosityLINEST'!E286*'10A61 Liquid 3"'!$B$4^('10A61 Liquid 3" ViscosityLINEST'!I286-3)+'10A61 Liquid 3" ViscosityLINEST'!F286*'10A61 Liquid 3"'!$B$4^('10A61 Liquid 3" ViscosityLINEST'!I286-4)</f>
        <v>612.76456876456893</v>
      </c>
    </row>
    <row r="287" spans="1:10">
      <c r="A287">
        <v>1.2</v>
      </c>
      <c r="B287">
        <f t="array" ref="B287:H287">LINEST('10A61 Liquid 3"'!AO73:AO78,'10A61 Liquid 3"'!AN73:AN78^{1,2,3,4})</f>
        <v>749.99999999999557</v>
      </c>
      <c r="C287">
        <v>-2524.074074074083</v>
      </c>
      <c r="D287">
        <v>3116.6666666667011</v>
      </c>
      <c r="E287">
        <v>-1706.2949735450015</v>
      </c>
      <c r="F287">
        <v>923.05873015873726</v>
      </c>
      <c r="G287" t="e">
        <v>#N/A</v>
      </c>
      <c r="H287" t="e">
        <v>#N/A</v>
      </c>
      <c r="I287">
        <f t="shared" si="13"/>
        <v>4</v>
      </c>
      <c r="J287">
        <f>'10A61 Liquid 3" ViscosityLINEST'!B287*'10A61 Liquid 3"'!$B$4^'10A61 Liquid 3" ViscosityLINEST'!I287+'10A61 Liquid 3" ViscosityLINEST'!C287*'10A61 Liquid 3"'!$B$4^('10A61 Liquid 3" ViscosityLINEST'!I287-1)+'10A61 Liquid 3" ViscosityLINEST'!D287*'10A61 Liquid 3"'!$B$4^('10A61 Liquid 3" ViscosityLINEST'!I287-2)+'10A61 Liquid 3" ViscosityLINEST'!E287*'10A61 Liquid 3"'!$B$4^('10A61 Liquid 3" ViscosityLINEST'!I287-3)+'10A61 Liquid 3" ViscosityLINEST'!F287*'10A61 Liquid 3"'!$B$4^('10A61 Liquid 3" ViscosityLINEST'!I287-4)</f>
        <v>559.35634920634925</v>
      </c>
    </row>
    <row r="288" spans="1:10">
      <c r="B288">
        <f t="array" ref="B288:H288">LINEST('10A61 Liquid 3"'!AO78:AO86,'10A61 Liquid 3"'!AN78:AN86^{1,2,3,4})</f>
        <v>0.78275058275055354</v>
      </c>
      <c r="C288">
        <v>-8.2192696192692498</v>
      </c>
      <c r="D288">
        <v>28.474009324007682</v>
      </c>
      <c r="E288">
        <v>-91.680031080028101</v>
      </c>
      <c r="F288">
        <v>630.01666666666495</v>
      </c>
      <c r="G288" t="e">
        <v>#N/A</v>
      </c>
      <c r="H288" t="e">
        <v>#N/A</v>
      </c>
      <c r="I288">
        <f t="shared" si="13"/>
        <v>4</v>
      </c>
      <c r="J288">
        <f>'10A61 Liquid 3" ViscosityLINEST'!B288*'10A61 Liquid 3"'!$B$4^'10A61 Liquid 3" ViscosityLINEST'!I288+'10A61 Liquid 3" ViscosityLINEST'!C288*'10A61 Liquid 3"'!$B$4^('10A61 Liquid 3" ViscosityLINEST'!I288-1)+'10A61 Liquid 3" ViscosityLINEST'!D288*'10A61 Liquid 3"'!$B$4^('10A61 Liquid 3" ViscosityLINEST'!I288-2)+'10A61 Liquid 3" ViscosityLINEST'!E288*'10A61 Liquid 3"'!$B$4^('10A61 Liquid 3" ViscosityLINEST'!I288-3)+'10A61 Liquid 3" ViscosityLINEST'!F288*'10A61 Liquid 3"'!$B$4^('10A61 Liquid 3" ViscosityLINEST'!I288-4)</f>
        <v>559.37412587412587</v>
      </c>
    </row>
    <row r="289" spans="1:10">
      <c r="A289">
        <v>1.4</v>
      </c>
      <c r="B289">
        <f t="array" ref="B289:H289">LINEST('10A61 Liquid 3"'!AO92:AO97,'10A61 Liquid 3"'!AN92:AN97^{1,2,3,4})</f>
        <v>-958.33333333313556</v>
      </c>
      <c r="C289">
        <v>2676.8518518512724</v>
      </c>
      <c r="D289">
        <v>-2692.0833333327087</v>
      </c>
      <c r="E289">
        <v>1114.7314814811878</v>
      </c>
      <c r="F289">
        <v>375.98888888893981</v>
      </c>
      <c r="G289" t="e">
        <v>#N/A</v>
      </c>
      <c r="H289" t="e">
        <v>#N/A</v>
      </c>
      <c r="I289">
        <f t="shared" si="13"/>
        <v>4</v>
      </c>
      <c r="J289">
        <f>'10A61 Liquid 3" ViscosityLINEST'!B289*'10A61 Liquid 3"'!$B$4^'10A61 Liquid 3" ViscosityLINEST'!I289+'10A61 Liquid 3" ViscosityLINEST'!C289*'10A61 Liquid 3"'!$B$4^('10A61 Liquid 3" ViscosityLINEST'!I289-1)+'10A61 Liquid 3" ViscosityLINEST'!D289*'10A61 Liquid 3"'!$B$4^('10A61 Liquid 3" ViscosityLINEST'!I289-2)+'10A61 Liquid 3" ViscosityLINEST'!E289*'10A61 Liquid 3"'!$B$4^('10A61 Liquid 3" ViscosityLINEST'!I289-3)+'10A61 Liquid 3" ViscosityLINEST'!F289*'10A61 Liquid 3"'!$B$4^('10A61 Liquid 3" ViscosityLINEST'!I289-4)</f>
        <v>517.15555555555557</v>
      </c>
    </row>
    <row r="290" spans="1:10">
      <c r="B290">
        <f t="array" ref="B290:H290">LINEST('10A61 Liquid 3"'!AO97:AO105,'10A61 Liquid 3"'!AN97:AN105^{1,2,3,4})</f>
        <v>0.7724941724941583</v>
      </c>
      <c r="C290">
        <v>-8.6807044807042928</v>
      </c>
      <c r="D290">
        <v>32.467482517481656</v>
      </c>
      <c r="E290">
        <v>-92.793460243458668</v>
      </c>
      <c r="F290">
        <v>585.75555555555479</v>
      </c>
      <c r="G290" t="e">
        <v>#N/A</v>
      </c>
      <c r="H290" t="e">
        <v>#N/A</v>
      </c>
      <c r="I290">
        <f t="shared" si="13"/>
        <v>4</v>
      </c>
      <c r="J290">
        <f>'10A61 Liquid 3" ViscosityLINEST'!B290*'10A61 Liquid 3"'!$B$4^'10A61 Liquid 3" ViscosityLINEST'!I290+'10A61 Liquid 3" ViscosityLINEST'!C290*'10A61 Liquid 3"'!$B$4^('10A61 Liquid 3" ViscosityLINEST'!I290-1)+'10A61 Liquid 3" ViscosityLINEST'!D290*'10A61 Liquid 3"'!$B$4^('10A61 Liquid 3" ViscosityLINEST'!I290-2)+'10A61 Liquid 3" ViscosityLINEST'!E290*'10A61 Liquid 3"'!$B$4^('10A61 Liquid 3" ViscosityLINEST'!I290-3)+'10A61 Liquid 3" ViscosityLINEST'!F290*'10A61 Liquid 3"'!$B$4^('10A61 Liquid 3" ViscosityLINEST'!I290-4)</f>
        <v>517.52136752136767</v>
      </c>
    </row>
    <row r="291" spans="1:10">
      <c r="A291">
        <v>1.5</v>
      </c>
      <c r="B291">
        <f t="array" ref="B291:H291">LINEST('10A61 Liquid 3"'!AO108:AO113,'10A61 Liquid 3"'!AN108:AN113^{1,2,3,4})</f>
        <v>-1520.8333333330997</v>
      </c>
      <c r="C291">
        <v>4426.3888888882175</v>
      </c>
      <c r="D291">
        <v>-4693.5416666659612</v>
      </c>
      <c r="E291">
        <v>2113.0039682536462</v>
      </c>
      <c r="F291">
        <v>174.05952380957797</v>
      </c>
      <c r="G291" t="e">
        <v>#N/A</v>
      </c>
      <c r="H291" t="e">
        <v>#N/A</v>
      </c>
      <c r="I291">
        <f t="shared" si="13"/>
        <v>4</v>
      </c>
      <c r="J291">
        <f>'10A61 Liquid 3" ViscosityLINEST'!B291*'10A61 Liquid 3"'!$B$4^'10A61 Liquid 3" ViscosityLINEST'!I291+'10A61 Liquid 3" ViscosityLINEST'!C291*'10A61 Liquid 3"'!$B$4^('10A61 Liquid 3" ViscosityLINEST'!I291-1)+'10A61 Liquid 3" ViscosityLINEST'!D291*'10A61 Liquid 3"'!$B$4^('10A61 Liquid 3" ViscosityLINEST'!I291-2)+'10A61 Liquid 3" ViscosityLINEST'!E291*'10A61 Liquid 3"'!$B$4^('10A61 Liquid 3" ViscosityLINEST'!I291-3)+'10A61 Liquid 3" ViscosityLINEST'!F291*'10A61 Liquid 3"'!$B$4^('10A61 Liquid 3" ViscosityLINEST'!I291-4)</f>
        <v>499.07738095238074</v>
      </c>
    </row>
    <row r="292" spans="1:10">
      <c r="B292">
        <f t="array" ref="B292:H292">LINEST('10A61 Liquid 3"'!AO113:AO121,'10A61 Liquid 3"'!AN113:AN121^{1,2,3,4})</f>
        <v>0.59860139860137895</v>
      </c>
      <c r="C292">
        <v>-6.8074592074589582</v>
      </c>
      <c r="D292">
        <v>25.556410256409166</v>
      </c>
      <c r="E292">
        <v>-79.451165501163587</v>
      </c>
      <c r="F292">
        <v>559.54999999999893</v>
      </c>
      <c r="G292" t="e">
        <v>#N/A</v>
      </c>
      <c r="H292" t="e">
        <v>#N/A</v>
      </c>
      <c r="I292">
        <f t="shared" si="13"/>
        <v>4</v>
      </c>
      <c r="J292">
        <f>'10A61 Liquid 3" ViscosityLINEST'!B292*'10A61 Liquid 3"'!$B$4^'10A61 Liquid 3" ViscosityLINEST'!I292+'10A61 Liquid 3" ViscosityLINEST'!C292*'10A61 Liquid 3"'!$B$4^('10A61 Liquid 3" ViscosityLINEST'!I292-1)+'10A61 Liquid 3" ViscosityLINEST'!D292*'10A61 Liquid 3"'!$B$4^('10A61 Liquid 3" ViscosityLINEST'!I292-2)+'10A61 Liquid 3" ViscosityLINEST'!E292*'10A61 Liquid 3"'!$B$4^('10A61 Liquid 3" ViscosityLINEST'!I292-3)+'10A61 Liquid 3" ViscosityLINEST'!F292*'10A61 Liquid 3"'!$B$4^('10A61 Liquid 3" ViscosityLINEST'!I292-4)</f>
        <v>499.44638694638695</v>
      </c>
    </row>
    <row r="294" spans="1:10">
      <c r="A294" s="5" t="s">
        <v>96</v>
      </c>
      <c r="I294">
        <f t="shared" ref="I294:I308" si="14">COUNT(B294:H294)-1</f>
        <v>-1</v>
      </c>
      <c r="J294">
        <f>'10A61 Liquid 3" ViscosityLINEST'!B294*'10A61 Liquid 3"'!$B$4^'10A61 Liquid 3" ViscosityLINEST'!I294+'10A61 Liquid 3" ViscosityLINEST'!C294*'10A61 Liquid 3"'!$B$4^('10A61 Liquid 3" ViscosityLINEST'!I294-1)+'10A61 Liquid 3" ViscosityLINEST'!D294*'10A61 Liquid 3"'!$B$4^('10A61 Liquid 3" ViscosityLINEST'!I294-2)+'10A61 Liquid 3" ViscosityLINEST'!E294*'10A61 Liquid 3"'!$B$4^('10A61 Liquid 3" ViscosityLINEST'!I294-3)+'10A61 Liquid 3" ViscosityLINEST'!F294*'10A61 Liquid 3"'!$B$4^('10A61 Liquid 3" ViscosityLINEST'!I294-4)</f>
        <v>0</v>
      </c>
    </row>
    <row r="295" spans="1:10">
      <c r="A295">
        <v>0.4</v>
      </c>
      <c r="B295">
        <f t="array" ref="B295:H295">LINEST('10A61 Liquid 3"'!AQ6:AQ11,'10A61 Liquid 3"'!AP6:AP11^{1,2,3,4})</f>
        <v>1666.6666666660758</v>
      </c>
      <c r="C295">
        <v>-4592.592592590845</v>
      </c>
      <c r="D295">
        <v>4591.666666664767</v>
      </c>
      <c r="E295">
        <v>-2240.8597883588895</v>
      </c>
      <c r="F295">
        <v>1794.2698412696845</v>
      </c>
      <c r="G295" t="e">
        <v>#N/A</v>
      </c>
      <c r="H295" t="e">
        <v>#N/A</v>
      </c>
      <c r="I295">
        <f t="shared" si="14"/>
        <v>4</v>
      </c>
      <c r="J295">
        <f>'10A61 Liquid 3" ViscosityLINEST'!B295*'10A61 Liquid 3"'!$B$4^'10A61 Liquid 3" ViscosityLINEST'!I295+'10A61 Liquid 3" ViscosityLINEST'!C295*'10A61 Liquid 3"'!$B$4^('10A61 Liquid 3" ViscosityLINEST'!I295-1)+'10A61 Liquid 3" ViscosityLINEST'!D295*'10A61 Liquid 3"'!$B$4^('10A61 Liquid 3" ViscosityLINEST'!I295-2)+'10A61 Liquid 3" ViscosityLINEST'!E295*'10A61 Liquid 3"'!$B$4^('10A61 Liquid 3" ViscosityLINEST'!I295-3)+'10A61 Liquid 3" ViscosityLINEST'!F295*'10A61 Liquid 3"'!$B$4^('10A61 Liquid 3" ViscosityLINEST'!I295-4)</f>
        <v>1219.1507936507928</v>
      </c>
    </row>
    <row r="296" spans="1:10">
      <c r="B296">
        <f t="array" ref="B296:H296">LINEST('10A61 Liquid 3"'!AQ11:AQ19,'10A61 Liquid 3"'!AP11:AP19^{1,2,3,4})</f>
        <v>-0.44662004662006816</v>
      </c>
      <c r="C296">
        <v>1.8577570577573492</v>
      </c>
      <c r="D296">
        <v>26.602564102562727</v>
      </c>
      <c r="E296">
        <v>-272.77656047655785</v>
      </c>
      <c r="F296">
        <v>1463.7222222222204</v>
      </c>
      <c r="G296" t="e">
        <v>#N/A</v>
      </c>
      <c r="H296" t="e">
        <v>#N/A</v>
      </c>
      <c r="I296">
        <f t="shared" si="14"/>
        <v>4</v>
      </c>
      <c r="J296">
        <f>'10A61 Liquid 3" ViscosityLINEST'!B296*'10A61 Liquid 3"'!$B$4^'10A61 Liquid 3" ViscosityLINEST'!I296+'10A61 Liquid 3" ViscosityLINEST'!C296*'10A61 Liquid 3"'!$B$4^('10A61 Liquid 3" ViscosityLINEST'!I296-1)+'10A61 Liquid 3" ViscosityLINEST'!D296*'10A61 Liquid 3"'!$B$4^('10A61 Liquid 3" ViscosityLINEST'!I296-2)+'10A61 Liquid 3" ViscosityLINEST'!E296*'10A61 Liquid 3"'!$B$4^('10A61 Liquid 3" ViscosityLINEST'!I296-3)+'10A61 Liquid 3" ViscosityLINEST'!F296*'10A61 Liquid 3"'!$B$4^('10A61 Liquid 3" ViscosityLINEST'!I296-4)</f>
        <v>1218.9593628593625</v>
      </c>
    </row>
    <row r="297" spans="1:10">
      <c r="A297">
        <v>0.6</v>
      </c>
      <c r="B297">
        <f t="array" ref="B297:H297">LINEST('10A61 Liquid 3"'!AQ23:AQ28,'10A61 Liquid 3"'!AP23:AP28^{1,2,3,4})</f>
        <v>2604.166666666662</v>
      </c>
      <c r="C297">
        <v>-8233.7962962963484</v>
      </c>
      <c r="D297">
        <v>9546.8750000001291</v>
      </c>
      <c r="E297">
        <v>-4983.4656084657026</v>
      </c>
      <c r="F297">
        <v>2064.5992063492286</v>
      </c>
      <c r="G297" t="e">
        <v>#N/A</v>
      </c>
      <c r="H297" t="e">
        <v>#N/A</v>
      </c>
      <c r="I297">
        <f t="shared" si="14"/>
        <v>4</v>
      </c>
      <c r="J297">
        <f>'10A61 Liquid 3" ViscosityLINEST'!B297*'10A61 Liquid 3"'!$B$4^'10A61 Liquid 3" ViscosityLINEST'!I297+'10A61 Liquid 3" ViscosityLINEST'!C297*'10A61 Liquid 3"'!$B$4^('10A61 Liquid 3" ViscosityLINEST'!I297-1)+'10A61 Liquid 3" ViscosityLINEST'!D297*'10A61 Liquid 3"'!$B$4^('10A61 Liquid 3" ViscosityLINEST'!I297-2)+'10A61 Liquid 3" ViscosityLINEST'!E297*'10A61 Liquid 3"'!$B$4^('10A61 Liquid 3" ViscosityLINEST'!I297-3)+'10A61 Liquid 3" ViscosityLINEST'!F297*'10A61 Liquid 3"'!$B$4^('10A61 Liquid 3" ViscosityLINEST'!I297-4)</f>
        <v>998.37896825396911</v>
      </c>
    </row>
    <row r="298" spans="1:10">
      <c r="B298">
        <f t="array" ref="B298:H298">LINEST('10A61 Liquid 3"'!AQ28:AQ36,'10A61 Liquid 3"'!AP28:AP36^{1,2,3,4})</f>
        <v>0.24009324009319202</v>
      </c>
      <c r="C298">
        <v>-4.6030044030037898</v>
      </c>
      <c r="D298">
        <v>40.288461538458805</v>
      </c>
      <c r="E298">
        <v>-230.59015799015305</v>
      </c>
      <c r="F298">
        <v>1193.7388888888859</v>
      </c>
      <c r="G298" t="e">
        <v>#N/A</v>
      </c>
      <c r="H298" t="e">
        <v>#N/A</v>
      </c>
      <c r="I298">
        <f t="shared" si="14"/>
        <v>4</v>
      </c>
      <c r="J298">
        <f>'10A61 Liquid 3" ViscosityLINEST'!B298*'10A61 Liquid 3"'!$B$4^'10A61 Liquid 3" ViscosityLINEST'!I298+'10A61 Liquid 3" ViscosityLINEST'!C298*'10A61 Liquid 3"'!$B$4^('10A61 Liquid 3" ViscosityLINEST'!I298-1)+'10A61 Liquid 3" ViscosityLINEST'!D298*'10A61 Liquid 3"'!$B$4^('10A61 Liquid 3" ViscosityLINEST'!I298-2)+'10A61 Liquid 3" ViscosityLINEST'!E298*'10A61 Liquid 3"'!$B$4^('10A61 Liquid 3" ViscosityLINEST'!I298-3)+'10A61 Liquid 3" ViscosityLINEST'!F298*'10A61 Liquid 3"'!$B$4^('10A61 Liquid 3" ViscosityLINEST'!I298-4)</f>
        <v>999.07428127428102</v>
      </c>
    </row>
    <row r="299" spans="1:10">
      <c r="A299">
        <v>0.8</v>
      </c>
      <c r="B299">
        <f t="array" ref="B299:H299">LINEST('10A61 Liquid 3"'!AQ41:AQ46,'10A61 Liquid 3"'!AP41:AP46^{1,2,3,4})</f>
        <v>-1041.6666666666786</v>
      </c>
      <c r="C299">
        <v>2634.2592592593051</v>
      </c>
      <c r="D299">
        <v>-2292.9166666667265</v>
      </c>
      <c r="E299">
        <v>636.08597883601158</v>
      </c>
      <c r="F299">
        <v>920.77301587300929</v>
      </c>
      <c r="G299" t="e">
        <v>#N/A</v>
      </c>
      <c r="H299" t="e">
        <v>#N/A</v>
      </c>
      <c r="I299">
        <f t="shared" si="14"/>
        <v>4</v>
      </c>
      <c r="J299">
        <f>'10A61 Liquid 3" ViscosityLINEST'!B299*'10A61 Liquid 3"'!$B$4^'10A61 Liquid 3" ViscosityLINEST'!I299+'10A61 Liquid 3" ViscosityLINEST'!C299*'10A61 Liquid 3"'!$B$4^('10A61 Liquid 3" ViscosityLINEST'!I299-1)+'10A61 Liquid 3" ViscosityLINEST'!D299*'10A61 Liquid 3"'!$B$4^('10A61 Liquid 3" ViscosityLINEST'!I299-2)+'10A61 Liquid 3" ViscosityLINEST'!E299*'10A61 Liquid 3"'!$B$4^('10A61 Liquid 3" ViscosityLINEST'!I299-3)+'10A61 Liquid 3" ViscosityLINEST'!F299*'10A61 Liquid 3"'!$B$4^('10A61 Liquid 3" ViscosityLINEST'!I299-4)</f>
        <v>856.53492063492081</v>
      </c>
    </row>
    <row r="300" spans="1:10">
      <c r="B300">
        <f t="array" ref="B300:H300">LINEST('10A61 Liquid 3"'!AQ46:AQ54,'10A61 Liquid 3"'!AP46:AP54^{1,2,3,4})</f>
        <v>0.35151515151512081</v>
      </c>
      <c r="C300">
        <v>-5.8518518518514613</v>
      </c>
      <c r="D300">
        <v>42.051515151513414</v>
      </c>
      <c r="E300">
        <v>-202.80673400673089</v>
      </c>
      <c r="F300">
        <v>1022.6777777777759</v>
      </c>
      <c r="G300" t="e">
        <v>#N/A</v>
      </c>
      <c r="H300" t="e">
        <v>#N/A</v>
      </c>
      <c r="I300">
        <f t="shared" si="14"/>
        <v>4</v>
      </c>
      <c r="J300">
        <f>'10A61 Liquid 3" ViscosityLINEST'!B300*'10A61 Liquid 3"'!$B$4^'10A61 Liquid 3" ViscosityLINEST'!I300+'10A61 Liquid 3" ViscosityLINEST'!C300*'10A61 Liquid 3"'!$B$4^('10A61 Liquid 3" ViscosityLINEST'!I300-1)+'10A61 Liquid 3" ViscosityLINEST'!D300*'10A61 Liquid 3"'!$B$4^('10A61 Liquid 3" ViscosityLINEST'!I300-2)+'10A61 Liquid 3" ViscosityLINEST'!E300*'10A61 Liquid 3"'!$B$4^('10A61 Liquid 3" ViscosityLINEST'!I300-3)+'10A61 Liquid 3" ViscosityLINEST'!F300*'10A61 Liquid 3"'!$B$4^('10A61 Liquid 3" ViscosityLINEST'!I300-4)</f>
        <v>856.42222222222199</v>
      </c>
    </row>
    <row r="301" spans="1:10">
      <c r="A301">
        <v>1</v>
      </c>
      <c r="B301">
        <f t="array" ref="B301:H301">LINEST('10A61 Liquid 3"'!AQ57:AQ62,'10A61 Liquid 3"'!AP57:AP62^{1,2,3,4})</f>
        <v>-187.50000000005403</v>
      </c>
      <c r="C301">
        <v>365.27777777793966</v>
      </c>
      <c r="D301">
        <v>-86.875000000178474</v>
      </c>
      <c r="E301">
        <v>-276.95634920626327</v>
      </c>
      <c r="F301">
        <v>938.55476190474656</v>
      </c>
      <c r="G301" t="e">
        <v>#N/A</v>
      </c>
      <c r="H301" t="e">
        <v>#N/A</v>
      </c>
      <c r="I301">
        <f t="shared" si="14"/>
        <v>4</v>
      </c>
      <c r="J301">
        <f>'10A61 Liquid 3" ViscosityLINEST'!B301*'10A61 Liquid 3"'!$B$4^'10A61 Liquid 3" ViscosityLINEST'!I301+'10A61 Liquid 3" ViscosityLINEST'!C301*'10A61 Liquid 3"'!$B$4^('10A61 Liquid 3" ViscosityLINEST'!I301-1)+'10A61 Liquid 3" ViscosityLINEST'!D301*'10A61 Liquid 3"'!$B$4^('10A61 Liquid 3" ViscosityLINEST'!I301-2)+'10A61 Liquid 3" ViscosityLINEST'!E301*'10A61 Liquid 3"'!$B$4^('10A61 Liquid 3" ViscosityLINEST'!I301-3)+'10A61 Liquid 3" ViscosityLINEST'!F301*'10A61 Liquid 3"'!$B$4^('10A61 Liquid 3" ViscosityLINEST'!I301-4)</f>
        <v>752.50119047619046</v>
      </c>
    </row>
    <row r="302" spans="1:10">
      <c r="B302">
        <f t="array" ref="B302:H302">LINEST('10A61 Liquid 3"'!AQ62:AQ70,'10A61 Liquid 3"'!AP62:AP70^{1,2,3,4})</f>
        <v>0.19347319347318084</v>
      </c>
      <c r="C302">
        <v>-3.7499611499609542</v>
      </c>
      <c r="D302">
        <v>30.657692307691278</v>
      </c>
      <c r="E302">
        <v>-163.31554001553789</v>
      </c>
      <c r="F302">
        <v>888.1166666666652</v>
      </c>
      <c r="G302" t="e">
        <v>#N/A</v>
      </c>
      <c r="H302" t="e">
        <v>#N/A</v>
      </c>
      <c r="I302">
        <f t="shared" si="14"/>
        <v>4</v>
      </c>
      <c r="J302">
        <f>'10A61 Liquid 3" ViscosityLINEST'!B302*'10A61 Liquid 3"'!$B$4^'10A61 Liquid 3" ViscosityLINEST'!I302+'10A61 Liquid 3" ViscosityLINEST'!C302*'10A61 Liquid 3"'!$B$4^('10A61 Liquid 3" ViscosityLINEST'!I302-1)+'10A61 Liquid 3" ViscosityLINEST'!D302*'10A61 Liquid 3"'!$B$4^('10A61 Liquid 3" ViscosityLINEST'!I302-2)+'10A61 Liquid 3" ViscosityLINEST'!E302*'10A61 Liquid 3"'!$B$4^('10A61 Liquid 3" ViscosityLINEST'!I302-3)+'10A61 Liquid 3" ViscosityLINEST'!F302*'10A61 Liquid 3"'!$B$4^('10A61 Liquid 3" ViscosityLINEST'!I302-4)</f>
        <v>751.90233100233081</v>
      </c>
    </row>
    <row r="303" spans="1:10">
      <c r="A303">
        <v>1.2</v>
      </c>
      <c r="B303">
        <f t="array" ref="B303:H303">LINEST('10A61 Liquid 3"'!AQ73:AQ78,'10A61 Liquid 3"'!AP73:AP78^{1,2,3,4})</f>
        <v>-41.666666666662159</v>
      </c>
      <c r="C303">
        <v>15.740740740730304</v>
      </c>
      <c r="D303">
        <v>201.25000000000838</v>
      </c>
      <c r="E303">
        <v>-355.55026455026712</v>
      </c>
      <c r="F303">
        <v>848.91269841269877</v>
      </c>
      <c r="G303" t="e">
        <v>#N/A</v>
      </c>
      <c r="H303" t="e">
        <v>#N/A</v>
      </c>
      <c r="I303">
        <f t="shared" si="14"/>
        <v>4</v>
      </c>
      <c r="J303">
        <f>'10A61 Liquid 3" ViscosityLINEST'!B303*'10A61 Liquid 3"'!$B$4^'10A61 Liquid 3" ViscosityLINEST'!I303+'10A61 Liquid 3" ViscosityLINEST'!C303*'10A61 Liquid 3"'!$B$4^('10A61 Liquid 3" ViscosityLINEST'!I303-1)+'10A61 Liquid 3" ViscosityLINEST'!D303*'10A61 Liquid 3"'!$B$4^('10A61 Liquid 3" ViscosityLINEST'!I303-2)+'10A61 Liquid 3" ViscosityLINEST'!E303*'10A61 Liquid 3"'!$B$4^('10A61 Liquid 3" ViscosityLINEST'!I303-3)+'10A61 Liquid 3" ViscosityLINEST'!F303*'10A61 Liquid 3"'!$B$4^('10A61 Liquid 3" ViscosityLINEST'!I303-4)</f>
        <v>668.68650793650818</v>
      </c>
    </row>
    <row r="304" spans="1:10">
      <c r="B304">
        <f t="array" ref="B304:H304">LINEST('10A61 Liquid 3"'!AQ78:AQ86,'10A61 Liquid 3"'!AP78:AP86^{1,2,3,4})</f>
        <v>0.1151515151515187</v>
      </c>
      <c r="C304">
        <v>-2.5730639730639915</v>
      </c>
      <c r="D304">
        <v>23.328787878787836</v>
      </c>
      <c r="E304">
        <v>-134.66885521885493</v>
      </c>
      <c r="F304">
        <v>781.87777777777774</v>
      </c>
      <c r="G304" t="e">
        <v>#N/A</v>
      </c>
      <c r="H304" t="e">
        <v>#N/A</v>
      </c>
      <c r="I304">
        <f t="shared" si="14"/>
        <v>4</v>
      </c>
      <c r="J304">
        <f>'10A61 Liquid 3" ViscosityLINEST'!B304*'10A61 Liquid 3"'!$B$4^'10A61 Liquid 3" ViscosityLINEST'!I304+'10A61 Liquid 3" ViscosityLINEST'!C304*'10A61 Liquid 3"'!$B$4^('10A61 Liquid 3" ViscosityLINEST'!I304-1)+'10A61 Liquid 3" ViscosityLINEST'!D304*'10A61 Liquid 3"'!$B$4^('10A61 Liquid 3" ViscosityLINEST'!I304-2)+'10A61 Liquid 3" ViscosityLINEST'!E304*'10A61 Liquid 3"'!$B$4^('10A61 Liquid 3" ViscosityLINEST'!I304-3)+'10A61 Liquid 3" ViscosityLINEST'!F304*'10A61 Liquid 3"'!$B$4^('10A61 Liquid 3" ViscosityLINEST'!I304-4)</f>
        <v>668.07979797979817</v>
      </c>
    </row>
    <row r="305" spans="1:10">
      <c r="A305">
        <v>1.4</v>
      </c>
      <c r="B305">
        <f t="array" ref="B305:H305">LINEST('10A61 Liquid 3"'!AQ92:AQ97,'10A61 Liquid 3"'!AP92:AP97^{1,2,3,4})</f>
        <v>-124.99999999999581</v>
      </c>
      <c r="C305">
        <v>282.40740740739784</v>
      </c>
      <c r="D305">
        <v>-120.41666666666008</v>
      </c>
      <c r="E305">
        <v>-173.03835978836074</v>
      </c>
      <c r="F305">
        <v>734.94126984126967</v>
      </c>
      <c r="G305" t="e">
        <v>#N/A</v>
      </c>
      <c r="H305" t="e">
        <v>#N/A</v>
      </c>
      <c r="I305">
        <f t="shared" si="14"/>
        <v>4</v>
      </c>
      <c r="J305">
        <f>'10A61 Liquid 3" ViscosityLINEST'!B305*'10A61 Liquid 3"'!$B$4^'10A61 Liquid 3" ViscosityLINEST'!I305+'10A61 Liquid 3" ViscosityLINEST'!C305*'10A61 Liquid 3"'!$B$4^('10A61 Liquid 3" ViscosityLINEST'!I305-1)+'10A61 Liquid 3" ViscosityLINEST'!D305*'10A61 Liquid 3"'!$B$4^('10A61 Liquid 3" ViscosityLINEST'!I305-2)+'10A61 Liquid 3" ViscosityLINEST'!E305*'10A61 Liquid 3"'!$B$4^('10A61 Liquid 3" ViscosityLINEST'!I305-3)+'10A61 Liquid 3" ViscosityLINEST'!F305*'10A61 Liquid 3"'!$B$4^('10A61 Liquid 3" ViscosityLINEST'!I305-4)</f>
        <v>598.89365079365098</v>
      </c>
    </row>
    <row r="306" spans="1:10">
      <c r="B306">
        <f t="array" ref="B306:H306">LINEST('10A61 Liquid 3"'!AQ97:AQ105,'10A61 Liquid 3"'!AP97:AP105^{1,2,3,4})</f>
        <v>7.7855477855482053E-2</v>
      </c>
      <c r="C306">
        <v>-1.8790468790469075</v>
      </c>
      <c r="D306">
        <v>18.280536130536138</v>
      </c>
      <c r="E306">
        <v>-112.98023828023805</v>
      </c>
      <c r="F306">
        <v>694.89444444444416</v>
      </c>
      <c r="G306" t="e">
        <v>#N/A</v>
      </c>
      <c r="H306" t="e">
        <v>#N/A</v>
      </c>
      <c r="I306">
        <f t="shared" si="14"/>
        <v>4</v>
      </c>
      <c r="J306">
        <f>'10A61 Liquid 3" ViscosityLINEST'!B306*'10A61 Liquid 3"'!$B$4^'10A61 Liquid 3" ViscosityLINEST'!I306+'10A61 Liquid 3" ViscosityLINEST'!C306*'10A61 Liquid 3"'!$B$4^('10A61 Liquid 3" ViscosityLINEST'!I306-1)+'10A61 Liquid 3" ViscosityLINEST'!D306*'10A61 Liquid 3"'!$B$4^('10A61 Liquid 3" ViscosityLINEST'!I306-2)+'10A61 Liquid 3" ViscosityLINEST'!E306*'10A61 Liquid 3"'!$B$4^('10A61 Liquid 3" ViscosityLINEST'!I306-3)+'10A61 Liquid 3" ViscosityLINEST'!F306*'10A61 Liquid 3"'!$B$4^('10A61 Liquid 3" ViscosityLINEST'!I306-4)</f>
        <v>598.39355089355081</v>
      </c>
    </row>
    <row r="307" spans="1:10">
      <c r="A307">
        <v>1.5</v>
      </c>
      <c r="B307">
        <f t="array" ref="B307:H307">LINEST('10A61 Liquid 3"'!AQ108:AQ113,'10A61 Liquid 3"'!AP108:AP113^{1,2,3,4})</f>
        <v>-166.66666666667726</v>
      </c>
      <c r="C307">
        <v>427.77777777781495</v>
      </c>
      <c r="D307">
        <v>-310.83333333337953</v>
      </c>
      <c r="E307">
        <v>-58.670634920610695</v>
      </c>
      <c r="F307">
        <v>676.49047619047167</v>
      </c>
      <c r="G307" t="e">
        <v>#N/A</v>
      </c>
      <c r="H307" t="e">
        <v>#N/A</v>
      </c>
      <c r="I307">
        <f t="shared" si="14"/>
        <v>4</v>
      </c>
      <c r="J307">
        <f>'10A61 Liquid 3" ViscosityLINEST'!B307*'10A61 Liquid 3"'!$B$4^'10A61 Liquid 3" ViscosityLINEST'!I307+'10A61 Liquid 3" ViscosityLINEST'!C307*'10A61 Liquid 3"'!$B$4^('10A61 Liquid 3" ViscosityLINEST'!I307-1)+'10A61 Liquid 3" ViscosityLINEST'!D307*'10A61 Liquid 3"'!$B$4^('10A61 Liquid 3" ViscosityLINEST'!I307-2)+'10A61 Liquid 3" ViscosityLINEST'!E307*'10A61 Liquid 3"'!$B$4^('10A61 Liquid 3" ViscosityLINEST'!I307-3)+'10A61 Liquid 3" ViscosityLINEST'!F307*'10A61 Liquid 3"'!$B$4^('10A61 Liquid 3" ViscosityLINEST'!I307-4)</f>
        <v>568.09761904761911</v>
      </c>
    </row>
    <row r="308" spans="1:10">
      <c r="B308">
        <f t="array" ref="B308:H308">LINEST('10A61 Liquid 3"'!AQ113:AQ121,'10A61 Liquid 3"'!AP113:AP121^{1,2,3,4})</f>
        <v>5.9673659673660923E-2</v>
      </c>
      <c r="C308">
        <v>-1.5713027713027778</v>
      </c>
      <c r="D308">
        <v>16.163869463869446</v>
      </c>
      <c r="E308">
        <v>-104.02990157990146</v>
      </c>
      <c r="F308">
        <v>657.00555555555559</v>
      </c>
      <c r="G308" t="e">
        <v>#N/A</v>
      </c>
      <c r="H308" t="e">
        <v>#N/A</v>
      </c>
      <c r="I308">
        <f t="shared" si="14"/>
        <v>4</v>
      </c>
      <c r="J308">
        <f>'10A61 Liquid 3" ViscosityLINEST'!B308*'10A61 Liquid 3"'!$B$4^'10A61 Liquid 3" ViscosityLINEST'!I308+'10A61 Liquid 3" ViscosityLINEST'!C308*'10A61 Liquid 3"'!$B$4^('10A61 Liquid 3" ViscosityLINEST'!I308-1)+'10A61 Liquid 3" ViscosityLINEST'!D308*'10A61 Liquid 3"'!$B$4^('10A61 Liquid 3" ViscosityLINEST'!I308-2)+'10A61 Liquid 3" ViscosityLINEST'!E308*'10A61 Liquid 3"'!$B$4^('10A61 Liquid 3" ViscosityLINEST'!I308-3)+'10A61 Liquid 3" ViscosityLINEST'!F308*'10A61 Liquid 3"'!$B$4^('10A61 Liquid 3" ViscosityLINEST'!I308-4)</f>
        <v>567.62789432789441</v>
      </c>
    </row>
    <row r="310" spans="1:10">
      <c r="A310" s="5" t="s">
        <v>97</v>
      </c>
      <c r="I310">
        <f t="shared" ref="I310:I324" si="15">COUNT(B310:H310)-1</f>
        <v>-1</v>
      </c>
      <c r="J310">
        <f>'10A61 Liquid 3" ViscosityLINEST'!B310*'10A61 Liquid 3"'!$B$4^'10A61 Liquid 3" ViscosityLINEST'!I310+'10A61 Liquid 3" ViscosityLINEST'!C310*'10A61 Liquid 3"'!$B$4^('10A61 Liquid 3" ViscosityLINEST'!I310-1)+'10A61 Liquid 3" ViscosityLINEST'!D310*'10A61 Liquid 3"'!$B$4^('10A61 Liquid 3" ViscosityLINEST'!I310-2)+'10A61 Liquid 3" ViscosityLINEST'!E310*'10A61 Liquid 3"'!$B$4^('10A61 Liquid 3" ViscosityLINEST'!I310-3)+'10A61 Liquid 3" ViscosityLINEST'!F310*'10A61 Liquid 3"'!$B$4^('10A61 Liquid 3" ViscosityLINEST'!I310-4)</f>
        <v>0</v>
      </c>
    </row>
    <row r="311" spans="1:10">
      <c r="A311">
        <v>0.4</v>
      </c>
      <c r="B311">
        <f t="array" ref="B311:H311">LINEST('10A61 Liquid 3"'!AS6:AS11,'10A61 Liquid 3"'!AR6:AR11^{1,2,3,4})</f>
        <v>-416.66666666662354</v>
      </c>
      <c r="C311">
        <v>1657.4074074072932</v>
      </c>
      <c r="D311">
        <v>-2287.4999999998913</v>
      </c>
      <c r="E311">
        <v>1168.0687830687393</v>
      </c>
      <c r="F311">
        <v>1188.6984126984187</v>
      </c>
      <c r="G311" t="e">
        <v>#N/A</v>
      </c>
      <c r="H311" t="e">
        <v>#N/A</v>
      </c>
      <c r="I311">
        <f t="shared" si="15"/>
        <v>4</v>
      </c>
      <c r="J311">
        <f>'10A61 Liquid 3" ViscosityLINEST'!B311*'10A61 Liquid 3"'!$B$4^'10A61 Liquid 3" ViscosityLINEST'!I311+'10A61 Liquid 3" ViscosityLINEST'!C311*'10A61 Liquid 3"'!$B$4^('10A61 Liquid 3" ViscosityLINEST'!I311-1)+'10A61 Liquid 3" ViscosityLINEST'!D311*'10A61 Liquid 3"'!$B$4^('10A61 Liquid 3" ViscosityLINEST'!I311-2)+'10A61 Liquid 3" ViscosityLINEST'!E311*'10A61 Liquid 3"'!$B$4^('10A61 Liquid 3" ViscosityLINEST'!I311-3)+'10A61 Liquid 3" ViscosityLINEST'!F311*'10A61 Liquid 3"'!$B$4^('10A61 Liquid 3" ViscosityLINEST'!I311-4)</f>
        <v>1310.0079365079364</v>
      </c>
    </row>
    <row r="312" spans="1:10">
      <c r="B312">
        <f t="array" ref="B312:H312">LINEST('10A61 Liquid 3"'!AS11:AS19,'10A61 Liquid 3"'!AR11:AR19^{1,2,3,4})</f>
        <v>-0.44708624708624456</v>
      </c>
      <c r="C312">
        <v>5.6633514633514341</v>
      </c>
      <c r="D312">
        <v>-23.006410256410099</v>
      </c>
      <c r="E312">
        <v>-92.756746956747321</v>
      </c>
      <c r="F312">
        <v>1421.8388888888892</v>
      </c>
      <c r="G312" t="e">
        <v>#N/A</v>
      </c>
      <c r="H312" t="e">
        <v>#N/A</v>
      </c>
      <c r="I312">
        <f t="shared" si="15"/>
        <v>4</v>
      </c>
      <c r="J312">
        <f>'10A61 Liquid 3" ViscosityLINEST'!B312*'10A61 Liquid 3"'!$B$4^'10A61 Liquid 3" ViscosityLINEST'!I312+'10A61 Liquid 3" ViscosityLINEST'!C312*'10A61 Liquid 3"'!$B$4^('10A61 Liquid 3" ViscosityLINEST'!I312-1)+'10A61 Liquid 3" ViscosityLINEST'!D312*'10A61 Liquid 3"'!$B$4^('10A61 Liquid 3" ViscosityLINEST'!I312-2)+'10A61 Liquid 3" ViscosityLINEST'!E312*'10A61 Liquid 3"'!$B$4^('10A61 Liquid 3" ViscosityLINEST'!I312-3)+'10A61 Liquid 3" ViscosityLINEST'!F312*'10A61 Liquid 3"'!$B$4^('10A61 Liquid 3" ViscosityLINEST'!I312-4)</f>
        <v>1311.2919968919969</v>
      </c>
    </row>
    <row r="313" spans="1:10">
      <c r="A313">
        <v>0.6</v>
      </c>
      <c r="B313">
        <f t="array" ref="B313:H313">LINEST('10A61 Liquid 3"'!AS23:AS28,'10A61 Liquid 3"'!AR23:AR28^{1,2,3,4})</f>
        <v>2083.3333333330938</v>
      </c>
      <c r="C313">
        <v>-6490.7407407400715</v>
      </c>
      <c r="D313">
        <v>7420.8333333326491</v>
      </c>
      <c r="E313">
        <v>-3784.7354497351466</v>
      </c>
      <c r="F313">
        <v>1852.301587301539</v>
      </c>
      <c r="G313" t="e">
        <v>#N/A</v>
      </c>
      <c r="H313" t="e">
        <v>#N/A</v>
      </c>
      <c r="I313">
        <f t="shared" si="15"/>
        <v>4</v>
      </c>
      <c r="J313">
        <f>'10A61 Liquid 3" ViscosityLINEST'!B313*'10A61 Liquid 3"'!$B$4^'10A61 Liquid 3" ViscosityLINEST'!I313+'10A61 Liquid 3" ViscosityLINEST'!C313*'10A61 Liquid 3"'!$B$4^('10A61 Liquid 3" ViscosityLINEST'!I313-1)+'10A61 Liquid 3" ViscosityLINEST'!D313*'10A61 Liquid 3"'!$B$4^('10A61 Liquid 3" ViscosityLINEST'!I313-2)+'10A61 Liquid 3" ViscosityLINEST'!E313*'10A61 Liquid 3"'!$B$4^('10A61 Liquid 3" ViscosityLINEST'!I313-3)+'10A61 Liquid 3" ViscosityLINEST'!F313*'10A61 Liquid 3"'!$B$4^('10A61 Liquid 3" ViscosityLINEST'!I313-4)</f>
        <v>1080.9920634920638</v>
      </c>
    </row>
    <row r="314" spans="1:10">
      <c r="B314">
        <f t="array" ref="B314:H314">LINEST('10A61 Liquid 3"'!AS28:AS36,'10A61 Liquid 3"'!AR28:AR36^{1,2,3,4})</f>
        <v>-1.1072261072260807</v>
      </c>
      <c r="C314">
        <v>13.427454027453711</v>
      </c>
      <c r="D314">
        <v>-55.638344988343633</v>
      </c>
      <c r="E314">
        <v>5.4673789173764682</v>
      </c>
      <c r="F314">
        <v>1119.2555555555571</v>
      </c>
      <c r="G314" t="e">
        <v>#N/A</v>
      </c>
      <c r="H314" t="e">
        <v>#N/A</v>
      </c>
      <c r="I314">
        <f t="shared" si="15"/>
        <v>4</v>
      </c>
      <c r="J314">
        <f>'10A61 Liquid 3" ViscosityLINEST'!B314*'10A61 Liquid 3"'!$B$4^'10A61 Liquid 3" ViscosityLINEST'!I314+'10A61 Liquid 3" ViscosityLINEST'!C314*'10A61 Liquid 3"'!$B$4^('10A61 Liquid 3" ViscosityLINEST'!I314-1)+'10A61 Liquid 3" ViscosityLINEST'!D314*'10A61 Liquid 3"'!$B$4^('10A61 Liquid 3" ViscosityLINEST'!I314-2)+'10A61 Liquid 3" ViscosityLINEST'!E314*'10A61 Liquid 3"'!$B$4^('10A61 Liquid 3" ViscosityLINEST'!I314-3)+'10A61 Liquid 3" ViscosityLINEST'!F314*'10A61 Liquid 3"'!$B$4^('10A61 Liquid 3" ViscosityLINEST'!I314-4)</f>
        <v>1081.4048174048175</v>
      </c>
    </row>
    <row r="315" spans="1:10">
      <c r="A315">
        <v>0.8</v>
      </c>
      <c r="B315">
        <f t="array" ref="B315:H315">LINEST('10A61 Liquid 3"'!AS41:AS46,'10A61 Liquid 3"'!AR41:AR46^{1,2,3,4})</f>
        <v>-541.66666666667163</v>
      </c>
      <c r="C315">
        <v>1256.4814814815038</v>
      </c>
      <c r="D315">
        <v>-922.91666666669892</v>
      </c>
      <c r="E315">
        <v>116.36375661377528</v>
      </c>
      <c r="F315">
        <v>1033.4396825396786</v>
      </c>
      <c r="G315" t="e">
        <v>#N/A</v>
      </c>
      <c r="H315" t="e">
        <v>#N/A</v>
      </c>
      <c r="I315">
        <f t="shared" si="15"/>
        <v>4</v>
      </c>
      <c r="J315">
        <f>'10A61 Liquid 3" ViscosityLINEST'!B315*'10A61 Liquid 3"'!$B$4^'10A61 Liquid 3" ViscosityLINEST'!I315+'10A61 Liquid 3" ViscosityLINEST'!C315*'10A61 Liquid 3"'!$B$4^('10A61 Liquid 3" ViscosityLINEST'!I315-1)+'10A61 Liquid 3" ViscosityLINEST'!D315*'10A61 Liquid 3"'!$B$4^('10A61 Liquid 3" ViscosityLINEST'!I315-2)+'10A61 Liquid 3" ViscosityLINEST'!E315*'10A61 Liquid 3"'!$B$4^('10A61 Liquid 3" ViscosityLINEST'!I315-3)+'10A61 Liquid 3" ViscosityLINEST'!F315*'10A61 Liquid 3"'!$B$4^('10A61 Liquid 3" ViscosityLINEST'!I315-4)</f>
        <v>941.70158730158721</v>
      </c>
    </row>
    <row r="316" spans="1:10">
      <c r="B316">
        <f t="array" ref="B316:H316">LINEST('10A61 Liquid 3"'!AS46:AS54,'10A61 Liquid 3"'!AR46:AR54^{1,2,3,4})</f>
        <v>-0.24009324009320604</v>
      </c>
      <c r="C316">
        <v>3.5309505309501201</v>
      </c>
      <c r="D316">
        <v>-16.961188811187071</v>
      </c>
      <c r="E316">
        <v>-33.872131572134599</v>
      </c>
      <c r="F316">
        <v>988.50555555555729</v>
      </c>
      <c r="G316" t="e">
        <v>#N/A</v>
      </c>
      <c r="H316" t="e">
        <v>#N/A</v>
      </c>
      <c r="I316">
        <f t="shared" si="15"/>
        <v>4</v>
      </c>
      <c r="J316">
        <f>'10A61 Liquid 3" ViscosityLINEST'!B316*'10A61 Liquid 3"'!$B$4^'10A61 Liquid 3" ViscosityLINEST'!I316+'10A61 Liquid 3" ViscosityLINEST'!C316*'10A61 Liquid 3"'!$B$4^('10A61 Liquid 3" ViscosityLINEST'!I316-1)+'10A61 Liquid 3" ViscosityLINEST'!D316*'10A61 Liquid 3"'!$B$4^('10A61 Liquid 3" ViscosityLINEST'!I316-2)+'10A61 Liquid 3" ViscosityLINEST'!E316*'10A61 Liquid 3"'!$B$4^('10A61 Liquid 3" ViscosityLINEST'!I316-3)+'10A61 Liquid 3" ViscosityLINEST'!F316*'10A61 Liquid 3"'!$B$4^('10A61 Liquid 3" ViscosityLINEST'!I316-4)</f>
        <v>940.96309246309249</v>
      </c>
    </row>
    <row r="317" spans="1:10">
      <c r="A317">
        <v>1</v>
      </c>
      <c r="B317">
        <f t="array" ref="B317:H317">LINEST('10A61 Liquid 3"'!AS57:AS62,'10A61 Liquid 3"'!AR57:AR62^{1,2,3,4})</f>
        <v>-2187.4999999996035</v>
      </c>
      <c r="C317">
        <v>6743.0555555544088</v>
      </c>
      <c r="D317">
        <v>-7614.374999998784</v>
      </c>
      <c r="E317">
        <v>3663.9444444438845</v>
      </c>
      <c r="F317">
        <v>239.51666666676101</v>
      </c>
      <c r="G317" t="e">
        <v>#N/A</v>
      </c>
      <c r="H317" t="e">
        <v>#N/A</v>
      </c>
      <c r="I317">
        <f t="shared" si="15"/>
        <v>4</v>
      </c>
      <c r="J317">
        <f>'10A61 Liquid 3" ViscosityLINEST'!B317*'10A61 Liquid 3"'!$B$4^'10A61 Liquid 3" ViscosityLINEST'!I317+'10A61 Liquid 3" ViscosityLINEST'!C317*'10A61 Liquid 3"'!$B$4^('10A61 Liquid 3" ViscosityLINEST'!I317-1)+'10A61 Liquid 3" ViscosityLINEST'!D317*'10A61 Liquid 3"'!$B$4^('10A61 Liquid 3" ViscosityLINEST'!I317-2)+'10A61 Liquid 3" ViscosityLINEST'!E317*'10A61 Liquid 3"'!$B$4^('10A61 Liquid 3" ViscosityLINEST'!I317-3)+'10A61 Liquid 3" ViscosityLINEST'!F317*'10A61 Liquid 3"'!$B$4^('10A61 Liquid 3" ViscosityLINEST'!I317-4)</f>
        <v>844.64166666666688</v>
      </c>
    </row>
    <row r="318" spans="1:10">
      <c r="B318">
        <f t="array" ref="B318:H318">LINEST('10A61 Liquid 3"'!AS62:AS70,'10A61 Liquid 3"'!AR62:AR70^{1,2,3,4})</f>
        <v>-4.4289044289038251E-2</v>
      </c>
      <c r="C318">
        <v>0.69375809375803144</v>
      </c>
      <c r="D318">
        <v>-3.0374125874123554</v>
      </c>
      <c r="E318">
        <v>-48.48253043253083</v>
      </c>
      <c r="F318">
        <v>894.41111111111138</v>
      </c>
      <c r="G318" t="e">
        <v>#N/A</v>
      </c>
      <c r="H318" t="e">
        <v>#N/A</v>
      </c>
      <c r="I318">
        <f t="shared" si="15"/>
        <v>4</v>
      </c>
      <c r="J318">
        <f>'10A61 Liquid 3" ViscosityLINEST'!B318*'10A61 Liquid 3"'!$B$4^'10A61 Liquid 3" ViscosityLINEST'!I318+'10A61 Liquid 3" ViscosityLINEST'!C318*'10A61 Liquid 3"'!$B$4^('10A61 Liquid 3" ViscosityLINEST'!I318-1)+'10A61 Liquid 3" ViscosityLINEST'!D318*'10A61 Liquid 3"'!$B$4^('10A61 Liquid 3" ViscosityLINEST'!I318-2)+'10A61 Liquid 3" ViscosityLINEST'!E318*'10A61 Liquid 3"'!$B$4^('10A61 Liquid 3" ViscosityLINEST'!I318-3)+'10A61 Liquid 3" ViscosityLINEST'!F318*'10A61 Liquid 3"'!$B$4^('10A61 Liquid 3" ViscosityLINEST'!I318-4)</f>
        <v>843.54063714063716</v>
      </c>
    </row>
    <row r="319" spans="1:10">
      <c r="A319">
        <v>1.2</v>
      </c>
      <c r="B319">
        <f t="array" ref="B319:H319">LINEST('10A61 Liquid 3"'!AS73:AS78,'10A61 Liquid 3"'!AR73:AR78^{1,2,3,4})</f>
        <v>-2124.9999999997017</v>
      </c>
      <c r="C319">
        <v>6791.6666666658193</v>
      </c>
      <c r="D319">
        <v>-7978.7499999991196</v>
      </c>
      <c r="E319">
        <v>4021.2261904757938</v>
      </c>
      <c r="F319">
        <v>60.042857142922799</v>
      </c>
      <c r="G319" t="e">
        <v>#N/A</v>
      </c>
      <c r="H319" t="e">
        <v>#N/A</v>
      </c>
      <c r="I319">
        <f t="shared" si="15"/>
        <v>4</v>
      </c>
      <c r="J319">
        <f>'10A61 Liquid 3" ViscosityLINEST'!B319*'10A61 Liquid 3"'!$B$4^'10A61 Liquid 3" ViscosityLINEST'!I319+'10A61 Liquid 3" ViscosityLINEST'!C319*'10A61 Liquid 3"'!$B$4^('10A61 Liquid 3" ViscosityLINEST'!I319-1)+'10A61 Liquid 3" ViscosityLINEST'!D319*'10A61 Liquid 3"'!$B$4^('10A61 Liquid 3" ViscosityLINEST'!I319-2)+'10A61 Liquid 3" ViscosityLINEST'!E319*'10A61 Liquid 3"'!$B$4^('10A61 Liquid 3" ViscosityLINEST'!I319-3)+'10A61 Liquid 3" ViscosityLINEST'!F319*'10A61 Liquid 3"'!$B$4^('10A61 Liquid 3" ViscosityLINEST'!I319-4)</f>
        <v>769.18571428571465</v>
      </c>
    </row>
    <row r="320" spans="1:10">
      <c r="B320">
        <f t="array" ref="B320:H320">LINEST('10A61 Liquid 3"'!AS78:AS86,'10A61 Liquid 3"'!AR78:AR86^{1,2,3,4})</f>
        <v>0.34125874125873867</v>
      </c>
      <c r="C320">
        <v>-3.9038591038590678</v>
      </c>
      <c r="D320">
        <v>15.732867132866962</v>
      </c>
      <c r="E320">
        <v>-69.966459466459156</v>
      </c>
      <c r="F320">
        <v>826.05555555555554</v>
      </c>
      <c r="G320" t="e">
        <v>#N/A</v>
      </c>
      <c r="H320" t="e">
        <v>#N/A</v>
      </c>
      <c r="I320">
        <f t="shared" si="15"/>
        <v>4</v>
      </c>
      <c r="J320">
        <f>'10A61 Liquid 3" ViscosityLINEST'!B320*'10A61 Liquid 3"'!$B$4^'10A61 Liquid 3" ViscosityLINEST'!I320+'10A61 Liquid 3" ViscosityLINEST'!C320*'10A61 Liquid 3"'!$B$4^('10A61 Liquid 3" ViscosityLINEST'!I320-1)+'10A61 Liquid 3" ViscosityLINEST'!D320*'10A61 Liquid 3"'!$B$4^('10A61 Liquid 3" ViscosityLINEST'!I320-2)+'10A61 Liquid 3" ViscosityLINEST'!E320*'10A61 Liquid 3"'!$B$4^('10A61 Liquid 3" ViscosityLINEST'!I320-3)+'10A61 Liquid 3" ViscosityLINEST'!F320*'10A61 Liquid 3"'!$B$4^('10A61 Liquid 3" ViscosityLINEST'!I320-4)</f>
        <v>768.25936285936302</v>
      </c>
    </row>
    <row r="321" spans="1:10">
      <c r="A321">
        <v>1.4</v>
      </c>
      <c r="B321">
        <f t="array" ref="B321:H321">LINEST('10A61 Liquid 3"'!AS92:AS97,'10A61 Liquid 3"'!AR92:AR97^{1,2,3,4})</f>
        <v>-250.00000000008421</v>
      </c>
      <c r="C321">
        <v>1120.3703703706342</v>
      </c>
      <c r="D321">
        <v>-1700.8333333336379</v>
      </c>
      <c r="E321">
        <v>1022.3677248678779</v>
      </c>
      <c r="F321">
        <v>517.54920634917812</v>
      </c>
      <c r="G321" t="e">
        <v>#N/A</v>
      </c>
      <c r="H321" t="e">
        <v>#N/A</v>
      </c>
      <c r="I321">
        <f t="shared" si="15"/>
        <v>4</v>
      </c>
      <c r="J321">
        <f>'10A61 Liquid 3" ViscosityLINEST'!B321*'10A61 Liquid 3"'!$B$4^'10A61 Liquid 3" ViscosityLINEST'!I321+'10A61 Liquid 3" ViscosityLINEST'!C321*'10A61 Liquid 3"'!$B$4^('10A61 Liquid 3" ViscosityLINEST'!I321-1)+'10A61 Liquid 3" ViscosityLINEST'!D321*'10A61 Liquid 3"'!$B$4^('10A61 Liquid 3" ViscosityLINEST'!I321-2)+'10A61 Liquid 3" ViscosityLINEST'!E321*'10A61 Liquid 3"'!$B$4^('10A61 Liquid 3" ViscosityLINEST'!I321-3)+'10A61 Liquid 3" ViscosityLINEST'!F321*'10A61 Liquid 3"'!$B$4^('10A61 Liquid 3" ViscosityLINEST'!I321-4)</f>
        <v>709.45396825396801</v>
      </c>
    </row>
    <row r="322" spans="1:10">
      <c r="B322">
        <f t="array" ref="B322:H322">LINEST('10A61 Liquid 3"'!AS97:AS105,'10A61 Liquid 3"'!AR97:AR105^{1,2,3,4})</f>
        <v>0.81818181818179303</v>
      </c>
      <c r="C322">
        <v>-9.3447811447808249</v>
      </c>
      <c r="D322">
        <v>36.853030303028888</v>
      </c>
      <c r="E322">
        <v>-95.992592592590057</v>
      </c>
      <c r="F322">
        <v>776.56111111110977</v>
      </c>
      <c r="G322" t="e">
        <v>#N/A</v>
      </c>
      <c r="H322" t="e">
        <v>#N/A</v>
      </c>
      <c r="I322">
        <f t="shared" si="15"/>
        <v>4</v>
      </c>
      <c r="J322">
        <f>'10A61 Liquid 3" ViscosityLINEST'!B322*'10A61 Liquid 3"'!$B$4^'10A61 Liquid 3" ViscosityLINEST'!I322+'10A61 Liquid 3" ViscosityLINEST'!C322*'10A61 Liquid 3"'!$B$4^('10A61 Liquid 3" ViscosityLINEST'!I322-1)+'10A61 Liquid 3" ViscosityLINEST'!D322*'10A61 Liquid 3"'!$B$4^('10A61 Liquid 3" ViscosityLINEST'!I322-2)+'10A61 Liquid 3" ViscosityLINEST'!E322*'10A61 Liquid 3"'!$B$4^('10A61 Liquid 3" ViscosityLINEST'!I322-3)+'10A61 Liquid 3" ViscosityLINEST'!F322*'10A61 Liquid 3"'!$B$4^('10A61 Liquid 3" ViscosityLINEST'!I322-4)</f>
        <v>708.89494949494951</v>
      </c>
    </row>
    <row r="323" spans="1:10">
      <c r="A323">
        <v>1.5</v>
      </c>
      <c r="B323">
        <f t="array" ref="B323:H323">LINEST('10A61 Liquid 3"'!AS108:AS113,'10A61 Liquid 3"'!AR108:AR113^{1,2,3,4})</f>
        <v>624.99999999972079</v>
      </c>
      <c r="C323">
        <v>-1543.5185185176833</v>
      </c>
      <c r="D323">
        <v>1265.4166666657482</v>
      </c>
      <c r="E323">
        <v>-402.35052910008955</v>
      </c>
      <c r="F323">
        <v>739.32539682531979</v>
      </c>
      <c r="G323" t="e">
        <v>#N/A</v>
      </c>
      <c r="H323" t="e">
        <v>#N/A</v>
      </c>
      <c r="I323">
        <f t="shared" si="15"/>
        <v>4</v>
      </c>
      <c r="J323">
        <f>'10A61 Liquid 3" ViscosityLINEST'!B323*'10A61 Liquid 3"'!$B$4^'10A61 Liquid 3" ViscosityLINEST'!I323+'10A61 Liquid 3" ViscosityLINEST'!C323*'10A61 Liquid 3"'!$B$4^('10A61 Liquid 3" ViscosityLINEST'!I323-1)+'10A61 Liquid 3" ViscosityLINEST'!D323*'10A61 Liquid 3"'!$B$4^('10A61 Liquid 3" ViscosityLINEST'!I323-2)+'10A61 Liquid 3" ViscosityLINEST'!E323*'10A61 Liquid 3"'!$B$4^('10A61 Liquid 3" ViscosityLINEST'!I323-3)+'10A61 Liquid 3" ViscosityLINEST'!F323*'10A61 Liquid 3"'!$B$4^('10A61 Liquid 3" ViscosityLINEST'!I323-4)</f>
        <v>683.8730158730159</v>
      </c>
    </row>
    <row r="324" spans="1:10">
      <c r="B324">
        <f t="array" ref="B324:H324">LINEST('10A61 Liquid 3"'!AS113:AS121,'10A61 Liquid 3"'!AR113:AR121^{1,2,3,4})</f>
        <v>0.880652680652659</v>
      </c>
      <c r="C324">
        <v>-10.164465164464868</v>
      </c>
      <c r="D324">
        <v>40.476806526805113</v>
      </c>
      <c r="E324">
        <v>-99.740701890699185</v>
      </c>
      <c r="F324">
        <v>752.05555555555384</v>
      </c>
      <c r="G324" t="e">
        <v>#N/A</v>
      </c>
      <c r="H324" t="e">
        <v>#N/A</v>
      </c>
      <c r="I324">
        <f t="shared" si="15"/>
        <v>4</v>
      </c>
      <c r="J324">
        <f>'10A61 Liquid 3" ViscosityLINEST'!B324*'10A61 Liquid 3"'!$B$4^'10A61 Liquid 3" ViscosityLINEST'!I324+'10A61 Liquid 3" ViscosityLINEST'!C324*'10A61 Liquid 3"'!$B$4^('10A61 Liquid 3" ViscosityLINEST'!I324-1)+'10A61 Liquid 3" ViscosityLINEST'!D324*'10A61 Liquid 3"'!$B$4^('10A61 Liquid 3" ViscosityLINEST'!I324-2)+'10A61 Liquid 3" ViscosityLINEST'!E324*'10A61 Liquid 3"'!$B$4^('10A61 Liquid 3" ViscosityLINEST'!I324-3)+'10A61 Liquid 3" ViscosityLINEST'!F324*'10A61 Liquid 3"'!$B$4^('10A61 Liquid 3" ViscosityLINEST'!I324-4)</f>
        <v>683.50784770784753</v>
      </c>
    </row>
    <row r="326" spans="1:10">
      <c r="A326" s="5" t="s">
        <v>98</v>
      </c>
      <c r="I326">
        <f t="shared" ref="I326:I340" si="16">COUNT(B326:H326)-1</f>
        <v>-1</v>
      </c>
      <c r="J326">
        <f>'10A61 Liquid 3" ViscosityLINEST'!B326*'10A61 Liquid 3"'!$B$4^'10A61 Liquid 3" ViscosityLINEST'!I326+'10A61 Liquid 3" ViscosityLINEST'!C326*'10A61 Liquid 3"'!$B$4^('10A61 Liquid 3" ViscosityLINEST'!I326-1)+'10A61 Liquid 3" ViscosityLINEST'!D326*'10A61 Liquid 3"'!$B$4^('10A61 Liquid 3" ViscosityLINEST'!I326-2)+'10A61 Liquid 3" ViscosityLINEST'!E326*'10A61 Liquid 3"'!$B$4^('10A61 Liquid 3" ViscosityLINEST'!I326-3)+'10A61 Liquid 3" ViscosityLINEST'!F326*'10A61 Liquid 3"'!$B$4^('10A61 Liquid 3" ViscosityLINEST'!I326-4)</f>
        <v>0</v>
      </c>
    </row>
    <row r="327" spans="1:10">
      <c r="A327">
        <v>0.4</v>
      </c>
      <c r="B327">
        <f t="array" ref="B327:H327">LINEST('10A61 Liquid 3"'!AU6:AU11,'10A61 Liquid 3"'!AT6:AT11^{1,2,3,4})</f>
        <v>624.99999999963177</v>
      </c>
      <c r="C327">
        <v>-1550.9259259248265</v>
      </c>
      <c r="D327">
        <v>1314.5833333321268</v>
      </c>
      <c r="E327">
        <v>-577.16931216873581</v>
      </c>
      <c r="F327">
        <v>1576.6269841268831</v>
      </c>
      <c r="G327" t="e">
        <v>#N/A</v>
      </c>
      <c r="H327" t="e">
        <v>#N/A</v>
      </c>
      <c r="I327">
        <f t="shared" si="16"/>
        <v>4</v>
      </c>
      <c r="J327">
        <f>'10A61 Liquid 3" ViscosityLINEST'!B327*'10A61 Liquid 3"'!$B$4^'10A61 Liquid 3" ViscosityLINEST'!I327+'10A61 Liquid 3" ViscosityLINEST'!C327*'10A61 Liquid 3"'!$B$4^('10A61 Liquid 3" ViscosityLINEST'!I327-1)+'10A61 Liquid 3" ViscosityLINEST'!D327*'10A61 Liquid 3"'!$B$4^('10A61 Liquid 3" ViscosityLINEST'!I327-2)+'10A61 Liquid 3" ViscosityLINEST'!E327*'10A61 Liquid 3"'!$B$4^('10A61 Liquid 3" ViscosityLINEST'!I327-3)+'10A61 Liquid 3" ViscosityLINEST'!F327*'10A61 Liquid 3"'!$B$4^('10A61 Liquid 3" ViscosityLINEST'!I327-4)</f>
        <v>1388.1150793650795</v>
      </c>
    </row>
    <row r="328" spans="1:10">
      <c r="B328">
        <f t="array" ref="B328:H328">LINEST('10A61 Liquid 3"'!AU11:AU19,'10A61 Liquid 3"'!AT11:AT19^{1,2,3,4})</f>
        <v>-0.99813519813519691</v>
      </c>
      <c r="C328">
        <v>12.678632478632458</v>
      </c>
      <c r="D328">
        <v>-54.595920745920623</v>
      </c>
      <c r="E328">
        <v>-35.380264180264504</v>
      </c>
      <c r="F328">
        <v>1467.9833333333336</v>
      </c>
      <c r="G328" t="e">
        <v>#N/A</v>
      </c>
      <c r="H328" t="e">
        <v>#N/A</v>
      </c>
      <c r="I328">
        <f t="shared" si="16"/>
        <v>4</v>
      </c>
      <c r="J328">
        <f>'10A61 Liquid 3" ViscosityLINEST'!B328*'10A61 Liquid 3"'!$B$4^'10A61 Liquid 3" ViscosityLINEST'!I328+'10A61 Liquid 3" ViscosityLINEST'!C328*'10A61 Liquid 3"'!$B$4^('10A61 Liquid 3" ViscosityLINEST'!I328-1)+'10A61 Liquid 3" ViscosityLINEST'!D328*'10A61 Liquid 3"'!$B$4^('10A61 Liquid 3" ViscosityLINEST'!I328-2)+'10A61 Liquid 3" ViscosityLINEST'!E328*'10A61 Liquid 3"'!$B$4^('10A61 Liquid 3" ViscosityLINEST'!I328-3)+'10A61 Liquid 3" ViscosityLINEST'!F328*'10A61 Liquid 3"'!$B$4^('10A61 Liquid 3" ViscosityLINEST'!I328-4)</f>
        <v>1389.6876456876457</v>
      </c>
    </row>
    <row r="329" spans="1:10">
      <c r="A329">
        <v>0.6</v>
      </c>
      <c r="B329">
        <f t="array" ref="B329:H329">LINEST('10A61 Liquid 3"'!AU23:AU28,'10A61 Liquid 3"'!AT23:AT28^{1,2,3,4})</f>
        <v>1874.9999999999154</v>
      </c>
      <c r="C329">
        <v>-6097.2222222220153</v>
      </c>
      <c r="D329">
        <v>7268.7499999998263</v>
      </c>
      <c r="E329">
        <v>-3858.8492063491485</v>
      </c>
      <c r="F329">
        <v>1959.2619047618987</v>
      </c>
      <c r="G329" t="e">
        <v>#N/A</v>
      </c>
      <c r="H329" t="e">
        <v>#N/A</v>
      </c>
      <c r="I329">
        <f t="shared" si="16"/>
        <v>4</v>
      </c>
      <c r="J329">
        <f>'10A61 Liquid 3" ViscosityLINEST'!B329*'10A61 Liquid 3"'!$B$4^'10A61 Liquid 3" ViscosityLINEST'!I329+'10A61 Liquid 3" ViscosityLINEST'!C329*'10A61 Liquid 3"'!$B$4^('10A61 Liquid 3" ViscosityLINEST'!I329-1)+'10A61 Liquid 3" ViscosityLINEST'!D329*'10A61 Liquid 3"'!$B$4^('10A61 Liquid 3" ViscosityLINEST'!I329-2)+'10A61 Liquid 3" ViscosityLINEST'!E329*'10A61 Liquid 3"'!$B$4^('10A61 Liquid 3" ViscosityLINEST'!I329-3)+'10A61 Liquid 3" ViscosityLINEST'!F329*'10A61 Liquid 3"'!$B$4^('10A61 Liquid 3" ViscosityLINEST'!I329-4)</f>
        <v>1146.9404761904766</v>
      </c>
    </row>
    <row r="330" spans="1:10">
      <c r="B330">
        <f t="array" ref="B330:H330">LINEST('10A61 Liquid 3"'!AU28:AU36,'10A61 Liquid 3"'!AT28:AT36^{1,2,3,4})</f>
        <v>-0.68717948717947042</v>
      </c>
      <c r="C330">
        <v>8.409116809116604</v>
      </c>
      <c r="D330">
        <v>-35.000932400931511</v>
      </c>
      <c r="E330">
        <v>-28.382582232583815</v>
      </c>
      <c r="F330">
        <v>1202.7388888888895</v>
      </c>
      <c r="G330" t="e">
        <v>#N/A</v>
      </c>
      <c r="H330" t="e">
        <v>#N/A</v>
      </c>
      <c r="I330">
        <f t="shared" si="16"/>
        <v>4</v>
      </c>
      <c r="J330">
        <f>'10A61 Liquid 3" ViscosityLINEST'!B330*'10A61 Liquid 3"'!$B$4^'10A61 Liquid 3" ViscosityLINEST'!I330+'10A61 Liquid 3" ViscosityLINEST'!C330*'10A61 Liquid 3"'!$B$4^('10A61 Liquid 3" ViscosityLINEST'!I330-1)+'10A61 Liquid 3" ViscosityLINEST'!D330*'10A61 Liquid 3"'!$B$4^('10A61 Liquid 3" ViscosityLINEST'!I330-2)+'10A61 Liquid 3" ViscosityLINEST'!E330*'10A61 Liquid 3"'!$B$4^('10A61 Liquid 3" ViscosityLINEST'!I330-3)+'10A61 Liquid 3" ViscosityLINEST'!F330*'10A61 Liquid 3"'!$B$4^('10A61 Liquid 3" ViscosityLINEST'!I330-4)</f>
        <v>1147.0773115773113</v>
      </c>
    </row>
    <row r="331" spans="1:10">
      <c r="A331">
        <v>0.8</v>
      </c>
      <c r="B331">
        <f t="array" ref="B331:H331">LINEST('10A61 Liquid 3"'!AU41:AU46,'10A61 Liquid 3"'!AT41:AT46^{1,2,3,4})</f>
        <v>-1458.3333333331143</v>
      </c>
      <c r="C331">
        <v>4273.1481481475166</v>
      </c>
      <c r="D331">
        <v>-4556.2499999993333</v>
      </c>
      <c r="E331">
        <v>2010.66137566107</v>
      </c>
      <c r="F331">
        <v>730.75396825401947</v>
      </c>
      <c r="G331" t="e">
        <v>#N/A</v>
      </c>
      <c r="H331" t="e">
        <v>#N/A</v>
      </c>
      <c r="I331">
        <f t="shared" si="16"/>
        <v>4</v>
      </c>
      <c r="J331">
        <f>'10A61 Liquid 3" ViscosityLINEST'!B331*'10A61 Liquid 3"'!$B$4^'10A61 Liquid 3" ViscosityLINEST'!I331+'10A61 Liquid 3" ViscosityLINEST'!C331*'10A61 Liquid 3"'!$B$4^('10A61 Liquid 3" ViscosityLINEST'!I331-1)+'10A61 Liquid 3" ViscosityLINEST'!D331*'10A61 Liquid 3"'!$B$4^('10A61 Liquid 3" ViscosityLINEST'!I331-2)+'10A61 Liquid 3" ViscosityLINEST'!E331*'10A61 Liquid 3"'!$B$4^('10A61 Liquid 3" ViscosityLINEST'!I331-3)+'10A61 Liquid 3" ViscosityLINEST'!F331*'10A61 Liquid 3"'!$B$4^('10A61 Liquid 3" ViscosityLINEST'!I331-4)</f>
        <v>999.98015873015845</v>
      </c>
    </row>
    <row r="332" spans="1:10">
      <c r="B332">
        <f t="array" ref="B332:H332">LINEST('10A61 Liquid 3"'!AU46:AU54,'10A61 Liquid 3"'!AT46:AT54^{1,2,3,4})</f>
        <v>-0.4125874125873743</v>
      </c>
      <c r="C332">
        <v>5.392126392125939</v>
      </c>
      <c r="D332">
        <v>-23.945337995336114</v>
      </c>
      <c r="E332">
        <v>-23.55712250712569</v>
      </c>
      <c r="F332">
        <v>1041.2444444444461</v>
      </c>
      <c r="G332" t="e">
        <v>#N/A</v>
      </c>
      <c r="H332" t="e">
        <v>#N/A</v>
      </c>
      <c r="I332">
        <f t="shared" si="16"/>
        <v>4</v>
      </c>
      <c r="J332">
        <f>'10A61 Liquid 3" ViscosityLINEST'!B332*'10A61 Liquid 3"'!$B$4^'10A61 Liquid 3" ViscosityLINEST'!I332+'10A61 Liquid 3" ViscosityLINEST'!C332*'10A61 Liquid 3"'!$B$4^('10A61 Liquid 3" ViscosityLINEST'!I332-1)+'10A61 Liquid 3" ViscosityLINEST'!D332*'10A61 Liquid 3"'!$B$4^('10A61 Liquid 3" ViscosityLINEST'!I332-2)+'10A61 Liquid 3" ViscosityLINEST'!E332*'10A61 Liquid 3"'!$B$4^('10A61 Liquid 3" ViscosityLINEST'!I332-3)+'10A61 Liquid 3" ViscosityLINEST'!F332*'10A61 Liquid 3"'!$B$4^('10A61 Liquid 3" ViscosityLINEST'!I332-4)</f>
        <v>998.72152292152282</v>
      </c>
    </row>
    <row r="333" spans="1:10">
      <c r="A333">
        <v>1</v>
      </c>
      <c r="B333">
        <f t="array" ref="B333:H333">LINEST('10A61 Liquid 3"'!AU57:AU62,'10A61 Liquid 3"'!AT57:AT62^{1,2,3,4})</f>
        <v>-2958.3333333327569</v>
      </c>
      <c r="C333">
        <v>9337.9629629612919</v>
      </c>
      <c r="D333">
        <v>-10827.083333331557</v>
      </c>
      <c r="E333">
        <v>5390.0489417981207</v>
      </c>
      <c r="F333">
        <v>-46.349206349067572</v>
      </c>
      <c r="G333" t="e">
        <v>#N/A</v>
      </c>
      <c r="H333" t="e">
        <v>#N/A</v>
      </c>
      <c r="I333">
        <f t="shared" si="16"/>
        <v>4</v>
      </c>
      <c r="J333">
        <f>'10A61 Liquid 3" ViscosityLINEST'!B333*'10A61 Liquid 3"'!$B$4^'10A61 Liquid 3" ViscosityLINEST'!I333+'10A61 Liquid 3" ViscosityLINEST'!C333*'10A61 Liquid 3"'!$B$4^('10A61 Liquid 3" ViscosityLINEST'!I333-1)+'10A61 Liquid 3" ViscosityLINEST'!D333*'10A61 Liquid 3"'!$B$4^('10A61 Liquid 3" ViscosityLINEST'!I333-2)+'10A61 Liquid 3" ViscosityLINEST'!E333*'10A61 Liquid 3"'!$B$4^('10A61 Liquid 3" ViscosityLINEST'!I333-3)+'10A61 Liquid 3" ViscosityLINEST'!F333*'10A61 Liquid 3"'!$B$4^('10A61 Liquid 3" ViscosityLINEST'!I333-4)</f>
        <v>896.24603174603089</v>
      </c>
    </row>
    <row r="334" spans="1:10">
      <c r="B334">
        <f t="array" ref="B334:H334">LINEST('10A61 Liquid 3"'!AU62:AU70,'10A61 Liquid 3"'!AT62:AT70^{1,2,3,4})</f>
        <v>17.809324009323809</v>
      </c>
      <c r="C334">
        <v>-222.07754467754191</v>
      </c>
      <c r="D334">
        <v>958.96282051280684</v>
      </c>
      <c r="E334">
        <v>-1690.6215229214954</v>
      </c>
      <c r="F334">
        <v>1806.5166666666496</v>
      </c>
      <c r="G334" t="e">
        <v>#N/A</v>
      </c>
      <c r="H334" t="e">
        <v>#N/A</v>
      </c>
      <c r="I334">
        <f t="shared" si="16"/>
        <v>4</v>
      </c>
      <c r="J334">
        <f>'10A61 Liquid 3" ViscosityLINEST'!B334*'10A61 Liquid 3"'!$B$4^'10A61 Liquid 3" ViscosityLINEST'!I334+'10A61 Liquid 3" ViscosityLINEST'!C334*'10A61 Liquid 3"'!$B$4^('10A61 Liquid 3" ViscosityLINEST'!I334-1)+'10A61 Liquid 3" ViscosityLINEST'!D334*'10A61 Liquid 3"'!$B$4^('10A61 Liquid 3" ViscosityLINEST'!I334-2)+'10A61 Liquid 3" ViscosityLINEST'!E334*'10A61 Liquid 3"'!$B$4^('10A61 Liquid 3" ViscosityLINEST'!I334-3)+'10A61 Liquid 3" ViscosityLINEST'!F334*'10A61 Liquid 3"'!$B$4^('10A61 Liquid 3" ViscosityLINEST'!I334-4)</f>
        <v>870.58974358974297</v>
      </c>
    </row>
    <row r="335" spans="1:10">
      <c r="A335">
        <v>1.2</v>
      </c>
      <c r="B335">
        <f t="array" ref="B335:H335">LINEST('10A61 Liquid 3"'!AU73:AU78,'10A61 Liquid 3"'!AT73:AT78^{1,2,3,4})</f>
        <v>-708.33333333333928</v>
      </c>
      <c r="C335">
        <v>2556.4814814815195</v>
      </c>
      <c r="D335">
        <v>-3353.7500000000655</v>
      </c>
      <c r="E335">
        <v>1841.1137566138</v>
      </c>
      <c r="F335">
        <v>480.83968253967259</v>
      </c>
      <c r="G335" t="e">
        <v>#N/A</v>
      </c>
      <c r="H335" t="e">
        <v>#N/A</v>
      </c>
      <c r="I335">
        <f t="shared" si="16"/>
        <v>4</v>
      </c>
      <c r="J335">
        <f>'10A61 Liquid 3" ViscosityLINEST'!B335*'10A61 Liquid 3"'!$B$4^'10A61 Liquid 3" ViscosityLINEST'!I335+'10A61 Liquid 3" ViscosityLINEST'!C335*'10A61 Liquid 3"'!$B$4^('10A61 Liquid 3" ViscosityLINEST'!I335-1)+'10A61 Liquid 3" ViscosityLINEST'!D335*'10A61 Liquid 3"'!$B$4^('10A61 Liquid 3" ViscosityLINEST'!I335-2)+'10A61 Liquid 3" ViscosityLINEST'!E335*'10A61 Liquid 3"'!$B$4^('10A61 Liquid 3" ViscosityLINEST'!I335-3)+'10A61 Liquid 3" ViscosityLINEST'!F335*'10A61 Liquid 3"'!$B$4^('10A61 Liquid 3" ViscosityLINEST'!I335-4)</f>
        <v>816.35158730158719</v>
      </c>
    </row>
    <row r="336" spans="1:10">
      <c r="B336">
        <f t="array" ref="B336:H336">LINEST('10A61 Liquid 3"'!AU78:AU86,'10A61 Liquid 3"'!AT78:AT86^{1,2,3,4})</f>
        <v>0.83589743589740439</v>
      </c>
      <c r="C336">
        <v>-9.5398601398597478</v>
      </c>
      <c r="D336">
        <v>37.642540792539059</v>
      </c>
      <c r="E336">
        <v>-103.67412587412275</v>
      </c>
      <c r="F336">
        <v>890.38333333333173</v>
      </c>
      <c r="G336" t="e">
        <v>#N/A</v>
      </c>
      <c r="H336" t="e">
        <v>#N/A</v>
      </c>
      <c r="I336">
        <f t="shared" si="16"/>
        <v>4</v>
      </c>
      <c r="J336">
        <f>'10A61 Liquid 3" ViscosityLINEST'!B336*'10A61 Liquid 3"'!$B$4^'10A61 Liquid 3" ViscosityLINEST'!I336+'10A61 Liquid 3" ViscosityLINEST'!C336*'10A61 Liquid 3"'!$B$4^('10A61 Liquid 3" ViscosityLINEST'!I336-1)+'10A61 Liquid 3" ViscosityLINEST'!D336*'10A61 Liquid 3"'!$B$4^('10A61 Liquid 3" ViscosityLINEST'!I336-2)+'10A61 Liquid 3" ViscosityLINEST'!E336*'10A61 Liquid 3"'!$B$4^('10A61 Liquid 3" ViscosityLINEST'!I336-3)+'10A61 Liquid 3" ViscosityLINEST'!F336*'10A61 Liquid 3"'!$B$4^('10A61 Liquid 3" ViscosityLINEST'!I336-4)</f>
        <v>815.6477855477857</v>
      </c>
    </row>
    <row r="337" spans="1:10">
      <c r="A337">
        <v>1.4</v>
      </c>
      <c r="B337">
        <f t="array" ref="B337:H337">LINEST('10A61 Liquid 3"'!AU92:AU97,'10A61 Liquid 3"'!AT92:AT97^{1,2,3,4})</f>
        <v>1499.9999999995946</v>
      </c>
      <c r="C337">
        <v>-4159.2592592580622</v>
      </c>
      <c r="D337">
        <v>4118.3333333320343</v>
      </c>
      <c r="E337">
        <v>-1746.1216931210795</v>
      </c>
      <c r="F337">
        <v>1040.5412698411633</v>
      </c>
      <c r="G337" t="e">
        <v>#N/A</v>
      </c>
      <c r="H337" t="e">
        <v>#N/A</v>
      </c>
      <c r="I337">
        <f t="shared" si="16"/>
        <v>4</v>
      </c>
      <c r="J337">
        <f>'10A61 Liquid 3" ViscosityLINEST'!B337*'10A61 Liquid 3"'!$B$4^'10A61 Liquid 3" ViscosityLINEST'!I337+'10A61 Liquid 3" ViscosityLINEST'!C337*'10A61 Liquid 3"'!$B$4^('10A61 Liquid 3" ViscosityLINEST'!I337-1)+'10A61 Liquid 3" ViscosityLINEST'!D337*'10A61 Liquid 3"'!$B$4^('10A61 Liquid 3" ViscosityLINEST'!I337-2)+'10A61 Liquid 3" ViscosityLINEST'!E337*'10A61 Liquid 3"'!$B$4^('10A61 Liquid 3" ViscosityLINEST'!I337-3)+'10A61 Liquid 3" ViscosityLINEST'!F337*'10A61 Liquid 3"'!$B$4^('10A61 Liquid 3" ViscosityLINEST'!I337-4)</f>
        <v>753.4936507936502</v>
      </c>
    </row>
    <row r="338" spans="1:10">
      <c r="B338">
        <f t="array" ref="B338:H338">LINEST('10A61 Liquid 3"'!AU97:AU105,'10A61 Liquid 3"'!AT97:AT105^{1,2,3,4})</f>
        <v>0.95804195804192005</v>
      </c>
      <c r="C338">
        <v>-11.253405853405377</v>
      </c>
      <c r="D338">
        <v>45.630186480184356</v>
      </c>
      <c r="E338">
        <v>-111.78816368815981</v>
      </c>
      <c r="F338">
        <v>829.72777777777571</v>
      </c>
      <c r="G338" t="e">
        <v>#N/A</v>
      </c>
      <c r="H338" t="e">
        <v>#N/A</v>
      </c>
      <c r="I338">
        <f t="shared" si="16"/>
        <v>4</v>
      </c>
      <c r="J338">
        <f>'10A61 Liquid 3" ViscosityLINEST'!B338*'10A61 Liquid 3"'!$B$4^'10A61 Liquid 3" ViscosityLINEST'!I338+'10A61 Liquid 3" ViscosityLINEST'!C338*'10A61 Liquid 3"'!$B$4^('10A61 Liquid 3" ViscosityLINEST'!I338-1)+'10A61 Liquid 3" ViscosityLINEST'!D338*'10A61 Liquid 3"'!$B$4^('10A61 Liquid 3" ViscosityLINEST'!I338-2)+'10A61 Liquid 3" ViscosityLINEST'!E338*'10A61 Liquid 3"'!$B$4^('10A61 Liquid 3" ViscosityLINEST'!I338-3)+'10A61 Liquid 3" ViscosityLINEST'!F338*'10A61 Liquid 3"'!$B$4^('10A61 Liquid 3" ViscosityLINEST'!I338-4)</f>
        <v>753.27443667443686</v>
      </c>
    </row>
    <row r="339" spans="1:10">
      <c r="A339">
        <v>1.5</v>
      </c>
      <c r="B339">
        <f t="array" ref="B339:H339">LINEST('10A61 Liquid 3"'!AU108:AU113,'10A61 Liquid 3"'!AT108:AT113^{1,2,3,4})</f>
        <v>1791.6666666663464</v>
      </c>
      <c r="C339">
        <v>-5113.8888888879574</v>
      </c>
      <c r="D339">
        <v>5259.583333332339</v>
      </c>
      <c r="E339">
        <v>-2330.8253968249346</v>
      </c>
      <c r="F339">
        <v>1120.1190476189686</v>
      </c>
      <c r="G339" t="e">
        <v>#N/A</v>
      </c>
      <c r="H339" t="e">
        <v>#N/A</v>
      </c>
      <c r="I339">
        <f t="shared" si="16"/>
        <v>4</v>
      </c>
      <c r="J339">
        <f>'10A61 Liquid 3" ViscosityLINEST'!B339*'10A61 Liquid 3"'!$B$4^'10A61 Liquid 3" ViscosityLINEST'!I339+'10A61 Liquid 3" ViscosityLINEST'!C339*'10A61 Liquid 3"'!$B$4^('10A61 Liquid 3" ViscosityLINEST'!I339-1)+'10A61 Liquid 3" ViscosityLINEST'!D339*'10A61 Liquid 3"'!$B$4^('10A61 Liquid 3" ViscosityLINEST'!I339-2)+'10A61 Liquid 3" ViscosityLINEST'!E339*'10A61 Liquid 3"'!$B$4^('10A61 Liquid 3" ViscosityLINEST'!I339-3)+'10A61 Liquid 3" ViscosityLINEST'!F339*'10A61 Liquid 3"'!$B$4^('10A61 Liquid 3" ViscosityLINEST'!I339-4)</f>
        <v>726.65476190476193</v>
      </c>
    </row>
    <row r="340" spans="1:10">
      <c r="B340">
        <f t="array" ref="B340:H340">LINEST('10A61 Liquid 3"'!AU113:AU121,'10A61 Liquid 3"'!AT113:AT121^{1,2,3,4})</f>
        <v>0.867132867132829</v>
      </c>
      <c r="C340">
        <v>-10.362496762496288</v>
      </c>
      <c r="D340">
        <v>42.798368298366256</v>
      </c>
      <c r="E340">
        <v>-106.0836182336147</v>
      </c>
      <c r="F340">
        <v>799.42777777777576</v>
      </c>
      <c r="G340" t="e">
        <v>#N/A</v>
      </c>
      <c r="H340" t="e">
        <v>#N/A</v>
      </c>
      <c r="I340">
        <f t="shared" si="16"/>
        <v>4</v>
      </c>
      <c r="J340">
        <f>'10A61 Liquid 3" ViscosityLINEST'!B340*'10A61 Liquid 3"'!$B$4^'10A61 Liquid 3" ViscosityLINEST'!I340+'10A61 Liquid 3" ViscosityLINEST'!C340*'10A61 Liquid 3"'!$B$4^('10A61 Liquid 3" ViscosityLINEST'!I340-1)+'10A61 Liquid 3" ViscosityLINEST'!D340*'10A61 Liquid 3"'!$B$4^('10A61 Liquid 3" ViscosityLINEST'!I340-2)+'10A61 Liquid 3" ViscosityLINEST'!E340*'10A61 Liquid 3"'!$B$4^('10A61 Liquid 3" ViscosityLINEST'!I340-3)+'10A61 Liquid 3" ViscosityLINEST'!F340*'10A61 Liquid 3"'!$B$4^('10A61 Liquid 3" ViscosityLINEST'!I340-4)</f>
        <v>726.64716394716379</v>
      </c>
    </row>
    <row r="342" spans="1:10">
      <c r="A342" s="5" t="s">
        <v>99</v>
      </c>
      <c r="I342">
        <f t="shared" ref="I342:I356" si="17">COUNT(B342:H342)-1</f>
        <v>-1</v>
      </c>
      <c r="J342">
        <f>'10A61 Liquid 3" ViscosityLINEST'!B342*'10A61 Liquid 3"'!$B$4^'10A61 Liquid 3" ViscosityLINEST'!I342+'10A61 Liquid 3" ViscosityLINEST'!C342*'10A61 Liquid 3"'!$B$4^('10A61 Liquid 3" ViscosityLINEST'!I342-1)+'10A61 Liquid 3" ViscosityLINEST'!D342*'10A61 Liquid 3"'!$B$4^('10A61 Liquid 3" ViscosityLINEST'!I342-2)+'10A61 Liquid 3" ViscosityLINEST'!E342*'10A61 Liquid 3"'!$B$4^('10A61 Liquid 3" ViscosityLINEST'!I342-3)+'10A61 Liquid 3" ViscosityLINEST'!F342*'10A61 Liquid 3"'!$B$4^('10A61 Liquid 3" ViscosityLINEST'!I342-4)</f>
        <v>0</v>
      </c>
    </row>
    <row r="343" spans="1:10">
      <c r="A343">
        <v>0.4</v>
      </c>
      <c r="B343">
        <f t="array" ref="B343:H343">LINEST('10A61 Liquid 3"'!AW6:AW11,'10A61 Liquid 3"'!AV6:AV11^{1,2,3,4})</f>
        <v>-2083.3333333331466</v>
      </c>
      <c r="C343">
        <v>5731.4814814809524</v>
      </c>
      <c r="D343">
        <v>-5612.4999999994525</v>
      </c>
      <c r="E343">
        <v>2056.9708994706539</v>
      </c>
      <c r="F343">
        <v>1532.3968253968656</v>
      </c>
      <c r="G343" t="e">
        <v>#N/A</v>
      </c>
      <c r="H343" t="e">
        <v>#N/A</v>
      </c>
      <c r="I343">
        <f t="shared" si="17"/>
        <v>4</v>
      </c>
      <c r="J343">
        <f>'10A61 Liquid 3" ViscosityLINEST'!B343*'10A61 Liquid 3"'!$B$4^'10A61 Liquid 3" ViscosityLINEST'!I343+'10A61 Liquid 3" ViscosityLINEST'!C343*'10A61 Liquid 3"'!$B$4^('10A61 Liquid 3" ViscosityLINEST'!I343-1)+'10A61 Liquid 3" ViscosityLINEST'!D343*'10A61 Liquid 3"'!$B$4^('10A61 Liquid 3" ViscosityLINEST'!I343-2)+'10A61 Liquid 3" ViscosityLINEST'!E343*'10A61 Liquid 3"'!$B$4^('10A61 Liquid 3" ViscosityLINEST'!I343-3)+'10A61 Liquid 3" ViscosityLINEST'!F343*'10A61 Liquid 3"'!$B$4^('10A61 Liquid 3" ViscosityLINEST'!I343-4)</f>
        <v>1625.0158730158728</v>
      </c>
    </row>
    <row r="344" spans="1:10">
      <c r="B344">
        <f t="array" ref="B344:H344">LINEST('10A61 Liquid 3"'!AW11:AW19,'10A61 Liquid 3"'!AV11:AV19^{1,2,3,4})</f>
        <v>2.186480186480114</v>
      </c>
      <c r="C344">
        <v>-28.183890183889261</v>
      </c>
      <c r="D344">
        <v>133.87762237761822</v>
      </c>
      <c r="E344">
        <v>-417.49948199947431</v>
      </c>
      <c r="F344">
        <v>1934.5555555555507</v>
      </c>
      <c r="G344" t="e">
        <v>#N/A</v>
      </c>
      <c r="H344" t="e">
        <v>#N/A</v>
      </c>
      <c r="I344">
        <f t="shared" si="17"/>
        <v>4</v>
      </c>
      <c r="J344">
        <f>'10A61 Liquid 3" ViscosityLINEST'!B344*'10A61 Liquid 3"'!$B$4^'10A61 Liquid 3" ViscosityLINEST'!I344+'10A61 Liquid 3" ViscosityLINEST'!C344*'10A61 Liquid 3"'!$B$4^('10A61 Liquid 3" ViscosityLINEST'!I344-1)+'10A61 Liquid 3" ViscosityLINEST'!D344*'10A61 Liquid 3"'!$B$4^('10A61 Liquid 3" ViscosityLINEST'!I344-2)+'10A61 Liquid 3" ViscosityLINEST'!E344*'10A61 Liquid 3"'!$B$4^('10A61 Liquid 3" ViscosityLINEST'!I344-3)+'10A61 Liquid 3" ViscosityLINEST'!F344*'10A61 Liquid 3"'!$B$4^('10A61 Liquid 3" ViscosityLINEST'!I344-4)</f>
        <v>1624.9362859362855</v>
      </c>
    </row>
    <row r="345" spans="1:10">
      <c r="A345">
        <v>0.6</v>
      </c>
      <c r="B345">
        <f t="array" ref="B345:H345">LINEST('10A61 Liquid 3"'!AW23:AW28,'10A61 Liquid 3"'!AV23:AV28^{1,2,3,4})</f>
        <v>-1458.3333333330311</v>
      </c>
      <c r="C345">
        <v>4550.9259259250493</v>
      </c>
      <c r="D345">
        <v>-5131.2499999990669</v>
      </c>
      <c r="E345">
        <v>2298.9550264545946</v>
      </c>
      <c r="F345">
        <v>1056.6587301588031</v>
      </c>
      <c r="G345" t="e">
        <v>#N/A</v>
      </c>
      <c r="H345" t="e">
        <v>#N/A</v>
      </c>
      <c r="I345">
        <f t="shared" si="17"/>
        <v>4</v>
      </c>
      <c r="J345">
        <f>'10A61 Liquid 3" ViscosityLINEST'!B345*'10A61 Liquid 3"'!$B$4^'10A61 Liquid 3" ViscosityLINEST'!I345+'10A61 Liquid 3" ViscosityLINEST'!C345*'10A61 Liquid 3"'!$B$4^('10A61 Liquid 3" ViscosityLINEST'!I345-1)+'10A61 Liquid 3" ViscosityLINEST'!D345*'10A61 Liquid 3"'!$B$4^('10A61 Liquid 3" ViscosityLINEST'!I345-2)+'10A61 Liquid 3" ViscosityLINEST'!E345*'10A61 Liquid 3"'!$B$4^('10A61 Liquid 3" ViscosityLINEST'!I345-3)+'10A61 Liquid 3" ViscosityLINEST'!F345*'10A61 Liquid 3"'!$B$4^('10A61 Liquid 3" ViscosityLINEST'!I345-4)</f>
        <v>1316.9563492063492</v>
      </c>
    </row>
    <row r="346" spans="1:10">
      <c r="B346">
        <f t="array" ref="B346:H346">LINEST('10A61 Liquid 3"'!AW28:AW36,'10A61 Liquid 3"'!AV28:AV36^{1,2,3,4})</f>
        <v>0.91841491841486778</v>
      </c>
      <c r="C346">
        <v>-13.799430199429541</v>
      </c>
      <c r="D346">
        <v>76.385547785544773</v>
      </c>
      <c r="E346">
        <v>-278.39105154104595</v>
      </c>
      <c r="F346">
        <v>1532.9055555555522</v>
      </c>
      <c r="G346" t="e">
        <v>#N/A</v>
      </c>
      <c r="H346" t="e">
        <v>#N/A</v>
      </c>
      <c r="I346">
        <f t="shared" si="17"/>
        <v>4</v>
      </c>
      <c r="J346">
        <f>'10A61 Liquid 3" ViscosityLINEST'!B346*'10A61 Liquid 3"'!$B$4^'10A61 Liquid 3" ViscosityLINEST'!I346+'10A61 Liquid 3" ViscosityLINEST'!C346*'10A61 Liquid 3"'!$B$4^('10A61 Liquid 3" ViscosityLINEST'!I346-1)+'10A61 Liquid 3" ViscosityLINEST'!D346*'10A61 Liquid 3"'!$B$4^('10A61 Liquid 3" ViscosityLINEST'!I346-2)+'10A61 Liquid 3" ViscosityLINEST'!E346*'10A61 Liquid 3"'!$B$4^('10A61 Liquid 3" ViscosityLINEST'!I346-3)+'10A61 Liquid 3" ViscosityLINEST'!F346*'10A61 Liquid 3"'!$B$4^('10A61 Liquid 3" ViscosityLINEST'!I346-4)</f>
        <v>1318.0190365190363</v>
      </c>
    </row>
    <row r="347" spans="1:10">
      <c r="A347">
        <v>0.8</v>
      </c>
      <c r="B347">
        <f t="array" ref="B347:H347">LINEST('10A61 Liquid 3"'!AW41:AW46,'10A61 Liquid 3"'!AV41:AV46^{1,2,3,4})</f>
        <v>-2291.6666666662622</v>
      </c>
      <c r="C347">
        <v>7384.2592592581013</v>
      </c>
      <c r="D347">
        <v>-8722.916666665451</v>
      </c>
      <c r="E347">
        <v>4330.6216931211384</v>
      </c>
      <c r="F347">
        <v>417.65873015882289</v>
      </c>
      <c r="G347" t="e">
        <v>#N/A</v>
      </c>
      <c r="H347" t="e">
        <v>#N/A</v>
      </c>
      <c r="I347">
        <f t="shared" si="17"/>
        <v>4</v>
      </c>
      <c r="J347">
        <f>'10A61 Liquid 3" ViscosityLINEST'!B347*'10A61 Liquid 3"'!$B$4^'10A61 Liquid 3" ViscosityLINEST'!I347+'10A61 Liquid 3" ViscosityLINEST'!C347*'10A61 Liquid 3"'!$B$4^('10A61 Liquid 3" ViscosityLINEST'!I347-1)+'10A61 Liquid 3" ViscosityLINEST'!D347*'10A61 Liquid 3"'!$B$4^('10A61 Liquid 3" ViscosityLINEST'!I347-2)+'10A61 Liquid 3" ViscosityLINEST'!E347*'10A61 Liquid 3"'!$B$4^('10A61 Liquid 3" ViscosityLINEST'!I347-3)+'10A61 Liquid 3" ViscosityLINEST'!F347*'10A61 Liquid 3"'!$B$4^('10A61 Liquid 3" ViscosityLINEST'!I347-4)</f>
        <v>1117.9563492063494</v>
      </c>
    </row>
    <row r="348" spans="1:10">
      <c r="B348">
        <f t="array" ref="B348:H348">LINEST('10A61 Liquid 3"'!AW46:AW54,'10A61 Liquid 3"'!AV46:AV54^{1,2,3,4})</f>
        <v>0.34219114219111518</v>
      </c>
      <c r="C348">
        <v>-6.1857549857546319</v>
      </c>
      <c r="D348">
        <v>40.614452214450573</v>
      </c>
      <c r="E348">
        <v>-185.67022792022485</v>
      </c>
      <c r="F348">
        <v>1269.8388888888869</v>
      </c>
      <c r="G348" t="e">
        <v>#N/A</v>
      </c>
      <c r="H348" t="e">
        <v>#N/A</v>
      </c>
      <c r="I348">
        <f t="shared" si="17"/>
        <v>4</v>
      </c>
      <c r="J348">
        <f>'10A61 Liquid 3" ViscosityLINEST'!B348*'10A61 Liquid 3"'!$B$4^'10A61 Liquid 3" ViscosityLINEST'!I348+'10A61 Liquid 3" ViscosityLINEST'!C348*'10A61 Liquid 3"'!$B$4^('10A61 Liquid 3" ViscosityLINEST'!I348-1)+'10A61 Liquid 3" ViscosityLINEST'!D348*'10A61 Liquid 3"'!$B$4^('10A61 Liquid 3" ViscosityLINEST'!I348-2)+'10A61 Liquid 3" ViscosityLINEST'!E348*'10A61 Liquid 3"'!$B$4^('10A61 Liquid 3" ViscosityLINEST'!I348-3)+'10A61 Liquid 3" ViscosityLINEST'!F348*'10A61 Liquid 3"'!$B$4^('10A61 Liquid 3" ViscosityLINEST'!I348-4)</f>
        <v>1118.9395493395491</v>
      </c>
    </row>
    <row r="349" spans="1:10">
      <c r="A349">
        <v>1</v>
      </c>
      <c r="B349">
        <f t="array" ref="B349:H349">LINEST('10A61 Liquid 3"'!AW57:AW62,'10A61 Liquid 3"'!AV57:AV62^{1,2,3,4})</f>
        <v>-62.500000000072234</v>
      </c>
      <c r="C349">
        <v>499.53703703726177</v>
      </c>
      <c r="D349">
        <v>-943.95833333359008</v>
      </c>
      <c r="E349">
        <v>557.45105820118545</v>
      </c>
      <c r="F349">
        <v>924.69920634918321</v>
      </c>
      <c r="G349" t="e">
        <v>#N/A</v>
      </c>
      <c r="H349" t="e">
        <v>#N/A</v>
      </c>
      <c r="I349">
        <f t="shared" si="17"/>
        <v>4</v>
      </c>
      <c r="J349">
        <f>'10A61 Liquid 3" ViscosityLINEST'!B349*'10A61 Liquid 3"'!$B$4^'10A61 Liquid 3" ViscosityLINEST'!I349+'10A61 Liquid 3" ViscosityLINEST'!C349*'10A61 Liquid 3"'!$B$4^('10A61 Liquid 3" ViscosityLINEST'!I349-1)+'10A61 Liquid 3" ViscosityLINEST'!D349*'10A61 Liquid 3"'!$B$4^('10A61 Liquid 3" ViscosityLINEST'!I349-2)+'10A61 Liquid 3" ViscosityLINEST'!E349*'10A61 Liquid 3"'!$B$4^('10A61 Liquid 3" ViscosityLINEST'!I349-3)+'10A61 Liquid 3" ViscosityLINEST'!F349*'10A61 Liquid 3"'!$B$4^('10A61 Liquid 3" ViscosityLINEST'!I349-4)</f>
        <v>975.22896825396811</v>
      </c>
    </row>
    <row r="350" spans="1:10">
      <c r="B350">
        <f t="array" ref="B350:H350">LINEST('10A61 Liquid 3"'!AW62:AW70,'10A61 Liquid 3"'!AV62:AV70^{1,2,3,4})</f>
        <v>-0.35477855477855219</v>
      </c>
      <c r="C350">
        <v>2.6822584822584581</v>
      </c>
      <c r="D350">
        <v>0.91899766899775515</v>
      </c>
      <c r="E350">
        <v>-98.952382802382942</v>
      </c>
      <c r="F350">
        <v>1071.3444444444447</v>
      </c>
      <c r="G350" t="e">
        <v>#N/A</v>
      </c>
      <c r="H350" t="e">
        <v>#N/A</v>
      </c>
      <c r="I350">
        <f t="shared" si="17"/>
        <v>4</v>
      </c>
      <c r="J350">
        <f>'10A61 Liquid 3" ViscosityLINEST'!B350*'10A61 Liquid 3"'!$B$4^'10A61 Liquid 3" ViscosityLINEST'!I350+'10A61 Liquid 3" ViscosityLINEST'!C350*'10A61 Liquid 3"'!$B$4^('10A61 Liquid 3" ViscosityLINEST'!I350-1)+'10A61 Liquid 3" ViscosityLINEST'!D350*'10A61 Liquid 3"'!$B$4^('10A61 Liquid 3" ViscosityLINEST'!I350-2)+'10A61 Liquid 3" ViscosityLINEST'!E350*'10A61 Liquid 3"'!$B$4^('10A61 Liquid 3" ViscosityLINEST'!I350-3)+'10A61 Liquid 3" ViscosityLINEST'!F350*'10A61 Liquid 3"'!$B$4^('10A61 Liquid 3" ViscosityLINEST'!I350-4)</f>
        <v>975.63853923853935</v>
      </c>
    </row>
    <row r="351" spans="1:10">
      <c r="A351">
        <v>1.2</v>
      </c>
      <c r="B351">
        <f t="array" ref="B351:H351">LINEST('10A61 Liquid 3"'!AW73:AW78,'10A61 Liquid 3"'!AV73:AV78^{1,2,3,4})</f>
        <v>1124.9999999996317</v>
      </c>
      <c r="C351">
        <v>-3128.7037037026116</v>
      </c>
      <c r="D351">
        <v>3109.5833333321443</v>
      </c>
      <c r="E351">
        <v>-1382.3915343909716</v>
      </c>
      <c r="F351">
        <v>1140.9936507935531</v>
      </c>
      <c r="G351" t="e">
        <v>#N/A</v>
      </c>
      <c r="H351" t="e">
        <v>#N/A</v>
      </c>
      <c r="I351">
        <f t="shared" si="17"/>
        <v>4</v>
      </c>
      <c r="J351">
        <f>'10A61 Liquid 3" ViscosityLINEST'!B351*'10A61 Liquid 3"'!$B$4^'10A61 Liquid 3" ViscosityLINEST'!I351+'10A61 Liquid 3" ViscosityLINEST'!C351*'10A61 Liquid 3"'!$B$4^('10A61 Liquid 3" ViscosityLINEST'!I351-1)+'10A61 Liquid 3" ViscosityLINEST'!D351*'10A61 Liquid 3"'!$B$4^('10A61 Liquid 3" ViscosityLINEST'!I351-2)+'10A61 Liquid 3" ViscosityLINEST'!E351*'10A61 Liquid 3"'!$B$4^('10A61 Liquid 3" ViscosityLINEST'!I351-3)+'10A61 Liquid 3" ViscosityLINEST'!F351*'10A61 Liquid 3"'!$B$4^('10A61 Liquid 3" ViscosityLINEST'!I351-4)</f>
        <v>864.48174603174584</v>
      </c>
    </row>
    <row r="352" spans="1:10">
      <c r="B352">
        <f t="array" ref="B352:H352">LINEST('10A61 Liquid 3"'!AW78:AW86,'10A61 Liquid 3"'!AV78:AV86^{1,2,3,4})</f>
        <v>-0.66433566433566094</v>
      </c>
      <c r="C352">
        <v>6.6420616420616181</v>
      </c>
      <c r="D352">
        <v>-17.230885780885739</v>
      </c>
      <c r="E352">
        <v>-54.66203056203058</v>
      </c>
      <c r="F352">
        <v>930.53888888888878</v>
      </c>
      <c r="G352" t="e">
        <v>#N/A</v>
      </c>
      <c r="H352" t="e">
        <v>#N/A</v>
      </c>
      <c r="I352">
        <f t="shared" si="17"/>
        <v>4</v>
      </c>
      <c r="J352">
        <f>'10A61 Liquid 3" ViscosityLINEST'!B352*'10A61 Liquid 3"'!$B$4^'10A61 Liquid 3" ViscosityLINEST'!I352+'10A61 Liquid 3" ViscosityLINEST'!C352*'10A61 Liquid 3"'!$B$4^('10A61 Liquid 3" ViscosityLINEST'!I352-1)+'10A61 Liquid 3" ViscosityLINEST'!D352*'10A61 Liquid 3"'!$B$4^('10A61 Liquid 3" ViscosityLINEST'!I352-2)+'10A61 Liquid 3" ViscosityLINEST'!E352*'10A61 Liquid 3"'!$B$4^('10A61 Liquid 3" ViscosityLINEST'!I352-3)+'10A61 Liquid 3" ViscosityLINEST'!F352*'10A61 Liquid 3"'!$B$4^('10A61 Liquid 3" ViscosityLINEST'!I352-4)</f>
        <v>864.62369852369841</v>
      </c>
    </row>
    <row r="353" spans="1:10">
      <c r="A353">
        <v>1.4</v>
      </c>
      <c r="B353">
        <f t="array" ref="B353:H353">LINEST('10A61 Liquid 3"'!AW92:AW97,'10A61 Liquid 3"'!AV92:AV97^{1,2,3,4})</f>
        <v>1312.499999999703</v>
      </c>
      <c r="C353">
        <v>-3786.5740740732049</v>
      </c>
      <c r="D353">
        <v>3944.7916666657334</v>
      </c>
      <c r="E353">
        <v>-1822.5806878302524</v>
      </c>
      <c r="F353">
        <v>1125.923015872942</v>
      </c>
      <c r="G353" t="e">
        <v>#N/A</v>
      </c>
      <c r="H353" t="e">
        <v>#N/A</v>
      </c>
      <c r="I353">
        <f t="shared" si="17"/>
        <v>4</v>
      </c>
      <c r="J353">
        <f>'10A61 Liquid 3" ViscosityLINEST'!B353*'10A61 Liquid 3"'!$B$4^'10A61 Liquid 3" ViscosityLINEST'!I353+'10A61 Liquid 3" ViscosityLINEST'!C353*'10A61 Liquid 3"'!$B$4^('10A61 Liquid 3" ViscosityLINEST'!I353-1)+'10A61 Liquid 3" ViscosityLINEST'!D353*'10A61 Liquid 3"'!$B$4^('10A61 Liquid 3" ViscosityLINEST'!I353-2)+'10A61 Liquid 3" ViscosityLINEST'!E353*'10A61 Liquid 3"'!$B$4^('10A61 Liquid 3" ViscosityLINEST'!I353-3)+'10A61 Liquid 3" ViscosityLINEST'!F353*'10A61 Liquid 3"'!$B$4^('10A61 Liquid 3" ViscosityLINEST'!I353-4)</f>
        <v>774.05992063492113</v>
      </c>
    </row>
    <row r="354" spans="1:10">
      <c r="B354">
        <f t="array" ref="B354:H354">LINEST('10A61 Liquid 3"'!AW97:AW105,'10A61 Liquid 3"'!AV97:AV105^{1,2,3,4})</f>
        <v>-0.75524475524474644</v>
      </c>
      <c r="C354">
        <v>7.9962703962702815</v>
      </c>
      <c r="D354">
        <v>-24.396037296036756</v>
      </c>
      <c r="E354">
        <v>-32.106643356644391</v>
      </c>
      <c r="F354">
        <v>823.35000000000059</v>
      </c>
      <c r="G354" t="e">
        <v>#N/A</v>
      </c>
      <c r="H354" t="e">
        <v>#N/A</v>
      </c>
      <c r="I354">
        <f t="shared" si="17"/>
        <v>4</v>
      </c>
      <c r="J354">
        <f>'10A61 Liquid 3" ViscosityLINEST'!B354*'10A61 Liquid 3"'!$B$4^'10A61 Liquid 3" ViscosityLINEST'!I354+'10A61 Liquid 3" ViscosityLINEST'!C354*'10A61 Liquid 3"'!$B$4^('10A61 Liquid 3" ViscosityLINEST'!I354-1)+'10A61 Liquid 3" ViscosityLINEST'!D354*'10A61 Liquid 3"'!$B$4^('10A61 Liquid 3" ViscosityLINEST'!I354-2)+'10A61 Liquid 3" ViscosityLINEST'!E354*'10A61 Liquid 3"'!$B$4^('10A61 Liquid 3" ViscosityLINEST'!I354-3)+'10A61 Liquid 3" ViscosityLINEST'!F354*'10A61 Liquid 3"'!$B$4^('10A61 Liquid 3" ViscosityLINEST'!I354-4)</f>
        <v>774.08834498834494</v>
      </c>
    </row>
    <row r="355" spans="1:10">
      <c r="A355">
        <v>1.5</v>
      </c>
      <c r="B355">
        <f t="array" ref="B355:H355">LINEST('10A61 Liquid 3"'!AW108:AW113,'10A61 Liquid 3"'!AV108:AV113^{1,2,3,4})</f>
        <v>1208.3333333330947</v>
      </c>
      <c r="C355">
        <v>-3530.5555555548644</v>
      </c>
      <c r="D355">
        <v>3730.4166666659312</v>
      </c>
      <c r="E355">
        <v>-1749.0158730155322</v>
      </c>
      <c r="F355">
        <v>1074.9619047618471</v>
      </c>
      <c r="G355" t="e">
        <v>#N/A</v>
      </c>
      <c r="H355" t="e">
        <v>#N/A</v>
      </c>
      <c r="I355">
        <f t="shared" si="17"/>
        <v>4</v>
      </c>
      <c r="J355">
        <f>'10A61 Liquid 3" ViscosityLINEST'!B355*'10A61 Liquid 3"'!$B$4^'10A61 Liquid 3" ViscosityLINEST'!I355+'10A61 Liquid 3" ViscosityLINEST'!C355*'10A61 Liquid 3"'!$B$4^('10A61 Liquid 3" ViscosityLINEST'!I355-1)+'10A61 Liquid 3" ViscosityLINEST'!D355*'10A61 Liquid 3"'!$B$4^('10A61 Liquid 3" ViscosityLINEST'!I355-2)+'10A61 Liquid 3" ViscosityLINEST'!E355*'10A61 Liquid 3"'!$B$4^('10A61 Liquid 3" ViscosityLINEST'!I355-3)+'10A61 Liquid 3" ViscosityLINEST'!F355*'10A61 Liquid 3"'!$B$4^('10A61 Liquid 3" ViscosityLINEST'!I355-4)</f>
        <v>734.14047619047642</v>
      </c>
    </row>
    <row r="356" spans="1:10">
      <c r="B356">
        <f t="array" ref="B356:H356">LINEST('10A61 Liquid 3"'!AW113:AW121,'10A61 Liquid 3"'!AV113:AV121^{1,2,3,4})</f>
        <v>-0.79627039627037788</v>
      </c>
      <c r="C356">
        <v>8.6057498057495891</v>
      </c>
      <c r="D356">
        <v>-27.61002331002241</v>
      </c>
      <c r="E356">
        <v>-22.246891996893556</v>
      </c>
      <c r="F356">
        <v>776.18333333333408</v>
      </c>
      <c r="G356" t="e">
        <v>#N/A</v>
      </c>
      <c r="H356" t="e">
        <v>#N/A</v>
      </c>
      <c r="I356">
        <f t="shared" si="17"/>
        <v>4</v>
      </c>
      <c r="J356">
        <f>'10A61 Liquid 3" ViscosityLINEST'!B356*'10A61 Liquid 3"'!$B$4^'10A61 Liquid 3" ViscosityLINEST'!I356+'10A61 Liquid 3" ViscosityLINEST'!C356*'10A61 Liquid 3"'!$B$4^('10A61 Liquid 3" ViscosityLINEST'!I356-1)+'10A61 Liquid 3" ViscosityLINEST'!D356*'10A61 Liquid 3"'!$B$4^('10A61 Liquid 3" ViscosityLINEST'!I356-2)+'10A61 Liquid 3" ViscosityLINEST'!E356*'10A61 Liquid 3"'!$B$4^('10A61 Liquid 3" ViscosityLINEST'!I356-3)+'10A61 Liquid 3" ViscosityLINEST'!F356*'10A61 Liquid 3"'!$B$4^('10A61 Liquid 3" ViscosityLINEST'!I356-4)</f>
        <v>734.13589743589728</v>
      </c>
    </row>
    <row r="358" spans="1:10">
      <c r="A358" s="5" t="s">
        <v>100</v>
      </c>
      <c r="I358">
        <f t="shared" ref="I358:I372" si="18">COUNT(B358:H358)-1</f>
        <v>-1</v>
      </c>
      <c r="J358">
        <f>'10A61 Liquid 3" ViscosityLINEST'!B358*'10A61 Liquid 3"'!$B$4^'10A61 Liquid 3" ViscosityLINEST'!I358+'10A61 Liquid 3" ViscosityLINEST'!C358*'10A61 Liquid 3"'!$B$4^('10A61 Liquid 3" ViscosityLINEST'!I358-1)+'10A61 Liquid 3" ViscosityLINEST'!D358*'10A61 Liquid 3"'!$B$4^('10A61 Liquid 3" ViscosityLINEST'!I358-2)+'10A61 Liquid 3" ViscosityLINEST'!E358*'10A61 Liquid 3"'!$B$4^('10A61 Liquid 3" ViscosityLINEST'!I358-3)+'10A61 Liquid 3" ViscosityLINEST'!F358*'10A61 Liquid 3"'!$B$4^('10A61 Liquid 3" ViscosityLINEST'!I358-4)</f>
        <v>0</v>
      </c>
    </row>
    <row r="359" spans="1:10">
      <c r="A359">
        <v>0.4</v>
      </c>
      <c r="B359">
        <f t="array" ref="B359:H359">LINEST('10A61 Liquid 3"'!AY6:AY11,'10A61 Liquid 3"'!AX6:AX11^{1,2,3,4})</f>
        <v>-208.33333333341307</v>
      </c>
      <c r="C359">
        <v>208.33333333356569</v>
      </c>
      <c r="D359">
        <v>489.58333333308525</v>
      </c>
      <c r="E359">
        <v>-1006.1904761903611</v>
      </c>
      <c r="F359">
        <v>2423.6428571428373</v>
      </c>
      <c r="G359" t="e">
        <v>#N/A</v>
      </c>
      <c r="H359" t="e">
        <v>#N/A</v>
      </c>
      <c r="I359">
        <f t="shared" si="18"/>
        <v>4</v>
      </c>
      <c r="J359">
        <f>'10A61 Liquid 3" ViscosityLINEST'!B359*'10A61 Liquid 3"'!$B$4^'10A61 Liquid 3" ViscosityLINEST'!I359+'10A61 Liquid 3" ViscosityLINEST'!C359*'10A61 Liquid 3"'!$B$4^('10A61 Liquid 3" ViscosityLINEST'!I359-1)+'10A61 Liquid 3" ViscosityLINEST'!D359*'10A61 Liquid 3"'!$B$4^('10A61 Liquid 3" ViscosityLINEST'!I359-2)+'10A61 Liquid 3" ViscosityLINEST'!E359*'10A61 Liquid 3"'!$B$4^('10A61 Liquid 3" ViscosityLINEST'!I359-3)+'10A61 Liquid 3" ViscosityLINEST'!F359*'10A61 Liquid 3"'!$B$4^('10A61 Liquid 3" ViscosityLINEST'!I359-4)</f>
        <v>1907.0357142857142</v>
      </c>
    </row>
    <row r="360" spans="1:10">
      <c r="B360">
        <f t="array" ref="B360:H360">LINEST('10A61 Liquid 3"'!AY11:AY19,'10A61 Liquid 3"'!AX11:AX19^{1,2,3,4})</f>
        <v>0.42424242424240804</v>
      </c>
      <c r="C360">
        <v>-8.720538720538455</v>
      </c>
      <c r="D360">
        <v>74.348484848483395</v>
      </c>
      <c r="E360">
        <v>-407.04713804713498</v>
      </c>
      <c r="F360">
        <v>2246.277777777776</v>
      </c>
      <c r="G360" t="e">
        <v>#N/A</v>
      </c>
      <c r="H360" t="e">
        <v>#N/A</v>
      </c>
      <c r="I360">
        <f t="shared" si="18"/>
        <v>4</v>
      </c>
      <c r="J360">
        <f>'10A61 Liquid 3" ViscosityLINEST'!B360*'10A61 Liquid 3"'!$B$4^'10A61 Liquid 3" ViscosityLINEST'!I360+'10A61 Liquid 3" ViscosityLINEST'!C360*'10A61 Liquid 3"'!$B$4^('10A61 Liquid 3" ViscosityLINEST'!I360-1)+'10A61 Liquid 3" ViscosityLINEST'!D360*'10A61 Liquid 3"'!$B$4^('10A61 Liquid 3" ViscosityLINEST'!I360-2)+'10A61 Liquid 3" ViscosityLINEST'!E360*'10A61 Liquid 3"'!$B$4^('10A61 Liquid 3" ViscosityLINEST'!I360-3)+'10A61 Liquid 3" ViscosityLINEST'!F360*'10A61 Liquid 3"'!$B$4^('10A61 Liquid 3" ViscosityLINEST'!I360-4)</f>
        <v>1905.2828282828284</v>
      </c>
    </row>
    <row r="361" spans="1:10">
      <c r="A361">
        <v>0.6</v>
      </c>
      <c r="B361">
        <f t="array" ref="B361:H361">LINEST('10A61 Liquid 3"'!AY23:AY28,'10A61 Liquid 3"'!AX23:AX28^{1,2,3,4})</f>
        <v>-1041.6666666666524</v>
      </c>
      <c r="C361">
        <v>3115.740740740715</v>
      </c>
      <c r="D361">
        <v>-3243.7499999999914</v>
      </c>
      <c r="E361">
        <v>1124.3783068783123</v>
      </c>
      <c r="F361">
        <v>1613.3412698412671</v>
      </c>
      <c r="G361" t="e">
        <v>#N/A</v>
      </c>
      <c r="H361" t="e">
        <v>#N/A</v>
      </c>
      <c r="I361">
        <f t="shared" si="18"/>
        <v>4</v>
      </c>
      <c r="J361">
        <f>'10A61 Liquid 3" ViscosityLINEST'!B361*'10A61 Liquid 3"'!$B$4^'10A61 Liquid 3" ViscosityLINEST'!I361+'10A61 Liquid 3" ViscosityLINEST'!C361*'10A61 Liquid 3"'!$B$4^('10A61 Liquid 3" ViscosityLINEST'!I361-1)+'10A61 Liquid 3" ViscosityLINEST'!D361*'10A61 Liquid 3"'!$B$4^('10A61 Liquid 3" ViscosityLINEST'!I361-2)+'10A61 Liquid 3" ViscosityLINEST'!E361*'10A61 Liquid 3"'!$B$4^('10A61 Liquid 3" ViscosityLINEST'!I361-3)+'10A61 Liquid 3" ViscosityLINEST'!F361*'10A61 Liquid 3"'!$B$4^('10A61 Liquid 3" ViscosityLINEST'!I361-4)</f>
        <v>1568.0436507936506</v>
      </c>
    </row>
    <row r="362" spans="1:10">
      <c r="B362">
        <f t="array" ref="B362:H362">LINEST('10A61 Liquid 3"'!AY28:AY36,'10A61 Liquid 3"'!AX28:AX36^{1,2,3,4})</f>
        <v>0.41491841491839698</v>
      </c>
      <c r="C362">
        <v>-6.3056203056200486</v>
      </c>
      <c r="D362">
        <v>46.320512820511553</v>
      </c>
      <c r="E362">
        <v>-268.30238280238029</v>
      </c>
      <c r="F362">
        <v>1795.1111111111095</v>
      </c>
      <c r="G362" t="e">
        <v>#N/A</v>
      </c>
      <c r="H362" t="e">
        <v>#N/A</v>
      </c>
      <c r="I362">
        <f t="shared" si="18"/>
        <v>4</v>
      </c>
      <c r="J362">
        <f>'10A61 Liquid 3" ViscosityLINEST'!B362*'10A61 Liquid 3"'!$B$4^'10A61 Liquid 3" ViscosityLINEST'!I362+'10A61 Liquid 3" ViscosityLINEST'!C362*'10A61 Liquid 3"'!$B$4^('10A61 Liquid 3" ViscosityLINEST'!I362-1)+'10A61 Liquid 3" ViscosityLINEST'!D362*'10A61 Liquid 3"'!$B$4^('10A61 Liquid 3" ViscosityLINEST'!I362-2)+'10A61 Liquid 3" ViscosityLINEST'!E362*'10A61 Liquid 3"'!$B$4^('10A61 Liquid 3" ViscosityLINEST'!I362-3)+'10A61 Liquid 3" ViscosityLINEST'!F362*'10A61 Liquid 3"'!$B$4^('10A61 Liquid 3" ViscosityLINEST'!I362-4)</f>
        <v>1567.238539238539</v>
      </c>
    </row>
    <row r="363" spans="1:10">
      <c r="A363">
        <v>0.8</v>
      </c>
      <c r="B363">
        <f t="array" ref="B363:H363">LINEST('10A61 Liquid 3"'!AY41:AY46,'10A61 Liquid 3"'!AX41:AX46^{1,2,3,4})</f>
        <v>416.66666666663934</v>
      </c>
      <c r="C363">
        <v>-1157.4074074073344</v>
      </c>
      <c r="D363">
        <v>1287.4999999999293</v>
      </c>
      <c r="E363">
        <v>-893.06878306875365</v>
      </c>
      <c r="F363">
        <v>1704.3015873015827</v>
      </c>
      <c r="G363" t="e">
        <v>#N/A</v>
      </c>
      <c r="H363" t="e">
        <v>#N/A</v>
      </c>
      <c r="I363">
        <f t="shared" si="18"/>
        <v>4</v>
      </c>
      <c r="J363">
        <f>'10A61 Liquid 3" ViscosityLINEST'!B363*'10A61 Liquid 3"'!$B$4^'10A61 Liquid 3" ViscosityLINEST'!I363+'10A61 Liquid 3" ViscosityLINEST'!C363*'10A61 Liquid 3"'!$B$4^('10A61 Liquid 3" ViscosityLINEST'!I363-1)+'10A61 Liquid 3" ViscosityLINEST'!D363*'10A61 Liquid 3"'!$B$4^('10A61 Liquid 3" ViscosityLINEST'!I363-2)+'10A61 Liquid 3" ViscosityLINEST'!E363*'10A61 Liquid 3"'!$B$4^('10A61 Liquid 3" ViscosityLINEST'!I363-3)+'10A61 Liquid 3" ViscosityLINEST'!F363*'10A61 Liquid 3"'!$B$4^('10A61 Liquid 3" ViscosityLINEST'!I363-4)</f>
        <v>1357.9920634920632</v>
      </c>
    </row>
    <row r="364" spans="1:10">
      <c r="B364">
        <f t="array" ref="B364:H364">LINEST('10A61 Liquid 3"'!AY46:AY54,'10A61 Liquid 3"'!AX46:AX54^{1,2,3,4})</f>
        <v>0.35431235431232616</v>
      </c>
      <c r="C364">
        <v>-4.7770007770004188</v>
      </c>
      <c r="D364">
        <v>32.275058275056665</v>
      </c>
      <c r="E364">
        <v>-198.65423465423171</v>
      </c>
      <c r="F364">
        <v>1529.3333333333317</v>
      </c>
      <c r="G364" t="e">
        <v>#N/A</v>
      </c>
      <c r="H364" t="e">
        <v>#N/A</v>
      </c>
      <c r="I364">
        <f t="shared" si="18"/>
        <v>4</v>
      </c>
      <c r="J364">
        <f>'10A61 Liquid 3" ViscosityLINEST'!B364*'10A61 Liquid 3"'!$B$4^'10A61 Liquid 3" ViscosityLINEST'!I364+'10A61 Liquid 3" ViscosityLINEST'!C364*'10A61 Liquid 3"'!$B$4^('10A61 Liquid 3" ViscosityLINEST'!I364-1)+'10A61 Liquid 3" ViscosityLINEST'!D364*'10A61 Liquid 3"'!$B$4^('10A61 Liquid 3" ViscosityLINEST'!I364-2)+'10A61 Liquid 3" ViscosityLINEST'!E364*'10A61 Liquid 3"'!$B$4^('10A61 Liquid 3" ViscosityLINEST'!I364-3)+'10A61 Liquid 3" ViscosityLINEST'!F364*'10A61 Liquid 3"'!$B$4^('10A61 Liquid 3" ViscosityLINEST'!I364-4)</f>
        <v>1358.5314685314686</v>
      </c>
    </row>
    <row r="365" spans="1:10">
      <c r="A365">
        <v>1</v>
      </c>
      <c r="B365">
        <f t="array" ref="B365:H365">LINEST('10A61 Liquid 3"'!AY57:AY62,'10A61 Liquid 3"'!AX57:AX62^{1,2,3,4})</f>
        <v>1249.9999999997476</v>
      </c>
      <c r="C365">
        <v>-3712.9629629622309</v>
      </c>
      <c r="D365">
        <v>4129.1666666658884</v>
      </c>
      <c r="E365">
        <v>-2219.656084655725</v>
      </c>
      <c r="F365">
        <v>1763.4920634920027</v>
      </c>
      <c r="G365" t="e">
        <v>#N/A</v>
      </c>
      <c r="H365" t="e">
        <v>#N/A</v>
      </c>
      <c r="I365">
        <f t="shared" si="18"/>
        <v>4</v>
      </c>
      <c r="J365">
        <f>'10A61 Liquid 3" ViscosityLINEST'!B365*'10A61 Liquid 3"'!$B$4^'10A61 Liquid 3" ViscosityLINEST'!I365+'10A61 Liquid 3" ViscosityLINEST'!C365*'10A61 Liquid 3"'!$B$4^('10A61 Liquid 3" ViscosityLINEST'!I365-1)+'10A61 Liquid 3" ViscosityLINEST'!D365*'10A61 Liquid 3"'!$B$4^('10A61 Liquid 3" ViscosityLINEST'!I365-2)+'10A61 Liquid 3" ViscosityLINEST'!E365*'10A61 Liquid 3"'!$B$4^('10A61 Liquid 3" ViscosityLINEST'!I365-3)+'10A61 Liquid 3" ViscosityLINEST'!F365*'10A61 Liquid 3"'!$B$4^('10A61 Liquid 3" ViscosityLINEST'!I365-4)</f>
        <v>1210.0396825396829</v>
      </c>
    </row>
    <row r="366" spans="1:10">
      <c r="B366">
        <f t="array" ref="B366:H366">LINEST('10A61 Liquid 3"'!AY62:AY70,'10A61 Liquid 3"'!AX62:AX70^{1,2,3,4})</f>
        <v>0.17668997668994726</v>
      </c>
      <c r="C366">
        <v>-2.5667443667439849</v>
      </c>
      <c r="D366">
        <v>20.377039627037895</v>
      </c>
      <c r="E366">
        <v>-153.23558663558347</v>
      </c>
      <c r="F366">
        <v>1346.7499999999984</v>
      </c>
      <c r="G366" t="e">
        <v>#N/A</v>
      </c>
      <c r="H366" t="e">
        <v>#N/A</v>
      </c>
      <c r="I366">
        <f t="shared" si="18"/>
        <v>4</v>
      </c>
      <c r="J366">
        <f>'10A61 Liquid 3" ViscosityLINEST'!B366*'10A61 Liquid 3"'!$B$4^'10A61 Liquid 3" ViscosityLINEST'!I366+'10A61 Liquid 3" ViscosityLINEST'!C366*'10A61 Liquid 3"'!$B$4^('10A61 Liquid 3" ViscosityLINEST'!I366-1)+'10A61 Liquid 3" ViscosityLINEST'!D366*'10A61 Liquid 3"'!$B$4^('10A61 Liquid 3" ViscosityLINEST'!I366-2)+'10A61 Liquid 3" ViscosityLINEST'!E366*'10A61 Liquid 3"'!$B$4^('10A61 Liquid 3" ViscosityLINEST'!I366-3)+'10A61 Liquid 3" ViscosityLINEST'!F366*'10A61 Liquid 3"'!$B$4^('10A61 Liquid 3" ViscosityLINEST'!I366-4)</f>
        <v>1211.5013986013987</v>
      </c>
    </row>
    <row r="367" spans="1:10">
      <c r="A367">
        <v>1.2</v>
      </c>
      <c r="B367">
        <f t="array" ref="B367:H367">LINEST('10A61 Liquid 3"'!AY73:AY78,'10A61 Liquid 3"'!AX73:AX78^{1,2,3,4})</f>
        <v>9.457072377053763E-12</v>
      </c>
      <c r="C367">
        <v>166.66666666663914</v>
      </c>
      <c r="D367">
        <v>-349.99999999997061</v>
      </c>
      <c r="E367">
        <v>83.333333333319729</v>
      </c>
      <c r="F367">
        <v>1198.0000000000025</v>
      </c>
      <c r="G367" t="e">
        <v>#N/A</v>
      </c>
      <c r="H367" t="e">
        <v>#N/A</v>
      </c>
      <c r="I367">
        <f t="shared" si="18"/>
        <v>4</v>
      </c>
      <c r="J367">
        <f>'10A61 Liquid 3" ViscosityLINEST'!B367*'10A61 Liquid 3"'!$B$4^'10A61 Liquid 3" ViscosityLINEST'!I367+'10A61 Liquid 3" ViscosityLINEST'!C367*'10A61 Liquid 3"'!$B$4^('10A61 Liquid 3" ViscosityLINEST'!I367-1)+'10A61 Liquid 3" ViscosityLINEST'!D367*'10A61 Liquid 3"'!$B$4^('10A61 Liquid 3" ViscosityLINEST'!I367-2)+'10A61 Liquid 3" ViscosityLINEST'!E367*'10A61 Liquid 3"'!$B$4^('10A61 Liquid 3" ViscosityLINEST'!I367-3)+'10A61 Liquid 3" ViscosityLINEST'!F367*'10A61 Liquid 3"'!$B$4^('10A61 Liquid 3" ViscosityLINEST'!I367-4)</f>
        <v>1098.0000000000002</v>
      </c>
    </row>
    <row r="368" spans="1:10">
      <c r="B368">
        <f t="array" ref="B368:H368">LINEST('10A61 Liquid 3"'!AY78:AY86,'10A61 Liquid 3"'!AX78:AX86^{1,2,3,4})</f>
        <v>0.10675990675987104</v>
      </c>
      <c r="C368">
        <v>-2.0629370629366095</v>
      </c>
      <c r="D368">
        <v>18.570279720277711</v>
      </c>
      <c r="E368">
        <v>-136.482750582747</v>
      </c>
      <c r="F368">
        <v>1218.7499999999982</v>
      </c>
      <c r="G368" t="e">
        <v>#N/A</v>
      </c>
      <c r="H368" t="e">
        <v>#N/A</v>
      </c>
      <c r="I368">
        <f t="shared" si="18"/>
        <v>4</v>
      </c>
      <c r="J368">
        <f>'10A61 Liquid 3" ViscosityLINEST'!B368*'10A61 Liquid 3"'!$B$4^'10A61 Liquid 3" ViscosityLINEST'!I368+'10A61 Liquid 3" ViscosityLINEST'!C368*'10A61 Liquid 3"'!$B$4^('10A61 Liquid 3" ViscosityLINEST'!I368-1)+'10A61 Liquid 3" ViscosityLINEST'!D368*'10A61 Liquid 3"'!$B$4^('10A61 Liquid 3" ViscosityLINEST'!I368-2)+'10A61 Liquid 3" ViscosityLINEST'!E368*'10A61 Liquid 3"'!$B$4^('10A61 Liquid 3" ViscosityLINEST'!I368-3)+'10A61 Liquid 3" ViscosityLINEST'!F368*'10A61 Liquid 3"'!$B$4^('10A61 Liquid 3" ViscosityLINEST'!I368-4)</f>
        <v>1098.8813519813521</v>
      </c>
    </row>
    <row r="369" spans="1:10">
      <c r="A369">
        <v>1.4</v>
      </c>
      <c r="B369">
        <f t="array" ref="B369:H369">LINEST('10A61 Liquid 3"'!AY92:AY97,'10A61 Liquid 3"'!AX92:AX97^{1,2,3,4})</f>
        <v>-1458.3333333328676</v>
      </c>
      <c r="C369">
        <v>4624.9999999986321</v>
      </c>
      <c r="D369">
        <v>-5397.9166666651918</v>
      </c>
      <c r="E369">
        <v>2611.0714285707359</v>
      </c>
      <c r="F369">
        <v>629.07142857154895</v>
      </c>
      <c r="G369" t="e">
        <v>#N/A</v>
      </c>
      <c r="H369" t="e">
        <v>#N/A</v>
      </c>
      <c r="I369">
        <f t="shared" si="18"/>
        <v>4</v>
      </c>
      <c r="J369">
        <f>'10A61 Liquid 3" ViscosityLINEST'!B369*'10A61 Liquid 3"'!$B$4^'10A61 Liquid 3" ViscosityLINEST'!I369+'10A61 Liquid 3" ViscosityLINEST'!C369*'10A61 Liquid 3"'!$B$4^('10A61 Liquid 3" ViscosityLINEST'!I369-1)+'10A61 Liquid 3" ViscosityLINEST'!D369*'10A61 Liquid 3"'!$B$4^('10A61 Liquid 3" ViscosityLINEST'!I369-2)+'10A61 Liquid 3" ViscosityLINEST'!E369*'10A61 Liquid 3"'!$B$4^('10A61 Liquid 3" ViscosityLINEST'!I369-3)+'10A61 Liquid 3" ViscosityLINEST'!F369*'10A61 Liquid 3"'!$B$4^('10A61 Liquid 3" ViscosityLINEST'!I369-4)</f>
        <v>1008.8928571428578</v>
      </c>
    </row>
    <row r="370" spans="1:10">
      <c r="B370">
        <f t="array" ref="B370:H370">LINEST('10A61 Liquid 3"'!AY97:AY105,'10A61 Liquid 3"'!AX97:AX105^{1,2,3,4})</f>
        <v>0.11701631701629854</v>
      </c>
      <c r="C370">
        <v>-2.4648018648016223</v>
      </c>
      <c r="D370">
        <v>20.704079254078131</v>
      </c>
      <c r="E370">
        <v>-130.45046620046409</v>
      </c>
      <c r="F370">
        <v>1121.5999999999985</v>
      </c>
      <c r="G370" t="e">
        <v>#N/A</v>
      </c>
      <c r="H370" t="e">
        <v>#N/A</v>
      </c>
      <c r="I370">
        <f t="shared" si="18"/>
        <v>4</v>
      </c>
      <c r="J370">
        <f>'10A61 Liquid 3" ViscosityLINEST'!B370*'10A61 Liquid 3"'!$B$4^'10A61 Liquid 3" ViscosityLINEST'!I370+'10A61 Liquid 3" ViscosityLINEST'!C370*'10A61 Liquid 3"'!$B$4^('10A61 Liquid 3" ViscosityLINEST'!I370-1)+'10A61 Liquid 3" ViscosityLINEST'!D370*'10A61 Liquid 3"'!$B$4^('10A61 Liquid 3" ViscosityLINEST'!I370-2)+'10A61 Liquid 3" ViscosityLINEST'!E370*'10A61 Liquid 3"'!$B$4^('10A61 Liquid 3" ViscosityLINEST'!I370-3)+'10A61 Liquid 3" ViscosityLINEST'!F370*'10A61 Liquid 3"'!$B$4^('10A61 Liquid 3" ViscosityLINEST'!I370-4)</f>
        <v>1009.5058275058273</v>
      </c>
    </row>
    <row r="371" spans="1:10">
      <c r="A371">
        <v>1.5</v>
      </c>
      <c r="B371">
        <f t="array" ref="B371:H371">LINEST('10A61 Liquid 3"'!AY108:AY113,'10A61 Liquid 3"'!AX108:AX113^{1,2,3,4})</f>
        <v>-1333.3333333330229</v>
      </c>
      <c r="C371">
        <v>4285.1851851842912</v>
      </c>
      <c r="D371">
        <v>-5073.333333332389</v>
      </c>
      <c r="E371">
        <v>2493.1481481477144</v>
      </c>
      <c r="F371">
        <v>598.4888888889617</v>
      </c>
      <c r="G371" t="e">
        <v>#N/A</v>
      </c>
      <c r="H371" t="e">
        <v>#N/A</v>
      </c>
      <c r="I371">
        <f t="shared" si="18"/>
        <v>4</v>
      </c>
      <c r="J371">
        <f>'10A61 Liquid 3" ViscosityLINEST'!B371*'10A61 Liquid 3"'!$B$4^'10A61 Liquid 3" ViscosityLINEST'!I371+'10A61 Liquid 3" ViscosityLINEST'!C371*'10A61 Liquid 3"'!$B$4^('10A61 Liquid 3" ViscosityLINEST'!I371-1)+'10A61 Liquid 3" ViscosityLINEST'!D371*'10A61 Liquid 3"'!$B$4^('10A61 Liquid 3" ViscosityLINEST'!I371-2)+'10A61 Liquid 3" ViscosityLINEST'!E371*'10A61 Liquid 3"'!$B$4^('10A61 Liquid 3" ViscosityLINEST'!I371-3)+'10A61 Liquid 3" ViscosityLINEST'!F371*'10A61 Liquid 3"'!$B$4^('10A61 Liquid 3" ViscosityLINEST'!I371-4)</f>
        <v>970.15555555555545</v>
      </c>
    </row>
    <row r="372" spans="1:10">
      <c r="B372">
        <f t="array" ref="B372:H372">LINEST('10A61 Liquid 3"'!AY113:AY121,'10A61 Liquid 3"'!AX113:AX121^{1,2,3,4})</f>
        <v>8.5314685314678854E-2</v>
      </c>
      <c r="C372">
        <v>-2.1018907018905999</v>
      </c>
      <c r="D372">
        <v>18.930186480185967</v>
      </c>
      <c r="E372">
        <v>-122.68361823361728</v>
      </c>
      <c r="F372">
        <v>1076.2777777777771</v>
      </c>
      <c r="G372" t="e">
        <v>#N/A</v>
      </c>
      <c r="H372" t="e">
        <v>#N/A</v>
      </c>
      <c r="I372">
        <f t="shared" si="18"/>
        <v>4</v>
      </c>
      <c r="J372">
        <f>'10A61 Liquid 3" ViscosityLINEST'!B372*'10A61 Liquid 3"'!$B$4^'10A61 Liquid 3" ViscosityLINEST'!I372+'10A61 Liquid 3" ViscosityLINEST'!C372*'10A61 Liquid 3"'!$B$4^('10A61 Liquid 3" ViscosityLINEST'!I372-1)+'10A61 Liquid 3" ViscosityLINEST'!D372*'10A61 Liquid 3"'!$B$4^('10A61 Liquid 3" ViscosityLINEST'!I372-2)+'10A61 Liquid 3" ViscosityLINEST'!E372*'10A61 Liquid 3"'!$B$4^('10A61 Liquid 3" ViscosityLINEST'!I372-3)+'10A61 Liquid 3" ViscosityLINEST'!F372*'10A61 Liquid 3"'!$B$4^('10A61 Liquid 3" ViscosityLINEST'!I372-4)</f>
        <v>970.50777000776986</v>
      </c>
    </row>
    <row r="374" spans="1:10">
      <c r="A374" s="5" t="s">
        <v>101</v>
      </c>
      <c r="I374">
        <f t="shared" ref="I374:I388" si="19">COUNT(B374:H374)-1</f>
        <v>-1</v>
      </c>
      <c r="J374">
        <f>'10A61 Liquid 3" ViscosityLINEST'!B374*'10A61 Liquid 3"'!$B$4^'10A61 Liquid 3" ViscosityLINEST'!I374+'10A61 Liquid 3" ViscosityLINEST'!C374*'10A61 Liquid 3"'!$B$4^('10A61 Liquid 3" ViscosityLINEST'!I374-1)+'10A61 Liquid 3" ViscosityLINEST'!D374*'10A61 Liquid 3"'!$B$4^('10A61 Liquid 3" ViscosityLINEST'!I374-2)+'10A61 Liquid 3" ViscosityLINEST'!E374*'10A61 Liquid 3"'!$B$4^('10A61 Liquid 3" ViscosityLINEST'!I374-3)+'10A61 Liquid 3" ViscosityLINEST'!F374*'10A61 Liquid 3"'!$B$4^('10A61 Liquid 3" ViscosityLINEST'!I374-4)</f>
        <v>0</v>
      </c>
    </row>
    <row r="375" spans="1:10">
      <c r="A375">
        <v>0.4</v>
      </c>
      <c r="B375">
        <f t="array" ref="B375:H375">LINEST('10A61 Liquid 3"'!BA6:BA11,'10A61 Liquid 3"'!AZ6:AZ11^{1,2,3,4})</f>
        <v>833.33333333291876</v>
      </c>
      <c r="C375">
        <v>-1648.1481481469036</v>
      </c>
      <c r="D375">
        <v>724.99999999862598</v>
      </c>
      <c r="E375">
        <v>-19.232804232143824</v>
      </c>
      <c r="F375">
        <v>2577.1746031744865</v>
      </c>
      <c r="G375" t="e">
        <v>#N/A</v>
      </c>
      <c r="H375" t="e">
        <v>#N/A</v>
      </c>
      <c r="I375">
        <f t="shared" si="19"/>
        <v>4</v>
      </c>
      <c r="J375">
        <f>'10A61 Liquid 3" ViscosityLINEST'!B375*'10A61 Liquid 3"'!$B$4^'10A61 Liquid 3" ViscosityLINEST'!I375+'10A61 Liquid 3" ViscosityLINEST'!C375*'10A61 Liquid 3"'!$B$4^('10A61 Liquid 3" ViscosityLINEST'!I375-1)+'10A61 Liquid 3" ViscosityLINEST'!D375*'10A61 Liquid 3"'!$B$4^('10A61 Liquid 3" ViscosityLINEST'!I375-2)+'10A61 Liquid 3" ViscosityLINEST'!E375*'10A61 Liquid 3"'!$B$4^('10A61 Liquid 3" ViscosityLINEST'!I375-3)+'10A61 Liquid 3" ViscosityLINEST'!F375*'10A61 Liquid 3"'!$B$4^('10A61 Liquid 3" ViscosityLINEST'!I375-4)</f>
        <v>2468.1269841269836</v>
      </c>
    </row>
    <row r="376" spans="1:10">
      <c r="B376">
        <f t="array" ref="B376:H376">LINEST('10A61 Liquid 3"'!BA11:BA19,'10A61 Liquid 3"'!AZ11:AZ19^{1,2,3,4})</f>
        <v>-1.2634032634032635</v>
      </c>
      <c r="C376">
        <v>11.194509194509232</v>
      </c>
      <c r="D376">
        <v>-16.259906759907068</v>
      </c>
      <c r="E376">
        <v>-217.17741517741442</v>
      </c>
      <c r="F376">
        <v>2692.3888888888887</v>
      </c>
      <c r="G376" t="e">
        <v>#N/A</v>
      </c>
      <c r="H376" t="e">
        <v>#N/A</v>
      </c>
      <c r="I376">
        <f t="shared" si="19"/>
        <v>4</v>
      </c>
      <c r="J376">
        <f>'10A61 Liquid 3" ViscosityLINEST'!B376*'10A61 Liquid 3"'!$B$4^'10A61 Liquid 3" ViscosityLINEST'!I376+'10A61 Liquid 3" ViscosityLINEST'!C376*'10A61 Liquid 3"'!$B$4^('10A61 Liquid 3" ViscosityLINEST'!I376-1)+'10A61 Liquid 3" ViscosityLINEST'!D376*'10A61 Liquid 3"'!$B$4^('10A61 Liquid 3" ViscosityLINEST'!I376-2)+'10A61 Liquid 3" ViscosityLINEST'!E376*'10A61 Liquid 3"'!$B$4^('10A61 Liquid 3" ViscosityLINEST'!I376-3)+'10A61 Liquid 3" ViscosityLINEST'!F376*'10A61 Liquid 3"'!$B$4^('10A61 Liquid 3" ViscosityLINEST'!I376-4)</f>
        <v>2468.882672882673</v>
      </c>
    </row>
    <row r="377" spans="1:10">
      <c r="A377">
        <v>0.6</v>
      </c>
      <c r="B377">
        <f t="array" ref="B377:H377">LINEST('10A61 Liquid 3"'!BA23:BA28,'10A61 Liquid 3"'!AZ23:AZ28^{1,2,3,4})</f>
        <v>3125.0000000000159</v>
      </c>
      <c r="C377">
        <v>-9736.111111111235</v>
      </c>
      <c r="D377">
        <v>11006.250000000218</v>
      </c>
      <c r="E377">
        <v>-5493.1746031747452</v>
      </c>
      <c r="F377">
        <v>3122.8809523809841</v>
      </c>
      <c r="G377" t="e">
        <v>#N/A</v>
      </c>
      <c r="H377" t="e">
        <v>#N/A</v>
      </c>
      <c r="I377">
        <f t="shared" si="19"/>
        <v>4</v>
      </c>
      <c r="J377">
        <f>'10A61 Liquid 3" ViscosityLINEST'!B377*'10A61 Liquid 3"'!$B$4^'10A61 Liquid 3" ViscosityLINEST'!I377+'10A61 Liquid 3" ViscosityLINEST'!C377*'10A61 Liquid 3"'!$B$4^('10A61 Liquid 3" ViscosityLINEST'!I377-1)+'10A61 Liquid 3" ViscosityLINEST'!D377*'10A61 Liquid 3"'!$B$4^('10A61 Liquid 3" ViscosityLINEST'!I377-2)+'10A61 Liquid 3" ViscosityLINEST'!E377*'10A61 Liquid 3"'!$B$4^('10A61 Liquid 3" ViscosityLINEST'!I377-3)+'10A61 Liquid 3" ViscosityLINEST'!F377*'10A61 Liquid 3"'!$B$4^('10A61 Liquid 3" ViscosityLINEST'!I377-4)</f>
        <v>2024.8452380952385</v>
      </c>
    </row>
    <row r="378" spans="1:10">
      <c r="B378">
        <f t="array" ref="B378:H378">LINEST('10A61 Liquid 3"'!BA28:BA36,'10A61 Liquid 3"'!AZ28:AZ36^{1,2,3,4})</f>
        <v>-1.6969696969696515</v>
      </c>
      <c r="C378">
        <v>18.949494949494404</v>
      </c>
      <c r="D378">
        <v>-61.454545454543123</v>
      </c>
      <c r="E378">
        <v>-69.797979797983899</v>
      </c>
      <c r="F378">
        <v>2138.3333333333358</v>
      </c>
      <c r="G378" t="e">
        <v>#N/A</v>
      </c>
      <c r="H378" t="e">
        <v>#N/A</v>
      </c>
      <c r="I378">
        <f t="shared" si="19"/>
        <v>4</v>
      </c>
      <c r="J378">
        <f>'10A61 Liquid 3" ViscosityLINEST'!B378*'10A61 Liquid 3"'!$B$4^'10A61 Liquid 3" ViscosityLINEST'!I378+'10A61 Liquid 3" ViscosityLINEST'!C378*'10A61 Liquid 3"'!$B$4^('10A61 Liquid 3" ViscosityLINEST'!I378-1)+'10A61 Liquid 3" ViscosityLINEST'!D378*'10A61 Liquid 3"'!$B$4^('10A61 Liquid 3" ViscosityLINEST'!I378-2)+'10A61 Liquid 3" ViscosityLINEST'!E378*'10A61 Liquid 3"'!$B$4^('10A61 Liquid 3" ViscosityLINEST'!I378-3)+'10A61 Liquid 3" ViscosityLINEST'!F378*'10A61 Liquid 3"'!$B$4^('10A61 Liquid 3" ViscosityLINEST'!I378-4)</f>
        <v>2024.3333333333335</v>
      </c>
    </row>
    <row r="379" spans="1:10">
      <c r="A379">
        <v>0.8</v>
      </c>
      <c r="B379">
        <f t="array" ref="B379:H379">LINEST('10A61 Liquid 3"'!BA41:BA46,'10A61 Liquid 3"'!AZ41:AZ46^{1,2,3,4})</f>
        <v>-1874.9999999998538</v>
      </c>
      <c r="C379">
        <v>5060.185185184775</v>
      </c>
      <c r="D379">
        <v>-4960.4166666662459</v>
      </c>
      <c r="E379">
        <v>1991.005291005104</v>
      </c>
      <c r="F379">
        <v>1536.246031746062</v>
      </c>
      <c r="G379" t="e">
        <v>#N/A</v>
      </c>
      <c r="H379" t="e">
        <v>#N/A</v>
      </c>
      <c r="I379">
        <f t="shared" si="19"/>
        <v>4</v>
      </c>
      <c r="J379">
        <f>'10A61 Liquid 3" ViscosityLINEST'!B379*'10A61 Liquid 3"'!$B$4^'10A61 Liquid 3" ViscosityLINEST'!I379+'10A61 Liquid 3" ViscosityLINEST'!C379*'10A61 Liquid 3"'!$B$4^('10A61 Liquid 3" ViscosityLINEST'!I379-1)+'10A61 Liquid 3" ViscosityLINEST'!D379*'10A61 Liquid 3"'!$B$4^('10A61 Liquid 3" ViscosityLINEST'!I379-2)+'10A61 Liquid 3" ViscosityLINEST'!E379*'10A61 Liquid 3"'!$B$4^('10A61 Liquid 3" ViscosityLINEST'!I379-3)+'10A61 Liquid 3" ViscosityLINEST'!F379*'10A61 Liquid 3"'!$B$4^('10A61 Liquid 3" ViscosityLINEST'!I379-4)</f>
        <v>1752.0198412698417</v>
      </c>
    </row>
    <row r="380" spans="1:10">
      <c r="B380">
        <f t="array" ref="B380:H380">LINEST('10A61 Liquid 3"'!BA46:BA54,'10A61 Liquid 3"'!AZ46:AZ54^{1,2,3,4})</f>
        <v>0.11188811188811734</v>
      </c>
      <c r="C380">
        <v>-1.4504014504015015</v>
      </c>
      <c r="D380">
        <v>15.487179487179642</v>
      </c>
      <c r="E380">
        <v>-156.72830872830889</v>
      </c>
      <c r="F380">
        <v>1893.2222222222219</v>
      </c>
      <c r="G380" t="e">
        <v>#N/A</v>
      </c>
      <c r="H380" t="e">
        <v>#N/A</v>
      </c>
      <c r="I380">
        <f t="shared" si="19"/>
        <v>4</v>
      </c>
      <c r="J380">
        <f>'10A61 Liquid 3" ViscosityLINEST'!B380*'10A61 Liquid 3"'!$B$4^'10A61 Liquid 3" ViscosityLINEST'!I380+'10A61 Liquid 3" ViscosityLINEST'!C380*'10A61 Liquid 3"'!$B$4^('10A61 Liquid 3" ViscosityLINEST'!I380-1)+'10A61 Liquid 3" ViscosityLINEST'!D380*'10A61 Liquid 3"'!$B$4^('10A61 Liquid 3" ViscosityLINEST'!I380-2)+'10A61 Liquid 3" ViscosityLINEST'!E380*'10A61 Liquid 3"'!$B$4^('10A61 Liquid 3" ViscosityLINEST'!I380-3)+'10A61 Liquid 3" ViscosityLINEST'!F380*'10A61 Liquid 3"'!$B$4^('10A61 Liquid 3" ViscosityLINEST'!I380-4)</f>
        <v>1750.6425796425792</v>
      </c>
    </row>
    <row r="381" spans="1:10">
      <c r="A381">
        <v>1</v>
      </c>
      <c r="B381">
        <f t="array" ref="B381:H381">LINEST('10A61 Liquid 3"'!BA57:BA62,'10A61 Liquid 3"'!AZ57:AZ62^{1,2,3,4})</f>
        <v>-208.33333333336148</v>
      </c>
      <c r="C381">
        <v>560.18518518527242</v>
      </c>
      <c r="D381">
        <v>-477.08333333343234</v>
      </c>
      <c r="E381">
        <v>46.005291005339735</v>
      </c>
      <c r="F381">
        <v>1639.2460317460227</v>
      </c>
      <c r="G381" t="e">
        <v>#N/A</v>
      </c>
      <c r="H381" t="e">
        <v>#N/A</v>
      </c>
      <c r="I381">
        <f t="shared" si="19"/>
        <v>4</v>
      </c>
      <c r="J381">
        <f>'10A61 Liquid 3" ViscosityLINEST'!B381*'10A61 Liquid 3"'!$B$4^'10A61 Liquid 3" ViscosityLINEST'!I381+'10A61 Liquid 3" ViscosityLINEST'!C381*'10A61 Liquid 3"'!$B$4^('10A61 Liquid 3" ViscosityLINEST'!I381-1)+'10A61 Liquid 3" ViscosityLINEST'!D381*'10A61 Liquid 3"'!$B$4^('10A61 Liquid 3" ViscosityLINEST'!I381-2)+'10A61 Liquid 3" ViscosityLINEST'!E381*'10A61 Liquid 3"'!$B$4^('10A61 Liquid 3" ViscosityLINEST'!I381-3)+'10A61 Liquid 3" ViscosityLINEST'!F381*'10A61 Liquid 3"'!$B$4^('10A61 Liquid 3" ViscosityLINEST'!I381-4)</f>
        <v>1560.019841269841</v>
      </c>
    </row>
    <row r="382" spans="1:10">
      <c r="B382">
        <f t="array" ref="B382:H382">LINEST('10A61 Liquid 3"'!BA62:BA70,'10A61 Liquid 3"'!AZ62:AZ70^{1,2,3,4})</f>
        <v>1.6130536130535684</v>
      </c>
      <c r="C382">
        <v>-19.087283087282508</v>
      </c>
      <c r="D382">
        <v>85.172494172491511</v>
      </c>
      <c r="E382">
        <v>-248.01605801605308</v>
      </c>
      <c r="F382">
        <v>1739.4444444444416</v>
      </c>
      <c r="G382" t="e">
        <v>#N/A</v>
      </c>
      <c r="H382" t="e">
        <v>#N/A</v>
      </c>
      <c r="I382">
        <f t="shared" si="19"/>
        <v>4</v>
      </c>
      <c r="J382">
        <f>'10A61 Liquid 3" ViscosityLINEST'!B382*'10A61 Liquid 3"'!$B$4^'10A61 Liquid 3" ViscosityLINEST'!I382+'10A61 Liquid 3" ViscosityLINEST'!C382*'10A61 Liquid 3"'!$B$4^('10A61 Liquid 3" ViscosityLINEST'!I382-1)+'10A61 Liquid 3" ViscosityLINEST'!D382*'10A61 Liquid 3"'!$B$4^('10A61 Liquid 3" ViscosityLINEST'!I382-2)+'10A61 Liquid 3" ViscosityLINEST'!E382*'10A61 Liquid 3"'!$B$4^('10A61 Liquid 3" ViscosityLINEST'!I382-3)+'10A61 Liquid 3" ViscosityLINEST'!F382*'10A61 Liquid 3"'!$B$4^('10A61 Liquid 3" ViscosityLINEST'!I382-4)</f>
        <v>1559.126651126651</v>
      </c>
    </row>
    <row r="383" spans="1:10">
      <c r="A383">
        <v>1.2</v>
      </c>
      <c r="B383">
        <f t="array" ref="B383:H383">LINEST('10A61 Liquid 3"'!BA73:BA78,'10A61 Liquid 3"'!AZ73:AZ78^{1,2,3,4})</f>
        <v>-833.33333333320832</v>
      </c>
      <c r="C383">
        <v>2592.5925925922343</v>
      </c>
      <c r="D383">
        <v>-2949.9999999996244</v>
      </c>
      <c r="E383">
        <v>1384.431216931046</v>
      </c>
      <c r="F383">
        <v>1213.3015873016161</v>
      </c>
      <c r="G383" t="e">
        <v>#N/A</v>
      </c>
      <c r="H383" t="e">
        <v>#N/A</v>
      </c>
      <c r="I383">
        <f t="shared" si="19"/>
        <v>4</v>
      </c>
      <c r="J383">
        <f>'10A61 Liquid 3" ViscosityLINEST'!B383*'10A61 Liquid 3"'!$B$4^'10A61 Liquid 3" ViscosityLINEST'!I383+'10A61 Liquid 3" ViscosityLINEST'!C383*'10A61 Liquid 3"'!$B$4^('10A61 Liquid 3" ViscosityLINEST'!I383-1)+'10A61 Liquid 3" ViscosityLINEST'!D383*'10A61 Liquid 3"'!$B$4^('10A61 Liquid 3" ViscosityLINEST'!I383-2)+'10A61 Liquid 3" ViscosityLINEST'!E383*'10A61 Liquid 3"'!$B$4^('10A61 Liquid 3" ViscosityLINEST'!I383-3)+'10A61 Liquid 3" ViscosityLINEST'!F383*'10A61 Liquid 3"'!$B$4^('10A61 Liquid 3" ViscosityLINEST'!I383-4)</f>
        <v>1406.9920634920636</v>
      </c>
    </row>
    <row r="384" spans="1:10">
      <c r="B384">
        <f t="array" ref="B384:H384">LINEST('10A61 Liquid 3"'!BA78:BA86,'10A61 Liquid 3"'!AZ78:AZ86^{1,2,3,4})</f>
        <v>1.2447552447552075</v>
      </c>
      <c r="C384">
        <v>-14.970732970732495</v>
      </c>
      <c r="D384">
        <v>67.264568764566619</v>
      </c>
      <c r="E384">
        <v>-200.37852887852492</v>
      </c>
      <c r="F384">
        <v>1553.7777777777753</v>
      </c>
      <c r="G384" t="e">
        <v>#N/A</v>
      </c>
      <c r="H384" t="e">
        <v>#N/A</v>
      </c>
      <c r="I384">
        <f t="shared" si="19"/>
        <v>4</v>
      </c>
      <c r="J384">
        <f>'10A61 Liquid 3" ViscosityLINEST'!B384*'10A61 Liquid 3"'!$B$4^'10A61 Liquid 3" ViscosityLINEST'!I384+'10A61 Liquid 3" ViscosityLINEST'!C384*'10A61 Liquid 3"'!$B$4^('10A61 Liquid 3" ViscosityLINEST'!I384-1)+'10A61 Liquid 3" ViscosityLINEST'!D384*'10A61 Liquid 3"'!$B$4^('10A61 Liquid 3" ViscosityLINEST'!I384-2)+'10A61 Liquid 3" ViscosityLINEST'!E384*'10A61 Liquid 3"'!$B$4^('10A61 Liquid 3" ViscosityLINEST'!I384-3)+'10A61 Liquid 3" ViscosityLINEST'!F384*'10A61 Liquid 3"'!$B$4^('10A61 Liquid 3" ViscosityLINEST'!I384-4)</f>
        <v>1406.9378399378397</v>
      </c>
    </row>
    <row r="385" spans="1:10">
      <c r="A385">
        <v>1.4</v>
      </c>
      <c r="B385">
        <f t="array" ref="B385:H385">LINEST('10A61 Liquid 3"'!BA92:BA97,'10A61 Liquid 3"'!AZ92:AZ97^{1,2,3,4})</f>
        <v>-1874.9999999996749</v>
      </c>
      <c r="C385">
        <v>5874.9999999990659</v>
      </c>
      <c r="D385">
        <v>-6768.7499999990168</v>
      </c>
      <c r="E385">
        <v>3335.3571428566934</v>
      </c>
      <c r="F385">
        <v>720.35714285721838</v>
      </c>
      <c r="G385" t="e">
        <v>#N/A</v>
      </c>
      <c r="H385" t="e">
        <v>#N/A</v>
      </c>
      <c r="I385">
        <f t="shared" si="19"/>
        <v>4</v>
      </c>
      <c r="J385">
        <f>'10A61 Liquid 3" ViscosityLINEST'!B385*'10A61 Liquid 3"'!$B$4^'10A61 Liquid 3" ViscosityLINEST'!I385+'10A61 Liquid 3" ViscosityLINEST'!C385*'10A61 Liquid 3"'!$B$4^('10A61 Liquid 3" ViscosityLINEST'!I385-1)+'10A61 Liquid 3" ViscosityLINEST'!D385*'10A61 Liquid 3"'!$B$4^('10A61 Liquid 3" ViscosityLINEST'!I385-2)+'10A61 Liquid 3" ViscosityLINEST'!E385*'10A61 Liquid 3"'!$B$4^('10A61 Liquid 3" ViscosityLINEST'!I385-3)+'10A61 Liquid 3" ViscosityLINEST'!F385*'10A61 Liquid 3"'!$B$4^('10A61 Liquid 3" ViscosityLINEST'!I385-4)</f>
        <v>1286.964285714286</v>
      </c>
    </row>
    <row r="386" spans="1:10">
      <c r="B386">
        <f t="array" ref="B386:H386">LINEST('10A61 Liquid 3"'!BA97:BA105,'10A61 Liquid 3"'!AZ97:AZ105^{1,2,3,4})</f>
        <v>0.87179487179483484</v>
      </c>
      <c r="C386">
        <v>-10.926184926184453</v>
      </c>
      <c r="D386">
        <v>51.08508158507945</v>
      </c>
      <c r="E386">
        <v>-162.91996891996502</v>
      </c>
      <c r="F386">
        <v>1409.1666666666642</v>
      </c>
      <c r="G386" t="e">
        <v>#N/A</v>
      </c>
      <c r="H386" t="e">
        <v>#N/A</v>
      </c>
      <c r="I386">
        <f t="shared" si="19"/>
        <v>4</v>
      </c>
      <c r="J386">
        <f>'10A61 Liquid 3" ViscosityLINEST'!B386*'10A61 Liquid 3"'!$B$4^'10A61 Liquid 3" ViscosityLINEST'!I386+'10A61 Liquid 3" ViscosityLINEST'!C386*'10A61 Liquid 3"'!$B$4^('10A61 Liquid 3" ViscosityLINEST'!I386-1)+'10A61 Liquid 3" ViscosityLINEST'!D386*'10A61 Liquid 3"'!$B$4^('10A61 Liquid 3" ViscosityLINEST'!I386-2)+'10A61 Liquid 3" ViscosityLINEST'!E386*'10A61 Liquid 3"'!$B$4^('10A61 Liquid 3" ViscosityLINEST'!I386-3)+'10A61 Liquid 3" ViscosityLINEST'!F386*'10A61 Liquid 3"'!$B$4^('10A61 Liquid 3" ViscosityLINEST'!I386-4)</f>
        <v>1287.2773892773891</v>
      </c>
    </row>
    <row r="387" spans="1:10">
      <c r="A387">
        <v>1.5</v>
      </c>
      <c r="B387">
        <f t="array" ref="B387:H387">LINEST('10A61 Liquid 3"'!BA108:BA113,'10A61 Liquid 3"'!AZ108:AZ113^{1,2,3,4})</f>
        <v>-1041.6666666664134</v>
      </c>
      <c r="C387">
        <v>3467.59259259186</v>
      </c>
      <c r="D387">
        <v>-4235.4166666658884</v>
      </c>
      <c r="E387">
        <v>2189.7883597880004</v>
      </c>
      <c r="F387">
        <v>854.65873015879106</v>
      </c>
      <c r="G387" t="e">
        <v>#N/A</v>
      </c>
      <c r="H387" t="e">
        <v>#N/A</v>
      </c>
      <c r="I387">
        <f t="shared" si="19"/>
        <v>4</v>
      </c>
      <c r="J387">
        <f>'10A61 Liquid 3" ViscosityLINEST'!B387*'10A61 Liquid 3"'!$B$4^'10A61 Liquid 3" ViscosityLINEST'!I387+'10A61 Liquid 3" ViscosityLINEST'!C387*'10A61 Liquid 3"'!$B$4^('10A61 Liquid 3" ViscosityLINEST'!I387-1)+'10A61 Liquid 3" ViscosityLINEST'!D387*'10A61 Liquid 3"'!$B$4^('10A61 Liquid 3" ViscosityLINEST'!I387-2)+'10A61 Liquid 3" ViscosityLINEST'!E387*'10A61 Liquid 3"'!$B$4^('10A61 Liquid 3" ViscosityLINEST'!I387-3)+'10A61 Liquid 3" ViscosityLINEST'!F387*'10A61 Liquid 3"'!$B$4^('10A61 Liquid 3" ViscosityLINEST'!I387-4)</f>
        <v>1234.9563492063498</v>
      </c>
    </row>
    <row r="388" spans="1:10">
      <c r="B388">
        <f t="array" ref="B388:H388">LINEST('10A61 Liquid 3"'!BA113:BA121,'10A61 Liquid 3"'!AZ113:AZ121^{1,2,3,4})</f>
        <v>0.76456876456872924</v>
      </c>
      <c r="C388">
        <v>-9.673141673141231</v>
      </c>
      <c r="D388">
        <v>45.50582750582555</v>
      </c>
      <c r="E388">
        <v>-148.09686609686256</v>
      </c>
      <c r="F388">
        <v>1346.7777777777756</v>
      </c>
      <c r="G388" t="e">
        <v>#N/A</v>
      </c>
      <c r="H388" t="e">
        <v>#N/A</v>
      </c>
      <c r="I388">
        <f t="shared" si="19"/>
        <v>4</v>
      </c>
      <c r="J388">
        <f>'10A61 Liquid 3" ViscosityLINEST'!B388*'10A61 Liquid 3"'!$B$4^'10A61 Liquid 3" ViscosityLINEST'!I388+'10A61 Liquid 3" ViscosityLINEST'!C388*'10A61 Liquid 3"'!$B$4^('10A61 Liquid 3" ViscosityLINEST'!I388-1)+'10A61 Liquid 3" ViscosityLINEST'!D388*'10A61 Liquid 3"'!$B$4^('10A61 Liquid 3" ViscosityLINEST'!I388-2)+'10A61 Liquid 3" ViscosityLINEST'!E388*'10A61 Liquid 3"'!$B$4^('10A61 Liquid 3" ViscosityLINEST'!I388-3)+'10A61 Liquid 3" ViscosityLINEST'!F388*'10A61 Liquid 3"'!$B$4^('10A61 Liquid 3" ViscosityLINEST'!I388-4)</f>
        <v>1235.2781662781661</v>
      </c>
    </row>
    <row r="390" spans="1:10">
      <c r="A390" s="5" t="s">
        <v>102</v>
      </c>
      <c r="I390">
        <f t="shared" ref="I390:I404" si="20">COUNT(B390:H390)-1</f>
        <v>-1</v>
      </c>
      <c r="J390">
        <f>'10A61 Liquid 3" ViscosityLINEST'!B390*'10A61 Liquid 3"'!$B$4^'10A61 Liquid 3" ViscosityLINEST'!I390+'10A61 Liquid 3" ViscosityLINEST'!C390*'10A61 Liquid 3"'!$B$4^('10A61 Liquid 3" ViscosityLINEST'!I390-1)+'10A61 Liquid 3" ViscosityLINEST'!D390*'10A61 Liquid 3"'!$B$4^('10A61 Liquid 3" ViscosityLINEST'!I390-2)+'10A61 Liquid 3" ViscosityLINEST'!E390*'10A61 Liquid 3"'!$B$4^('10A61 Liquid 3" ViscosityLINEST'!I390-3)+'10A61 Liquid 3" ViscosityLINEST'!F390*'10A61 Liquid 3"'!$B$4^('10A61 Liquid 3" ViscosityLINEST'!I390-4)</f>
        <v>0</v>
      </c>
    </row>
    <row r="391" spans="1:10">
      <c r="A391">
        <v>0.4</v>
      </c>
      <c r="B391">
        <f t="array" ref="B391:H391">LINEST('10A61 Liquid 3"'!BC6:BC11,'10A61 Liquid 3"'!BB6:BB11^{1,2,3,4})</f>
        <v>-4.1069696612967943E-11</v>
      </c>
      <c r="C391">
        <v>222.22222222234376</v>
      </c>
      <c r="D391">
        <v>-275.00000000013188</v>
      </c>
      <c r="E391">
        <v>-388.29365079358854</v>
      </c>
      <c r="F391">
        <v>3168.0952380952272</v>
      </c>
      <c r="G391" t="e">
        <v>#N/A</v>
      </c>
      <c r="H391" t="e">
        <v>#N/A</v>
      </c>
      <c r="I391">
        <f t="shared" si="20"/>
        <v>4</v>
      </c>
      <c r="J391">
        <f>'10A61 Liquid 3" ViscosityLINEST'!B391*'10A61 Liquid 3"'!$B$4^'10A61 Liquid 3" ViscosityLINEST'!I391+'10A61 Liquid 3" ViscosityLINEST'!C391*'10A61 Liquid 3"'!$B$4^('10A61 Liquid 3" ViscosityLINEST'!I391-1)+'10A61 Liquid 3" ViscosityLINEST'!D391*'10A61 Liquid 3"'!$B$4^('10A61 Liquid 3" ViscosityLINEST'!I391-2)+'10A61 Liquid 3" ViscosityLINEST'!E391*'10A61 Liquid 3"'!$B$4^('10A61 Liquid 3" ViscosityLINEST'!I391-3)+'10A61 Liquid 3" ViscosityLINEST'!F391*'10A61 Liquid 3"'!$B$4^('10A61 Liquid 3" ViscosityLINEST'!I391-4)</f>
        <v>2727.0238095238092</v>
      </c>
    </row>
    <row r="392" spans="1:10">
      <c r="B392">
        <f t="array" ref="B392:H392">LINEST('10A61 Liquid 3"'!BC11:BC19,'10A61 Liquid 3"'!BB11:BB19^{1,2,3,4})</f>
        <v>0.6573426573425819</v>
      </c>
      <c r="C392">
        <v>-8.9857549857540295</v>
      </c>
      <c r="D392">
        <v>62.411421911417641</v>
      </c>
      <c r="E392">
        <v>-394.37477337476565</v>
      </c>
      <c r="F392">
        <v>3068.3888888888846</v>
      </c>
      <c r="G392" t="e">
        <v>#N/A</v>
      </c>
      <c r="H392" t="e">
        <v>#N/A</v>
      </c>
      <c r="I392">
        <f t="shared" si="20"/>
        <v>4</v>
      </c>
      <c r="J392">
        <f>'10A61 Liquid 3" ViscosityLINEST'!B392*'10A61 Liquid 3"'!$B$4^'10A61 Liquid 3" ViscosityLINEST'!I392+'10A61 Liquid 3" ViscosityLINEST'!C392*'10A61 Liquid 3"'!$B$4^('10A61 Liquid 3" ViscosityLINEST'!I392-1)+'10A61 Liquid 3" ViscosityLINEST'!D392*'10A61 Liquid 3"'!$B$4^('10A61 Liquid 3" ViscosityLINEST'!I392-2)+'10A61 Liquid 3" ViscosityLINEST'!E392*'10A61 Liquid 3"'!$B$4^('10A61 Liquid 3" ViscosityLINEST'!I392-3)+'10A61 Liquid 3" ViscosityLINEST'!F392*'10A61 Liquid 3"'!$B$4^('10A61 Liquid 3" ViscosityLINEST'!I392-4)</f>
        <v>2728.0971250971252</v>
      </c>
    </row>
    <row r="393" spans="1:10">
      <c r="A393">
        <v>0.6</v>
      </c>
      <c r="B393">
        <f t="array" ref="B393:H393">LINEST('10A61 Liquid 3"'!BC23:BC28,'10A61 Liquid 3"'!BB23:BB28^{1,2,3,4})</f>
        <v>-1458.333333332934</v>
      </c>
      <c r="C393">
        <v>4847.2222222210594</v>
      </c>
      <c r="D393">
        <v>-5872.9166666654237</v>
      </c>
      <c r="E393">
        <v>2762.7777777772003</v>
      </c>
      <c r="F393">
        <v>1980.1666666667652</v>
      </c>
      <c r="G393" t="e">
        <v>#N/A</v>
      </c>
      <c r="H393" t="e">
        <v>#N/A</v>
      </c>
      <c r="I393">
        <f t="shared" si="20"/>
        <v>4</v>
      </c>
      <c r="J393">
        <f>'10A61 Liquid 3" ViscosityLINEST'!B393*'10A61 Liquid 3"'!$B$4^'10A61 Liquid 3" ViscosityLINEST'!I393+'10A61 Liquid 3" ViscosityLINEST'!C393*'10A61 Liquid 3"'!$B$4^('10A61 Liquid 3" ViscosityLINEST'!I393-1)+'10A61 Liquid 3" ViscosityLINEST'!D393*'10A61 Liquid 3"'!$B$4^('10A61 Liquid 3" ViscosityLINEST'!I393-2)+'10A61 Liquid 3" ViscosityLINEST'!E393*'10A61 Liquid 3"'!$B$4^('10A61 Liquid 3" ViscosityLINEST'!I393-3)+'10A61 Liquid 3" ViscosityLINEST'!F393*'10A61 Liquid 3"'!$B$4^('10A61 Liquid 3" ViscosityLINEST'!I393-4)</f>
        <v>2258.9166666666674</v>
      </c>
    </row>
    <row r="394" spans="1:10">
      <c r="B394">
        <f t="array" ref="B394:H394">LINEST('10A61 Liquid 3"'!BC28:BC36,'10A61 Liquid 3"'!BB28:BB36^{1,2,3,4})</f>
        <v>-0.28904428904431945</v>
      </c>
      <c r="C394">
        <v>0.69412069412109867</v>
      </c>
      <c r="D394">
        <v>22.587412587410721</v>
      </c>
      <c r="E394">
        <v>-259.09777259776916</v>
      </c>
      <c r="F394">
        <v>2496.7222222222204</v>
      </c>
      <c r="G394" t="e">
        <v>#N/A</v>
      </c>
      <c r="H394" t="e">
        <v>#N/A</v>
      </c>
      <c r="I394">
        <f t="shared" si="20"/>
        <v>4</v>
      </c>
      <c r="J394">
        <f>'10A61 Liquid 3" ViscosityLINEST'!B394*'10A61 Liquid 3"'!$B$4^'10A61 Liquid 3" ViscosityLINEST'!I394+'10A61 Liquid 3" ViscosityLINEST'!C394*'10A61 Liquid 3"'!$B$4^('10A61 Liquid 3" ViscosityLINEST'!I394-1)+'10A61 Liquid 3" ViscosityLINEST'!D394*'10A61 Liquid 3"'!$B$4^('10A61 Liquid 3" ViscosityLINEST'!I394-2)+'10A61 Liquid 3" ViscosityLINEST'!E394*'10A61 Liquid 3"'!$B$4^('10A61 Liquid 3" ViscosityLINEST'!I394-3)+'10A61 Liquid 3" ViscosityLINEST'!F394*'10A61 Liquid 3"'!$B$4^('10A61 Liquid 3" ViscosityLINEST'!I394-4)</f>
        <v>2260.6169386169386</v>
      </c>
    </row>
    <row r="395" spans="1:10">
      <c r="A395">
        <v>0.8</v>
      </c>
      <c r="B395">
        <f t="array" ref="B395:H395">LINEST('10A61 Liquid 3"'!BC41:BC46,'10A61 Liquid 3"'!BB41:BB46^{1,2,3,4})</f>
        <v>-1666.6666666665449</v>
      </c>
      <c r="C395">
        <v>5462.9629629626415</v>
      </c>
      <c r="D395">
        <v>-6649.9999999996944</v>
      </c>
      <c r="E395">
        <v>3323.9417989416752</v>
      </c>
      <c r="F395">
        <v>1502.7936507936688</v>
      </c>
      <c r="G395" t="e">
        <v>#N/A</v>
      </c>
      <c r="H395" t="e">
        <v>#N/A</v>
      </c>
      <c r="I395">
        <f t="shared" si="20"/>
        <v>4</v>
      </c>
      <c r="J395">
        <f>'10A61 Liquid 3" ViscosityLINEST'!B395*'10A61 Liquid 3"'!$B$4^'10A61 Liquid 3" ViscosityLINEST'!I395+'10A61 Liquid 3" ViscosityLINEST'!C395*'10A61 Liquid 3"'!$B$4^('10A61 Liquid 3" ViscosityLINEST'!I395-1)+'10A61 Liquid 3" ViscosityLINEST'!D395*'10A61 Liquid 3"'!$B$4^('10A61 Liquid 3" ViscosityLINEST'!I395-2)+'10A61 Liquid 3" ViscosityLINEST'!E395*'10A61 Liquid 3"'!$B$4^('10A61 Liquid 3" ViscosityLINEST'!I395-3)+'10A61 Liquid 3" ViscosityLINEST'!F395*'10A61 Liquid 3"'!$B$4^('10A61 Liquid 3" ViscosityLINEST'!I395-4)</f>
        <v>1973.031746031746</v>
      </c>
    </row>
    <row r="396" spans="1:10">
      <c r="B396">
        <f t="array" ref="B396:H396">LINEST('10A61 Liquid 3"'!BC46:BC54,'10A61 Liquid 3"'!BB46:BB54^{1,2,3,4})</f>
        <v>-0.3170163170163216</v>
      </c>
      <c r="C396">
        <v>1.716653716653793</v>
      </c>
      <c r="D396">
        <v>12.80652680652638</v>
      </c>
      <c r="E396">
        <v>-199.12613312613217</v>
      </c>
      <c r="F396">
        <v>2157.2222222222217</v>
      </c>
      <c r="G396" t="e">
        <v>#N/A</v>
      </c>
      <c r="H396" t="e">
        <v>#N/A</v>
      </c>
      <c r="I396">
        <f t="shared" si="20"/>
        <v>4</v>
      </c>
      <c r="J396">
        <f>'10A61 Liquid 3" ViscosityLINEST'!B396*'10A61 Liquid 3"'!$B$4^'10A61 Liquid 3" ViscosityLINEST'!I396+'10A61 Liquid 3" ViscosityLINEST'!C396*'10A61 Liquid 3"'!$B$4^('10A61 Liquid 3" ViscosityLINEST'!I396-1)+'10A61 Liquid 3" ViscosityLINEST'!D396*'10A61 Liquid 3"'!$B$4^('10A61 Liquid 3" ViscosityLINEST'!I396-2)+'10A61 Liquid 3" ViscosityLINEST'!E396*'10A61 Liquid 3"'!$B$4^('10A61 Liquid 3" ViscosityLINEST'!I396-3)+'10A61 Liquid 3" ViscosityLINEST'!F396*'10A61 Liquid 3"'!$B$4^('10A61 Liquid 3" ViscosityLINEST'!I396-4)</f>
        <v>1972.3022533022533</v>
      </c>
    </row>
    <row r="397" spans="1:10">
      <c r="A397">
        <v>1</v>
      </c>
      <c r="B397">
        <f t="array" ref="B397:H397">LINEST('10A61 Liquid 3"'!BC57:BC62,'10A61 Liquid 3"'!BB57:BB62^{1,2,3,4})</f>
        <v>3541.6666666657729</v>
      </c>
      <c r="C397">
        <v>-10374.999999997379</v>
      </c>
      <c r="D397">
        <v>11052.083333330513</v>
      </c>
      <c r="E397">
        <v>-5231.785714284395</v>
      </c>
      <c r="F397">
        <v>2786.2142857140598</v>
      </c>
      <c r="G397" t="e">
        <v>#N/A</v>
      </c>
      <c r="H397" t="e">
        <v>#N/A</v>
      </c>
      <c r="I397">
        <f t="shared" si="20"/>
        <v>4</v>
      </c>
      <c r="J397">
        <f>'10A61 Liquid 3" ViscosityLINEST'!B397*'10A61 Liquid 3"'!$B$4^'10A61 Liquid 3" ViscosityLINEST'!I397+'10A61 Liquid 3" ViscosityLINEST'!C397*'10A61 Liquid 3"'!$B$4^('10A61 Liquid 3" ViscosityLINEST'!I397-1)+'10A61 Liquid 3" ViscosityLINEST'!D397*'10A61 Liquid 3"'!$B$4^('10A61 Liquid 3" ViscosityLINEST'!I397-2)+'10A61 Liquid 3" ViscosityLINEST'!E397*'10A61 Liquid 3"'!$B$4^('10A61 Liquid 3" ViscosityLINEST'!I397-3)+'10A61 Liquid 3" ViscosityLINEST'!F397*'10A61 Liquid 3"'!$B$4^('10A61 Liquid 3" ViscosityLINEST'!I397-4)</f>
        <v>1773.1785714285716</v>
      </c>
    </row>
    <row r="398" spans="1:10">
      <c r="B398">
        <f t="array" ref="B398:H398">LINEST('10A61 Liquid 3"'!BC62:BC70,'10A61 Liquid 3"'!BB62:BB70^{1,2,3,4})</f>
        <v>-0.32634032634030624</v>
      </c>
      <c r="C398">
        <v>1.9362859362857185</v>
      </c>
      <c r="D398">
        <v>10.566433566434373</v>
      </c>
      <c r="E398">
        <v>-172.39316239316358</v>
      </c>
      <c r="F398">
        <v>1931.3333333333337</v>
      </c>
      <c r="G398" t="e">
        <v>#N/A</v>
      </c>
      <c r="H398" t="e">
        <v>#N/A</v>
      </c>
      <c r="I398">
        <f t="shared" si="20"/>
        <v>4</v>
      </c>
      <c r="J398">
        <f>'10A61 Liquid 3" ViscosityLINEST'!B398*'10A61 Liquid 3"'!$B$4^'10A61 Liquid 3" ViscosityLINEST'!I398+'10A61 Liquid 3" ViscosityLINEST'!C398*'10A61 Liquid 3"'!$B$4^('10A61 Liquid 3" ViscosityLINEST'!I398-1)+'10A61 Liquid 3" ViscosityLINEST'!D398*'10A61 Liquid 3"'!$B$4^('10A61 Liquid 3" ViscosityLINEST'!I398-2)+'10A61 Liquid 3" ViscosityLINEST'!E398*'10A61 Liquid 3"'!$B$4^('10A61 Liquid 3" ViscosityLINEST'!I398-3)+'10A61 Liquid 3" ViscosityLINEST'!F398*'10A61 Liquid 3"'!$B$4^('10A61 Liquid 3" ViscosityLINEST'!I398-4)</f>
        <v>1771.1165501165499</v>
      </c>
    </row>
    <row r="399" spans="1:10">
      <c r="A399">
        <v>1.2</v>
      </c>
      <c r="B399">
        <f t="array" ref="B399:H399">LINEST('10A61 Liquid 3"'!BC73:BC78,'10A61 Liquid 3"'!BB73:BB78^{1,2,3,4})</f>
        <v>3958.3333333328787</v>
      </c>
      <c r="C399">
        <v>-12236.111111109838</v>
      </c>
      <c r="D399">
        <v>13847.916666665362</v>
      </c>
      <c r="E399">
        <v>-6924.6031746025947</v>
      </c>
      <c r="F399">
        <v>2974.4523809522875</v>
      </c>
      <c r="G399" t="e">
        <v>#N/A</v>
      </c>
      <c r="H399" t="e">
        <v>#N/A</v>
      </c>
      <c r="I399">
        <f t="shared" si="20"/>
        <v>4</v>
      </c>
      <c r="J399">
        <f>'10A61 Liquid 3" ViscosityLINEST'!B399*'10A61 Liquid 3"'!$B$4^'10A61 Liquid 3" ViscosityLINEST'!I399+'10A61 Liquid 3" ViscosityLINEST'!C399*'10A61 Liquid 3"'!$B$4^('10A61 Liquid 3" ViscosityLINEST'!I399-1)+'10A61 Liquid 3" ViscosityLINEST'!D399*'10A61 Liquid 3"'!$B$4^('10A61 Liquid 3" ViscosityLINEST'!I399-2)+'10A61 Liquid 3" ViscosityLINEST'!E399*'10A61 Liquid 3"'!$B$4^('10A61 Liquid 3" ViscosityLINEST'!I399-3)+'10A61 Liquid 3" ViscosityLINEST'!F399*'10A61 Liquid 3"'!$B$4^('10A61 Liquid 3" ViscosityLINEST'!I399-4)</f>
        <v>1619.9880952380959</v>
      </c>
    </row>
    <row r="400" spans="1:10">
      <c r="B400">
        <f t="array" ref="B400:H400">LINEST('10A61 Liquid 3"'!BC78:BC86,'10A61 Liquid 3"'!BB78:BB86^{1,2,3,4})</f>
        <v>0.47086247086246102</v>
      </c>
      <c r="C400">
        <v>-7.0038850038848501</v>
      </c>
      <c r="D400">
        <v>44.124708624707807</v>
      </c>
      <c r="E400">
        <v>-207.03690753690583</v>
      </c>
      <c r="F400">
        <v>1787.6666666666658</v>
      </c>
      <c r="G400" t="e">
        <v>#N/A</v>
      </c>
      <c r="H400" t="e">
        <v>#N/A</v>
      </c>
      <c r="I400">
        <f t="shared" si="20"/>
        <v>4</v>
      </c>
      <c r="J400">
        <f>'10A61 Liquid 3" ViscosityLINEST'!B400*'10A61 Liquid 3"'!$B$4^'10A61 Liquid 3" ViscosityLINEST'!I400+'10A61 Liquid 3" ViscosityLINEST'!C400*'10A61 Liquid 3"'!$B$4^('10A61 Liquid 3" ViscosityLINEST'!I400-1)+'10A61 Liquid 3" ViscosityLINEST'!D400*'10A61 Liquid 3"'!$B$4^('10A61 Liquid 3" ViscosityLINEST'!I400-2)+'10A61 Liquid 3" ViscosityLINEST'!E400*'10A61 Liquid 3"'!$B$4^('10A61 Liquid 3" ViscosityLINEST'!I400-3)+'10A61 Liquid 3" ViscosityLINEST'!F400*'10A61 Liquid 3"'!$B$4^('10A61 Liquid 3" ViscosityLINEST'!I400-4)</f>
        <v>1618.2214452214455</v>
      </c>
    </row>
    <row r="401" spans="1:10">
      <c r="A401">
        <v>1.4</v>
      </c>
      <c r="B401">
        <f t="array" ref="B401:H401">LINEST('10A61 Liquid 3"'!BC92:BC97,'10A61 Liquid 3"'!BB92:BB97^{1,2,3,4})</f>
        <v>1041.6666666668252</v>
      </c>
      <c r="C401">
        <v>-3615.7407407412502</v>
      </c>
      <c r="D401">
        <v>4518.7500000005994</v>
      </c>
      <c r="E401">
        <v>-2526.1640211643266</v>
      </c>
      <c r="F401">
        <v>2080.3730158730723</v>
      </c>
      <c r="G401" t="e">
        <v>#N/A</v>
      </c>
      <c r="H401" t="e">
        <v>#N/A</v>
      </c>
      <c r="I401">
        <f t="shared" si="20"/>
        <v>4</v>
      </c>
      <c r="J401">
        <f>'10A61 Liquid 3" ViscosityLINEST'!B401*'10A61 Liquid 3"'!$B$4^'10A61 Liquid 3" ViscosityLINEST'!I401+'10A61 Liquid 3" ViscosityLINEST'!C401*'10A61 Liquid 3"'!$B$4^('10A61 Liquid 3" ViscosityLINEST'!I401-1)+'10A61 Liquid 3" ViscosityLINEST'!D401*'10A61 Liquid 3"'!$B$4^('10A61 Liquid 3" ViscosityLINEST'!I401-2)+'10A61 Liquid 3" ViscosityLINEST'!E401*'10A61 Liquid 3"'!$B$4^('10A61 Liquid 3" ViscosityLINEST'!I401-3)+'10A61 Liquid 3" ViscosityLINEST'!F401*'10A61 Liquid 3"'!$B$4^('10A61 Liquid 3" ViscosityLINEST'!I401-4)</f>
        <v>1498.88492063492</v>
      </c>
    </row>
    <row r="402" spans="1:10">
      <c r="B402">
        <f t="array" ref="B402:H402">LINEST('10A61 Liquid 3"'!BC97:BC105,'10A61 Liquid 3"'!BB97:BB105^{1,2,3,4})</f>
        <v>1.5058275058274639</v>
      </c>
      <c r="C402">
        <v>-18.80393680393626</v>
      </c>
      <c r="D402">
        <v>89.381118881116379</v>
      </c>
      <c r="E402">
        <v>-264.17780367779898</v>
      </c>
      <c r="F402">
        <v>1689.888888888886</v>
      </c>
      <c r="G402" t="e">
        <v>#N/A</v>
      </c>
      <c r="H402" t="e">
        <v>#N/A</v>
      </c>
      <c r="I402">
        <f t="shared" si="20"/>
        <v>4</v>
      </c>
      <c r="J402">
        <f>'10A61 Liquid 3" ViscosityLINEST'!B402*'10A61 Liquid 3"'!$B$4^'10A61 Liquid 3" ViscosityLINEST'!I402+'10A61 Liquid 3" ViscosityLINEST'!C402*'10A61 Liquid 3"'!$B$4^('10A61 Liquid 3" ViscosityLINEST'!I402-1)+'10A61 Liquid 3" ViscosityLINEST'!D402*'10A61 Liquid 3"'!$B$4^('10A61 Liquid 3" ViscosityLINEST'!I402-2)+'10A61 Liquid 3" ViscosityLINEST'!E402*'10A61 Liquid 3"'!$B$4^('10A61 Liquid 3" ViscosityLINEST'!I402-3)+'10A61 Liquid 3" ViscosityLINEST'!F402*'10A61 Liquid 3"'!$B$4^('10A61 Liquid 3" ViscosityLINEST'!I402-4)</f>
        <v>1497.7940947940947</v>
      </c>
    </row>
    <row r="403" spans="1:10">
      <c r="A403">
        <v>1.5</v>
      </c>
      <c r="B403">
        <f t="array" ref="B403:H403">LINEST('10A61 Liquid 3"'!BC108:BC113,'10A61 Liquid 3"'!BB108:BB113^{1,2,3,4})</f>
        <v>1.6697699071764136E-10</v>
      </c>
      <c r="C403">
        <v>-500.00000000051153</v>
      </c>
      <c r="D403">
        <v>1125.0000000005764</v>
      </c>
      <c r="E403">
        <v>-926.78571428599673</v>
      </c>
      <c r="F403">
        <v>1748.7142857143365</v>
      </c>
      <c r="G403" t="e">
        <v>#N/A</v>
      </c>
      <c r="H403" t="e">
        <v>#N/A</v>
      </c>
      <c r="I403">
        <f t="shared" si="20"/>
        <v>4</v>
      </c>
      <c r="J403">
        <f>'10A61 Liquid 3" ViscosityLINEST'!B403*'10A61 Liquid 3"'!$B$4^'10A61 Liquid 3" ViscosityLINEST'!I403+'10A61 Liquid 3" ViscosityLINEST'!C403*'10A61 Liquid 3"'!$B$4^('10A61 Liquid 3" ViscosityLINEST'!I403-1)+'10A61 Liquid 3" ViscosityLINEST'!D403*'10A61 Liquid 3"'!$B$4^('10A61 Liquid 3" ViscosityLINEST'!I403-2)+'10A61 Liquid 3" ViscosityLINEST'!E403*'10A61 Liquid 3"'!$B$4^('10A61 Liquid 3" ViscosityLINEST'!I403-3)+'10A61 Liquid 3" ViscosityLINEST'!F403*'10A61 Liquid 3"'!$B$4^('10A61 Liquid 3" ViscosityLINEST'!I403-4)</f>
        <v>1446.9285714285716</v>
      </c>
    </row>
    <row r="404" spans="1:10">
      <c r="B404">
        <f t="array" ref="B404:H404">LINEST('10A61 Liquid 3"'!BC113:BC121,'10A61 Liquid 3"'!BB113:BB121^{1,2,3,4})</f>
        <v>1.6503496503496096</v>
      </c>
      <c r="C404">
        <v>-20.598808598808066</v>
      </c>
      <c r="D404">
        <v>96.769230769228315</v>
      </c>
      <c r="E404">
        <v>-271.77454027453564</v>
      </c>
      <c r="F404">
        <v>1640.0555555555527</v>
      </c>
      <c r="G404" t="e">
        <v>#N/A</v>
      </c>
      <c r="H404" t="e">
        <v>#N/A</v>
      </c>
      <c r="I404">
        <f t="shared" si="20"/>
        <v>4</v>
      </c>
      <c r="J404">
        <f>'10A61 Liquid 3" ViscosityLINEST'!B404*'10A61 Liquid 3"'!$B$4^'10A61 Liquid 3" ViscosityLINEST'!I404+'10A61 Liquid 3" ViscosityLINEST'!C404*'10A61 Liquid 3"'!$B$4^('10A61 Liquid 3" ViscosityLINEST'!I404-1)+'10A61 Liquid 3" ViscosityLINEST'!D404*'10A61 Liquid 3"'!$B$4^('10A61 Liquid 3" ViscosityLINEST'!I404-2)+'10A61 Liquid 3" ViscosityLINEST'!E404*'10A61 Liquid 3"'!$B$4^('10A61 Liquid 3" ViscosityLINEST'!I404-3)+'10A61 Liquid 3" ViscosityLINEST'!F404*'10A61 Liquid 3"'!$B$4^('10A61 Liquid 3" ViscosityLINEST'!I404-4)</f>
        <v>1446.1017871017868</v>
      </c>
    </row>
    <row r="406" spans="1:10">
      <c r="A406" s="5" t="s">
        <v>103</v>
      </c>
      <c r="I406">
        <f t="shared" ref="I406:I420" si="21">COUNT(B406:H406)-1</f>
        <v>-1</v>
      </c>
      <c r="J406">
        <f>'10A61 Liquid 3" ViscosityLINEST'!B406*'10A61 Liquid 3"'!$B$4^'10A61 Liquid 3" ViscosityLINEST'!I406+'10A61 Liquid 3" ViscosityLINEST'!C406*'10A61 Liquid 3"'!$B$4^('10A61 Liquid 3" ViscosityLINEST'!I406-1)+'10A61 Liquid 3" ViscosityLINEST'!D406*'10A61 Liquid 3"'!$B$4^('10A61 Liquid 3" ViscosityLINEST'!I406-2)+'10A61 Liquid 3" ViscosityLINEST'!E406*'10A61 Liquid 3"'!$B$4^('10A61 Liquid 3" ViscosityLINEST'!I406-3)+'10A61 Liquid 3" ViscosityLINEST'!F406*'10A61 Liquid 3"'!$B$4^('10A61 Liquid 3" ViscosityLINEST'!I406-4)</f>
        <v>0</v>
      </c>
    </row>
    <row r="407" spans="1:10">
      <c r="A407">
        <v>0.4</v>
      </c>
      <c r="B407">
        <f t="array" ref="B407:H407">LINEST('10A61 Liquid 3"'!BE6:BE11,'10A61 Liquid 3"'!BD6:BD11^{1,2,3,4})</f>
        <v>1041.6666666663914</v>
      </c>
      <c r="C407">
        <v>-3078.7037037029027</v>
      </c>
      <c r="D407">
        <v>3560.4166666658111</v>
      </c>
      <c r="E407">
        <v>-2339.7486772482798</v>
      </c>
      <c r="F407">
        <v>3710.4365079364406</v>
      </c>
      <c r="G407" t="e">
        <v>#N/A</v>
      </c>
      <c r="H407" t="e">
        <v>#N/A</v>
      </c>
      <c r="I407">
        <f t="shared" si="21"/>
        <v>4</v>
      </c>
      <c r="J407">
        <f>'10A61 Liquid 3" ViscosityLINEST'!B407*'10A61 Liquid 3"'!$B$4^'10A61 Liquid 3" ViscosityLINEST'!I407+'10A61 Liquid 3" ViscosityLINEST'!C407*'10A61 Liquid 3"'!$B$4^('10A61 Liquid 3" ViscosityLINEST'!I407-1)+'10A61 Liquid 3" ViscosityLINEST'!D407*'10A61 Liquid 3"'!$B$4^('10A61 Liquid 3" ViscosityLINEST'!I407-2)+'10A61 Liquid 3" ViscosityLINEST'!E407*'10A61 Liquid 3"'!$B$4^('10A61 Liquid 3" ViscosityLINEST'!I407-3)+'10A61 Liquid 3" ViscosityLINEST'!F407*'10A61 Liquid 3"'!$B$4^('10A61 Liquid 3" ViscosityLINEST'!I407-4)</f>
        <v>2894.0674603174607</v>
      </c>
    </row>
    <row r="408" spans="1:10">
      <c r="B408">
        <f t="array" ref="B408:H408">LINEST('10A61 Liquid 3"'!BE11:BE19,'10A61 Liquid 3"'!BD11:BD19^{1,2,3,4})</f>
        <v>0.52214452214444618</v>
      </c>
      <c r="C408">
        <v>-7.3162393162383417</v>
      </c>
      <c r="D408">
        <v>54.869463869459501</v>
      </c>
      <c r="E408">
        <v>-386.33760683759897</v>
      </c>
      <c r="F408">
        <v>3234.8333333333289</v>
      </c>
      <c r="G408" t="e">
        <v>#N/A</v>
      </c>
      <c r="H408" t="e">
        <v>#N/A</v>
      </c>
      <c r="I408">
        <f t="shared" si="21"/>
        <v>4</v>
      </c>
      <c r="J408">
        <f>'10A61 Liquid 3" ViscosityLINEST'!B408*'10A61 Liquid 3"'!$B$4^'10A61 Liquid 3" ViscosityLINEST'!I408+'10A61 Liquid 3" ViscosityLINEST'!C408*'10A61 Liquid 3"'!$B$4^('10A61 Liquid 3" ViscosityLINEST'!I408-1)+'10A61 Liquid 3" ViscosityLINEST'!D408*'10A61 Liquid 3"'!$B$4^('10A61 Liquid 3" ViscosityLINEST'!I408-2)+'10A61 Liquid 3" ViscosityLINEST'!E408*'10A61 Liquid 3"'!$B$4^('10A61 Liquid 3" ViscosityLINEST'!I408-3)+'10A61 Liquid 3" ViscosityLINEST'!F408*'10A61 Liquid 3"'!$B$4^('10A61 Liquid 3" ViscosityLINEST'!I408-4)</f>
        <v>2896.5710955710956</v>
      </c>
    </row>
    <row r="409" spans="1:10">
      <c r="A409">
        <v>0.6</v>
      </c>
      <c r="B409">
        <f t="array" ref="B409:H409">LINEST('10A61 Liquid 3"'!BE23:BE28,'10A61 Liquid 3"'!BD23:BD28^{1,2,3,4})</f>
        <v>-3124.9999999992665</v>
      </c>
      <c r="C409">
        <v>10069.444444442315</v>
      </c>
      <c r="D409">
        <v>-11956.249999997732</v>
      </c>
      <c r="E409">
        <v>5877.6984126973621</v>
      </c>
      <c r="F409">
        <v>1533.9761904763689</v>
      </c>
      <c r="G409" t="e">
        <v>#N/A</v>
      </c>
      <c r="H409" t="e">
        <v>#N/A</v>
      </c>
      <c r="I409">
        <f t="shared" si="21"/>
        <v>4</v>
      </c>
      <c r="J409">
        <f>'10A61 Liquid 3" ViscosityLINEST'!B409*'10A61 Liquid 3"'!$B$4^'10A61 Liquid 3" ViscosityLINEST'!I409+'10A61 Liquid 3" ViscosityLINEST'!C409*'10A61 Liquid 3"'!$B$4^('10A61 Liquid 3" ViscosityLINEST'!I409-1)+'10A61 Liquid 3" ViscosityLINEST'!D409*'10A61 Liquid 3"'!$B$4^('10A61 Liquid 3" ViscosityLINEST'!I409-2)+'10A61 Liquid 3" ViscosityLINEST'!E409*'10A61 Liquid 3"'!$B$4^('10A61 Liquid 3" ViscosityLINEST'!I409-3)+'10A61 Liquid 3" ViscosityLINEST'!F409*'10A61 Liquid 3"'!$B$4^('10A61 Liquid 3" ViscosityLINEST'!I409-4)</f>
        <v>2399.8690476190477</v>
      </c>
    </row>
    <row r="410" spans="1:10">
      <c r="B410">
        <f t="array" ref="B410:H410">LINEST('10A61 Liquid 3"'!BE28:BE36,'10A61 Liquid 3"'!BD28:BD36^{1,2,3,4})</f>
        <v>0.24242424242419716</v>
      </c>
      <c r="C410">
        <v>-5.5084175084169216</v>
      </c>
      <c r="D410">
        <v>47.696969696967052</v>
      </c>
      <c r="E410">
        <v>-304.83501683501203</v>
      </c>
      <c r="F410">
        <v>2663.4444444444416</v>
      </c>
      <c r="G410" t="e">
        <v>#N/A</v>
      </c>
      <c r="H410" t="e">
        <v>#N/A</v>
      </c>
      <c r="I410">
        <f t="shared" si="21"/>
        <v>4</v>
      </c>
      <c r="J410">
        <f>'10A61 Liquid 3" ViscosityLINEST'!B410*'10A61 Liquid 3"'!$B$4^'10A61 Liquid 3" ViscosityLINEST'!I410+'10A61 Liquid 3" ViscosityLINEST'!C410*'10A61 Liquid 3"'!$B$4^('10A61 Liquid 3" ViscosityLINEST'!I410-1)+'10A61 Liquid 3" ViscosityLINEST'!D410*'10A61 Liquid 3"'!$B$4^('10A61 Liquid 3" ViscosityLINEST'!I410-2)+'10A61 Liquid 3" ViscosityLINEST'!E410*'10A61 Liquid 3"'!$B$4^('10A61 Liquid 3" ViscosityLINEST'!I410-3)+'10A61 Liquid 3" ViscosityLINEST'!F410*'10A61 Liquid 3"'!$B$4^('10A61 Liquid 3" ViscosityLINEST'!I410-4)</f>
        <v>2401.0404040404037</v>
      </c>
    </row>
    <row r="411" spans="1:10">
      <c r="A411">
        <v>0.8</v>
      </c>
      <c r="B411">
        <f t="array" ref="B411:H411">LINEST('10A61 Liquid 3"'!BE41:BE46,'10A61 Liquid 3"'!BD41:BD46^{1,2,3,4})</f>
        <v>-17916.666666660312</v>
      </c>
      <c r="C411">
        <v>52472.222222203469</v>
      </c>
      <c r="D411">
        <v>-56170.833333312985</v>
      </c>
      <c r="E411">
        <v>25803.134920625311</v>
      </c>
      <c r="F411">
        <v>-2091.4761904745246</v>
      </c>
      <c r="G411" t="e">
        <v>#N/A</v>
      </c>
      <c r="H411" t="e">
        <v>#N/A</v>
      </c>
      <c r="I411">
        <f t="shared" si="21"/>
        <v>4</v>
      </c>
      <c r="J411">
        <f>'10A61 Liquid 3" ViscosityLINEST'!B411*'10A61 Liquid 3"'!$B$4^'10A61 Liquid 3" ViscosityLINEST'!I411+'10A61 Liquid 3" ViscosityLINEST'!C411*'10A61 Liquid 3"'!$B$4^('10A61 Liquid 3" ViscosityLINEST'!I411-1)+'10A61 Liquid 3" ViscosityLINEST'!D411*'10A61 Liquid 3"'!$B$4^('10A61 Liquid 3" ViscosityLINEST'!I411-2)+'10A61 Liquid 3" ViscosityLINEST'!E411*'10A61 Liquid 3"'!$B$4^('10A61 Liquid 3" ViscosityLINEST'!I411-3)+'10A61 Liquid 3" ViscosityLINEST'!F411*'10A61 Liquid 3"'!$B$4^('10A61 Liquid 3" ViscosityLINEST'!I411-4)</f>
        <v>2096.3809523809578</v>
      </c>
    </row>
    <row r="412" spans="1:10">
      <c r="B412">
        <f t="array" ref="B412:H412">LINEST('10A61 Liquid 3"'!BE46:BE54,'10A61 Liquid 3"'!BD46:BD54^{1,2,3,4})</f>
        <v>-0.72261072261069081</v>
      </c>
      <c r="C412">
        <v>6.3076923076919487</v>
      </c>
      <c r="D412">
        <v>-4.3951048951034988</v>
      </c>
      <c r="E412">
        <v>-178.28904428904647</v>
      </c>
      <c r="F412">
        <v>2273.1666666666679</v>
      </c>
      <c r="G412" t="e">
        <v>#N/A</v>
      </c>
      <c r="H412" t="e">
        <v>#N/A</v>
      </c>
      <c r="I412">
        <f t="shared" si="21"/>
        <v>4</v>
      </c>
      <c r="J412">
        <f>'10A61 Liquid 3" ViscosityLINEST'!B412*'10A61 Liquid 3"'!$B$4^'10A61 Liquid 3" ViscosityLINEST'!I412+'10A61 Liquid 3" ViscosityLINEST'!C412*'10A61 Liquid 3"'!$B$4^('10A61 Liquid 3" ViscosityLINEST'!I412-1)+'10A61 Liquid 3" ViscosityLINEST'!D412*'10A61 Liquid 3"'!$B$4^('10A61 Liquid 3" ViscosityLINEST'!I412-2)+'10A61 Liquid 3" ViscosityLINEST'!E412*'10A61 Liquid 3"'!$B$4^('10A61 Liquid 3" ViscosityLINEST'!I412-3)+'10A61 Liquid 3" ViscosityLINEST'!F412*'10A61 Liquid 3"'!$B$4^('10A61 Liquid 3" ViscosityLINEST'!I412-4)</f>
        <v>2096.0675990675991</v>
      </c>
    </row>
    <row r="413" spans="1:10">
      <c r="A413">
        <v>1</v>
      </c>
      <c r="B413">
        <f t="array" ref="B413:H413">LINEST('10A61 Liquid 3"'!BE57:BE62,'10A61 Liquid 3"'!BD57:BD62^{1,2,3,4})</f>
        <v>4791.6666666659257</v>
      </c>
      <c r="C413">
        <v>-14569.444444442322</v>
      </c>
      <c r="D413">
        <v>16214.583333331107</v>
      </c>
      <c r="E413">
        <v>-7979.4841269831122</v>
      </c>
      <c r="F413">
        <v>3428.7380952379253</v>
      </c>
      <c r="G413" t="e">
        <v>#N/A</v>
      </c>
      <c r="H413" t="e">
        <v>#N/A</v>
      </c>
      <c r="I413">
        <f t="shared" si="21"/>
        <v>4</v>
      </c>
      <c r="J413">
        <f>'10A61 Liquid 3" ViscosityLINEST'!B413*'10A61 Liquid 3"'!$B$4^'10A61 Liquid 3" ViscosityLINEST'!I413+'10A61 Liquid 3" ViscosityLINEST'!C413*'10A61 Liquid 3"'!$B$4^('10A61 Liquid 3" ViscosityLINEST'!I413-1)+'10A61 Liquid 3" ViscosityLINEST'!D413*'10A61 Liquid 3"'!$B$4^('10A61 Liquid 3" ViscosityLINEST'!I413-2)+'10A61 Liquid 3" ViscosityLINEST'!E413*'10A61 Liquid 3"'!$B$4^('10A61 Liquid 3" ViscosityLINEST'!I413-3)+'10A61 Liquid 3" ViscosityLINEST'!F413*'10A61 Liquid 3"'!$B$4^('10A61 Liquid 3" ViscosityLINEST'!I413-4)</f>
        <v>1886.0595238095239</v>
      </c>
    </row>
    <row r="414" spans="1:10">
      <c r="B414">
        <f t="array" ref="B414:H414">LINEST('10A61 Liquid 3"'!BE62:BE70,'10A61 Liquid 3"'!BD62:BD70^{1,2,3,4})</f>
        <v>0.10722610722610519</v>
      </c>
      <c r="C414">
        <v>-3.3001813001812512</v>
      </c>
      <c r="D414">
        <v>33.367132867132533</v>
      </c>
      <c r="E414">
        <v>-216.87192437192354</v>
      </c>
      <c r="F414">
        <v>2070.4444444444434</v>
      </c>
      <c r="G414" t="e">
        <v>#N/A</v>
      </c>
      <c r="H414" t="e">
        <v>#N/A</v>
      </c>
      <c r="I414">
        <f t="shared" si="21"/>
        <v>4</v>
      </c>
      <c r="J414">
        <f>'10A61 Liquid 3" ViscosityLINEST'!B414*'10A61 Liquid 3"'!$B$4^'10A61 Liquid 3" ViscosityLINEST'!I414+'10A61 Liquid 3" ViscosityLINEST'!C414*'10A61 Liquid 3"'!$B$4^('10A61 Liquid 3" ViscosityLINEST'!I414-1)+'10A61 Liquid 3" ViscosityLINEST'!D414*'10A61 Liquid 3"'!$B$4^('10A61 Liquid 3" ViscosityLINEST'!I414-2)+'10A61 Liquid 3" ViscosityLINEST'!E414*'10A61 Liquid 3"'!$B$4^('10A61 Liquid 3" ViscosityLINEST'!I414-3)+'10A61 Liquid 3" ViscosityLINEST'!F414*'10A61 Liquid 3"'!$B$4^('10A61 Liquid 3" ViscosityLINEST'!I414-4)</f>
        <v>1883.7466977466972</v>
      </c>
    </row>
    <row r="415" spans="1:10">
      <c r="A415">
        <v>1.2</v>
      </c>
      <c r="B415">
        <f t="array" ref="B415:H415">LINEST('10A61 Liquid 3"'!BE73:BE78,'10A61 Liquid 3"'!BD73:BD78^{1,2,3,4})</f>
        <v>3124.9999999999504</v>
      </c>
      <c r="C415">
        <v>-10013.88888888882</v>
      </c>
      <c r="D415">
        <v>11731.250000000013</v>
      </c>
      <c r="E415">
        <v>-6076.4682539683026</v>
      </c>
      <c r="F415">
        <v>2957.9761904762063</v>
      </c>
      <c r="G415" t="e">
        <v>#N/A</v>
      </c>
      <c r="H415" t="e">
        <v>#N/A</v>
      </c>
      <c r="I415">
        <f t="shared" si="21"/>
        <v>4</v>
      </c>
      <c r="J415">
        <f>'10A61 Liquid 3" ViscosityLINEST'!B415*'10A61 Liquid 3"'!$B$4^'10A61 Liquid 3" ViscosityLINEST'!I415+'10A61 Liquid 3" ViscosityLINEST'!C415*'10A61 Liquid 3"'!$B$4^('10A61 Liquid 3" ViscosityLINEST'!I415-1)+'10A61 Liquid 3" ViscosityLINEST'!D415*'10A61 Liquid 3"'!$B$4^('10A61 Liquid 3" ViscosityLINEST'!I415-2)+'10A61 Liquid 3" ViscosityLINEST'!E415*'10A61 Liquid 3"'!$B$4^('10A61 Liquid 3" ViscosityLINEST'!I415-3)+'10A61 Liquid 3" ViscosityLINEST'!F415*'10A61 Liquid 3"'!$B$4^('10A61 Liquid 3" ViscosityLINEST'!I415-4)</f>
        <v>1723.8690476190477</v>
      </c>
    </row>
    <row r="416" spans="1:10">
      <c r="B416">
        <f t="array" ref="B416:H416">LINEST('10A61 Liquid 3"'!BE78:BE86,'10A61 Liquid 3"'!BD78:BD86^{1,2,3,4})</f>
        <v>1.4731934731934406</v>
      </c>
      <c r="C416">
        <v>-18.540274540274101</v>
      </c>
      <c r="D416">
        <v>90.207459207457092</v>
      </c>
      <c r="E416">
        <v>-284.3194768194727</v>
      </c>
      <c r="F416">
        <v>1933.6111111111086</v>
      </c>
      <c r="G416" t="e">
        <v>#N/A</v>
      </c>
      <c r="H416" t="e">
        <v>#N/A</v>
      </c>
      <c r="I416">
        <f t="shared" si="21"/>
        <v>4</v>
      </c>
      <c r="J416">
        <f>'10A61 Liquid 3" ViscosityLINEST'!B416*'10A61 Liquid 3"'!$B$4^'10A61 Liquid 3" ViscosityLINEST'!I416+'10A61 Liquid 3" ViscosityLINEST'!C416*'10A61 Liquid 3"'!$B$4^('10A61 Liquid 3" ViscosityLINEST'!I416-1)+'10A61 Liquid 3" ViscosityLINEST'!D416*'10A61 Liquid 3"'!$B$4^('10A61 Liquid 3" ViscosityLINEST'!I416-2)+'10A61 Liquid 3" ViscosityLINEST'!E416*'10A61 Liquid 3"'!$B$4^('10A61 Liquid 3" ViscosityLINEST'!I416-3)+'10A61 Liquid 3" ViscosityLINEST'!F416*'10A61 Liquid 3"'!$B$4^('10A61 Liquid 3" ViscosityLINEST'!I416-4)</f>
        <v>1722.4320124320122</v>
      </c>
    </row>
    <row r="417" spans="1:10">
      <c r="A417">
        <v>1.4</v>
      </c>
      <c r="B417">
        <f t="array" ref="B417:H417">LINEST('10A61 Liquid 3"'!BE92:BE97,'10A61 Liquid 3"'!BD92:BD97^{1,2,3,4})</f>
        <v>-1874.9999999997046</v>
      </c>
      <c r="C417">
        <v>5041.6666666658075</v>
      </c>
      <c r="D417">
        <v>-4868.7499999990814</v>
      </c>
      <c r="E417">
        <v>1873.6904761900491</v>
      </c>
      <c r="F417">
        <v>1424.3571428572163</v>
      </c>
      <c r="G417" t="e">
        <v>#N/A</v>
      </c>
      <c r="H417" t="e">
        <v>#N/A</v>
      </c>
      <c r="I417">
        <f t="shared" si="21"/>
        <v>4</v>
      </c>
      <c r="J417">
        <f>'10A61 Liquid 3" ViscosityLINEST'!B417*'10A61 Liquid 3"'!$B$4^'10A61 Liquid 3" ViscosityLINEST'!I417+'10A61 Liquid 3" ViscosityLINEST'!C417*'10A61 Liquid 3"'!$B$4^('10A61 Liquid 3" ViscosityLINEST'!I417-1)+'10A61 Liquid 3" ViscosityLINEST'!D417*'10A61 Liquid 3"'!$B$4^('10A61 Liquid 3" ViscosityLINEST'!I417-2)+'10A61 Liquid 3" ViscosityLINEST'!E417*'10A61 Liquid 3"'!$B$4^('10A61 Liquid 3" ViscosityLINEST'!I417-3)+'10A61 Liquid 3" ViscosityLINEST'!F417*'10A61 Liquid 3"'!$B$4^('10A61 Liquid 3" ViscosityLINEST'!I417-4)</f>
        <v>1595.9642857142871</v>
      </c>
    </row>
    <row r="418" spans="1:10">
      <c r="B418">
        <f t="array" ref="B418:H418">LINEST('10A61 Liquid 3"'!BE97:BE105,'10A61 Liquid 3"'!BD97:BD105^{1,2,3,4})</f>
        <v>1.9207459207458655</v>
      </c>
      <c r="C418">
        <v>-24.180264180263464</v>
      </c>
      <c r="D418">
        <v>113.88344988344662</v>
      </c>
      <c r="E418">
        <v>-312.13675213674605</v>
      </c>
      <c r="F418">
        <v>1815.6666666666631</v>
      </c>
      <c r="G418" t="e">
        <v>#N/A</v>
      </c>
      <c r="H418" t="e">
        <v>#N/A</v>
      </c>
      <c r="I418">
        <f t="shared" si="21"/>
        <v>4</v>
      </c>
      <c r="J418">
        <f>'10A61 Liquid 3" ViscosityLINEST'!B418*'10A61 Liquid 3"'!$B$4^'10A61 Liquid 3" ViscosityLINEST'!I418+'10A61 Liquid 3" ViscosityLINEST'!C418*'10A61 Liquid 3"'!$B$4^('10A61 Liquid 3" ViscosityLINEST'!I418-1)+'10A61 Liquid 3" ViscosityLINEST'!D418*'10A61 Liquid 3"'!$B$4^('10A61 Liquid 3" ViscosityLINEST'!I418-2)+'10A61 Liquid 3" ViscosityLINEST'!E418*'10A61 Liquid 3"'!$B$4^('10A61 Liquid 3" ViscosityLINEST'!I418-3)+'10A61 Liquid 3" ViscosityLINEST'!F418*'10A61 Liquid 3"'!$B$4^('10A61 Liquid 3" ViscosityLINEST'!I418-4)</f>
        <v>1595.1538461538462</v>
      </c>
    </row>
    <row r="419" spans="1:10">
      <c r="A419">
        <v>1.5</v>
      </c>
      <c r="B419">
        <f t="array" ref="B419:H419">LINEST('10A61 Liquid 3"'!BE108:BE113,'10A61 Liquid 3"'!BD108:BD113^{1,2,3,4})</f>
        <v>-2916.6666666663004</v>
      </c>
      <c r="C419">
        <v>8268.5185185174687</v>
      </c>
      <c r="D419">
        <v>-8537.4999999988977</v>
      </c>
      <c r="E419">
        <v>3693.0291005285976</v>
      </c>
      <c r="F419">
        <v>1033.6031746032593</v>
      </c>
      <c r="G419" t="e">
        <v>#N/A</v>
      </c>
      <c r="H419" t="e">
        <v>#N/A</v>
      </c>
      <c r="I419">
        <f t="shared" si="21"/>
        <v>4</v>
      </c>
      <c r="J419">
        <f>'10A61 Liquid 3" ViscosityLINEST'!B419*'10A61 Liquid 3"'!$B$4^'10A61 Liquid 3" ViscosityLINEST'!I419+'10A61 Liquid 3" ViscosityLINEST'!C419*'10A61 Liquid 3"'!$B$4^('10A61 Liquid 3" ViscosityLINEST'!I419-1)+'10A61 Liquid 3" ViscosityLINEST'!D419*'10A61 Liquid 3"'!$B$4^('10A61 Liquid 3" ViscosityLINEST'!I419-2)+'10A61 Liquid 3" ViscosityLINEST'!E419*'10A61 Liquid 3"'!$B$4^('10A61 Liquid 3" ViscosityLINEST'!I419-3)+'10A61 Liquid 3" ViscosityLINEST'!F419*'10A61 Liquid 3"'!$B$4^('10A61 Liquid 3" ViscosityLINEST'!I419-4)</f>
        <v>1540.9841269841274</v>
      </c>
    </row>
    <row r="420" spans="1:10">
      <c r="B420">
        <f t="array" ref="B420:H420">LINEST('10A61 Liquid 3"'!BE113:BE121,'10A61 Liquid 3"'!BD113:BD121^{1,2,3,4})</f>
        <v>1.8927738927738345</v>
      </c>
      <c r="C420">
        <v>-23.96581196581122</v>
      </c>
      <c r="D420">
        <v>113.04195804195467</v>
      </c>
      <c r="E420">
        <v>-305.76612276611655</v>
      </c>
      <c r="F420">
        <v>1755.3333333333301</v>
      </c>
      <c r="G420" t="e">
        <v>#N/A</v>
      </c>
      <c r="H420" t="e">
        <v>#N/A</v>
      </c>
      <c r="I420">
        <f t="shared" si="21"/>
        <v>4</v>
      </c>
      <c r="J420">
        <f>'10A61 Liquid 3" ViscosityLINEST'!B420*'10A61 Liquid 3"'!$B$4^'10A61 Liquid 3" ViscosityLINEST'!I420+'10A61 Liquid 3" ViscosityLINEST'!C420*'10A61 Liquid 3"'!$B$4^('10A61 Liquid 3" ViscosityLINEST'!I420-1)+'10A61 Liquid 3" ViscosityLINEST'!D420*'10A61 Liquid 3"'!$B$4^('10A61 Liquid 3" ViscosityLINEST'!I420-2)+'10A61 Liquid 3" ViscosityLINEST'!E420*'10A61 Liquid 3"'!$B$4^('10A61 Liquid 3" ViscosityLINEST'!I420-3)+'10A61 Liquid 3" ViscosityLINEST'!F420*'10A61 Liquid 3"'!$B$4^('10A61 Liquid 3" ViscosityLINEST'!I420-4)</f>
        <v>1540.5361305361307</v>
      </c>
    </row>
    <row r="422" spans="1:10">
      <c r="A422" s="5" t="s">
        <v>104</v>
      </c>
      <c r="I422">
        <f t="shared" ref="I422:I436" si="22">COUNT(B422:H422)-1</f>
        <v>-1</v>
      </c>
      <c r="J422">
        <f>'10A61 Liquid 3" ViscosityLINEST'!B422*'10A61 Liquid 3"'!$B$4^'10A61 Liquid 3" ViscosityLINEST'!I422+'10A61 Liquid 3" ViscosityLINEST'!C422*'10A61 Liquid 3"'!$B$4^('10A61 Liquid 3" ViscosityLINEST'!I422-1)+'10A61 Liquid 3" ViscosityLINEST'!D422*'10A61 Liquid 3"'!$B$4^('10A61 Liquid 3" ViscosityLINEST'!I422-2)+'10A61 Liquid 3" ViscosityLINEST'!E422*'10A61 Liquid 3"'!$B$4^('10A61 Liquid 3" ViscosityLINEST'!I422-3)+'10A61 Liquid 3" ViscosityLINEST'!F422*'10A61 Liquid 3"'!$B$4^('10A61 Liquid 3" ViscosityLINEST'!I422-4)</f>
        <v>0</v>
      </c>
    </row>
    <row r="423" spans="1:10">
      <c r="A423">
        <v>0.4</v>
      </c>
      <c r="B423">
        <f t="array" ref="B423:H423">LINEST('10A61 Liquid 3"'!BG6:BG11,'10A61 Liquid 3"'!BF6:BF11^{1,2,3,4})</f>
        <v>558124.99999990035</v>
      </c>
      <c r="C423">
        <v>-1800402.7777774923</v>
      </c>
      <c r="D423">
        <v>2153431.2499997006</v>
      </c>
      <c r="E423">
        <v>-1131503.2936506574</v>
      </c>
      <c r="F423">
        <v>223879.59523807251</v>
      </c>
      <c r="G423" t="e">
        <v>#N/A</v>
      </c>
      <c r="H423" t="e">
        <v>#N/A</v>
      </c>
      <c r="I423">
        <f t="shared" si="22"/>
        <v>4</v>
      </c>
      <c r="J423">
        <f>'10A61 Liquid 3" ViscosityLINEST'!B423*'10A61 Liquid 3"'!$B$4^'10A61 Liquid 3" ViscosityLINEST'!I423+'10A61 Liquid 3" ViscosityLINEST'!C423*'10A61 Liquid 3"'!$B$4^('10A61 Liquid 3" ViscosityLINEST'!I423-1)+'10A61 Liquid 3" ViscosityLINEST'!D423*'10A61 Liquid 3"'!$B$4^('10A61 Liquid 3" ViscosityLINEST'!I423-2)+'10A61 Liquid 3" ViscosityLINEST'!E423*'10A61 Liquid 3"'!$B$4^('10A61 Liquid 3" ViscosityLINEST'!I423-3)+'10A61 Liquid 3" ViscosityLINEST'!F423*'10A61 Liquid 3"'!$B$4^('10A61 Liquid 3" ViscosityLINEST'!I423-4)</f>
        <v>3529.7738095237291</v>
      </c>
    </row>
    <row r="424" spans="1:10">
      <c r="B424">
        <f t="array" ref="B424:H424">LINEST('10A61 Liquid 3"'!BG11:BG19,'10A61 Liquid 3"'!BF11:BF19^{1,2,3,4})</f>
        <v>0.39160839160838357</v>
      </c>
      <c r="C424">
        <v>-5.0629370629369372</v>
      </c>
      <c r="D424">
        <v>40.477855477854781</v>
      </c>
      <c r="E424">
        <v>-330.35547785547629</v>
      </c>
      <c r="F424">
        <v>3810.8333333333321</v>
      </c>
      <c r="G424" t="e">
        <v>#N/A</v>
      </c>
      <c r="H424" t="e">
        <v>#N/A</v>
      </c>
      <c r="I424">
        <f t="shared" si="22"/>
        <v>4</v>
      </c>
      <c r="J424">
        <f>'10A61 Liquid 3" ViscosityLINEST'!B424*'10A61 Liquid 3"'!$B$4^'10A61 Liquid 3" ViscosityLINEST'!I424+'10A61 Liquid 3" ViscosityLINEST'!C424*'10A61 Liquid 3"'!$B$4^('10A61 Liquid 3" ViscosityLINEST'!I424-1)+'10A61 Liquid 3" ViscosityLINEST'!D424*'10A61 Liquid 3"'!$B$4^('10A61 Liquid 3" ViscosityLINEST'!I424-2)+'10A61 Liquid 3" ViscosityLINEST'!E424*'10A61 Liquid 3"'!$B$4^('10A61 Liquid 3" ViscosityLINEST'!I424-3)+'10A61 Liquid 3" ViscosityLINEST'!F424*'10A61 Liquid 3"'!$B$4^('10A61 Liquid 3" ViscosityLINEST'!I424-4)</f>
        <v>3516.284382284382</v>
      </c>
    </row>
    <row r="425" spans="1:10">
      <c r="A425">
        <v>0.6</v>
      </c>
      <c r="B425">
        <f t="array" ref="B425:H425">LINEST('10A61 Liquid 3"'!BG23:BG28,'10A61 Liquid 3"'!BF23:BF28^{1,2,3,4})</f>
        <v>-2499.9999999995575</v>
      </c>
      <c r="C425">
        <v>7888.888888887619</v>
      </c>
      <c r="D425">
        <v>-9124.999999998663</v>
      </c>
      <c r="E425">
        <v>4443.2539682533561</v>
      </c>
      <c r="F425">
        <v>2182.8095238096275</v>
      </c>
      <c r="G425" t="e">
        <v>#N/A</v>
      </c>
      <c r="H425" t="e">
        <v>#N/A</v>
      </c>
      <c r="I425">
        <f t="shared" si="22"/>
        <v>4</v>
      </c>
      <c r="J425">
        <f>'10A61 Liquid 3" ViscosityLINEST'!B425*'10A61 Liquid 3"'!$B$4^'10A61 Liquid 3" ViscosityLINEST'!I425+'10A61 Liquid 3" ViscosityLINEST'!C425*'10A61 Liquid 3"'!$B$4^('10A61 Liquid 3" ViscosityLINEST'!I425-1)+'10A61 Liquid 3" ViscosityLINEST'!D425*'10A61 Liquid 3"'!$B$4^('10A61 Liquid 3" ViscosityLINEST'!I425-2)+'10A61 Liquid 3" ViscosityLINEST'!E425*'10A61 Liquid 3"'!$B$4^('10A61 Liquid 3" ViscosityLINEST'!I425-3)+'10A61 Liquid 3" ViscosityLINEST'!F425*'10A61 Liquid 3"'!$B$4^('10A61 Liquid 3" ViscosityLINEST'!I425-4)</f>
        <v>2889.9523809523816</v>
      </c>
    </row>
    <row r="426" spans="1:10">
      <c r="B426">
        <f t="array" ref="B426:H426">LINEST('10A61 Liquid 3"'!BG28:BG36,'10A61 Liquid 3"'!BF28:BF36^{1,2,3,4})</f>
        <v>2.4568764568763761</v>
      </c>
      <c r="C426">
        <v>-29.974099974098948</v>
      </c>
      <c r="D426">
        <v>135.96153846153385</v>
      </c>
      <c r="E426">
        <v>-405.12768712767866</v>
      </c>
      <c r="F426">
        <v>3186.7222222222172</v>
      </c>
      <c r="G426" t="e">
        <v>#N/A</v>
      </c>
      <c r="H426" t="e">
        <v>#N/A</v>
      </c>
      <c r="I426">
        <f t="shared" si="22"/>
        <v>4</v>
      </c>
      <c r="J426">
        <f>'10A61 Liquid 3" ViscosityLINEST'!B426*'10A61 Liquid 3"'!$B$4^'10A61 Liquid 3" ViscosityLINEST'!I426+'10A61 Liquid 3" ViscosityLINEST'!C426*'10A61 Liquid 3"'!$B$4^('10A61 Liquid 3" ViscosityLINEST'!I426-1)+'10A61 Liquid 3" ViscosityLINEST'!D426*'10A61 Liquid 3"'!$B$4^('10A61 Liquid 3" ViscosityLINEST'!I426-2)+'10A61 Liquid 3" ViscosityLINEST'!E426*'10A61 Liquid 3"'!$B$4^('10A61 Liquid 3" ViscosityLINEST'!I426-3)+'10A61 Liquid 3" ViscosityLINEST'!F426*'10A61 Liquid 3"'!$B$4^('10A61 Liquid 3" ViscosityLINEST'!I426-4)</f>
        <v>2890.0388500388499</v>
      </c>
    </row>
    <row r="427" spans="1:10">
      <c r="A427">
        <v>0.8</v>
      </c>
      <c r="B427">
        <f t="array" ref="B427:H427">LINEST('10A61 Liquid 3"'!BG41:BG46,'10A61 Liquid 3"'!BF41:BF46^{1,2,3,4})</f>
        <v>-1666.6666666664244</v>
      </c>
      <c r="C427">
        <v>5592.5925925919082</v>
      </c>
      <c r="D427">
        <v>-6941.6666666659612</v>
      </c>
      <c r="E427">
        <v>3664.4312169309019</v>
      </c>
      <c r="F427">
        <v>1848.3015873016393</v>
      </c>
      <c r="G427" t="e">
        <v>#N/A</v>
      </c>
      <c r="H427" t="e">
        <v>#N/A</v>
      </c>
      <c r="I427">
        <f t="shared" si="22"/>
        <v>4</v>
      </c>
      <c r="J427">
        <f>'10A61 Liquid 3" ViscosityLINEST'!B427*'10A61 Liquid 3"'!$B$4^'10A61 Liquid 3" ViscosityLINEST'!I427+'10A61 Liquid 3" ViscosityLINEST'!C427*'10A61 Liquid 3"'!$B$4^('10A61 Liquid 3" ViscosityLINEST'!I427-1)+'10A61 Liquid 3" ViscosityLINEST'!D427*'10A61 Liquid 3"'!$B$4^('10A61 Liquid 3" ViscosityLINEST'!I427-2)+'10A61 Liquid 3" ViscosityLINEST'!E427*'10A61 Liquid 3"'!$B$4^('10A61 Liquid 3" ViscosityLINEST'!I427-3)+'10A61 Liquid 3" ViscosityLINEST'!F427*'10A61 Liquid 3"'!$B$4^('10A61 Liquid 3" ViscosityLINEST'!I427-4)</f>
        <v>2496.9920634920641</v>
      </c>
    </row>
    <row r="428" spans="1:10">
      <c r="B428">
        <f t="array" ref="B428:H428">LINEST('10A61 Liquid 3"'!BG46:BG54,'10A61 Liquid 3"'!BF46:BF54^{1,2,3,4})</f>
        <v>-3.7296037296061652E-2</v>
      </c>
      <c r="C428">
        <v>-0.62988862988830951</v>
      </c>
      <c r="D428">
        <v>12.312354312352841</v>
      </c>
      <c r="E428">
        <v>-155.66070966070694</v>
      </c>
      <c r="F428">
        <v>2641.8888888888873</v>
      </c>
      <c r="G428" t="e">
        <v>#N/A</v>
      </c>
      <c r="H428" t="e">
        <v>#N/A</v>
      </c>
      <c r="I428">
        <f t="shared" si="22"/>
        <v>4</v>
      </c>
      <c r="J428">
        <f>'10A61 Liquid 3" ViscosityLINEST'!B428*'10A61 Liquid 3"'!$B$4^'10A61 Liquid 3" ViscosityLINEST'!I428+'10A61 Liquid 3" ViscosityLINEST'!C428*'10A61 Liquid 3"'!$B$4^('10A61 Liquid 3" ViscosityLINEST'!I428-1)+'10A61 Liquid 3" ViscosityLINEST'!D428*'10A61 Liquid 3"'!$B$4^('10A61 Liquid 3" ViscosityLINEST'!I428-2)+'10A61 Liquid 3" ViscosityLINEST'!E428*'10A61 Liquid 3"'!$B$4^('10A61 Liquid 3" ViscosityLINEST'!I428-3)+'10A61 Liquid 3" ViscosityLINEST'!F428*'10A61 Liquid 3"'!$B$4^('10A61 Liquid 3" ViscosityLINEST'!I428-4)</f>
        <v>2497.8733488733487</v>
      </c>
    </row>
    <row r="429" spans="1:10">
      <c r="A429">
        <v>1</v>
      </c>
      <c r="B429">
        <f t="array" ref="B429:H429">LINEST('10A61 Liquid 3"'!BG57:BG62,'10A61 Liquid 3"'!BF57:BF62^{1,2,3,4})</f>
        <v>2291.666666666099</v>
      </c>
      <c r="C429">
        <v>-6550.9259259242617</v>
      </c>
      <c r="D429">
        <v>6697.9166666648744</v>
      </c>
      <c r="E429">
        <v>-2937.1693121684721</v>
      </c>
      <c r="F429">
        <v>2724.6269841268395</v>
      </c>
      <c r="G429" t="e">
        <v>#N/A</v>
      </c>
      <c r="H429" t="e">
        <v>#N/A</v>
      </c>
      <c r="I429">
        <f t="shared" si="22"/>
        <v>4</v>
      </c>
      <c r="J429">
        <f>'10A61 Liquid 3" ViscosityLINEST'!B429*'10A61 Liquid 3"'!$B$4^'10A61 Liquid 3" ViscosityLINEST'!I429+'10A61 Liquid 3" ViscosityLINEST'!C429*'10A61 Liquid 3"'!$B$4^('10A61 Liquid 3" ViscosityLINEST'!I429-1)+'10A61 Liquid 3" ViscosityLINEST'!D429*'10A61 Liquid 3"'!$B$4^('10A61 Liquid 3" ViscosityLINEST'!I429-2)+'10A61 Liquid 3" ViscosityLINEST'!E429*'10A61 Liquid 3"'!$B$4^('10A61 Liquid 3" ViscosityLINEST'!I429-3)+'10A61 Liquid 3" ViscosityLINEST'!F429*'10A61 Liquid 3"'!$B$4^('10A61 Liquid 3" ViscosityLINEST'!I429-4)</f>
        <v>2226.1150793650795</v>
      </c>
    </row>
    <row r="430" spans="1:10">
      <c r="B430">
        <f t="array" ref="B430:H430">LINEST('10A61 Liquid 3"'!BG62:BG70,'10A61 Liquid 3"'!BF62:BF70^{1,2,3,4})</f>
        <v>-1.3053613053612978</v>
      </c>
      <c r="C430">
        <v>15.112147112147023</v>
      </c>
      <c r="D430">
        <v>-56.400932400931993</v>
      </c>
      <c r="E430">
        <v>-13.747733747734596</v>
      </c>
      <c r="F430">
        <v>2283.8888888888891</v>
      </c>
      <c r="G430" t="e">
        <v>#N/A</v>
      </c>
      <c r="H430" t="e">
        <v>#N/A</v>
      </c>
      <c r="I430">
        <f t="shared" si="22"/>
        <v>4</v>
      </c>
      <c r="J430">
        <f>'10A61 Liquid 3" ViscosityLINEST'!B430*'10A61 Liquid 3"'!$B$4^'10A61 Liquid 3" ViscosityLINEST'!I430+'10A61 Liquid 3" ViscosityLINEST'!C430*'10A61 Liquid 3"'!$B$4^('10A61 Liquid 3" ViscosityLINEST'!I430-1)+'10A61 Liquid 3" ViscosityLINEST'!D430*'10A61 Liquid 3"'!$B$4^('10A61 Liquid 3" ViscosityLINEST'!I430-2)+'10A61 Liquid 3" ViscosityLINEST'!E430*'10A61 Liquid 3"'!$B$4^('10A61 Liquid 3" ViscosityLINEST'!I430-3)+'10A61 Liquid 3" ViscosityLINEST'!F430*'10A61 Liquid 3"'!$B$4^('10A61 Liquid 3" ViscosityLINEST'!I430-4)</f>
        <v>2227.5470085470083</v>
      </c>
    </row>
    <row r="431" spans="1:10">
      <c r="A431">
        <v>1.2</v>
      </c>
      <c r="B431">
        <f t="array" ref="B431:H431">LINEST('10A61 Liquid 3"'!BG73:BG78,'10A61 Liquid 3"'!BF73:BF78^{1,2,3,4})</f>
        <v>2083.3333333331816</v>
      </c>
      <c r="C431">
        <v>-6287.0370370366254</v>
      </c>
      <c r="D431">
        <v>6837.4999999995935</v>
      </c>
      <c r="E431">
        <v>-3200.3439153437421</v>
      </c>
      <c r="F431">
        <v>2590.5079365079096</v>
      </c>
      <c r="G431" t="e">
        <v>#N/A</v>
      </c>
      <c r="H431" t="e">
        <v>#N/A</v>
      </c>
      <c r="I431">
        <f t="shared" si="22"/>
        <v>4</v>
      </c>
      <c r="J431">
        <f>'10A61 Liquid 3" ViscosityLINEST'!B431*'10A61 Liquid 3"'!$B$4^'10A61 Liquid 3" ViscosityLINEST'!I431+'10A61 Liquid 3" ViscosityLINEST'!C431*'10A61 Liquid 3"'!$B$4^('10A61 Liquid 3" ViscosityLINEST'!I431-1)+'10A61 Liquid 3" ViscosityLINEST'!D431*'10A61 Liquid 3"'!$B$4^('10A61 Liquid 3" ViscosityLINEST'!I431-2)+'10A61 Liquid 3" ViscosityLINEST'!E431*'10A61 Liquid 3"'!$B$4^('10A61 Liquid 3" ViscosityLINEST'!I431-3)+'10A61 Liquid 3" ViscosityLINEST'!F431*'10A61 Liquid 3"'!$B$4^('10A61 Liquid 3" ViscosityLINEST'!I431-4)</f>
        <v>2023.9603174603167</v>
      </c>
    </row>
    <row r="432" spans="1:10">
      <c r="B432">
        <f t="array" ref="B432:H432">LINEST('10A61 Liquid 3"'!BG78:BG86,'10A61 Liquid 3"'!BF78:BF86^{1,2,3,4})</f>
        <v>-1.5617715617715469</v>
      </c>
      <c r="C432">
        <v>18.855736855736666</v>
      </c>
      <c r="D432">
        <v>-75.518648018647141</v>
      </c>
      <c r="E432">
        <v>38.907277907276153</v>
      </c>
      <c r="F432">
        <v>2045.0555555555563</v>
      </c>
      <c r="G432" t="e">
        <v>#N/A</v>
      </c>
      <c r="H432" t="e">
        <v>#N/A</v>
      </c>
      <c r="I432">
        <f t="shared" si="22"/>
        <v>4</v>
      </c>
      <c r="J432">
        <f>'10A61 Liquid 3" ViscosityLINEST'!B432*'10A61 Liquid 3"'!$B$4^'10A61 Liquid 3" ViscosityLINEST'!I432+'10A61 Liquid 3" ViscosityLINEST'!C432*'10A61 Liquid 3"'!$B$4^('10A61 Liquid 3" ViscosityLINEST'!I432-1)+'10A61 Liquid 3" ViscosityLINEST'!D432*'10A61 Liquid 3"'!$B$4^('10A61 Liquid 3" ViscosityLINEST'!I432-2)+'10A61 Liquid 3" ViscosityLINEST'!E432*'10A61 Liquid 3"'!$B$4^('10A61 Liquid 3" ViscosityLINEST'!I432-3)+'10A61 Liquid 3" ViscosityLINEST'!F432*'10A61 Liquid 3"'!$B$4^('10A61 Liquid 3" ViscosityLINEST'!I432-4)</f>
        <v>2025.7381507381506</v>
      </c>
    </row>
    <row r="433" spans="1:10">
      <c r="A433">
        <v>1.4</v>
      </c>
      <c r="B433">
        <f t="array" ref="B433:H433">LINEST('10A61 Liquid 3"'!BG92:BG97,'10A61 Liquid 3"'!BF92:BF97^{1,2,3,4})</f>
        <v>1458.3333333333687</v>
      </c>
      <c r="C433">
        <v>-4569.4444444445853</v>
      </c>
      <c r="D433">
        <v>5147.9166666668607</v>
      </c>
      <c r="E433">
        <v>-2488.0555555556675</v>
      </c>
      <c r="F433">
        <v>2316.1666666666897</v>
      </c>
      <c r="G433" t="e">
        <v>#N/A</v>
      </c>
      <c r="H433" t="e">
        <v>#N/A</v>
      </c>
      <c r="I433">
        <f t="shared" si="22"/>
        <v>4</v>
      </c>
      <c r="J433">
        <f>'10A61 Liquid 3" ViscosityLINEST'!B433*'10A61 Liquid 3"'!$B$4^'10A61 Liquid 3" ViscosityLINEST'!I433+'10A61 Liquid 3" ViscosityLINEST'!C433*'10A61 Liquid 3"'!$B$4^('10A61 Liquid 3" ViscosityLINEST'!I433-1)+'10A61 Liquid 3" ViscosityLINEST'!D433*'10A61 Liquid 3"'!$B$4^('10A61 Liquid 3" ViscosityLINEST'!I433-2)+'10A61 Liquid 3" ViscosityLINEST'!E433*'10A61 Liquid 3"'!$B$4^('10A61 Liquid 3" ViscosityLINEST'!I433-3)+'10A61 Liquid 3" ViscosityLINEST'!F433*'10A61 Liquid 3"'!$B$4^('10A61 Liquid 3" ViscosityLINEST'!I433-4)</f>
        <v>1864.9166666666661</v>
      </c>
    </row>
    <row r="434" spans="1:10">
      <c r="B434">
        <f t="array" ref="B434:H434">LINEST('10A61 Liquid 3"'!BG97:BG105,'10A61 Liquid 3"'!BF97:BF105^{1,2,3,4})</f>
        <v>-0.91375291375290701</v>
      </c>
      <c r="C434">
        <v>11.705775705775622</v>
      </c>
      <c r="D434">
        <v>-49.074592074591685</v>
      </c>
      <c r="E434">
        <v>11.391737891737085</v>
      </c>
      <c r="F434">
        <v>1893.0555555555563</v>
      </c>
      <c r="G434" t="e">
        <v>#N/A</v>
      </c>
      <c r="H434" t="e">
        <v>#N/A</v>
      </c>
      <c r="I434">
        <f t="shared" si="22"/>
        <v>4</v>
      </c>
      <c r="J434">
        <f>'10A61 Liquid 3" ViscosityLINEST'!B434*'10A61 Liquid 3"'!$B$4^'10A61 Liquid 3" ViscosityLINEST'!I434+'10A61 Liquid 3" ViscosityLINEST'!C434*'10A61 Liquid 3"'!$B$4^('10A61 Liquid 3" ViscosityLINEST'!I434-1)+'10A61 Liquid 3" ViscosityLINEST'!D434*'10A61 Liquid 3"'!$B$4^('10A61 Liquid 3" ViscosityLINEST'!I434-2)+'10A61 Liquid 3" ViscosityLINEST'!E434*'10A61 Liquid 3"'!$B$4^('10A61 Liquid 3" ViscosityLINEST'!I434-3)+'10A61 Liquid 3" ViscosityLINEST'!F434*'10A61 Liquid 3"'!$B$4^('10A61 Liquid 3" ViscosityLINEST'!I434-4)</f>
        <v>1866.1647241647245</v>
      </c>
    </row>
    <row r="435" spans="1:10">
      <c r="A435">
        <v>1.5</v>
      </c>
      <c r="B435">
        <f t="array" ref="B435:H435">LINEST('10A61 Liquid 3"'!BG108:BG113,'10A61 Liquid 3"'!BF108:BF113^{1,2,3,4})</f>
        <v>208.33333333339036</v>
      </c>
      <c r="C435">
        <v>-875.00000000018008</v>
      </c>
      <c r="D435">
        <v>1160.4166666668752</v>
      </c>
      <c r="E435">
        <v>-622.14285714296182</v>
      </c>
      <c r="F435">
        <v>1925.357142857162</v>
      </c>
      <c r="G435" t="e">
        <v>#N/A</v>
      </c>
      <c r="H435" t="e">
        <v>#N/A</v>
      </c>
      <c r="I435">
        <f t="shared" si="22"/>
        <v>4</v>
      </c>
      <c r="J435">
        <f>'10A61 Liquid 3" ViscosityLINEST'!B435*'10A61 Liquid 3"'!$B$4^'10A61 Liquid 3" ViscosityLINEST'!I435+'10A61 Liquid 3" ViscosityLINEST'!C435*'10A61 Liquid 3"'!$B$4^('10A61 Liquid 3" ViscosityLINEST'!I435-1)+'10A61 Liquid 3" ViscosityLINEST'!D435*'10A61 Liquid 3"'!$B$4^('10A61 Liquid 3" ViscosityLINEST'!I435-2)+'10A61 Liquid 3" ViscosityLINEST'!E435*'10A61 Liquid 3"'!$B$4^('10A61 Liquid 3" ViscosityLINEST'!I435-3)+'10A61 Liquid 3" ViscosityLINEST'!F435*'10A61 Liquid 3"'!$B$4^('10A61 Liquid 3" ViscosityLINEST'!I435-4)</f>
        <v>1796.9642857142858</v>
      </c>
    </row>
    <row r="436" spans="1:10">
      <c r="B436">
        <f t="array" ref="B436:H436">LINEST('10A61 Liquid 3"'!BG113:BG121,'10A61 Liquid 3"'!BF113:BF121^{1,2,3,4})</f>
        <v>-0.81118881118880426</v>
      </c>
      <c r="C436">
        <v>10.407666407666323</v>
      </c>
      <c r="D436">
        <v>-43.857808857808465</v>
      </c>
      <c r="E436">
        <v>8.0950530950522861</v>
      </c>
      <c r="F436">
        <v>1824.111111111112</v>
      </c>
      <c r="G436" t="e">
        <v>#N/A</v>
      </c>
      <c r="H436" t="e">
        <v>#N/A</v>
      </c>
      <c r="I436">
        <f t="shared" si="22"/>
        <v>4</v>
      </c>
      <c r="J436">
        <f>'10A61 Liquid 3" ViscosityLINEST'!B436*'10A61 Liquid 3"'!$B$4^'10A61 Liquid 3" ViscosityLINEST'!I436+'10A61 Liquid 3" ViscosityLINEST'!C436*'10A61 Liquid 3"'!$B$4^('10A61 Liquid 3" ViscosityLINEST'!I436-1)+'10A61 Liquid 3" ViscosityLINEST'!D436*'10A61 Liquid 3"'!$B$4^('10A61 Liquid 3" ViscosityLINEST'!I436-2)+'10A61 Liquid 3" ViscosityLINEST'!E436*'10A61 Liquid 3"'!$B$4^('10A61 Liquid 3" ViscosityLINEST'!I436-3)+'10A61 Liquid 3" ViscosityLINEST'!F436*'10A61 Liquid 3"'!$B$4^('10A61 Liquid 3" ViscosityLINEST'!I436-4)</f>
        <v>1797.9448329448333</v>
      </c>
    </row>
    <row r="438" spans="1:10">
      <c r="A438" s="5" t="s">
        <v>105</v>
      </c>
      <c r="I438">
        <f t="shared" ref="I438:I452" si="23">COUNT(B438:H438)-1</f>
        <v>-1</v>
      </c>
      <c r="J438">
        <f>'10A61 Liquid 3" ViscosityLINEST'!B438*'10A61 Liquid 3"'!$B$4^'10A61 Liquid 3" ViscosityLINEST'!I438+'10A61 Liquid 3" ViscosityLINEST'!C438*'10A61 Liquid 3"'!$B$4^('10A61 Liquid 3" ViscosityLINEST'!I438-1)+'10A61 Liquid 3" ViscosityLINEST'!D438*'10A61 Liquid 3"'!$B$4^('10A61 Liquid 3" ViscosityLINEST'!I438-2)+'10A61 Liquid 3" ViscosityLINEST'!E438*'10A61 Liquid 3"'!$B$4^('10A61 Liquid 3" ViscosityLINEST'!I438-3)+'10A61 Liquid 3" ViscosityLINEST'!F438*'10A61 Liquid 3"'!$B$4^('10A61 Liquid 3" ViscosityLINEST'!I438-4)</f>
        <v>0</v>
      </c>
    </row>
    <row r="439" spans="1:10">
      <c r="A439">
        <v>0.4</v>
      </c>
      <c r="B439">
        <f t="array" ref="B439:H439">LINEST('10A61 Liquid 3"'!BI6:BI11,'10A61 Liquid 3"'!BH6:BH11^{1,2,3,4})</f>
        <v>-2083.3333333333208</v>
      </c>
      <c r="C439">
        <v>5657.4074074074015</v>
      </c>
      <c r="D439">
        <v>-5495.833333333363</v>
      </c>
      <c r="E439">
        <v>2039.8544973545283</v>
      </c>
      <c r="F439">
        <v>3613.9841269841195</v>
      </c>
      <c r="G439" t="e">
        <v>#N/A</v>
      </c>
      <c r="H439" t="e">
        <v>#N/A</v>
      </c>
      <c r="I439">
        <f t="shared" si="23"/>
        <v>4</v>
      </c>
      <c r="J439">
        <f>'10A61 Liquid 3" ViscosityLINEST'!B439*'10A61 Liquid 3"'!$B$4^'10A61 Liquid 3" ViscosityLINEST'!I439+'10A61 Liquid 3" ViscosityLINEST'!C439*'10A61 Liquid 3"'!$B$4^('10A61 Liquid 3" ViscosityLINEST'!I439-1)+'10A61 Liquid 3" ViscosityLINEST'!D439*'10A61 Liquid 3"'!$B$4^('10A61 Liquid 3" ViscosityLINEST'!I439-2)+'10A61 Liquid 3" ViscosityLINEST'!E439*'10A61 Liquid 3"'!$B$4^('10A61 Liquid 3" ViscosityLINEST'!I439-3)+'10A61 Liquid 3" ViscosityLINEST'!F439*'10A61 Liquid 3"'!$B$4^('10A61 Liquid 3" ViscosityLINEST'!I439-4)</f>
        <v>3732.0793650793657</v>
      </c>
    </row>
    <row r="440" spans="1:10">
      <c r="B440">
        <f t="array" ref="B440:H440">LINEST('10A61 Liquid 3"'!BI11:BI19,'10A61 Liquid 3"'!BH11:BH19^{1,2,3,4})</f>
        <v>2.3636363636362958</v>
      </c>
      <c r="C440">
        <v>-28.168350168349296</v>
      </c>
      <c r="D440">
        <v>133.8030303030263</v>
      </c>
      <c r="E440">
        <v>-486.8215488215414</v>
      </c>
      <c r="F440">
        <v>4108.3888888888841</v>
      </c>
      <c r="G440" t="e">
        <v>#N/A</v>
      </c>
      <c r="H440" t="e">
        <v>#N/A</v>
      </c>
      <c r="I440">
        <f t="shared" si="23"/>
        <v>4</v>
      </c>
      <c r="J440">
        <f>'10A61 Liquid 3" ViscosityLINEST'!B440*'10A61 Liquid 3"'!$B$4^'10A61 Liquid 3" ViscosityLINEST'!I440+'10A61 Liquid 3" ViscosityLINEST'!C440*'10A61 Liquid 3"'!$B$4^('10A61 Liquid 3" ViscosityLINEST'!I440-1)+'10A61 Liquid 3" ViscosityLINEST'!D440*'10A61 Liquid 3"'!$B$4^('10A61 Liquid 3" ViscosityLINEST'!I440-2)+'10A61 Liquid 3" ViscosityLINEST'!E440*'10A61 Liquid 3"'!$B$4^('10A61 Liquid 3" ViscosityLINEST'!I440-3)+'10A61 Liquid 3" ViscosityLINEST'!F440*'10A61 Liquid 3"'!$B$4^('10A61 Liquid 3" ViscosityLINEST'!I440-4)</f>
        <v>3729.5656565656559</v>
      </c>
    </row>
    <row r="441" spans="1:10">
      <c r="A441">
        <v>0.6</v>
      </c>
      <c r="B441">
        <f t="array" ref="B441:H441">LINEST('10A61 Liquid 3"'!BI23:BI28,'10A61 Liquid 3"'!BH23:BH28^{1,2,3,4})</f>
        <v>-3958.3333333326268</v>
      </c>
      <c r="C441">
        <v>12587.962962960935</v>
      </c>
      <c r="D441">
        <v>-14739.583333331198</v>
      </c>
      <c r="E441">
        <v>7380.0132275122514</v>
      </c>
      <c r="F441">
        <v>1786.8650793652432</v>
      </c>
      <c r="G441" t="e">
        <v>#N/A</v>
      </c>
      <c r="H441" t="e">
        <v>#N/A</v>
      </c>
      <c r="I441">
        <f t="shared" si="23"/>
        <v>4</v>
      </c>
      <c r="J441">
        <f>'10A61 Liquid 3" ViscosityLINEST'!B441*'10A61 Liquid 3"'!$B$4^'10A61 Liquid 3" ViscosityLINEST'!I441+'10A61 Liquid 3" ViscosityLINEST'!C441*'10A61 Liquid 3"'!$B$4^('10A61 Liquid 3" ViscosityLINEST'!I441-1)+'10A61 Liquid 3" ViscosityLINEST'!D441*'10A61 Liquid 3"'!$B$4^('10A61 Liquid 3" ViscosityLINEST'!I441-2)+'10A61 Liquid 3" ViscosityLINEST'!E441*'10A61 Liquid 3"'!$B$4^('10A61 Liquid 3" ViscosityLINEST'!I441-3)+'10A61 Liquid 3" ViscosityLINEST'!F441*'10A61 Liquid 3"'!$B$4^('10A61 Liquid 3" ViscosityLINEST'!I441-4)</f>
        <v>3056.9246031746052</v>
      </c>
    </row>
    <row r="442" spans="1:10">
      <c r="B442">
        <f t="array" ref="B442:H442">LINEST('10A61 Liquid 3"'!BI28:BI36,'10A61 Liquid 3"'!BH28:BH36^{1,2,3,4})</f>
        <v>1.8648018648017852</v>
      </c>
      <c r="C442">
        <v>-23.45506345506244</v>
      </c>
      <c r="D442">
        <v>110.04895104894651</v>
      </c>
      <c r="E442">
        <v>-362.72714322713495</v>
      </c>
      <c r="F442">
        <v>3332.0555555555507</v>
      </c>
      <c r="G442" t="e">
        <v>#N/A</v>
      </c>
      <c r="H442" t="e">
        <v>#N/A</v>
      </c>
      <c r="I442">
        <f t="shared" si="23"/>
        <v>4</v>
      </c>
      <c r="J442">
        <f>'10A61 Liquid 3" ViscosityLINEST'!B442*'10A61 Liquid 3"'!$B$4^'10A61 Liquid 3" ViscosityLINEST'!I442+'10A61 Liquid 3" ViscosityLINEST'!C442*'10A61 Liquid 3"'!$B$4^('10A61 Liquid 3" ViscosityLINEST'!I442-1)+'10A61 Liquid 3" ViscosityLINEST'!D442*'10A61 Liquid 3"'!$B$4^('10A61 Liquid 3" ViscosityLINEST'!I442-2)+'10A61 Liquid 3" ViscosityLINEST'!E442*'10A61 Liquid 3"'!$B$4^('10A61 Liquid 3" ViscosityLINEST'!I442-3)+'10A61 Liquid 3" ViscosityLINEST'!F442*'10A61 Liquid 3"'!$B$4^('10A61 Liquid 3" ViscosityLINEST'!I442-4)</f>
        <v>3057.7871017871016</v>
      </c>
    </row>
    <row r="443" spans="1:10">
      <c r="A443">
        <v>0.8</v>
      </c>
      <c r="B443">
        <f t="array" ref="B443:H443">LINEST('10A61 Liquid 3"'!BI41:BI46,'10A61 Liquid 3"'!BH41:BH46^{1,2,3,4})</f>
        <v>833.33333333303676</v>
      </c>
      <c r="C443">
        <v>-1925.9259259250393</v>
      </c>
      <c r="D443">
        <v>1324.9999999990264</v>
      </c>
      <c r="E443">
        <v>-259.312169311704</v>
      </c>
      <c r="F443">
        <v>2670.9841269840454</v>
      </c>
      <c r="G443" t="e">
        <v>#N/A</v>
      </c>
      <c r="H443" t="e">
        <v>#N/A</v>
      </c>
      <c r="I443">
        <f t="shared" si="23"/>
        <v>4</v>
      </c>
      <c r="J443">
        <f>'10A61 Liquid 3" ViscosityLINEST'!B443*'10A61 Liquid 3"'!$B$4^'10A61 Liquid 3" ViscosityLINEST'!I443+'10A61 Liquid 3" ViscosityLINEST'!C443*'10A61 Liquid 3"'!$B$4^('10A61 Liquid 3" ViscosityLINEST'!I443-1)+'10A61 Liquid 3" ViscosityLINEST'!D443*'10A61 Liquid 3"'!$B$4^('10A61 Liquid 3" ViscosityLINEST'!I443-2)+'10A61 Liquid 3" ViscosityLINEST'!E443*'10A61 Liquid 3"'!$B$4^('10A61 Liquid 3" ViscosityLINEST'!I443-3)+'10A61 Liquid 3" ViscosityLINEST'!F443*'10A61 Liquid 3"'!$B$4^('10A61 Liquid 3" ViscosityLINEST'!I443-4)</f>
        <v>2644.0793650793653</v>
      </c>
    </row>
    <row r="444" spans="1:10">
      <c r="B444">
        <f t="array" ref="B444:H444">LINEST('10A61 Liquid 3"'!BI46:BI54,'10A61 Liquid 3"'!BH46:BH54^{1,2,3,4})</f>
        <v>-0.94638694638694332</v>
      </c>
      <c r="C444">
        <v>9.962703962703932</v>
      </c>
      <c r="D444">
        <v>-30.217948717948595</v>
      </c>
      <c r="E444">
        <v>-88.26340326340349</v>
      </c>
      <c r="F444">
        <v>2754.8333333333335</v>
      </c>
      <c r="G444" t="e">
        <v>#N/A</v>
      </c>
      <c r="H444" t="e">
        <v>#N/A</v>
      </c>
      <c r="I444">
        <f t="shared" si="23"/>
        <v>4</v>
      </c>
      <c r="J444">
        <f>'10A61 Liquid 3" ViscosityLINEST'!B444*'10A61 Liquid 3"'!$B$4^'10A61 Liquid 3" ViscosityLINEST'!I444+'10A61 Liquid 3" ViscosityLINEST'!C444*'10A61 Liquid 3"'!$B$4^('10A61 Liquid 3" ViscosityLINEST'!I444-1)+'10A61 Liquid 3" ViscosityLINEST'!D444*'10A61 Liquid 3"'!$B$4^('10A61 Liquid 3" ViscosityLINEST'!I444-2)+'10A61 Liquid 3" ViscosityLINEST'!E444*'10A61 Liquid 3"'!$B$4^('10A61 Liquid 3" ViscosityLINEST'!I444-3)+'10A61 Liquid 3" ViscosityLINEST'!F444*'10A61 Liquid 3"'!$B$4^('10A61 Liquid 3" ViscosityLINEST'!I444-4)</f>
        <v>2645.3682983682984</v>
      </c>
    </row>
    <row r="445" spans="1:10">
      <c r="A445">
        <v>1</v>
      </c>
      <c r="B445">
        <f t="array" ref="B445:H445">LINEST('10A61 Liquid 3"'!BI57:BI62,'10A61 Liquid 3"'!BH57:BH62^{1,2,3,4})</f>
        <v>2708.3333333329979</v>
      </c>
      <c r="C445">
        <v>-8004.6296296286764</v>
      </c>
      <c r="D445">
        <v>8527.0833333323408</v>
      </c>
      <c r="E445">
        <v>-3912.6322751318271</v>
      </c>
      <c r="F445">
        <v>3040.8492063491326</v>
      </c>
      <c r="G445" t="e">
        <v>#N/A</v>
      </c>
      <c r="H445" t="e">
        <v>#N/A</v>
      </c>
      <c r="I445">
        <f t="shared" si="23"/>
        <v>4</v>
      </c>
      <c r="J445">
        <f>'10A61 Liquid 3" ViscosityLINEST'!B445*'10A61 Liquid 3"'!$B$4^'10A61 Liquid 3" ViscosityLINEST'!I445+'10A61 Liquid 3" ViscosityLINEST'!C445*'10A61 Liquid 3"'!$B$4^('10A61 Liquid 3" ViscosityLINEST'!I445-1)+'10A61 Liquid 3" ViscosityLINEST'!D445*'10A61 Liquid 3"'!$B$4^('10A61 Liquid 3" ViscosityLINEST'!I445-2)+'10A61 Liquid 3" ViscosityLINEST'!E445*'10A61 Liquid 3"'!$B$4^('10A61 Liquid 3" ViscosityLINEST'!I445-3)+'10A61 Liquid 3" ViscosityLINEST'!F445*'10A61 Liquid 3"'!$B$4^('10A61 Liquid 3" ViscosityLINEST'!I445-4)</f>
        <v>2359.0039682539673</v>
      </c>
    </row>
    <row r="446" spans="1:10">
      <c r="B446">
        <f t="array" ref="B446:H446">LINEST('10A61 Liquid 3"'!BI62:BI70,'10A61 Liquid 3"'!BH62:BH70^{1,2,3,4})</f>
        <v>-1.8275058275058109</v>
      </c>
      <c r="C446">
        <v>21.876197876197669</v>
      </c>
      <c r="D446">
        <v>-86.846153846152873</v>
      </c>
      <c r="E446">
        <v>40.182465682463693</v>
      </c>
      <c r="F446">
        <v>2387.6111111111122</v>
      </c>
      <c r="G446" t="e">
        <v>#N/A</v>
      </c>
      <c r="H446" t="e">
        <v>#N/A</v>
      </c>
      <c r="I446">
        <f t="shared" si="23"/>
        <v>4</v>
      </c>
      <c r="J446">
        <f>'10A61 Liquid 3" ViscosityLINEST'!B446*'10A61 Liquid 3"'!$B$4^'10A61 Liquid 3" ViscosityLINEST'!I446+'10A61 Liquid 3" ViscosityLINEST'!C446*'10A61 Liquid 3"'!$B$4^('10A61 Liquid 3" ViscosityLINEST'!I446-1)+'10A61 Liquid 3" ViscosityLINEST'!D446*'10A61 Liquid 3"'!$B$4^('10A61 Liquid 3" ViscosityLINEST'!I446-2)+'10A61 Liquid 3" ViscosityLINEST'!E446*'10A61 Liquid 3"'!$B$4^('10A61 Liquid 3" ViscosityLINEST'!I446-3)+'10A61 Liquid 3" ViscosityLINEST'!F446*'10A61 Liquid 3"'!$B$4^('10A61 Liquid 3" ViscosityLINEST'!I446-4)</f>
        <v>2360.996114996115</v>
      </c>
    </row>
    <row r="447" spans="1:10">
      <c r="A447">
        <v>1.2</v>
      </c>
      <c r="B447">
        <f t="array" ref="B447:H447">LINEST('10A61 Liquid 3"'!BI73:BI78,'10A61 Liquid 3"'!BH73:BH78^{1,2,3,4})</f>
        <v>1458.3333333333853</v>
      </c>
      <c r="C447">
        <v>-4643.5185185187083</v>
      </c>
      <c r="D447">
        <v>5289.5833333335831</v>
      </c>
      <c r="E447">
        <v>-2576.9576719578113</v>
      </c>
      <c r="F447">
        <v>2618.4682539682817</v>
      </c>
      <c r="G447" t="e">
        <v>#N/A</v>
      </c>
      <c r="H447" t="e">
        <v>#N/A</v>
      </c>
      <c r="I447">
        <f t="shared" si="23"/>
        <v>4</v>
      </c>
      <c r="J447">
        <f>'10A61 Liquid 3" ViscosityLINEST'!B447*'10A61 Liquid 3"'!$B$4^'10A61 Liquid 3" ViscosityLINEST'!I447+'10A61 Liquid 3" ViscosityLINEST'!C447*'10A61 Liquid 3"'!$B$4^('10A61 Liquid 3" ViscosityLINEST'!I447-1)+'10A61 Liquid 3" ViscosityLINEST'!D447*'10A61 Liquid 3"'!$B$4^('10A61 Liquid 3" ViscosityLINEST'!I447-2)+'10A61 Liquid 3" ViscosityLINEST'!E447*'10A61 Liquid 3"'!$B$4^('10A61 Liquid 3" ViscosityLINEST'!I447-3)+'10A61 Liquid 3" ViscosityLINEST'!F447*'10A61 Liquid 3"'!$B$4^('10A61 Liquid 3" ViscosityLINEST'!I447-4)</f>
        <v>2145.9087301587306</v>
      </c>
    </row>
    <row r="448" spans="1:10">
      <c r="B448">
        <f t="array" ref="B448:H448">LINEST('10A61 Liquid 3"'!BI78:BI86,'10A61 Liquid 3"'!BH78:BH86^{1,2,3,4})</f>
        <v>-1.1421911421911335</v>
      </c>
      <c r="C448">
        <v>14.44030044030033</v>
      </c>
      <c r="D448">
        <v>-60.168997668997136</v>
      </c>
      <c r="E448">
        <v>18.283864283863153</v>
      </c>
      <c r="F448">
        <v>2175.9444444444453</v>
      </c>
      <c r="G448" t="e">
        <v>#N/A</v>
      </c>
      <c r="H448" t="e">
        <v>#N/A</v>
      </c>
      <c r="I448">
        <f t="shared" si="23"/>
        <v>4</v>
      </c>
      <c r="J448">
        <f>'10A61 Liquid 3" ViscosityLINEST'!B448*'10A61 Liquid 3"'!$B$4^'10A61 Liquid 3" ViscosityLINEST'!I448+'10A61 Liquid 3" ViscosityLINEST'!C448*'10A61 Liquid 3"'!$B$4^('10A61 Liquid 3" ViscosityLINEST'!I448-1)+'10A61 Liquid 3" ViscosityLINEST'!D448*'10A61 Liquid 3"'!$B$4^('10A61 Liquid 3" ViscosityLINEST'!I448-2)+'10A61 Liquid 3" ViscosityLINEST'!E448*'10A61 Liquid 3"'!$B$4^('10A61 Liquid 3" ViscosityLINEST'!I448-3)+'10A61 Liquid 3" ViscosityLINEST'!F448*'10A61 Liquid 3"'!$B$4^('10A61 Liquid 3" ViscosityLINEST'!I448-4)</f>
        <v>2147.3574203574203</v>
      </c>
    </row>
    <row r="449" spans="1:10">
      <c r="A449">
        <v>1.4</v>
      </c>
      <c r="B449">
        <f t="array" ref="B449:H449">LINEST('10A61 Liquid 3"'!BI92:BI97,'10A61 Liquid 3"'!BH92:BH97^{1,2,3,4})</f>
        <v>-416.66666666658972</v>
      </c>
      <c r="C449">
        <v>935.18518518495739</v>
      </c>
      <c r="D449">
        <v>-762.49999999975239</v>
      </c>
      <c r="E449">
        <v>266.36243386231661</v>
      </c>
      <c r="F449">
        <v>1956.6031746031947</v>
      </c>
      <c r="G449" t="e">
        <v>#N/A</v>
      </c>
      <c r="H449" t="e">
        <v>#N/A</v>
      </c>
      <c r="I449">
        <f t="shared" si="23"/>
        <v>4</v>
      </c>
      <c r="J449">
        <f>'10A61 Liquid 3" ViscosityLINEST'!B449*'10A61 Liquid 3"'!$B$4^'10A61 Liquid 3" ViscosityLINEST'!I449+'10A61 Liquid 3" ViscosityLINEST'!C449*'10A61 Liquid 3"'!$B$4^('10A61 Liquid 3" ViscosityLINEST'!I449-1)+'10A61 Liquid 3" ViscosityLINEST'!D449*'10A61 Liquid 3"'!$B$4^('10A61 Liquid 3" ViscosityLINEST'!I449-2)+'10A61 Liquid 3" ViscosityLINEST'!E449*'10A61 Liquid 3"'!$B$4^('10A61 Liquid 3" ViscosityLINEST'!I449-3)+'10A61 Liquid 3" ViscosityLINEST'!F449*'10A61 Liquid 3"'!$B$4^('10A61 Liquid 3" ViscosityLINEST'!I449-4)</f>
        <v>1978.9841269841268</v>
      </c>
    </row>
    <row r="450" spans="1:10">
      <c r="B450">
        <f t="array" ref="B450:H450">LINEST('10A61 Liquid 3"'!BI97:BI105,'10A61 Liquid 3"'!BH97:BH105^{1,2,3,4})</f>
        <v>-0.84848484848483618</v>
      </c>
      <c r="C450">
        <v>10.976430976430825</v>
      </c>
      <c r="D450">
        <v>-46.7878787878781</v>
      </c>
      <c r="E450">
        <v>9.4225589225576218</v>
      </c>
      <c r="F450">
        <v>2006.9444444444455</v>
      </c>
      <c r="G450" t="e">
        <v>#N/A</v>
      </c>
      <c r="H450" t="e">
        <v>#N/A</v>
      </c>
      <c r="I450">
        <f t="shared" si="23"/>
        <v>4</v>
      </c>
      <c r="J450">
        <f>'10A61 Liquid 3" ViscosityLINEST'!B450*'10A61 Liquid 3"'!$B$4^'10A61 Liquid 3" ViscosityLINEST'!I450+'10A61 Liquid 3" ViscosityLINEST'!C450*'10A61 Liquid 3"'!$B$4^('10A61 Liquid 3" ViscosityLINEST'!I450-1)+'10A61 Liquid 3" ViscosityLINEST'!D450*'10A61 Liquid 3"'!$B$4^('10A61 Liquid 3" ViscosityLINEST'!I450-2)+'10A61 Liquid 3" ViscosityLINEST'!E450*'10A61 Liquid 3"'!$B$4^('10A61 Liquid 3" ViscosityLINEST'!I450-3)+'10A61 Liquid 3" ViscosityLINEST'!F450*'10A61 Liquid 3"'!$B$4^('10A61 Liquid 3" ViscosityLINEST'!I450-4)</f>
        <v>1979.7070707070709</v>
      </c>
    </row>
    <row r="451" spans="1:10">
      <c r="A451">
        <v>1.5</v>
      </c>
      <c r="B451">
        <f t="array" ref="B451:H451">LINEST('10A61 Liquid 3"'!BI108:BI113,'10A61 Liquid 3"'!BH108:BH113^{1,2,3,4})</f>
        <v>-1666.6666666665683</v>
      </c>
      <c r="C451">
        <v>4629.6296296293622</v>
      </c>
      <c r="D451">
        <v>-4749.9999999997372</v>
      </c>
      <c r="E451">
        <v>2132.2751322750214</v>
      </c>
      <c r="F451">
        <v>1562.7936507936674</v>
      </c>
      <c r="G451" t="e">
        <v>#N/A</v>
      </c>
      <c r="H451" t="e">
        <v>#N/A</v>
      </c>
      <c r="I451">
        <f t="shared" si="23"/>
        <v>4</v>
      </c>
      <c r="J451">
        <f>'10A61 Liquid 3" ViscosityLINEST'!B451*'10A61 Liquid 3"'!$B$4^'10A61 Liquid 3" ViscosityLINEST'!I451+'10A61 Liquid 3" ViscosityLINEST'!C451*'10A61 Liquid 3"'!$B$4^('10A61 Liquid 3" ViscosityLINEST'!I451-1)+'10A61 Liquid 3" ViscosityLINEST'!D451*'10A61 Liquid 3"'!$B$4^('10A61 Liquid 3" ViscosityLINEST'!I451-2)+'10A61 Liquid 3" ViscosityLINEST'!E451*'10A61 Liquid 3"'!$B$4^('10A61 Liquid 3" ViscosityLINEST'!I451-3)+'10A61 Liquid 3" ViscosityLINEST'!F451*'10A61 Liquid 3"'!$B$4^('10A61 Liquid 3" ViscosityLINEST'!I451-4)</f>
        <v>1908.0317460317456</v>
      </c>
    </row>
    <row r="452" spans="1:10">
      <c r="B452">
        <f t="array" ref="B452:H452">LINEST('10A61 Liquid 3"'!BI113:BI121,'10A61 Liquid 3"'!BH113:BH121^{1,2,3,4})</f>
        <v>-0.84382284382282735</v>
      </c>
      <c r="C452">
        <v>10.967624967624761</v>
      </c>
      <c r="D452">
        <v>-47.425407925407008</v>
      </c>
      <c r="E452">
        <v>16.409608909607226</v>
      </c>
      <c r="F452">
        <v>1929.2222222222233</v>
      </c>
      <c r="G452" t="e">
        <v>#N/A</v>
      </c>
      <c r="H452" t="e">
        <v>#N/A</v>
      </c>
      <c r="I452">
        <f t="shared" si="23"/>
        <v>4</v>
      </c>
      <c r="J452">
        <f>'10A61 Liquid 3" ViscosityLINEST'!B452*'10A61 Liquid 3"'!$B$4^'10A61 Liquid 3" ViscosityLINEST'!I452+'10A61 Liquid 3" ViscosityLINEST'!C452*'10A61 Liquid 3"'!$B$4^('10A61 Liquid 3" ViscosityLINEST'!I452-1)+'10A61 Liquid 3" ViscosityLINEST'!D452*'10A61 Liquid 3"'!$B$4^('10A61 Liquid 3" ViscosityLINEST'!I452-2)+'10A61 Liquid 3" ViscosityLINEST'!E452*'10A61 Liquid 3"'!$B$4^('10A61 Liquid 3" ViscosityLINEST'!I452-3)+'10A61 Liquid 3" ViscosityLINEST'!F452*'10A61 Liquid 3"'!$B$4^('10A61 Liquid 3" ViscosityLINEST'!I452-4)</f>
        <v>1908.3302253302254</v>
      </c>
    </row>
  </sheetData>
  <mergeCells count="3">
    <mergeCell ref="B1:C1"/>
    <mergeCell ref="B2:H2"/>
    <mergeCell ref="B4:H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R453"/>
  <sheetViews>
    <sheetView showGridLines="0" showRowColHeaders="0" workbookViewId="0">
      <selection activeCell="N2" sqref="N2:Q3"/>
    </sheetView>
  </sheetViews>
  <sheetFormatPr defaultRowHeight="15"/>
  <cols>
    <col min="1" max="1" width="0.85546875" customWidth="1"/>
    <col min="2" max="2" width="12.85546875" bestFit="1" customWidth="1"/>
    <col min="3" max="3" width="14.28515625" bestFit="1" customWidth="1"/>
    <col min="4" max="4" width="16" bestFit="1" customWidth="1"/>
    <col min="5" max="5" width="12" bestFit="1" customWidth="1"/>
    <col min="6" max="6" width="9.28515625" bestFit="1" customWidth="1"/>
    <col min="7" max="7" width="15.85546875" bestFit="1" customWidth="1"/>
    <col min="8" max="8" width="15" bestFit="1" customWidth="1"/>
  </cols>
  <sheetData>
    <row r="1" spans="2:18" ht="4.5" customHeight="1" thickBot="1"/>
    <row r="2" spans="2:18" ht="15.75" thickBot="1">
      <c r="B2" s="31" t="s">
        <v>11</v>
      </c>
      <c r="C2" s="31" t="s">
        <v>13</v>
      </c>
    </row>
    <row r="3" spans="2:18" ht="15.75" thickBot="1">
      <c r="B3" s="31">
        <f>'Modified Inputs'!M2</f>
        <v>0.99</v>
      </c>
      <c r="C3" s="31">
        <f>'Modified Inputs'!G2</f>
        <v>1</v>
      </c>
    </row>
    <row r="7" spans="2:18">
      <c r="B7" s="34"/>
      <c r="C7" s="35"/>
      <c r="D7" s="35"/>
      <c r="E7" s="35"/>
      <c r="F7" s="35"/>
      <c r="G7" s="42" t="s">
        <v>75</v>
      </c>
      <c r="H7" s="35"/>
      <c r="I7" s="35"/>
      <c r="J7" s="35"/>
      <c r="K7" s="35"/>
      <c r="L7" s="35"/>
      <c r="M7" s="35"/>
      <c r="N7" s="35"/>
      <c r="O7" s="35"/>
      <c r="P7" s="35"/>
      <c r="Q7" s="35"/>
      <c r="R7" s="33"/>
    </row>
    <row r="8" spans="2:18">
      <c r="B8" s="36"/>
      <c r="C8" s="37"/>
      <c r="D8" s="37"/>
      <c r="E8" s="37"/>
      <c r="F8" s="37"/>
      <c r="G8" s="37"/>
      <c r="H8" s="37"/>
      <c r="I8" s="37"/>
      <c r="J8" s="37"/>
      <c r="K8" s="37"/>
      <c r="L8" s="37"/>
      <c r="M8" s="37"/>
      <c r="N8" s="37"/>
      <c r="O8" s="37"/>
      <c r="P8" s="37"/>
      <c r="Q8" s="37"/>
      <c r="R8" s="38"/>
    </row>
    <row r="9" spans="2:18">
      <c r="B9" s="36"/>
      <c r="C9" s="7" t="s">
        <v>11</v>
      </c>
      <c r="D9" s="7" t="s">
        <v>60</v>
      </c>
      <c r="E9" s="7" t="s">
        <v>53</v>
      </c>
      <c r="F9" s="37"/>
      <c r="G9" s="37"/>
      <c r="H9" s="37"/>
      <c r="I9" s="37"/>
      <c r="J9" s="37"/>
      <c r="K9" s="37"/>
      <c r="L9" s="37"/>
      <c r="M9" s="37"/>
      <c r="N9" s="37"/>
      <c r="O9" s="37"/>
      <c r="P9" s="37"/>
      <c r="Q9" s="37"/>
      <c r="R9" s="38"/>
    </row>
    <row r="10" spans="2:18">
      <c r="B10" s="36"/>
      <c r="C10" s="7">
        <v>0.4</v>
      </c>
      <c r="D10" s="7">
        <f>'10A61 Liquid 3"'!$B$4</f>
        <v>1</v>
      </c>
      <c r="E10" s="32">
        <f>IF(D19&gt;'10A61 Liquid 3"'!D14,"",
IF(D19&gt;1.5001,'10A61 Liquid 3" ViscosityLINEST'!J8,'10A61 Liquid 3" ViscosityLINEST'!J7))</f>
        <v>6.2020000000000337</v>
      </c>
      <c r="F10" s="37"/>
      <c r="G10" s="37"/>
      <c r="H10" s="37" t="s">
        <v>69</v>
      </c>
      <c r="I10" s="37" t="s">
        <v>72</v>
      </c>
      <c r="J10" s="37"/>
      <c r="K10" s="37"/>
      <c r="L10" s="37"/>
      <c r="M10" s="37"/>
      <c r="N10" s="37"/>
      <c r="O10" s="37"/>
      <c r="P10" s="37"/>
      <c r="Q10" s="37"/>
      <c r="R10" s="38"/>
    </row>
    <row r="11" spans="2:18">
      <c r="B11" s="36"/>
      <c r="C11" s="7">
        <v>0.6</v>
      </c>
      <c r="D11" s="7">
        <f>'10A61 Liquid 3"'!$B$4</f>
        <v>1</v>
      </c>
      <c r="E11" s="7">
        <f>IF(D19&gt;'10A61 Liquid 3"'!D32,"",
IF(D19&gt;1.9001,'10A61 Liquid 3" ViscosityLINEST'!J10,'10A61 Liquid 3" ViscosityLINEST'!J9))</f>
        <v>5.5743909512296312</v>
      </c>
      <c r="F11" s="37"/>
      <c r="G11" s="37"/>
      <c r="H11" s="37" t="s">
        <v>70</v>
      </c>
      <c r="I11" s="37" t="s">
        <v>72</v>
      </c>
      <c r="J11" s="37"/>
      <c r="K11" s="37"/>
      <c r="L11" s="37"/>
      <c r="M11" s="37"/>
      <c r="N11" s="37"/>
      <c r="O11" s="37"/>
      <c r="P11" s="37"/>
      <c r="Q11" s="37"/>
      <c r="R11" s="38"/>
    </row>
    <row r="12" spans="2:18">
      <c r="B12" s="36"/>
      <c r="C12" s="7">
        <v>0.8</v>
      </c>
      <c r="D12" s="7">
        <f>'10A61 Liquid 3"'!$B$4</f>
        <v>1</v>
      </c>
      <c r="E12" s="7">
        <f>IF(D19&gt;'10A61 Liquid 3"'!D52,"",
IF(D19&gt;2.001,'10A61 Liquid 3" ViscosityLINEST'!J12,'10A61 Liquid 3" ViscosityLINEST'!J11))</f>
        <v>4.97324995672885</v>
      </c>
      <c r="F12" s="37"/>
      <c r="G12" s="37"/>
      <c r="H12" s="37" t="s">
        <v>71</v>
      </c>
      <c r="I12" s="37" t="s">
        <v>73</v>
      </c>
      <c r="J12" s="37"/>
      <c r="K12" s="37"/>
      <c r="L12" s="37"/>
      <c r="M12" s="37"/>
      <c r="N12" s="37"/>
      <c r="O12" s="37"/>
      <c r="P12" s="37"/>
      <c r="Q12" s="37"/>
      <c r="R12" s="38"/>
    </row>
    <row r="13" spans="2:18">
      <c r="B13" s="36"/>
      <c r="C13" s="7">
        <v>1</v>
      </c>
      <c r="D13" s="7">
        <f>'10A61 Liquid 3"'!$B$4</f>
        <v>1</v>
      </c>
      <c r="E13" s="7">
        <f>IF(D19&gt;'10A61 Liquid 3"'!D69,"",
IF(D19&gt;2.001,'10A61 Liquid 3" ViscosityLINEST'!J14,'10A61 Liquid 3" ViscosityLINEST'!J13))</f>
        <v>4.3986762289217189</v>
      </c>
      <c r="F13" s="37"/>
      <c r="G13" s="37"/>
      <c r="H13" s="37" t="s">
        <v>71</v>
      </c>
      <c r="I13" s="37" t="s">
        <v>73</v>
      </c>
      <c r="J13" s="37"/>
      <c r="K13" s="37"/>
      <c r="L13" s="37"/>
      <c r="M13" s="37"/>
      <c r="N13" s="37"/>
      <c r="O13" s="37"/>
      <c r="P13" s="37"/>
      <c r="Q13" s="37"/>
      <c r="R13" s="38"/>
    </row>
    <row r="14" spans="2:18">
      <c r="B14" s="36"/>
      <c r="C14" s="7">
        <v>1.2</v>
      </c>
      <c r="D14" s="7">
        <f>'10A61 Liquid 3"'!$B$4</f>
        <v>1</v>
      </c>
      <c r="E14" s="7">
        <f>IF(D19&gt;'10A61 Liquid 3"'!D84,"",
IF(D19&gt;2.001,'10A61 Liquid 3" ViscosityLINEST'!J16,'10A61 Liquid 3" ViscosityLINEST'!J15))</f>
        <v>3.8458456872041005</v>
      </c>
      <c r="F14" s="37"/>
      <c r="G14" s="37"/>
      <c r="H14" s="37" t="s">
        <v>71</v>
      </c>
      <c r="I14" s="37" t="s">
        <v>73</v>
      </c>
      <c r="J14" s="37"/>
      <c r="K14" s="37"/>
      <c r="L14" s="37"/>
      <c r="M14" s="37"/>
      <c r="N14" s="37"/>
      <c r="O14" s="37"/>
      <c r="P14" s="37"/>
      <c r="Q14" s="37"/>
      <c r="R14" s="38"/>
    </row>
    <row r="15" spans="2:18">
      <c r="B15" s="36"/>
      <c r="C15" s="7">
        <v>1.4</v>
      </c>
      <c r="D15" s="7">
        <f>'10A61 Liquid 3"'!$B$4</f>
        <v>1</v>
      </c>
      <c r="E15" s="7">
        <f>IF(D19&gt;'10A61 Liquid 3"'!D104,"",
IF(D19&gt;2.2001,'10A61 Liquid 3" ViscosityLINEST'!J18,'10A61 Liquid 3" ViscosityLINEST'!J17))</f>
        <v>3.2447118721612931</v>
      </c>
      <c r="F15" s="37"/>
      <c r="G15" s="37"/>
      <c r="H15" s="37" t="s">
        <v>74</v>
      </c>
      <c r="I15" s="37" t="s">
        <v>73</v>
      </c>
      <c r="J15" s="37"/>
      <c r="K15" s="37"/>
      <c r="L15" s="37"/>
      <c r="M15" s="37"/>
      <c r="N15" s="37"/>
      <c r="O15" s="37"/>
      <c r="P15" s="37"/>
      <c r="Q15" s="37"/>
      <c r="R15" s="38"/>
    </row>
    <row r="16" spans="2:18">
      <c r="B16" s="36"/>
      <c r="C16" s="7">
        <v>1.5</v>
      </c>
      <c r="D16" s="7">
        <f>'10A61 Liquid 3"'!$B$4</f>
        <v>1</v>
      </c>
      <c r="E16" s="7">
        <f>IF(D19&gt;'10A61 Liquid 3"'!D119,"",
IF(D19&gt;2.001,'10A61 Liquid 3" ViscosityLINEST'!J20,'10A61 Liquid 3" ViscosityLINEST'!J19))</f>
        <v>2.9043208666255484</v>
      </c>
      <c r="F16" s="37"/>
      <c r="G16" s="37"/>
      <c r="H16" s="37" t="s">
        <v>71</v>
      </c>
      <c r="I16" s="37" t="s">
        <v>73</v>
      </c>
      <c r="J16" s="37"/>
      <c r="K16" s="37"/>
      <c r="L16" s="37"/>
      <c r="M16" s="37"/>
      <c r="N16" s="37"/>
      <c r="O16" s="37"/>
      <c r="P16" s="37"/>
      <c r="Q16" s="37"/>
      <c r="R16" s="38"/>
    </row>
    <row r="17" spans="2:18" ht="15.75" thickBot="1">
      <c r="B17" s="36"/>
      <c r="C17" s="37"/>
      <c r="D17" s="37"/>
      <c r="E17" s="37"/>
      <c r="F17" s="37"/>
      <c r="G17" s="37"/>
      <c r="H17" s="37"/>
      <c r="I17" s="37"/>
      <c r="J17" s="37"/>
      <c r="K17" s="37"/>
      <c r="L17" s="37"/>
      <c r="M17" s="37"/>
      <c r="N17" s="37"/>
      <c r="O17" s="37"/>
      <c r="P17" s="37"/>
      <c r="Q17" s="37"/>
      <c r="R17" s="38"/>
    </row>
    <row r="18" spans="2:18" ht="15.75" thickBot="1">
      <c r="B18" s="36"/>
      <c r="C18" s="31" t="s">
        <v>76</v>
      </c>
      <c r="D18" s="31" t="s">
        <v>68</v>
      </c>
      <c r="E18" s="31" t="s">
        <v>67</v>
      </c>
      <c r="F18" s="37"/>
      <c r="G18" s="238" t="s">
        <v>65</v>
      </c>
      <c r="H18" s="238"/>
      <c r="I18" s="238"/>
      <c r="J18" s="37"/>
      <c r="K18" s="37"/>
      <c r="L18" s="37"/>
      <c r="M18" s="37"/>
      <c r="N18" s="37"/>
      <c r="O18" s="37"/>
      <c r="P18" s="37"/>
      <c r="Q18" s="37"/>
      <c r="R18" s="38"/>
    </row>
    <row r="19" spans="2:18" ht="15.75" thickBot="1">
      <c r="B19" s="36"/>
      <c r="C19" s="31">
        <f>$B$3</f>
        <v>0.99</v>
      </c>
      <c r="D19" s="31">
        <f>$C$3</f>
        <v>1</v>
      </c>
      <c r="E19" s="31">
        <f>G19*C19^2+H19*C19+I19</f>
        <v>4.4321991904897988</v>
      </c>
      <c r="F19" s="37"/>
      <c r="G19" s="7">
        <f t="array" ref="G19:I19">IF(AND(NOT(E10="")),LINEST(E10:E16,C10:C16^{1,2}),
IF(AND(E10="",NOT(E11=""),NOT(E12=""),NOT(E13=""),NOT(E14=""),NOT(E15=""),NOT(E16="")),LINEST(E11:E16,C11:C16^{1,2}),
IF(AND(E11="",NOT(E12=""),NOT(E13=""),NOT(E14=""),NOT(E15=""),NOT(E16="")),LINEST(E12:E16,C12:C16^{1,2}),
IF(AND(E12="",NOT(E13=""),NOT(E14=""),NOT(E15=""),NOT(E16="")),LINEST(E13:E16,C13:C16^{1,2}),
IF(AND(E13="",NOT(E14=""),NOT(E15=""),NOT(E16="")),LINEST(E14:E16,C14:C16^{1,2}),
IF(AND(E14="",NOT(E15=""),NOT(E16="")),LINEST(E15:E16,C15:C16^{1,2}),
IF(AND(E15="",NOT(E16="")),LINEST(E16,C16^{1,2}),"NOT APPLICABLE")))))))</f>
        <v>2.8913662046773151E-2</v>
      </c>
      <c r="H19" s="7">
        <v>-3.0117830020528289</v>
      </c>
      <c r="I19" s="7">
        <v>7.385526082350057</v>
      </c>
      <c r="J19" s="37"/>
      <c r="K19" s="37"/>
      <c r="L19" s="37"/>
      <c r="M19" s="37"/>
      <c r="N19" s="37"/>
      <c r="O19" s="37"/>
      <c r="P19" s="37"/>
      <c r="Q19" s="37"/>
      <c r="R19" s="38"/>
    </row>
    <row r="20" spans="2:18">
      <c r="B20" s="36"/>
      <c r="C20" s="37"/>
      <c r="D20" s="37"/>
      <c r="E20" s="37"/>
      <c r="F20" s="37"/>
      <c r="G20" s="37"/>
      <c r="H20" s="37"/>
      <c r="I20" s="37"/>
      <c r="J20" s="37"/>
      <c r="K20" s="37"/>
      <c r="L20" s="37"/>
      <c r="M20" s="37"/>
      <c r="N20" s="37"/>
      <c r="O20" s="37"/>
      <c r="P20" s="37"/>
      <c r="Q20" s="37"/>
      <c r="R20" s="38"/>
    </row>
    <row r="21" spans="2:18">
      <c r="B21" s="39"/>
      <c r="C21" s="40"/>
      <c r="D21" s="40"/>
      <c r="E21" s="40"/>
      <c r="F21" s="40"/>
      <c r="G21" s="40"/>
      <c r="H21" s="40"/>
      <c r="I21" s="40"/>
      <c r="J21" s="40"/>
      <c r="K21" s="40"/>
      <c r="L21" s="40"/>
      <c r="M21" s="40"/>
      <c r="N21" s="40"/>
      <c r="O21" s="40"/>
      <c r="P21" s="40"/>
      <c r="Q21" s="40"/>
      <c r="R21" s="41"/>
    </row>
    <row r="23" spans="2:18">
      <c r="B23" s="34"/>
      <c r="C23" s="35"/>
      <c r="D23" s="35"/>
      <c r="E23" s="35"/>
      <c r="F23" s="35"/>
      <c r="G23" s="42" t="s">
        <v>78</v>
      </c>
      <c r="H23" s="35"/>
      <c r="I23" s="35"/>
      <c r="J23" s="35"/>
      <c r="K23" s="35"/>
      <c r="L23" s="35"/>
      <c r="M23" s="35"/>
      <c r="N23" s="35"/>
      <c r="O23" s="35"/>
      <c r="P23" s="35"/>
      <c r="Q23" s="35"/>
      <c r="R23" s="33"/>
    </row>
    <row r="24" spans="2:18">
      <c r="B24" s="36"/>
      <c r="C24" s="37"/>
      <c r="D24" s="37"/>
      <c r="E24" s="37"/>
      <c r="F24" s="37"/>
      <c r="G24" s="37"/>
      <c r="H24" s="37"/>
      <c r="I24" s="37"/>
      <c r="J24" s="37"/>
      <c r="K24" s="37"/>
      <c r="L24" s="37"/>
      <c r="M24" s="37"/>
      <c r="N24" s="37"/>
      <c r="O24" s="37"/>
      <c r="P24" s="37"/>
      <c r="Q24" s="37"/>
      <c r="R24" s="38"/>
    </row>
    <row r="25" spans="2:18">
      <c r="B25" s="36"/>
      <c r="C25" s="7" t="s">
        <v>11</v>
      </c>
      <c r="D25" s="7" t="s">
        <v>60</v>
      </c>
      <c r="E25" s="7" t="s">
        <v>53</v>
      </c>
      <c r="F25" s="37"/>
      <c r="G25" s="37"/>
      <c r="H25" s="37"/>
      <c r="I25" s="37"/>
      <c r="J25" s="37"/>
      <c r="K25" s="37"/>
      <c r="L25" s="37"/>
      <c r="M25" s="37"/>
      <c r="N25" s="37"/>
      <c r="O25" s="37"/>
      <c r="P25" s="37"/>
      <c r="Q25" s="37"/>
      <c r="R25" s="38"/>
    </row>
    <row r="26" spans="2:18">
      <c r="B26" s="36"/>
      <c r="C26" s="7">
        <v>0.4</v>
      </c>
      <c r="D26" s="7">
        <f>'10A61 Liquid 3"'!$B$4</f>
        <v>1</v>
      </c>
      <c r="E26" s="32">
        <f>IF(D35&gt;'10A61 Liquid 3"'!H18,"",
IF(D35&gt;1.001,'10A61 Liquid 3" ViscosityLINEST'!J24,'10A61 Liquid 3" ViscosityLINEST'!J23))</f>
        <v>10.252103174603171</v>
      </c>
      <c r="F26" s="37"/>
      <c r="G26" s="37"/>
      <c r="H26" s="37"/>
      <c r="I26" s="37"/>
      <c r="J26" s="37"/>
      <c r="K26" s="37"/>
      <c r="L26" s="37"/>
      <c r="M26" s="37"/>
      <c r="N26" s="37"/>
      <c r="O26" s="37"/>
      <c r="P26" s="37"/>
      <c r="Q26" s="37"/>
      <c r="R26" s="38"/>
    </row>
    <row r="27" spans="2:18">
      <c r="B27" s="36"/>
      <c r="C27" s="7">
        <v>0.6</v>
      </c>
      <c r="D27" s="7">
        <f>'10A61 Liquid 3"'!$B$4</f>
        <v>1</v>
      </c>
      <c r="E27" s="7">
        <f>IF(D35&gt;'10A61 Liquid 3"'!H36,"",
IF('10A61 3" Density LINEST'!D35&gt;1.001,'10A61 Liquid 3" ViscosityLINEST'!J26,'10A61 Liquid 3" ViscosityLINEST'!J25))</f>
        <v>9.5988531746031569</v>
      </c>
      <c r="F27" s="37"/>
      <c r="G27" s="37"/>
      <c r="H27" s="37"/>
      <c r="I27" s="37"/>
      <c r="J27" s="37"/>
      <c r="K27" s="37"/>
      <c r="L27" s="37"/>
      <c r="M27" s="37"/>
      <c r="N27" s="37"/>
      <c r="O27" s="37"/>
      <c r="P27" s="37"/>
      <c r="Q27" s="37"/>
      <c r="R27" s="38"/>
    </row>
    <row r="28" spans="2:18">
      <c r="B28" s="36"/>
      <c r="C28" s="7">
        <v>0.8</v>
      </c>
      <c r="D28" s="7">
        <f>'10A61 Liquid 3"'!$B$4</f>
        <v>1</v>
      </c>
      <c r="E28" s="7">
        <f>IF(D35&gt;'10A61 Liquid 3"'!H54,"",
IF('10A61 3" Density LINEST'!D35&gt;1.001,'10A61 Liquid 3" ViscosityLINEST'!J28,'10A61 Liquid 3" ViscosityLINEST'!J27))</f>
        <v>8.9964563492063299</v>
      </c>
      <c r="F28" s="37"/>
      <c r="G28" s="37"/>
      <c r="H28" s="37"/>
      <c r="I28" s="37"/>
      <c r="J28" s="37"/>
      <c r="K28" s="37"/>
      <c r="L28" s="37"/>
      <c r="M28" s="37"/>
      <c r="N28" s="37"/>
      <c r="O28" s="37"/>
      <c r="P28" s="37"/>
      <c r="Q28" s="37"/>
      <c r="R28" s="38"/>
    </row>
    <row r="29" spans="2:18">
      <c r="B29" s="36"/>
      <c r="C29" s="7">
        <v>1</v>
      </c>
      <c r="D29" s="7">
        <f>'10A61 Liquid 3"'!$B$4</f>
        <v>1</v>
      </c>
      <c r="E29" s="7">
        <f>IF(D35&gt;'10A61 Liquid 3"'!H70,"",
IF('10A61 3" Density LINEST'!D35&gt;1.001,'10A61 Liquid 3" ViscosityLINEST'!J30,'10A61 Liquid 3" ViscosityLINEST'!J29))</f>
        <v>8.4091388888888829</v>
      </c>
      <c r="F29" s="37"/>
      <c r="G29" s="37"/>
      <c r="H29" s="37"/>
      <c r="I29" s="37"/>
      <c r="J29" s="37"/>
      <c r="K29" s="37"/>
      <c r="L29" s="37"/>
      <c r="M29" s="37"/>
      <c r="N29" s="37"/>
      <c r="O29" s="37"/>
      <c r="P29" s="37"/>
      <c r="Q29" s="37"/>
      <c r="R29" s="38"/>
    </row>
    <row r="30" spans="2:18">
      <c r="B30" s="36"/>
      <c r="C30" s="7">
        <v>1.2</v>
      </c>
      <c r="D30" s="7">
        <f>'10A61 Liquid 3"'!$B$4</f>
        <v>1</v>
      </c>
      <c r="E30" s="7">
        <f>IF(D35&gt;'10A61 Liquid 3"'!H86,"",
IF('10A61 3" Density LINEST'!D35&gt;1.001,'10A61 Liquid 3" ViscosityLINEST'!J32,'10A61 Liquid 3" ViscosityLINEST'!J31))</f>
        <v>7.7958888888888822</v>
      </c>
      <c r="F30" s="37"/>
      <c r="G30" s="37"/>
      <c r="H30" s="37"/>
      <c r="I30" s="37"/>
      <c r="J30" s="37"/>
      <c r="K30" s="37"/>
      <c r="L30" s="37"/>
      <c r="M30" s="37"/>
      <c r="N30" s="37"/>
      <c r="O30" s="37"/>
      <c r="P30" s="37"/>
      <c r="Q30" s="37"/>
      <c r="R30" s="38"/>
    </row>
    <row r="31" spans="2:18">
      <c r="B31" s="36"/>
      <c r="C31" s="7">
        <v>1.4</v>
      </c>
      <c r="D31" s="7">
        <f>'10A61 Liquid 3"'!$B$4</f>
        <v>1</v>
      </c>
      <c r="E31" s="7">
        <f>IF(D35&gt;'10A61 Liquid 3"'!H105,"",
IF('10A61 3" Density LINEST'!D35&gt;1.001,'10A61 Liquid 3" ViscosityLINEST'!J34,'10A61 Liquid 3" ViscosityLINEST'!J33))</f>
        <v>7.1863095238095127</v>
      </c>
      <c r="F31" s="37"/>
      <c r="G31" s="37"/>
      <c r="H31" s="37"/>
      <c r="I31" s="37"/>
      <c r="J31" s="37"/>
      <c r="K31" s="37"/>
      <c r="L31" s="37"/>
      <c r="M31" s="37"/>
      <c r="N31" s="37"/>
      <c r="O31" s="37"/>
      <c r="P31" s="37"/>
      <c r="Q31" s="37"/>
      <c r="R31" s="38"/>
    </row>
    <row r="32" spans="2:18">
      <c r="B32" s="36"/>
      <c r="C32" s="7">
        <v>1.5</v>
      </c>
      <c r="D32" s="7">
        <f>'10A61 Liquid 3"'!$B$4</f>
        <v>1</v>
      </c>
      <c r="E32" s="7">
        <f>IF(D35&gt;'10A61 Liquid 3"'!H121,"",
IF('10A61 3" Density LINEST'!D35&gt;1.001,'10A61 Liquid 3" ViscosityLINEST'!J36,'10A61 Liquid 3" ViscosityLINEST'!J35))</f>
        <v>6.8907738095238145</v>
      </c>
      <c r="F32" s="37"/>
      <c r="G32" s="37"/>
      <c r="H32" s="37"/>
      <c r="I32" s="37"/>
      <c r="J32" s="37"/>
      <c r="K32" s="37"/>
      <c r="L32" s="37"/>
      <c r="M32" s="37"/>
      <c r="N32" s="37"/>
      <c r="O32" s="37"/>
      <c r="P32" s="37"/>
      <c r="Q32" s="37"/>
      <c r="R32" s="38"/>
    </row>
    <row r="33" spans="2:18" ht="15.75" thickBot="1">
      <c r="B33" s="36"/>
      <c r="C33" s="37"/>
      <c r="D33" s="37"/>
      <c r="E33" s="37"/>
      <c r="F33" s="37"/>
      <c r="G33" s="37"/>
      <c r="H33" s="37"/>
      <c r="I33" s="37"/>
      <c r="J33" s="37"/>
      <c r="K33" s="37"/>
      <c r="L33" s="37"/>
      <c r="M33" s="37"/>
      <c r="N33" s="37"/>
      <c r="O33" s="37"/>
      <c r="P33" s="37"/>
      <c r="Q33" s="37"/>
      <c r="R33" s="38"/>
    </row>
    <row r="34" spans="2:18" ht="15.75" thickBot="1">
      <c r="B34" s="36"/>
      <c r="C34" s="31" t="s">
        <v>76</v>
      </c>
      <c r="D34" s="31" t="s">
        <v>68</v>
      </c>
      <c r="E34" s="31" t="s">
        <v>67</v>
      </c>
      <c r="F34" s="37"/>
      <c r="G34" s="238" t="s">
        <v>65</v>
      </c>
      <c r="H34" s="238"/>
      <c r="I34" s="238"/>
      <c r="J34" s="37"/>
      <c r="K34" s="37"/>
      <c r="L34" s="37"/>
      <c r="M34" s="37"/>
      <c r="N34" s="37"/>
      <c r="O34" s="37"/>
      <c r="P34" s="37"/>
      <c r="Q34" s="37"/>
      <c r="R34" s="38"/>
    </row>
    <row r="35" spans="2:18" ht="15.75" thickBot="1">
      <c r="B35" s="36"/>
      <c r="C35" s="31">
        <f>$B$3</f>
        <v>0.99</v>
      </c>
      <c r="D35" s="31">
        <f>$C$3</f>
        <v>1</v>
      </c>
      <c r="E35" s="31">
        <f>G35*C35^2+H35*C35+I35</f>
        <v>8.4243047788105692</v>
      </c>
      <c r="F35" s="37"/>
      <c r="G35" s="7">
        <f t="array" ref="G35:I35">IF(AND(NOT(E26="")),LINEST(E26:E32,C26:C32^{1,2}),
IF(AND(E26="",NOT(E27=""),NOT(E28=""),NOT(E29=""),NOT(E30=""),NOT(E31=""),NOT(E32="")),LINEST(E27:E32,C27:C32^{1,2}),
IF(AND(E27="",NOT(E28=""),NOT(E29=""),NOT(E30=""),NOT(E31=""),NOT(E32="")),LINEST(E28:E32,C28:C32^{1,2}),
IF(AND(E28="",NOT(E29=""),NOT(E30=""),NOT(E31=""),NOT(E32="")),LINEST(E29:E32,C29:C32^{1,2}),
IF(AND(E29="",NOT(E30=""),NOT(E31=""),NOT(E32="")),LINEST(E30:E32,C30:C32^{1,2}),
IF(AND(E30="",NOT(E31=""),NOT(E32="")),LINEST(E31:E32,C31:C32^{1,2}),
IF(AND(E31="",NOT(E32="")),LINEST(E32,C32^{1,2}),"NOT APPLICABLE")))))))</f>
        <v>6.770771033778894E-2</v>
      </c>
      <c r="H35" s="7">
        <v>-3.170514280870079</v>
      </c>
      <c r="I35" s="7">
        <v>11.496753589969881</v>
      </c>
      <c r="J35" s="37"/>
      <c r="K35" s="37"/>
      <c r="L35" s="37"/>
      <c r="M35" s="37"/>
      <c r="N35" s="37"/>
      <c r="O35" s="37"/>
      <c r="P35" s="37"/>
      <c r="Q35" s="37"/>
      <c r="R35" s="38"/>
    </row>
    <row r="36" spans="2:18">
      <c r="B36" s="36"/>
      <c r="C36" s="37"/>
      <c r="D36" s="37"/>
      <c r="E36" s="37"/>
      <c r="F36" s="37"/>
      <c r="G36" s="37"/>
      <c r="H36" s="37"/>
      <c r="I36" s="37"/>
      <c r="J36" s="37"/>
      <c r="K36" s="37"/>
      <c r="L36" s="37"/>
      <c r="M36" s="37"/>
      <c r="N36" s="37"/>
      <c r="O36" s="37"/>
      <c r="P36" s="37"/>
      <c r="Q36" s="37"/>
      <c r="R36" s="38"/>
    </row>
    <row r="37" spans="2:18">
      <c r="B37" s="39"/>
      <c r="C37" s="40"/>
      <c r="D37" s="40"/>
      <c r="E37" s="40"/>
      <c r="F37" s="40"/>
      <c r="G37" s="40"/>
      <c r="H37" s="40"/>
      <c r="I37" s="40"/>
      <c r="J37" s="40"/>
      <c r="K37" s="40"/>
      <c r="L37" s="40"/>
      <c r="M37" s="40"/>
      <c r="N37" s="40"/>
      <c r="O37" s="40"/>
      <c r="P37" s="40"/>
      <c r="Q37" s="40"/>
      <c r="R37" s="41"/>
    </row>
    <row r="39" spans="2:18">
      <c r="B39" s="34"/>
      <c r="C39" s="35"/>
      <c r="D39" s="35"/>
      <c r="E39" s="35"/>
      <c r="F39" s="35"/>
      <c r="G39" s="42" t="s">
        <v>79</v>
      </c>
      <c r="H39" s="35"/>
      <c r="I39" s="35"/>
      <c r="J39" s="35"/>
      <c r="K39" s="35"/>
      <c r="L39" s="35"/>
      <c r="M39" s="35"/>
      <c r="N39" s="35"/>
      <c r="O39" s="35"/>
      <c r="P39" s="35"/>
      <c r="Q39" s="35"/>
      <c r="R39" s="33"/>
    </row>
    <row r="40" spans="2:18">
      <c r="B40" s="36"/>
      <c r="C40" s="37"/>
      <c r="D40" s="37"/>
      <c r="E40" s="37"/>
      <c r="F40" s="37"/>
      <c r="G40" s="37"/>
      <c r="H40" s="37"/>
      <c r="I40" s="37"/>
      <c r="J40" s="37"/>
      <c r="K40" s="37"/>
      <c r="L40" s="37"/>
      <c r="M40" s="37"/>
      <c r="N40" s="37"/>
      <c r="O40" s="37"/>
      <c r="P40" s="37"/>
      <c r="Q40" s="37"/>
      <c r="R40" s="38"/>
    </row>
    <row r="41" spans="2:18">
      <c r="B41" s="36"/>
      <c r="C41" s="7" t="s">
        <v>11</v>
      </c>
      <c r="D41" s="7" t="s">
        <v>60</v>
      </c>
      <c r="E41" s="7" t="s">
        <v>53</v>
      </c>
      <c r="F41" s="37"/>
      <c r="G41" s="37"/>
      <c r="H41" s="37"/>
      <c r="I41" s="37"/>
      <c r="J41" s="37"/>
      <c r="K41" s="37"/>
      <c r="L41" s="37"/>
      <c r="M41" s="37"/>
      <c r="N41" s="37"/>
      <c r="O41" s="37"/>
      <c r="P41" s="37"/>
      <c r="Q41" s="37"/>
      <c r="R41" s="38"/>
    </row>
    <row r="42" spans="2:18">
      <c r="B42" s="36"/>
      <c r="C42" s="7">
        <v>0.4</v>
      </c>
      <c r="D42" s="7">
        <f>'10A61 Liquid 3"'!$B$4</f>
        <v>1</v>
      </c>
      <c r="E42" s="32">
        <f>IF(D51&gt;5,"",
IF(D51&gt;1.001,'10A61 Liquid 3" ViscosityLINEST'!J40,'10A61 Liquid 3" ViscosityLINEST'!J39))</f>
        <v>21.492420634920649</v>
      </c>
      <c r="F42" s="37"/>
      <c r="G42" s="37"/>
      <c r="H42" s="37"/>
      <c r="I42" s="37"/>
      <c r="J42" s="37"/>
      <c r="K42" s="37"/>
      <c r="L42" s="37"/>
      <c r="M42" s="37"/>
      <c r="N42" s="37"/>
      <c r="O42" s="37"/>
      <c r="P42" s="37"/>
      <c r="Q42" s="37"/>
      <c r="R42" s="38"/>
    </row>
    <row r="43" spans="2:18">
      <c r="B43" s="36"/>
      <c r="C43" s="7">
        <v>0.6</v>
      </c>
      <c r="D43" s="7">
        <f>'10A61 Liquid 3"'!$B$4</f>
        <v>1</v>
      </c>
      <c r="E43" s="32">
        <f>IF(D51&gt;5,"",
IF(D51&gt;1.001,'10A61 Liquid 3" ViscosityLINEST'!J42,'10A61 Liquid 3" ViscosityLINEST'!J41))</f>
        <v>20.303849206349199</v>
      </c>
      <c r="F43" s="37"/>
      <c r="G43" s="37"/>
      <c r="H43" s="37"/>
      <c r="I43" s="37"/>
      <c r="J43" s="37"/>
      <c r="K43" s="37"/>
      <c r="L43" s="37"/>
      <c r="M43" s="37"/>
      <c r="N43" s="37"/>
      <c r="O43" s="37"/>
      <c r="P43" s="37"/>
      <c r="Q43" s="37"/>
      <c r="R43" s="38"/>
    </row>
    <row r="44" spans="2:18">
      <c r="B44" s="36"/>
      <c r="C44" s="7">
        <v>0.8</v>
      </c>
      <c r="D44" s="7">
        <f>'10A61 Liquid 3"'!$B$4</f>
        <v>1</v>
      </c>
      <c r="E44" s="32">
        <f>IF(D51&gt;5,"",
IF(D51&gt;1.001,'10A61 Liquid 3" ViscosityLINEST'!J44,'10A61 Liquid 3" ViscosityLINEST'!J43))</f>
        <v>19.33138888888891</v>
      </c>
      <c r="F44" s="37"/>
      <c r="G44" s="37"/>
      <c r="H44" s="37"/>
      <c r="I44" s="37"/>
      <c r="J44" s="37"/>
      <c r="K44" s="37"/>
      <c r="L44" s="37"/>
      <c r="M44" s="37"/>
      <c r="N44" s="37"/>
      <c r="O44" s="37"/>
      <c r="P44" s="37"/>
      <c r="Q44" s="37"/>
      <c r="R44" s="38"/>
    </row>
    <row r="45" spans="2:18">
      <c r="B45" s="36"/>
      <c r="C45" s="7">
        <v>1</v>
      </c>
      <c r="D45" s="7">
        <f>'10A61 Liquid 3"'!$B$4</f>
        <v>1</v>
      </c>
      <c r="E45" s="32">
        <f>IF(D51&gt;5,"",
IF(D51&gt;1.001,'10A61 Liquid 3" ViscosityLINEST'!J46,'10A61 Liquid 3" ViscosityLINEST'!J45))</f>
        <v>18.499484126984157</v>
      </c>
      <c r="F45" s="37"/>
      <c r="G45" s="37"/>
      <c r="H45" s="37"/>
      <c r="I45" s="37"/>
      <c r="J45" s="37"/>
      <c r="K45" s="37"/>
      <c r="L45" s="37"/>
      <c r="M45" s="37"/>
      <c r="N45" s="37"/>
      <c r="O45" s="37"/>
      <c r="P45" s="37"/>
      <c r="Q45" s="37"/>
      <c r="R45" s="38"/>
    </row>
    <row r="46" spans="2:18">
      <c r="B46" s="36"/>
      <c r="C46" s="7">
        <v>1.2</v>
      </c>
      <c r="D46" s="7">
        <f>'10A61 Liquid 3"'!$B$4</f>
        <v>1</v>
      </c>
      <c r="E46" s="32">
        <f>IF(D51&gt;5,"",
IF(D51&gt;1.001,'10A61 Liquid 3" ViscosityLINEST'!J48,'10A61 Liquid 3" ViscosityLINEST'!J47))</f>
        <v>17.599166666666704</v>
      </c>
      <c r="F46" s="37"/>
      <c r="G46" s="37"/>
      <c r="H46" s="37"/>
      <c r="I46" s="37"/>
      <c r="J46" s="37"/>
      <c r="K46" s="37"/>
      <c r="L46" s="37"/>
      <c r="M46" s="37"/>
      <c r="N46" s="37"/>
      <c r="O46" s="37"/>
      <c r="P46" s="37"/>
      <c r="Q46" s="37"/>
      <c r="R46" s="38"/>
    </row>
    <row r="47" spans="2:18">
      <c r="B47" s="36"/>
      <c r="C47" s="7">
        <v>1.4</v>
      </c>
      <c r="D47" s="7">
        <f>'10A61 Liquid 3"'!$B$4</f>
        <v>1</v>
      </c>
      <c r="E47" s="32">
        <f>IF(D51&gt;5,"",
IF(D51&gt;1.001,'10A61 Liquid 3" ViscosityLINEST'!J50,'10A61 Liquid 3" ViscosityLINEST'!J49))</f>
        <v>16.793214285714271</v>
      </c>
      <c r="F47" s="37"/>
      <c r="G47" s="37"/>
      <c r="H47" s="37"/>
      <c r="I47" s="37"/>
      <c r="J47" s="37"/>
      <c r="K47" s="37"/>
      <c r="L47" s="37"/>
      <c r="M47" s="37"/>
      <c r="N47" s="37"/>
      <c r="O47" s="37"/>
      <c r="P47" s="37"/>
      <c r="Q47" s="37"/>
      <c r="R47" s="38"/>
    </row>
    <row r="48" spans="2:18">
      <c r="B48" s="36"/>
      <c r="C48" s="7">
        <v>1.5</v>
      </c>
      <c r="D48" s="7">
        <f>'10A61 Liquid 3"'!$B$4</f>
        <v>1</v>
      </c>
      <c r="E48" s="32">
        <f>IF(D51&gt;5,"",
IF(D51&gt;1.001,'10A61 Liquid 3" ViscosityLINEST'!J52,'10A61 Liquid 3" ViscosityLINEST'!J51))</f>
        <v>16.414880952380958</v>
      </c>
      <c r="F48" s="37"/>
      <c r="G48" s="37"/>
      <c r="H48" s="37"/>
      <c r="I48" s="37"/>
      <c r="J48" s="37"/>
      <c r="K48" s="37"/>
      <c r="L48" s="37"/>
      <c r="M48" s="37"/>
      <c r="N48" s="37"/>
      <c r="O48" s="37"/>
      <c r="P48" s="37"/>
      <c r="Q48" s="37"/>
      <c r="R48" s="38"/>
    </row>
    <row r="49" spans="2:18" ht="15.75" thickBot="1">
      <c r="B49" s="36"/>
      <c r="C49" s="37"/>
      <c r="D49" s="37"/>
      <c r="E49" s="37"/>
      <c r="F49" s="37"/>
      <c r="G49" s="37"/>
      <c r="H49" s="37"/>
      <c r="I49" s="37"/>
      <c r="J49" s="37"/>
      <c r="K49" s="37"/>
      <c r="L49" s="37"/>
      <c r="M49" s="37"/>
      <c r="N49" s="37"/>
      <c r="O49" s="37"/>
      <c r="P49" s="37"/>
      <c r="Q49" s="37"/>
      <c r="R49" s="38"/>
    </row>
    <row r="50" spans="2:18" ht="15.75" thickBot="1">
      <c r="B50" s="36"/>
      <c r="C50" s="31" t="s">
        <v>76</v>
      </c>
      <c r="D50" s="31" t="s">
        <v>68</v>
      </c>
      <c r="E50" s="31" t="s">
        <v>67</v>
      </c>
      <c r="F50" s="37"/>
      <c r="G50" s="238" t="s">
        <v>65</v>
      </c>
      <c r="H50" s="238"/>
      <c r="I50" s="238"/>
      <c r="J50" s="37"/>
      <c r="K50" s="37"/>
      <c r="L50" s="37"/>
      <c r="M50" s="37"/>
      <c r="N50" s="37"/>
      <c r="O50" s="37"/>
      <c r="P50" s="37"/>
      <c r="Q50" s="37"/>
      <c r="R50" s="38"/>
    </row>
    <row r="51" spans="2:18" ht="15.75" thickBot="1">
      <c r="B51" s="36"/>
      <c r="C51" s="31">
        <f>$B$3</f>
        <v>0.99</v>
      </c>
      <c r="D51" s="31">
        <f>$C$3</f>
        <v>1</v>
      </c>
      <c r="E51" s="31">
        <f>G51*C51^4+H51*C51^3+I51*C51^2+J51*C51+K51</f>
        <v>18.521387963010692</v>
      </c>
      <c r="F51" s="37"/>
      <c r="G51" s="7">
        <f t="array" ref="G51:K51">IF(AND(NOT(E42="")),LINEST(E42:E48,C42:C48^{1,2,3,4}),
IF(AND(E42="",NOT(E43=""),NOT(E44=""),NOT(E45=""),NOT(E46=""),NOT(E47=""),NOT(E48="")),LINEST(E43:E48,C43:C48^{1,2,3,4}),
IF(AND(E43="",NOT(E44=""),NOT(E45=""),NOT(E46=""),NOT(E47=""),NOT(E48="")),LINEST(E44:E48,C44:C48^{1,2,3,4}),
IF(AND(E44="",NOT(E45=""),NOT(E46=""),NOT(E47=""),NOT(E48="")),LINEST(E45:E48,C45:C48^{1,2,3,4}),
IF(AND(E45="",NOT(E46=""),NOT(E47=""),NOT(E48="")),LINEST(E46:E48,C46:C48^{1,2,3,4}),
IF(AND(E46="",NOT(E47=""),NOT(E48="")),LINEST(E47:E48,C47:C48^{1,2,3,4}),
IF(AND(E47="",NOT(E48="")),LINEST(E48,C48^{1,2,3,4}),"NOT APPLICABLE")))))))</f>
        <v>2.5640208328709773</v>
      </c>
      <c r="H51" s="7">
        <v>-10.725549974432099</v>
      </c>
      <c r="I51" s="7">
        <v>16.773208783683891</v>
      </c>
      <c r="J51" s="37">
        <v>-15.940373284814209</v>
      </c>
      <c r="K51" s="37">
        <v>25.806937819116929</v>
      </c>
      <c r="L51" s="37"/>
      <c r="M51" s="37"/>
      <c r="N51" s="37"/>
      <c r="O51" s="37"/>
      <c r="P51" s="37"/>
      <c r="Q51" s="37"/>
      <c r="R51" s="38"/>
    </row>
    <row r="52" spans="2:18">
      <c r="B52" s="36"/>
      <c r="C52" s="37"/>
      <c r="D52" s="37"/>
      <c r="E52" s="37"/>
      <c r="F52" s="37"/>
      <c r="G52" s="37"/>
      <c r="H52" s="37"/>
      <c r="I52" s="37"/>
      <c r="J52" s="37"/>
      <c r="K52" s="37"/>
      <c r="L52" s="37"/>
      <c r="M52" s="37"/>
      <c r="N52" s="37"/>
      <c r="O52" s="37"/>
      <c r="P52" s="37"/>
      <c r="Q52" s="37"/>
      <c r="R52" s="38"/>
    </row>
    <row r="53" spans="2:18">
      <c r="B53" s="39"/>
      <c r="C53" s="40"/>
      <c r="D53" s="40"/>
      <c r="E53" s="40"/>
      <c r="F53" s="40"/>
      <c r="G53" s="40"/>
      <c r="H53" s="40"/>
      <c r="I53" s="40"/>
      <c r="J53" s="40"/>
      <c r="K53" s="40"/>
      <c r="L53" s="40"/>
      <c r="M53" s="40"/>
      <c r="N53" s="40"/>
      <c r="O53" s="40"/>
      <c r="P53" s="40"/>
      <c r="Q53" s="40"/>
      <c r="R53" s="41"/>
    </row>
    <row r="55" spans="2:18">
      <c r="B55" s="34"/>
      <c r="C55" s="35"/>
      <c r="D55" s="35"/>
      <c r="E55" s="35"/>
      <c r="F55" s="35"/>
      <c r="G55" s="42" t="s">
        <v>82</v>
      </c>
      <c r="H55" s="35"/>
      <c r="I55" s="35"/>
      <c r="J55" s="35"/>
      <c r="K55" s="35"/>
      <c r="L55" s="35"/>
      <c r="M55" s="35"/>
      <c r="N55" s="35"/>
      <c r="O55" s="35"/>
      <c r="P55" s="35"/>
      <c r="Q55" s="35"/>
      <c r="R55" s="33"/>
    </row>
    <row r="56" spans="2:18">
      <c r="B56" s="36"/>
      <c r="C56" s="37"/>
      <c r="D56" s="37"/>
      <c r="E56" s="37"/>
      <c r="F56" s="37"/>
      <c r="G56" s="37"/>
      <c r="H56" s="37"/>
      <c r="I56" s="37"/>
      <c r="J56" s="37"/>
      <c r="K56" s="37"/>
      <c r="L56" s="37"/>
      <c r="M56" s="37"/>
      <c r="N56" s="37"/>
      <c r="O56" s="37"/>
      <c r="P56" s="37"/>
      <c r="Q56" s="37"/>
      <c r="R56" s="38"/>
    </row>
    <row r="57" spans="2:18">
      <c r="B57" s="36"/>
      <c r="C57" s="7" t="s">
        <v>11</v>
      </c>
      <c r="D57" s="7" t="s">
        <v>60</v>
      </c>
      <c r="E57" s="7" t="s">
        <v>53</v>
      </c>
      <c r="F57" s="37"/>
      <c r="G57" s="37"/>
      <c r="H57" s="37"/>
      <c r="I57" s="37"/>
      <c r="J57" s="37"/>
      <c r="K57" s="37"/>
      <c r="L57" s="37"/>
      <c r="M57" s="37"/>
      <c r="N57" s="37"/>
      <c r="O57" s="37"/>
      <c r="P57" s="37"/>
      <c r="Q57" s="37"/>
      <c r="R57" s="38"/>
    </row>
    <row r="58" spans="2:18">
      <c r="B58" s="36"/>
      <c r="C58" s="7">
        <v>0.4</v>
      </c>
      <c r="D58" s="7">
        <f>'10A61 Liquid 3"'!$B$4</f>
        <v>1</v>
      </c>
      <c r="E58" s="32">
        <f>IF(D67&gt;5,"",
IF(D67&gt;1.001,'10A61 Liquid 3" ViscosityLINEST'!J56,'10A61 Liquid 3" ViscosityLINEST'!J55))</f>
        <v>38.93329365079363</v>
      </c>
      <c r="F58" s="37"/>
      <c r="G58" s="37"/>
      <c r="H58" s="37"/>
      <c r="I58" s="37"/>
      <c r="J58" s="37"/>
      <c r="K58" s="37"/>
      <c r="L58" s="37"/>
      <c r="M58" s="37"/>
      <c r="N58" s="37"/>
      <c r="O58" s="37"/>
      <c r="P58" s="37"/>
      <c r="Q58" s="37"/>
      <c r="R58" s="38"/>
    </row>
    <row r="59" spans="2:18">
      <c r="B59" s="36"/>
      <c r="C59" s="7">
        <v>0.6</v>
      </c>
      <c r="D59" s="7">
        <f>'10A61 Liquid 3"'!$B$4</f>
        <v>1</v>
      </c>
      <c r="E59" s="32">
        <f>IF(D67&gt;5,"",
IF(D67&gt;1.001,'10A61 Liquid 3" ViscosityLINEST'!J58,'10A61 Liquid 3" ViscosityLINEST'!J57))</f>
        <v>36.762222222222192</v>
      </c>
      <c r="F59" s="37"/>
      <c r="G59" s="37"/>
      <c r="H59" s="37"/>
      <c r="I59" s="37"/>
      <c r="J59" s="37"/>
      <c r="K59" s="37"/>
      <c r="L59" s="37"/>
      <c r="M59" s="37"/>
      <c r="N59" s="37"/>
      <c r="O59" s="37"/>
      <c r="P59" s="37"/>
      <c r="Q59" s="37"/>
      <c r="R59" s="38"/>
    </row>
    <row r="60" spans="2:18">
      <c r="B60" s="36"/>
      <c r="C60" s="7">
        <v>0.8</v>
      </c>
      <c r="D60" s="7">
        <f>'10A61 Liquid 3"'!$B$4</f>
        <v>1</v>
      </c>
      <c r="E60" s="32">
        <f>IF(D67&gt;5,"",
IF(D67&gt;1.001,'10A61 Liquid 3" ViscosityLINEST'!J60,'10A61 Liquid 3" ViscosityLINEST'!J59))</f>
        <v>34.95146825396823</v>
      </c>
      <c r="F60" s="37"/>
      <c r="G60" s="37"/>
      <c r="H60" s="37"/>
      <c r="I60" s="37"/>
      <c r="J60" s="37"/>
      <c r="K60" s="37"/>
      <c r="L60" s="37"/>
      <c r="M60" s="37"/>
      <c r="N60" s="37"/>
      <c r="O60" s="37"/>
      <c r="P60" s="37"/>
      <c r="Q60" s="37"/>
      <c r="R60" s="38"/>
    </row>
    <row r="61" spans="2:18">
      <c r="B61" s="36"/>
      <c r="C61" s="7">
        <v>1</v>
      </c>
      <c r="D61" s="7">
        <f>'10A61 Liquid 3"'!$B$4</f>
        <v>1</v>
      </c>
      <c r="E61" s="32">
        <f>IF(D67&gt;5,"",
IF(D67&gt;1.001,'10A61 Liquid 3" ViscosityLINEST'!J62,'10A61 Liquid 3" ViscosityLINEST'!J61))</f>
        <v>33.492896825396791</v>
      </c>
      <c r="F61" s="37"/>
      <c r="G61" s="37"/>
      <c r="H61" s="37"/>
      <c r="I61" s="37"/>
      <c r="J61" s="37"/>
      <c r="K61" s="37"/>
      <c r="L61" s="37"/>
      <c r="M61" s="37"/>
      <c r="N61" s="37"/>
      <c r="O61" s="37"/>
      <c r="P61" s="37"/>
      <c r="Q61" s="37"/>
      <c r="R61" s="38"/>
    </row>
    <row r="62" spans="2:18">
      <c r="B62" s="36"/>
      <c r="C62" s="7">
        <v>1.2</v>
      </c>
      <c r="D62" s="7">
        <f>'10A61 Liquid 3"'!$B$4</f>
        <v>1</v>
      </c>
      <c r="E62" s="32">
        <f>IF(D67&gt;5,"",
IF(D67&gt;1.001,'10A61 Liquid 3" ViscosityLINEST'!J64,'10A61 Liquid 3" ViscosityLINEST'!J63))</f>
        <v>31.775595238095292</v>
      </c>
      <c r="F62" s="37"/>
      <c r="G62" s="37"/>
      <c r="H62" s="37"/>
      <c r="I62" s="37"/>
      <c r="J62" s="37"/>
      <c r="K62" s="37"/>
      <c r="L62" s="37"/>
      <c r="M62" s="37"/>
      <c r="N62" s="37"/>
      <c r="O62" s="37"/>
      <c r="P62" s="37"/>
      <c r="Q62" s="37"/>
      <c r="R62" s="38"/>
    </row>
    <row r="63" spans="2:18">
      <c r="B63" s="36"/>
      <c r="C63" s="7">
        <v>1.4</v>
      </c>
      <c r="D63" s="7">
        <f>'10A61 Liquid 3"'!$B$4</f>
        <v>1</v>
      </c>
      <c r="E63" s="32">
        <f>IF(D67&gt;5,"",
IF(D67&gt;1.001,'10A61 Liquid 3" ViscosityLINEST'!J66,'10A61 Liquid 3" ViscosityLINEST'!J65))</f>
        <v>30.272063492063502</v>
      </c>
      <c r="F63" s="37"/>
      <c r="G63" s="37"/>
      <c r="H63" s="37"/>
      <c r="I63" s="37"/>
      <c r="J63" s="37"/>
      <c r="K63" s="37"/>
      <c r="L63" s="37"/>
      <c r="M63" s="37"/>
      <c r="N63" s="37"/>
      <c r="O63" s="37"/>
      <c r="P63" s="37"/>
      <c r="Q63" s="37"/>
      <c r="R63" s="38"/>
    </row>
    <row r="64" spans="2:18">
      <c r="B64" s="36"/>
      <c r="C64" s="7">
        <v>1.5</v>
      </c>
      <c r="D64" s="7">
        <f>'10A61 Liquid 3"'!$B$4</f>
        <v>1</v>
      </c>
      <c r="E64" s="32">
        <f>IF(D67&gt;5,"",
IF(D67&gt;1.001,'10A61 Liquid 3" ViscosityLINEST'!J68,'10A61 Liquid 3" ViscosityLINEST'!J67))</f>
        <v>29.596626984126971</v>
      </c>
      <c r="F64" s="37"/>
      <c r="G64" s="37"/>
      <c r="H64" s="37"/>
      <c r="I64" s="37"/>
      <c r="J64" s="37"/>
      <c r="K64" s="37"/>
      <c r="L64" s="37"/>
      <c r="M64" s="37"/>
      <c r="N64" s="37"/>
      <c r="O64" s="37"/>
      <c r="P64" s="37"/>
      <c r="Q64" s="37"/>
      <c r="R64" s="38"/>
    </row>
    <row r="65" spans="2:18" ht="15.75" thickBot="1">
      <c r="B65" s="36"/>
      <c r="C65" s="37"/>
      <c r="D65" s="37"/>
      <c r="E65" s="37"/>
      <c r="F65" s="37"/>
      <c r="G65" s="37"/>
      <c r="H65" s="37"/>
      <c r="I65" s="37"/>
      <c r="J65" s="37"/>
      <c r="K65" s="37"/>
      <c r="L65" s="37"/>
      <c r="M65" s="37"/>
      <c r="N65" s="37"/>
      <c r="O65" s="37"/>
      <c r="P65" s="37"/>
      <c r="Q65" s="37"/>
      <c r="R65" s="38"/>
    </row>
    <row r="66" spans="2:18" ht="15.75" thickBot="1">
      <c r="B66" s="36"/>
      <c r="C66" s="31" t="s">
        <v>76</v>
      </c>
      <c r="D66" s="31" t="s">
        <v>68</v>
      </c>
      <c r="E66" s="31" t="s">
        <v>67</v>
      </c>
      <c r="F66" s="37"/>
      <c r="G66" s="228" t="s">
        <v>65</v>
      </c>
      <c r="H66" s="229"/>
      <c r="I66" s="230"/>
      <c r="J66" s="37"/>
      <c r="K66" s="37"/>
      <c r="L66" s="37"/>
      <c r="M66" s="37"/>
      <c r="N66" s="37"/>
      <c r="O66" s="37"/>
      <c r="P66" s="37"/>
      <c r="Q66" s="37"/>
      <c r="R66" s="38"/>
    </row>
    <row r="67" spans="2:18" ht="15.75" thickBot="1">
      <c r="B67" s="36"/>
      <c r="C67" s="31">
        <f>$B$3</f>
        <v>0.99</v>
      </c>
      <c r="D67" s="31">
        <f>$C$3</f>
        <v>1</v>
      </c>
      <c r="E67" s="31">
        <f>G67*C67^3+H67*C67^2+I67*C67+J67</f>
        <v>33.440291332708142</v>
      </c>
      <c r="F67" s="37"/>
      <c r="G67" s="7">
        <f t="array" ref="G67:J67">IF(AND(NOT(E58="")),LINEST(E58:E64,C58:C64^{1,2,3}),
IF(AND(E58="",NOT(E59=""),NOT(E60=""),NOT(E61=""),NOT(E62=""),NOT(E63=""),NOT(E64="")),LINEST(E59:E64,C59:C64^{1,2,3}),
IF(AND(E59="",NOT(E60=""),NOT(E61=""),NOT(E62=""),NOT(E63=""),NOT(E64="")),LINEST(E60:E64,C60:C64^{1,2,3}),
IF(AND(E60="",NOT(E61=""),NOT(E62=""),NOT(E63=""),NOT(E64="")),LINEST(E61:E64,C61:C64^{1,2,3}),
IF(AND(E61="",NOT(E62=""),NOT(E63=""),NOT(E64="")),LINEST(E62:E64,C62:C64^{1,2,3}),
IF(AND(E62="",NOT(E63=""),NOT(E64="")),LINEST(E63:E64,C63:C64^{1,2,3}),
IF(AND(E63="",NOT(E64="")),LINEST(E64,C64^{1,2,3}),"NOT APPLICABLE")))))))</f>
        <v>-1.8847803149315114</v>
      </c>
      <c r="H67" s="7">
        <v>6.9391022386788705</v>
      </c>
      <c r="I67" s="7">
        <v>-16.021061819081368</v>
      </c>
      <c r="J67" s="37">
        <v>44.32892888426727</v>
      </c>
      <c r="K67" s="37"/>
      <c r="L67" s="37"/>
      <c r="M67" s="37"/>
      <c r="N67" s="37"/>
      <c r="O67" s="37"/>
      <c r="P67" s="37"/>
      <c r="Q67" s="37"/>
      <c r="R67" s="38"/>
    </row>
    <row r="68" spans="2:18">
      <c r="B68" s="36"/>
      <c r="C68" s="37"/>
      <c r="D68" s="37"/>
      <c r="E68" s="37"/>
      <c r="F68" s="37"/>
      <c r="G68" s="37"/>
      <c r="H68" s="37"/>
      <c r="I68" s="37"/>
      <c r="J68" s="37"/>
      <c r="K68" s="37"/>
      <c r="L68" s="37"/>
      <c r="M68" s="37"/>
      <c r="N68" s="37"/>
      <c r="O68" s="37"/>
      <c r="P68" s="37"/>
      <c r="Q68" s="37"/>
      <c r="R68" s="38"/>
    </row>
    <row r="69" spans="2:18">
      <c r="B69" s="39"/>
      <c r="C69" s="40"/>
      <c r="D69" s="40"/>
      <c r="E69" s="40"/>
      <c r="F69" s="40"/>
      <c r="G69" s="40"/>
      <c r="H69" s="40"/>
      <c r="I69" s="40"/>
      <c r="J69" s="40"/>
      <c r="K69" s="40"/>
      <c r="L69" s="40"/>
      <c r="M69" s="40"/>
      <c r="N69" s="40"/>
      <c r="O69" s="40"/>
      <c r="P69" s="40"/>
      <c r="Q69" s="40"/>
      <c r="R69" s="41"/>
    </row>
    <row r="71" spans="2:18">
      <c r="B71" s="34"/>
      <c r="C71" s="35"/>
      <c r="D71" s="35"/>
      <c r="E71" s="35"/>
      <c r="F71" s="35"/>
      <c r="G71" s="42" t="s">
        <v>83</v>
      </c>
      <c r="H71" s="35"/>
      <c r="I71" s="35"/>
      <c r="J71" s="35"/>
      <c r="K71" s="35"/>
      <c r="L71" s="35"/>
      <c r="M71" s="35"/>
      <c r="N71" s="35"/>
      <c r="O71" s="35"/>
      <c r="P71" s="35"/>
      <c r="Q71" s="35"/>
      <c r="R71" s="33"/>
    </row>
    <row r="72" spans="2:18">
      <c r="B72" s="36"/>
      <c r="C72" s="37"/>
      <c r="D72" s="37"/>
      <c r="E72" s="37"/>
      <c r="F72" s="37"/>
      <c r="G72" s="37"/>
      <c r="H72" s="37"/>
      <c r="I72" s="37"/>
      <c r="J72" s="37"/>
      <c r="K72" s="37"/>
      <c r="L72" s="37"/>
      <c r="M72" s="37"/>
      <c r="N72" s="37"/>
      <c r="O72" s="37"/>
      <c r="P72" s="37"/>
      <c r="Q72" s="37"/>
      <c r="R72" s="38"/>
    </row>
    <row r="73" spans="2:18">
      <c r="B73" s="36"/>
      <c r="C73" s="7" t="s">
        <v>11</v>
      </c>
      <c r="D73" s="7" t="s">
        <v>60</v>
      </c>
      <c r="E73" s="7" t="s">
        <v>53</v>
      </c>
      <c r="F73" s="37"/>
      <c r="G73" s="37"/>
      <c r="H73" s="37"/>
      <c r="I73" s="37"/>
      <c r="J73" s="37"/>
      <c r="K73" s="37"/>
      <c r="L73" s="37"/>
      <c r="M73" s="37"/>
      <c r="N73" s="37"/>
      <c r="O73" s="37"/>
      <c r="P73" s="37"/>
      <c r="Q73" s="37"/>
      <c r="R73" s="38"/>
    </row>
    <row r="74" spans="2:18">
      <c r="B74" s="36"/>
      <c r="C74" s="7">
        <v>0.4</v>
      </c>
      <c r="D74" s="7">
        <f>'10A61 Liquid 3"'!$B$4</f>
        <v>1</v>
      </c>
      <c r="E74" s="32">
        <f>IF(D83&gt;5,"",
IF(D83&gt;1.001,'10A61 Liquid 3" ViscosityLINEST'!J72,'10A61 Liquid 3" ViscosityLINEST'!J71))</f>
        <v>42.974365079365114</v>
      </c>
      <c r="F74" s="37"/>
      <c r="G74" s="37"/>
      <c r="H74" s="37"/>
      <c r="I74" s="37"/>
      <c r="J74" s="37"/>
      <c r="K74" s="37"/>
      <c r="L74" s="37"/>
      <c r="M74" s="37"/>
      <c r="N74" s="37"/>
      <c r="O74" s="37"/>
      <c r="P74" s="37"/>
      <c r="Q74" s="37"/>
      <c r="R74" s="38"/>
    </row>
    <row r="75" spans="2:18">
      <c r="B75" s="36"/>
      <c r="C75" s="7">
        <v>0.6</v>
      </c>
      <c r="D75" s="7">
        <f>'10A61 Liquid 3"'!$B$4</f>
        <v>1</v>
      </c>
      <c r="E75" s="32">
        <f>IF(D83&gt;5,"",
IF(D83&gt;1.001,'10A61 Liquid 3" ViscosityLINEST'!J74,'10A61 Liquid 3" ViscosityLINEST'!J73))</f>
        <v>40.385357142857146</v>
      </c>
      <c r="F75" s="37"/>
      <c r="G75" s="37"/>
      <c r="H75" s="37"/>
      <c r="I75" s="37"/>
      <c r="J75" s="37"/>
      <c r="K75" s="37"/>
      <c r="L75" s="37"/>
      <c r="M75" s="37"/>
      <c r="N75" s="37"/>
      <c r="O75" s="37"/>
      <c r="P75" s="37"/>
      <c r="Q75" s="37"/>
      <c r="R75" s="38"/>
    </row>
    <row r="76" spans="2:18">
      <c r="B76" s="36"/>
      <c r="C76" s="7">
        <v>0.8</v>
      </c>
      <c r="D76" s="7">
        <f>'10A61 Liquid 3"'!$B$4</f>
        <v>1</v>
      </c>
      <c r="E76" s="32">
        <f>IF(D83&gt;5,"",
IF(D83&gt;1.001,'10A61 Liquid 3" ViscosityLINEST'!J76,'10A61 Liquid 3" ViscosityLINEST'!J75))</f>
        <v>38.444206349206283</v>
      </c>
      <c r="F76" s="37"/>
      <c r="G76" s="37"/>
      <c r="H76" s="37"/>
      <c r="I76" s="37"/>
      <c r="J76" s="37"/>
      <c r="K76" s="37"/>
      <c r="L76" s="37"/>
      <c r="M76" s="37"/>
      <c r="N76" s="37"/>
      <c r="O76" s="37"/>
      <c r="P76" s="37"/>
      <c r="Q76" s="37"/>
      <c r="R76" s="38"/>
    </row>
    <row r="77" spans="2:18">
      <c r="B77" s="36"/>
      <c r="C77" s="7">
        <v>1</v>
      </c>
      <c r="D77" s="7">
        <f>'10A61 Liquid 3"'!$B$4</f>
        <v>1</v>
      </c>
      <c r="E77" s="32">
        <f>IF(D83&gt;5,"",
IF(D83&gt;1.001,'10A61 Liquid 3" ViscosityLINEST'!J78,'10A61 Liquid 3" ViscosityLINEST'!J77))</f>
        <v>36.54456349206356</v>
      </c>
      <c r="F77" s="37"/>
      <c r="G77" s="37"/>
      <c r="H77" s="37"/>
      <c r="I77" s="37"/>
      <c r="J77" s="37"/>
      <c r="K77" s="37"/>
      <c r="L77" s="37"/>
      <c r="M77" s="37"/>
      <c r="N77" s="37"/>
      <c r="O77" s="37"/>
      <c r="P77" s="37"/>
      <c r="Q77" s="37"/>
      <c r="R77" s="38"/>
    </row>
    <row r="78" spans="2:18">
      <c r="B78" s="36"/>
      <c r="C78" s="7">
        <v>1.2</v>
      </c>
      <c r="D78" s="7">
        <f>'10A61 Liquid 3"'!$B$4</f>
        <v>1</v>
      </c>
      <c r="E78" s="32">
        <f>IF(D83&gt;5,"",
IF(D83&gt;1.001,'10A61 Liquid 3" ViscosityLINEST'!J80,'10A61 Liquid 3" ViscosityLINEST'!J79))</f>
        <v>34.619444444444454</v>
      </c>
      <c r="F78" s="37"/>
      <c r="G78" s="37"/>
      <c r="H78" s="37"/>
      <c r="I78" s="37"/>
      <c r="J78" s="37"/>
      <c r="K78" s="37"/>
      <c r="L78" s="37"/>
      <c r="M78" s="37"/>
      <c r="N78" s="37"/>
      <c r="O78" s="37"/>
      <c r="P78" s="37"/>
      <c r="Q78" s="37"/>
      <c r="R78" s="38"/>
    </row>
    <row r="79" spans="2:18">
      <c r="B79" s="36"/>
      <c r="C79" s="7">
        <v>1.4</v>
      </c>
      <c r="D79" s="7">
        <f>'10A61 Liquid 3"'!$B$4</f>
        <v>1</v>
      </c>
      <c r="E79" s="32">
        <f>IF(D83&gt;5,"",
IF(D83&gt;1.001,'10A61 Liquid 3" ViscosityLINEST'!J82,'10A61 Liquid 3" ViscosityLINEST'!J81))</f>
        <v>33.022380952380956</v>
      </c>
      <c r="F79" s="37"/>
      <c r="G79" s="37"/>
      <c r="H79" s="37"/>
      <c r="I79" s="37"/>
      <c r="J79" s="37"/>
      <c r="K79" s="37"/>
      <c r="L79" s="37"/>
      <c r="M79" s="37"/>
      <c r="N79" s="37"/>
      <c r="O79" s="37"/>
      <c r="P79" s="37"/>
      <c r="Q79" s="37"/>
      <c r="R79" s="38"/>
    </row>
    <row r="80" spans="2:18">
      <c r="B80" s="36"/>
      <c r="C80" s="7">
        <v>1.5</v>
      </c>
      <c r="D80" s="7">
        <f>'10A61 Liquid 3"'!$B$4</f>
        <v>1</v>
      </c>
      <c r="E80" s="32">
        <f>IF(D83&gt;5,"",
IF(D83&gt;1.001,'10A61 Liquid 3" ViscosityLINEST'!J84,'10A61 Liquid 3" ViscosityLINEST'!J83))</f>
        <v>32.309484126984117</v>
      </c>
      <c r="F80" s="37"/>
      <c r="G80" s="37"/>
      <c r="H80" s="37"/>
      <c r="I80" s="37"/>
      <c r="J80" s="37"/>
      <c r="K80" s="37"/>
      <c r="L80" s="37"/>
      <c r="M80" s="37"/>
      <c r="N80" s="37"/>
      <c r="O80" s="37"/>
      <c r="P80" s="37"/>
      <c r="Q80" s="37"/>
      <c r="R80" s="38"/>
    </row>
    <row r="81" spans="2:18" ht="15.75" thickBot="1">
      <c r="B81" s="36"/>
      <c r="C81" s="37"/>
      <c r="D81" s="37"/>
      <c r="E81" s="37"/>
      <c r="F81" s="37"/>
      <c r="G81" s="37"/>
      <c r="H81" s="37"/>
      <c r="I81" s="37"/>
      <c r="J81" s="37"/>
      <c r="K81" s="37"/>
      <c r="L81" s="37"/>
      <c r="M81" s="37"/>
      <c r="N81" s="37"/>
      <c r="O81" s="37"/>
      <c r="P81" s="37"/>
      <c r="Q81" s="37"/>
      <c r="R81" s="38"/>
    </row>
    <row r="82" spans="2:18" ht="15.75" thickBot="1">
      <c r="B82" s="36"/>
      <c r="C82" s="31" t="s">
        <v>76</v>
      </c>
      <c r="D82" s="31" t="s">
        <v>68</v>
      </c>
      <c r="E82" s="31" t="s">
        <v>67</v>
      </c>
      <c r="F82" s="37"/>
      <c r="G82" s="228" t="s">
        <v>65</v>
      </c>
      <c r="H82" s="229"/>
      <c r="I82" s="230"/>
      <c r="J82" s="37"/>
      <c r="K82" s="37"/>
      <c r="L82" s="37"/>
      <c r="M82" s="37"/>
      <c r="N82" s="37"/>
      <c r="O82" s="37"/>
      <c r="P82" s="37"/>
      <c r="Q82" s="37"/>
      <c r="R82" s="38"/>
    </row>
    <row r="83" spans="2:18" ht="15.75" thickBot="1">
      <c r="B83" s="36"/>
      <c r="C83" s="31">
        <f>$B$3</f>
        <v>0.99</v>
      </c>
      <c r="D83" s="31">
        <f>$C$3</f>
        <v>1</v>
      </c>
      <c r="E83" s="31">
        <f>G83*C83^2+H83*C83+I83</f>
        <v>36.534275286493916</v>
      </c>
      <c r="F83" s="37"/>
      <c r="G83" s="7">
        <f t="array" ref="G83:I83">IF(AND(NOT(E74="")),LINEST(E74:E80,C74:C80^{1,2}),
IF(AND(E74="",NOT(E75=""),NOT(E76=""),NOT(E77=""),NOT(E78=""),NOT(E79=""),NOT(E80="")),LINEST(E75:E80,C75:C80^{1,2}),
IF(AND(E75="",NOT(E76=""),NOT(E77=""),NOT(E78=""),NOT(E79=""),NOT(E80="")),LINEST(E76:E80,C76:C80^{1,2}),
IF(AND(E76="",NOT(E77=""),NOT(E78=""),NOT(E79=""),NOT(E80="")),LINEST(E77:E80,C77:C80^{1,2}),
IF(AND(E77="",NOT(E78=""),NOT(E79=""),NOT(E80="")),LINEST(E78:E80,C78:C80^{1,2}),
IF(AND(E78="",NOT(E79=""),NOT(E80="")),LINEST(E79:E80,C79:C80^{1,2}),
IF(AND(E79="",NOT(E80="")),LINEST(E80,C80^{1,2}),"NOT APPLICABLE")))))))</f>
        <v>2.2569848429703345</v>
      </c>
      <c r="H83" s="7">
        <v>-13.910629013748988</v>
      </c>
      <c r="I83" s="7">
        <v>48.093727165510188</v>
      </c>
      <c r="J83" s="37"/>
      <c r="K83" s="37"/>
      <c r="L83" s="37"/>
      <c r="M83" s="37"/>
      <c r="N83" s="37"/>
      <c r="O83" s="37"/>
      <c r="P83" s="37"/>
      <c r="Q83" s="37"/>
      <c r="R83" s="38"/>
    </row>
    <row r="84" spans="2:18">
      <c r="B84" s="36"/>
      <c r="C84" s="37"/>
      <c r="D84" s="37"/>
      <c r="E84" s="37"/>
      <c r="F84" s="37"/>
      <c r="G84" s="37"/>
      <c r="H84" s="37"/>
      <c r="I84" s="37"/>
      <c r="J84" s="37"/>
      <c r="K84" s="37"/>
      <c r="L84" s="37"/>
      <c r="M84" s="37"/>
      <c r="N84" s="37"/>
      <c r="O84" s="37"/>
      <c r="P84" s="37"/>
      <c r="Q84" s="37"/>
      <c r="R84" s="38"/>
    </row>
    <row r="85" spans="2:18">
      <c r="B85" s="39"/>
      <c r="C85" s="40"/>
      <c r="D85" s="40"/>
      <c r="E85" s="40"/>
      <c r="F85" s="40"/>
      <c r="G85" s="40"/>
      <c r="H85" s="40"/>
      <c r="I85" s="40"/>
      <c r="J85" s="40"/>
      <c r="K85" s="40"/>
      <c r="L85" s="40"/>
      <c r="M85" s="40"/>
      <c r="N85" s="40"/>
      <c r="O85" s="40"/>
      <c r="P85" s="40"/>
      <c r="Q85" s="40"/>
      <c r="R85" s="41"/>
    </row>
    <row r="87" spans="2:18">
      <c r="B87" s="34"/>
      <c r="C87" s="35"/>
      <c r="D87" s="35"/>
      <c r="E87" s="35"/>
      <c r="F87" s="35"/>
      <c r="G87" s="42" t="s">
        <v>81</v>
      </c>
      <c r="H87" s="35"/>
      <c r="I87" s="35"/>
      <c r="J87" s="35"/>
      <c r="K87" s="35"/>
      <c r="L87" s="35"/>
      <c r="M87" s="35"/>
      <c r="N87" s="35"/>
      <c r="O87" s="35"/>
      <c r="P87" s="35"/>
      <c r="Q87" s="35"/>
      <c r="R87" s="33"/>
    </row>
    <row r="88" spans="2:18">
      <c r="B88" s="36"/>
      <c r="C88" s="37"/>
      <c r="D88" s="37"/>
      <c r="E88" s="37"/>
      <c r="F88" s="37"/>
      <c r="G88" s="37"/>
      <c r="H88" s="37"/>
      <c r="I88" s="37"/>
      <c r="J88" s="37"/>
      <c r="K88" s="37"/>
      <c r="L88" s="37"/>
      <c r="M88" s="37"/>
      <c r="N88" s="37"/>
      <c r="O88" s="37"/>
      <c r="P88" s="37"/>
      <c r="Q88" s="37"/>
      <c r="R88" s="38"/>
    </row>
    <row r="89" spans="2:18">
      <c r="B89" s="36"/>
      <c r="C89" s="7" t="s">
        <v>11</v>
      </c>
      <c r="D89" s="7" t="s">
        <v>60</v>
      </c>
      <c r="E89" s="7" t="s">
        <v>53</v>
      </c>
      <c r="F89" s="37"/>
      <c r="G89" s="37"/>
      <c r="H89" s="37"/>
      <c r="I89" s="37"/>
      <c r="J89" s="37"/>
      <c r="K89" s="37"/>
      <c r="L89" s="37"/>
      <c r="M89" s="37"/>
      <c r="N89" s="37"/>
      <c r="O89" s="37"/>
      <c r="P89" s="37"/>
      <c r="Q89" s="37"/>
      <c r="R89" s="38"/>
    </row>
    <row r="90" spans="2:18">
      <c r="B90" s="36"/>
      <c r="C90" s="7">
        <v>0.4</v>
      </c>
      <c r="D90" s="7">
        <f>'10A61 Liquid 3"'!$B$4</f>
        <v>1</v>
      </c>
      <c r="E90" s="32">
        <f>IF(D99&gt;5,"",
IF(D99&gt;1.011,'10A61 Liquid 3" ViscosityLINEST'!J88,'10A61 Liquid 3" ViscosityLINEST'!J87))</f>
        <v>40.913928571428642</v>
      </c>
      <c r="F90" s="37"/>
      <c r="G90" s="37"/>
      <c r="H90" s="37"/>
      <c r="I90" s="37"/>
      <c r="J90" s="37"/>
      <c r="K90" s="37"/>
      <c r="L90" s="37"/>
      <c r="M90" s="37"/>
      <c r="N90" s="37"/>
      <c r="O90" s="37"/>
      <c r="P90" s="37"/>
      <c r="Q90" s="37"/>
      <c r="R90" s="38"/>
    </row>
    <row r="91" spans="2:18">
      <c r="B91" s="36"/>
      <c r="C91" s="7">
        <v>0.6</v>
      </c>
      <c r="D91" s="7">
        <f>'10A61 Liquid 3"'!$B$4</f>
        <v>1</v>
      </c>
      <c r="E91" s="32">
        <f>IF(D99&gt;5,"",
IF(D99&gt;1.001,'10A61 Liquid 3" ViscosityLINEST'!J90,'10A61 Liquid 3" ViscosityLINEST'!J89))</f>
        <v>36.301626984126997</v>
      </c>
      <c r="F91" s="37"/>
      <c r="G91" s="37"/>
      <c r="H91" s="37"/>
      <c r="I91" s="37"/>
      <c r="J91" s="37"/>
      <c r="K91" s="37"/>
      <c r="L91" s="37"/>
      <c r="M91" s="37"/>
      <c r="N91" s="37"/>
      <c r="O91" s="37"/>
      <c r="P91" s="37"/>
      <c r="Q91" s="37"/>
      <c r="R91" s="38"/>
    </row>
    <row r="92" spans="2:18">
      <c r="B92" s="36"/>
      <c r="C92" s="7">
        <v>0.8</v>
      </c>
      <c r="D92" s="7">
        <f>'10A61 Liquid 3"'!$B$4</f>
        <v>1</v>
      </c>
      <c r="E92" s="32">
        <f>IF(D99&gt;5,"",
IF(D99&gt;1.001,'10A61 Liquid 3" ViscosityLINEST'!J92,'10A61 Liquid 3" ViscosityLINEST'!J91))</f>
        <v>32.209166666666675</v>
      </c>
      <c r="F92" s="37"/>
      <c r="G92" s="37"/>
      <c r="H92" s="37"/>
      <c r="I92" s="37"/>
      <c r="J92" s="37"/>
      <c r="K92" s="37"/>
      <c r="L92" s="37"/>
      <c r="M92" s="37"/>
      <c r="N92" s="37"/>
      <c r="O92" s="37"/>
      <c r="P92" s="37"/>
      <c r="Q92" s="37"/>
      <c r="R92" s="38"/>
    </row>
    <row r="93" spans="2:18">
      <c r="B93" s="36"/>
      <c r="C93" s="7">
        <v>1</v>
      </c>
      <c r="D93" s="7">
        <f>'10A61 Liquid 3"'!$B$4</f>
        <v>1</v>
      </c>
      <c r="E93" s="32">
        <f>IF(D99&gt;5,"",
IF(D99&gt;1.001,'10A61 Liquid 3" ViscosityLINEST'!J94,'10A61 Liquid 3" ViscosityLINEST'!J93))</f>
        <v>28.322857142857146</v>
      </c>
      <c r="F93" s="37"/>
      <c r="G93" s="37"/>
      <c r="H93" s="37"/>
      <c r="I93" s="37"/>
      <c r="J93" s="37"/>
      <c r="K93" s="37"/>
      <c r="L93" s="37"/>
      <c r="M93" s="37"/>
      <c r="N93" s="37"/>
      <c r="O93" s="37"/>
      <c r="P93" s="37"/>
      <c r="Q93" s="37"/>
      <c r="R93" s="38"/>
    </row>
    <row r="94" spans="2:18">
      <c r="B94" s="36"/>
      <c r="C94" s="7">
        <v>1.2</v>
      </c>
      <c r="D94" s="7">
        <f>'10A61 Liquid 3"'!$B$4</f>
        <v>1</v>
      </c>
      <c r="E94" s="32">
        <f>IF(D99&gt;5,"",
IF(D99&gt;1.001,'10A61 Liquid 3" ViscosityLINEST'!J96,'10A61 Liquid 3" ViscosityLINEST'!J95))</f>
        <v>24.567817460317471</v>
      </c>
      <c r="F94" s="37"/>
      <c r="G94" s="37"/>
      <c r="H94" s="37"/>
      <c r="I94" s="37"/>
      <c r="J94" s="37"/>
      <c r="K94" s="37"/>
      <c r="L94" s="37"/>
      <c r="M94" s="37"/>
      <c r="N94" s="37"/>
      <c r="O94" s="37"/>
      <c r="P94" s="37"/>
      <c r="Q94" s="37"/>
      <c r="R94" s="38"/>
    </row>
    <row r="95" spans="2:18">
      <c r="B95" s="36"/>
      <c r="C95" s="7">
        <v>1.4</v>
      </c>
      <c r="D95" s="7">
        <f>'10A61 Liquid 3"'!$B$4</f>
        <v>1</v>
      </c>
      <c r="E95" s="32">
        <f>IF(D99&gt;5,"",
IF(D99&gt;1.001,'10A61 Liquid 3" ViscosityLINEST'!J98,'10A61 Liquid 3" ViscosityLINEST'!J97))</f>
        <v>20.917261904761887</v>
      </c>
      <c r="F95" s="37"/>
      <c r="G95" s="37"/>
      <c r="H95" s="37"/>
      <c r="I95" s="37"/>
      <c r="J95" s="37"/>
      <c r="K95" s="37"/>
      <c r="L95" s="37"/>
      <c r="M95" s="37"/>
      <c r="N95" s="37"/>
      <c r="O95" s="37"/>
      <c r="P95" s="37"/>
      <c r="Q95" s="37"/>
      <c r="R95" s="38"/>
    </row>
    <row r="96" spans="2:18">
      <c r="B96" s="36"/>
      <c r="C96" s="7">
        <v>1.5</v>
      </c>
      <c r="D96" s="7">
        <f>'10A61 Liquid 3"'!$B$4</f>
        <v>1</v>
      </c>
      <c r="E96" s="32">
        <f>IF(D99&gt;5,"",
IF(D99&gt;1.001,'10A61 Liquid 3" ViscosityLINEST'!J100,'10A61 Liquid 3" ViscosityLINEST'!J99))</f>
        <v>19.10789682539685</v>
      </c>
      <c r="F96" s="37"/>
      <c r="G96" s="37"/>
      <c r="H96" s="37"/>
      <c r="I96" s="37"/>
      <c r="J96" s="37"/>
      <c r="K96" s="37"/>
      <c r="L96" s="37"/>
      <c r="M96" s="37"/>
      <c r="N96" s="37"/>
      <c r="O96" s="37"/>
      <c r="P96" s="37"/>
      <c r="Q96" s="37"/>
      <c r="R96" s="38"/>
    </row>
    <row r="97" spans="2:18" ht="15.75" thickBot="1">
      <c r="B97" s="36"/>
      <c r="C97" s="37"/>
      <c r="D97" s="37"/>
      <c r="E97" s="37"/>
      <c r="F97" s="37"/>
      <c r="G97" s="37"/>
      <c r="H97" s="37"/>
      <c r="I97" s="37"/>
      <c r="J97" s="37"/>
      <c r="K97" s="37"/>
      <c r="L97" s="37"/>
      <c r="M97" s="37"/>
      <c r="N97" s="37"/>
      <c r="O97" s="37"/>
      <c r="P97" s="37"/>
      <c r="Q97" s="37"/>
      <c r="R97" s="38"/>
    </row>
    <row r="98" spans="2:18" ht="15.75" thickBot="1">
      <c r="B98" s="36"/>
      <c r="C98" s="31" t="s">
        <v>76</v>
      </c>
      <c r="D98" s="31" t="s">
        <v>68</v>
      </c>
      <c r="E98" s="31" t="s">
        <v>67</v>
      </c>
      <c r="F98" s="37"/>
      <c r="G98" s="238" t="s">
        <v>65</v>
      </c>
      <c r="H98" s="238"/>
      <c r="I98" s="238"/>
      <c r="J98" s="37"/>
      <c r="K98" s="37"/>
      <c r="L98" s="37"/>
      <c r="M98" s="37"/>
      <c r="N98" s="37"/>
      <c r="O98" s="37"/>
      <c r="P98" s="37"/>
      <c r="Q98" s="37"/>
      <c r="R98" s="38"/>
    </row>
    <row r="99" spans="2:18" ht="15.75" thickBot="1">
      <c r="B99" s="36"/>
      <c r="C99" s="31">
        <f>$B$3</f>
        <v>0.99</v>
      </c>
      <c r="D99" s="31">
        <f>$C$3</f>
        <v>1</v>
      </c>
      <c r="E99" s="31">
        <f>G99*C99^2+H99*C99+I99</f>
        <v>28.46556888826359</v>
      </c>
      <c r="F99" s="37"/>
      <c r="G99" s="7">
        <f t="array" ref="G99:I99">IF(AND(NOT(E90="")),LINEST(E90:E96,C90:C96^{1,2}),
IF(AND(E90="",NOT(E91=""),NOT(E92=""),NOT(E93=""),NOT(E94=""),NOT(E95=""),NOT(E96="")),LINEST(E91:E96,C91:C96^{1,2}),
IF(AND(E91="",NOT(E92=""),NOT(E93=""),NOT(E94=""),NOT(E95=""),NOT(E96="")),LINEST(E92:E96,C92:C96^{1,2}),
IF(AND(E92="",NOT(E93=""),NOT(E94=""),NOT(E95=""),NOT(E96="")),LINEST(E93:E96,C93:C96^{1,2}),
IF(AND(E93="",NOT(E94=""),NOT(E95=""),NOT(E96="")),LINEST(E94:E96,C94:C96^{1,2}),
IF(AND(E94="",NOT(E95=""),NOT(E96="")),LINEST(E95:E96,C95:C96^{1,2}),
IF(AND(E95="",NOT(E96="")),LINEST(E96,C96^{1,2}),"NOT APPLICABLE")))))))</f>
        <v>2.4756575234474982</v>
      </c>
      <c r="H99" s="7">
        <v>-24.381055023396289</v>
      </c>
      <c r="I99" s="7">
        <v>50.176421422695022</v>
      </c>
      <c r="J99" s="37"/>
      <c r="K99" s="37"/>
      <c r="L99" s="37"/>
      <c r="M99" s="37"/>
      <c r="N99" s="37"/>
      <c r="O99" s="37"/>
      <c r="P99" s="37"/>
      <c r="Q99" s="37"/>
      <c r="R99" s="38"/>
    </row>
    <row r="100" spans="2:18">
      <c r="B100" s="36"/>
      <c r="C100" s="37"/>
      <c r="D100" s="37"/>
      <c r="E100" s="37"/>
      <c r="F100" s="37"/>
      <c r="G100" s="37"/>
      <c r="H100" s="37"/>
      <c r="I100" s="37"/>
      <c r="J100" s="37"/>
      <c r="K100" s="37"/>
      <c r="L100" s="37"/>
      <c r="M100" s="37"/>
      <c r="N100" s="37"/>
      <c r="O100" s="37"/>
      <c r="P100" s="37"/>
      <c r="Q100" s="37"/>
      <c r="R100" s="38"/>
    </row>
    <row r="101" spans="2:18">
      <c r="B101" s="39"/>
      <c r="C101" s="40"/>
      <c r="D101" s="40"/>
      <c r="E101" s="40"/>
      <c r="F101" s="40"/>
      <c r="G101" s="40"/>
      <c r="H101" s="40"/>
      <c r="I101" s="40"/>
      <c r="J101" s="40"/>
      <c r="K101" s="40"/>
      <c r="L101" s="40"/>
      <c r="M101" s="40"/>
      <c r="N101" s="40"/>
      <c r="O101" s="40"/>
      <c r="P101" s="40"/>
      <c r="Q101" s="40"/>
      <c r="R101" s="41"/>
    </row>
    <row r="103" spans="2:18">
      <c r="B103" s="34"/>
      <c r="C103" s="35"/>
      <c r="D103" s="35"/>
      <c r="E103" s="35"/>
      <c r="F103" s="35"/>
      <c r="G103" s="42" t="s">
        <v>84</v>
      </c>
      <c r="H103" s="35"/>
      <c r="I103" s="35"/>
      <c r="J103" s="35"/>
      <c r="K103" s="35"/>
      <c r="L103" s="35"/>
      <c r="M103" s="35"/>
      <c r="N103" s="35"/>
      <c r="O103" s="35"/>
      <c r="P103" s="35"/>
      <c r="Q103" s="35"/>
      <c r="R103" s="33"/>
    </row>
    <row r="104" spans="2:18">
      <c r="B104" s="36"/>
      <c r="C104" s="37"/>
      <c r="D104" s="37"/>
      <c r="E104" s="37"/>
      <c r="F104" s="37"/>
      <c r="G104" s="37"/>
      <c r="H104" s="37"/>
      <c r="I104" s="37"/>
      <c r="J104" s="37"/>
      <c r="K104" s="37"/>
      <c r="L104" s="37"/>
      <c r="M104" s="37"/>
      <c r="N104" s="37"/>
      <c r="O104" s="37"/>
      <c r="P104" s="37"/>
      <c r="Q104" s="37"/>
      <c r="R104" s="38"/>
    </row>
    <row r="105" spans="2:18">
      <c r="B105" s="36"/>
      <c r="C105" s="7" t="s">
        <v>11</v>
      </c>
      <c r="D105" s="7" t="s">
        <v>60</v>
      </c>
      <c r="E105" s="7" t="s">
        <v>53</v>
      </c>
      <c r="F105" s="37"/>
      <c r="G105" s="37"/>
      <c r="H105" s="37"/>
      <c r="I105" s="37"/>
      <c r="J105" s="37"/>
      <c r="K105" s="37"/>
      <c r="L105" s="37"/>
      <c r="M105" s="37"/>
      <c r="N105" s="37"/>
      <c r="O105" s="37"/>
      <c r="P105" s="37"/>
      <c r="Q105" s="37"/>
      <c r="R105" s="38"/>
    </row>
    <row r="106" spans="2:18">
      <c r="B106" s="36"/>
      <c r="C106" s="7">
        <v>0.4</v>
      </c>
      <c r="D106" s="7">
        <f>'10A61 Liquid 3"'!$B$4</f>
        <v>1</v>
      </c>
      <c r="E106" s="32">
        <f t="array" ref="E106">IF(D115&gt;5,"",
IF(D115&gt;1.011,'10A61 Liquid 3" ViscosityLINEST'!J104,'10A61 Liquid 3" ViscosityLINEST'!J103))</f>
        <v>66.145952380952409</v>
      </c>
      <c r="F106" s="37"/>
      <c r="G106" s="37"/>
      <c r="H106" s="37"/>
      <c r="I106" s="37"/>
      <c r="J106" s="37"/>
      <c r="K106" s="37"/>
      <c r="L106" s="37"/>
      <c r="M106" s="37"/>
      <c r="N106" s="37"/>
      <c r="O106" s="37"/>
      <c r="P106" s="37"/>
      <c r="Q106" s="37"/>
      <c r="R106" s="38"/>
    </row>
    <row r="107" spans="2:18">
      <c r="B107" s="36"/>
      <c r="C107" s="7">
        <v>0.6</v>
      </c>
      <c r="D107" s="7">
        <f>'10A61 Liquid 3"'!$B$4</f>
        <v>1</v>
      </c>
      <c r="E107" s="32">
        <f>IF(D115&gt;5,"",
IF(D115&gt;1.001,'10A61 Liquid 3" ViscosityLINEST'!J106,'10A61 Liquid 3" ViscosityLINEST'!J105))</f>
        <v>59.819563492063509</v>
      </c>
      <c r="F107" s="37"/>
      <c r="G107" s="37"/>
      <c r="H107" s="37"/>
      <c r="I107" s="37"/>
      <c r="J107" s="37"/>
      <c r="K107" s="37"/>
      <c r="L107" s="37"/>
      <c r="M107" s="37"/>
      <c r="N107" s="37"/>
      <c r="O107" s="37"/>
      <c r="P107" s="37"/>
      <c r="Q107" s="37"/>
      <c r="R107" s="38"/>
    </row>
    <row r="108" spans="2:18">
      <c r="B108" s="36"/>
      <c r="C108" s="7">
        <v>0.8</v>
      </c>
      <c r="D108" s="7">
        <f>'10A61 Liquid 3"'!$B$4</f>
        <v>1</v>
      </c>
      <c r="E108" s="32">
        <f>IF(D115&gt;5,"",
IF(D115&gt;1.001,'10A61 Liquid 3" ViscosityLINEST'!J108,'10A61 Liquid 3" ViscosityLINEST'!J107))</f>
        <v>53.784285714285772</v>
      </c>
      <c r="F108" s="37"/>
      <c r="G108" s="37"/>
      <c r="H108" s="37"/>
      <c r="I108" s="37"/>
      <c r="J108" s="37"/>
      <c r="K108" s="37"/>
      <c r="L108" s="37"/>
      <c r="M108" s="37"/>
      <c r="N108" s="37"/>
      <c r="O108" s="37"/>
      <c r="P108" s="37"/>
      <c r="Q108" s="37"/>
      <c r="R108" s="38"/>
    </row>
    <row r="109" spans="2:18">
      <c r="B109" s="36"/>
      <c r="C109" s="7">
        <v>1</v>
      </c>
      <c r="D109" s="7">
        <f>'10A61 Liquid 3"'!$B$4</f>
        <v>1</v>
      </c>
      <c r="E109" s="32">
        <f>IF(D115&gt;5,"",
IF(D115&gt;1.001,'10A61 Liquid 3" ViscosityLINEST'!J110,'10A61 Liquid 3" ViscosityLINEST'!J109))</f>
        <v>48.837539682539685</v>
      </c>
      <c r="F109" s="37"/>
      <c r="G109" s="37"/>
      <c r="H109" s="37"/>
      <c r="I109" s="37"/>
      <c r="J109" s="37"/>
      <c r="K109" s="37"/>
      <c r="L109" s="37"/>
      <c r="M109" s="37"/>
      <c r="N109" s="37"/>
      <c r="O109" s="37"/>
      <c r="P109" s="37"/>
      <c r="Q109" s="37"/>
      <c r="R109" s="38"/>
    </row>
    <row r="110" spans="2:18">
      <c r="B110" s="36"/>
      <c r="C110" s="7">
        <v>1.2</v>
      </c>
      <c r="D110" s="7">
        <f>'10A61 Liquid 3"'!$B$4</f>
        <v>1</v>
      </c>
      <c r="E110" s="32">
        <f>IF(D115&gt;5,"",
IF(D115&gt;1.001,'10A61 Liquid 3" ViscosityLINEST'!J112,'10A61 Liquid 3" ViscosityLINEST'!J111))</f>
        <v>44.275833333333239</v>
      </c>
      <c r="F110" s="37"/>
      <c r="G110" s="37"/>
      <c r="H110" s="37"/>
      <c r="I110" s="37"/>
      <c r="J110" s="37"/>
      <c r="K110" s="37"/>
      <c r="L110" s="37"/>
      <c r="M110" s="37"/>
      <c r="N110" s="37"/>
      <c r="O110" s="37"/>
      <c r="P110" s="37"/>
      <c r="Q110" s="37"/>
      <c r="R110" s="38"/>
    </row>
    <row r="111" spans="2:18">
      <c r="B111" s="36"/>
      <c r="C111" s="7">
        <v>1.4</v>
      </c>
      <c r="D111" s="7">
        <f>'10A61 Liquid 3"'!$B$4</f>
        <v>1</v>
      </c>
      <c r="E111" s="32">
        <f>IF(D115&gt;5,"",
IF(D115&gt;1.001,'10A61 Liquid 3" ViscosityLINEST'!J114,'10A61 Liquid 3" ViscosityLINEST'!J113))</f>
        <v>40.15126984126988</v>
      </c>
      <c r="F111" s="37"/>
      <c r="G111" s="37"/>
      <c r="H111" s="37"/>
      <c r="I111" s="37"/>
      <c r="J111" s="37"/>
      <c r="K111" s="37"/>
      <c r="L111" s="37"/>
      <c r="M111" s="37"/>
      <c r="N111" s="37"/>
      <c r="O111" s="37"/>
      <c r="P111" s="37"/>
      <c r="Q111" s="37"/>
      <c r="R111" s="38"/>
    </row>
    <row r="112" spans="2:18">
      <c r="B112" s="36"/>
      <c r="C112" s="7">
        <v>1.5</v>
      </c>
      <c r="D112" s="7">
        <f>'10A61 Liquid 3"'!$B$4</f>
        <v>1</v>
      </c>
      <c r="E112" s="32">
        <f>IF(D115&gt;5,"",
IF(D115&gt;1.001,'10A61 Liquid 3" ViscosityLINEST'!J116,'10A61 Liquid 3" ViscosityLINEST'!J115))</f>
        <v>38.257619047618945</v>
      </c>
      <c r="F112" s="37"/>
      <c r="G112" s="37"/>
      <c r="H112" s="37"/>
      <c r="I112" s="37"/>
      <c r="J112" s="37"/>
      <c r="K112" s="37"/>
      <c r="L112" s="37"/>
      <c r="M112" s="37"/>
      <c r="N112" s="37"/>
      <c r="O112" s="37"/>
      <c r="P112" s="37"/>
      <c r="Q112" s="37"/>
      <c r="R112" s="38"/>
    </row>
    <row r="113" spans="2:18" ht="15.75" thickBot="1">
      <c r="B113" s="36"/>
      <c r="C113" s="37"/>
      <c r="D113" s="37"/>
      <c r="E113" s="37"/>
      <c r="F113" s="37"/>
      <c r="G113" s="37"/>
      <c r="H113" s="37"/>
      <c r="I113" s="37"/>
      <c r="J113" s="37"/>
      <c r="K113" s="37"/>
      <c r="L113" s="37"/>
      <c r="M113" s="37"/>
      <c r="N113" s="37"/>
      <c r="O113" s="37"/>
      <c r="P113" s="37"/>
      <c r="Q113" s="37"/>
      <c r="R113" s="38"/>
    </row>
    <row r="114" spans="2:18" ht="15.75" thickBot="1">
      <c r="B114" s="36"/>
      <c r="C114" s="31" t="s">
        <v>76</v>
      </c>
      <c r="D114" s="31" t="s">
        <v>68</v>
      </c>
      <c r="E114" s="31" t="s">
        <v>67</v>
      </c>
      <c r="F114" s="37"/>
      <c r="G114" s="238" t="s">
        <v>65</v>
      </c>
      <c r="H114" s="238"/>
      <c r="I114" s="238"/>
      <c r="J114" s="37"/>
      <c r="K114" s="37"/>
      <c r="L114" s="37"/>
      <c r="M114" s="37"/>
      <c r="N114" s="37"/>
      <c r="O114" s="37"/>
      <c r="P114" s="37"/>
      <c r="Q114" s="37"/>
      <c r="R114" s="38"/>
    </row>
    <row r="115" spans="2:18" ht="15.75" thickBot="1">
      <c r="B115" s="36"/>
      <c r="C115" s="31">
        <f>$B$3</f>
        <v>0.99</v>
      </c>
      <c r="D115" s="31">
        <f>$C$3</f>
        <v>1</v>
      </c>
      <c r="E115" s="31">
        <f>G115*C115^3+H115*C115^2+I115*C115+J115</f>
        <v>49.047742434853134</v>
      </c>
      <c r="F115" s="37"/>
      <c r="G115" s="7">
        <f t="array" ref="G115:J115">IF(AND(NOT(E106="")),LINEST(E106:E112,C106:C112^{1,2,3}),
IF(AND(E106="",NOT(E107=""),NOT(E108=""),NOT(E109=""),NOT(E110=""),NOT(E111=""),NOT(E112="")),LINEST(E107:E112,C107:C112^{1,2,3}),
IF(AND(E107="",NOT(E108=""),NOT(E109=""),NOT(E110=""),NOT(E111=""),NOT(E112="")),LINEST(E108:E112,C108:C112^{1,2,3}),
IF(AND(E108="",NOT(E109=""),NOT(E110=""),NOT(E111=""),NOT(E112="")),LINEST(E109:E112,C109:C112^{1,2,3}),
IF(AND(E109="",NOT(E110=""),NOT(E111=""),NOT(E112="")),LINEST(E110:E112,C110:C112^{1,2,3}),
IF(AND(E110="",NOT(E111=""),NOT(E112="")),LINEST(E111:E112,C111:C112^{1,2,3}),
IF(AND(E111="",NOT(E112="")),LINEST(E112,C112^{1,2,3}),"NOT APPLICABLE")))))))</f>
        <v>-1.7614678346711412</v>
      </c>
      <c r="H115" s="7">
        <v>12.272924844626893</v>
      </c>
      <c r="I115" s="7">
        <v>-43.397133396243888</v>
      </c>
      <c r="J115" s="37">
        <v>81.691361335429335</v>
      </c>
      <c r="K115" s="37"/>
      <c r="L115" s="37"/>
      <c r="M115" s="37"/>
      <c r="N115" s="37"/>
      <c r="O115" s="37"/>
      <c r="P115" s="37"/>
      <c r="Q115" s="37"/>
      <c r="R115" s="38"/>
    </row>
    <row r="116" spans="2:18">
      <c r="B116" s="36"/>
      <c r="C116" s="37"/>
      <c r="D116" s="37"/>
      <c r="E116" s="37"/>
      <c r="F116" s="37"/>
      <c r="G116" s="37"/>
      <c r="H116" s="37"/>
      <c r="I116" s="37"/>
      <c r="J116" s="37"/>
      <c r="K116" s="37"/>
      <c r="L116" s="37"/>
      <c r="M116" s="37"/>
      <c r="N116" s="37"/>
      <c r="O116" s="37"/>
      <c r="P116" s="37"/>
      <c r="Q116" s="37"/>
      <c r="R116" s="38"/>
    </row>
    <row r="117" spans="2:18">
      <c r="B117" s="39"/>
      <c r="C117" s="40"/>
      <c r="D117" s="40"/>
      <c r="E117" s="40"/>
      <c r="F117" s="40"/>
      <c r="G117" s="40"/>
      <c r="H117" s="40"/>
      <c r="I117" s="40"/>
      <c r="J117" s="40"/>
      <c r="K117" s="40"/>
      <c r="L117" s="40"/>
      <c r="M117" s="40"/>
      <c r="N117" s="40"/>
      <c r="O117" s="40"/>
      <c r="P117" s="40"/>
      <c r="Q117" s="40"/>
      <c r="R117" s="41"/>
    </row>
    <row r="119" spans="2:18">
      <c r="B119" s="34"/>
      <c r="C119" s="35"/>
      <c r="D119" s="35"/>
      <c r="E119" s="35"/>
      <c r="F119" s="35"/>
      <c r="G119" s="42" t="s">
        <v>85</v>
      </c>
      <c r="H119" s="35"/>
      <c r="I119" s="35"/>
      <c r="J119" s="35"/>
      <c r="K119" s="35"/>
      <c r="L119" s="35"/>
      <c r="M119" s="35"/>
      <c r="N119" s="35"/>
      <c r="O119" s="35"/>
      <c r="P119" s="35"/>
      <c r="Q119" s="35"/>
      <c r="R119" s="33"/>
    </row>
    <row r="120" spans="2:18">
      <c r="B120" s="36"/>
      <c r="C120" s="37"/>
      <c r="D120" s="37"/>
      <c r="E120" s="37"/>
      <c r="F120" s="37"/>
      <c r="G120" s="37"/>
      <c r="H120" s="37"/>
      <c r="I120" s="37"/>
      <c r="J120" s="37"/>
      <c r="K120" s="37"/>
      <c r="L120" s="37"/>
      <c r="M120" s="37"/>
      <c r="N120" s="37"/>
      <c r="O120" s="37"/>
      <c r="P120" s="37"/>
      <c r="Q120" s="37"/>
      <c r="R120" s="38"/>
    </row>
    <row r="121" spans="2:18">
      <c r="B121" s="36"/>
      <c r="C121" s="7" t="s">
        <v>11</v>
      </c>
      <c r="D121" s="7" t="s">
        <v>60</v>
      </c>
      <c r="E121" s="7" t="s">
        <v>53</v>
      </c>
      <c r="F121" s="37"/>
      <c r="G121" s="37"/>
      <c r="H121" s="37"/>
      <c r="I121" s="37"/>
      <c r="J121" s="37"/>
      <c r="K121" s="37"/>
      <c r="L121" s="37"/>
      <c r="M121" s="37"/>
      <c r="N121" s="37"/>
      <c r="O121" s="37"/>
      <c r="P121" s="37"/>
      <c r="Q121" s="37"/>
      <c r="R121" s="38"/>
    </row>
    <row r="122" spans="2:18">
      <c r="B122" s="36"/>
      <c r="C122" s="7">
        <v>0.4</v>
      </c>
      <c r="D122" s="7">
        <f>'10A61 Liquid 3"'!$B$4</f>
        <v>1</v>
      </c>
      <c r="E122" s="32">
        <f t="array" ref="E122">IF(D131&gt;5,"",
IF(D131&gt;1.011,'10A61 Liquid 3" ViscosityLINEST'!J120,'10A61 Liquid 3" ViscosityLINEST'!J119))</f>
        <v>124.32301587301588</v>
      </c>
      <c r="F122" s="37"/>
      <c r="G122" s="37"/>
      <c r="H122" s="37"/>
      <c r="I122" s="37"/>
      <c r="J122" s="37"/>
      <c r="K122" s="37"/>
      <c r="L122" s="37"/>
      <c r="M122" s="37"/>
      <c r="N122" s="37"/>
      <c r="O122" s="37"/>
      <c r="P122" s="37"/>
      <c r="Q122" s="37"/>
      <c r="R122" s="38"/>
    </row>
    <row r="123" spans="2:18">
      <c r="B123" s="36"/>
      <c r="C123" s="7">
        <v>0.6</v>
      </c>
      <c r="D123" s="7">
        <f>'10A61 Liquid 3"'!$B$4</f>
        <v>1</v>
      </c>
      <c r="E123" s="32">
        <f>IF(D131&gt;5,"",
IF(D131&gt;1.001,'10A61 Liquid 3" ViscosityLINEST'!J122,'10A61 Liquid 3" ViscosityLINEST'!J121))</f>
        <v>108.56666666666649</v>
      </c>
      <c r="F123" s="37"/>
      <c r="G123" s="37"/>
      <c r="H123" s="37"/>
      <c r="I123" s="37"/>
      <c r="J123" s="37"/>
      <c r="K123" s="37"/>
      <c r="L123" s="37"/>
      <c r="M123" s="37"/>
      <c r="N123" s="37"/>
      <c r="O123" s="37"/>
      <c r="P123" s="37"/>
      <c r="Q123" s="37"/>
      <c r="R123" s="38"/>
    </row>
    <row r="124" spans="2:18">
      <c r="B124" s="36"/>
      <c r="C124" s="7">
        <v>0.8</v>
      </c>
      <c r="D124" s="7">
        <f>'10A61 Liquid 3"'!$B$4</f>
        <v>1</v>
      </c>
      <c r="E124" s="32">
        <f>IF(D131&gt;5,"",
IF(D131&gt;1.001,'10A61 Liquid 3" ViscosityLINEST'!J124,'10A61 Liquid 3" ViscosityLINEST'!J123))</f>
        <v>97.965317460317465</v>
      </c>
      <c r="F124" s="37"/>
      <c r="G124" s="37"/>
      <c r="H124" s="37"/>
      <c r="I124" s="37"/>
      <c r="J124" s="37"/>
      <c r="K124" s="37"/>
      <c r="L124" s="37"/>
      <c r="M124" s="37"/>
      <c r="N124" s="37"/>
      <c r="O124" s="37"/>
      <c r="P124" s="37"/>
      <c r="Q124" s="37"/>
      <c r="R124" s="38"/>
    </row>
    <row r="125" spans="2:18">
      <c r="B125" s="36"/>
      <c r="C125" s="7">
        <v>1</v>
      </c>
      <c r="D125" s="7">
        <f>'10A61 Liquid 3"'!$B$4</f>
        <v>1</v>
      </c>
      <c r="E125" s="32">
        <f>IF(D131&gt;5,"",
IF(D131&gt;1.001,'10A61 Liquid 3" ViscosityLINEST'!J126,'10A61 Liquid 3" ViscosityLINEST'!J125))</f>
        <v>89.985436507936527</v>
      </c>
      <c r="F125" s="37"/>
      <c r="G125" s="37"/>
      <c r="H125" s="37"/>
      <c r="I125" s="37"/>
      <c r="J125" s="37"/>
      <c r="K125" s="37"/>
      <c r="L125" s="37"/>
      <c r="M125" s="37"/>
      <c r="N125" s="37"/>
      <c r="O125" s="37"/>
      <c r="P125" s="37"/>
      <c r="Q125" s="37"/>
      <c r="R125" s="38"/>
    </row>
    <row r="126" spans="2:18">
      <c r="B126" s="36"/>
      <c r="C126" s="7">
        <v>1.2</v>
      </c>
      <c r="D126" s="7">
        <f>'10A61 Liquid 3"'!$B$4</f>
        <v>1</v>
      </c>
      <c r="E126" s="32">
        <f>IF(D131&gt;5,"",
IF(D131&gt;1.001,'10A61 Liquid 3" ViscosityLINEST'!J128,'10A61 Liquid 3" ViscosityLINEST'!J127))</f>
        <v>82.287579365079409</v>
      </c>
      <c r="F126" s="37"/>
      <c r="G126" s="37"/>
      <c r="H126" s="37"/>
      <c r="I126" s="37"/>
      <c r="J126" s="37"/>
      <c r="K126" s="37"/>
      <c r="L126" s="37"/>
      <c r="M126" s="37"/>
      <c r="N126" s="37"/>
      <c r="O126" s="37"/>
      <c r="P126" s="37"/>
      <c r="Q126" s="37"/>
      <c r="R126" s="38"/>
    </row>
    <row r="127" spans="2:18">
      <c r="B127" s="36"/>
      <c r="C127" s="7">
        <v>1.4</v>
      </c>
      <c r="D127" s="7">
        <f>'10A61 Liquid 3"'!$B$4</f>
        <v>1</v>
      </c>
      <c r="E127" s="32">
        <f>IF(D131&gt;5,"",
IF(D131&gt;1.001,'10A61 Liquid 3" ViscosityLINEST'!J130,'10A61 Liquid 3" ViscosityLINEST'!J129))</f>
        <v>76.032261904761896</v>
      </c>
      <c r="F127" s="37"/>
      <c r="G127" s="37"/>
      <c r="H127" s="37"/>
      <c r="I127" s="37"/>
      <c r="J127" s="37"/>
      <c r="K127" s="37"/>
      <c r="L127" s="37"/>
      <c r="M127" s="37"/>
      <c r="N127" s="37"/>
      <c r="O127" s="37"/>
      <c r="P127" s="37"/>
      <c r="Q127" s="37"/>
      <c r="R127" s="38"/>
    </row>
    <row r="128" spans="2:18">
      <c r="B128" s="36"/>
      <c r="C128" s="7">
        <v>1.5</v>
      </c>
      <c r="D128" s="7">
        <f>'10A61 Liquid 3"'!$B$4</f>
        <v>1</v>
      </c>
      <c r="E128" s="32">
        <f>IF(D131&gt;5,"",
IF(D131&gt;1.001,'10A61 Liquid 3" ViscosityLINEST'!J132,'10A61 Liquid 3" ViscosityLINEST'!J131))</f>
        <v>73.312817460317433</v>
      </c>
      <c r="F128" s="37"/>
      <c r="G128" s="37"/>
      <c r="H128" s="37"/>
      <c r="I128" s="37"/>
      <c r="J128" s="37"/>
      <c r="K128" s="37"/>
      <c r="L128" s="37"/>
      <c r="M128" s="37"/>
      <c r="N128" s="37"/>
      <c r="O128" s="37"/>
      <c r="P128" s="37"/>
      <c r="Q128" s="37"/>
      <c r="R128" s="38"/>
    </row>
    <row r="129" spans="2:18" ht="15.75" thickBot="1">
      <c r="B129" s="36"/>
      <c r="C129" s="37"/>
      <c r="D129" s="37"/>
      <c r="E129" s="37"/>
      <c r="F129" s="37"/>
      <c r="G129" s="37"/>
      <c r="H129" s="37"/>
      <c r="I129" s="37"/>
      <c r="J129" s="37"/>
      <c r="K129" s="37"/>
      <c r="L129" s="37"/>
      <c r="M129" s="37"/>
      <c r="N129" s="37"/>
      <c r="O129" s="37"/>
      <c r="P129" s="37"/>
      <c r="Q129" s="37"/>
      <c r="R129" s="38"/>
    </row>
    <row r="130" spans="2:18" ht="15.75" thickBot="1">
      <c r="B130" s="36"/>
      <c r="C130" s="31" t="s">
        <v>76</v>
      </c>
      <c r="D130" s="31" t="s">
        <v>68</v>
      </c>
      <c r="E130" s="31" t="s">
        <v>67</v>
      </c>
      <c r="F130" s="37"/>
      <c r="G130" s="228" t="s">
        <v>65</v>
      </c>
      <c r="H130" s="229"/>
      <c r="I130" s="230"/>
      <c r="J130" s="37"/>
      <c r="K130" s="37"/>
      <c r="L130" s="37"/>
      <c r="M130" s="37"/>
      <c r="N130" s="37"/>
      <c r="O130" s="37"/>
      <c r="P130" s="37"/>
      <c r="Q130" s="37"/>
      <c r="R130" s="38"/>
    </row>
    <row r="131" spans="2:18" ht="15.75" thickBot="1">
      <c r="B131" s="36"/>
      <c r="C131" s="31">
        <f>$B$3</f>
        <v>0.99</v>
      </c>
      <c r="D131" s="31">
        <f>$C$3</f>
        <v>1</v>
      </c>
      <c r="E131" s="31">
        <f>G131*C131^3+H131*C131^2+I131*C131+J131</f>
        <v>89.795932506569045</v>
      </c>
      <c r="F131" s="37"/>
      <c r="G131" s="7">
        <f t="array" ref="G131:J131">IF(AND(NOT(E122="")),LINEST(E122:E128,C122:C128^{1,2,3}),
IF(AND(E122="",NOT(E123=""),NOT(E124=""),NOT(E125=""),NOT(E126=""),NOT(E127=""),NOT(E128="")),LINEST(E123:E128,C123:C128^{1,2,3}),
IF(AND(E123="",NOT(E124=""),NOT(E125=""),NOT(E126=""),NOT(E127=""),NOT(E128="")),LINEST(E124:E128,C124:C128^{1,2,3}),
IF(AND(E124="",NOT(E125=""),NOT(E126=""),NOT(E127=""),NOT(E128="")),LINEST(E125:E128,C125:C128^{1,2,3}),
IF(AND(E125="",NOT(E126=""),NOT(E127=""),NOT(E128="")),LINEST(E126:E128,C126:C128^{1,2,3}),
IF(AND(E126="",NOT(E127=""),NOT(E128="")),LINEST(E127:E128,C127:C128^{1,2,3}),
IF(AND(E127="",NOT(E128="")),LINEST(E128,C128^{1,2,3}),"NOT APPLICABLE")))))))</f>
        <v>-23.427698764712705</v>
      </c>
      <c r="H131" s="7">
        <v>90.748504443348338</v>
      </c>
      <c r="I131" s="7">
        <v>-148.34973437310856</v>
      </c>
      <c r="J131" s="37">
        <v>170.4514330147228</v>
      </c>
      <c r="K131" s="37"/>
      <c r="L131" s="37"/>
      <c r="M131" s="37"/>
      <c r="N131" s="37"/>
      <c r="O131" s="37"/>
      <c r="P131" s="37"/>
      <c r="Q131" s="37"/>
      <c r="R131" s="38"/>
    </row>
    <row r="132" spans="2:18">
      <c r="B132" s="36"/>
      <c r="C132" s="37"/>
      <c r="D132" s="37"/>
      <c r="E132" s="37"/>
      <c r="F132" s="37"/>
      <c r="G132" s="37"/>
      <c r="H132" s="37"/>
      <c r="I132" s="37"/>
      <c r="J132" s="37"/>
      <c r="K132" s="37"/>
      <c r="L132" s="37"/>
      <c r="M132" s="37"/>
      <c r="N132" s="37"/>
      <c r="O132" s="37"/>
      <c r="P132" s="37"/>
      <c r="Q132" s="37"/>
      <c r="R132" s="38"/>
    </row>
    <row r="133" spans="2:18">
      <c r="B133" s="39"/>
      <c r="C133" s="40"/>
      <c r="D133" s="40"/>
      <c r="E133" s="40"/>
      <c r="F133" s="40"/>
      <c r="G133" s="40"/>
      <c r="H133" s="40"/>
      <c r="I133" s="40"/>
      <c r="J133" s="40"/>
      <c r="K133" s="40"/>
      <c r="L133" s="40"/>
      <c r="M133" s="40"/>
      <c r="N133" s="40"/>
      <c r="O133" s="40"/>
      <c r="P133" s="40"/>
      <c r="Q133" s="40"/>
      <c r="R133" s="41"/>
    </row>
    <row r="135" spans="2:18">
      <c r="B135" s="34"/>
      <c r="C135" s="35"/>
      <c r="D135" s="35"/>
      <c r="E135" s="35"/>
      <c r="F135" s="35"/>
      <c r="G135" s="42" t="s">
        <v>86</v>
      </c>
      <c r="H135" s="35"/>
      <c r="I135" s="35"/>
      <c r="J135" s="35"/>
      <c r="K135" s="35"/>
      <c r="L135" s="35"/>
      <c r="M135" s="35"/>
      <c r="N135" s="35"/>
      <c r="O135" s="35"/>
      <c r="P135" s="35"/>
      <c r="Q135" s="35"/>
      <c r="R135" s="33"/>
    </row>
    <row r="136" spans="2:18">
      <c r="B136" s="36"/>
      <c r="C136" s="37"/>
      <c r="D136" s="37"/>
      <c r="E136" s="37"/>
      <c r="F136" s="37"/>
      <c r="G136" s="37"/>
      <c r="H136" s="37"/>
      <c r="I136" s="37"/>
      <c r="J136" s="37"/>
      <c r="K136" s="37"/>
      <c r="L136" s="37"/>
      <c r="M136" s="37"/>
      <c r="N136" s="37"/>
      <c r="O136" s="37"/>
      <c r="P136" s="37"/>
      <c r="Q136" s="37"/>
      <c r="R136" s="38"/>
    </row>
    <row r="137" spans="2:18">
      <c r="B137" s="36"/>
      <c r="C137" s="7" t="s">
        <v>11</v>
      </c>
      <c r="D137" s="7" t="s">
        <v>60</v>
      </c>
      <c r="E137" s="7" t="s">
        <v>53</v>
      </c>
      <c r="F137" s="37"/>
      <c r="G137" s="37"/>
      <c r="H137" s="37"/>
      <c r="I137" s="37"/>
      <c r="J137" s="37"/>
      <c r="K137" s="37"/>
      <c r="L137" s="37"/>
      <c r="M137" s="37"/>
      <c r="N137" s="37"/>
      <c r="O137" s="37"/>
      <c r="P137" s="37"/>
      <c r="Q137" s="37"/>
      <c r="R137" s="38"/>
    </row>
    <row r="138" spans="2:18">
      <c r="B138" s="36"/>
      <c r="C138" s="7">
        <v>0.4</v>
      </c>
      <c r="D138" s="7">
        <f>'10A61 Liquid 3"'!$B$4</f>
        <v>1</v>
      </c>
      <c r="E138" s="32">
        <f t="array" ref="E138">IF(D147&gt;5,"",
IF(D147&gt;1.011,'10A61 Liquid 3" ViscosityLINEST'!J136,'10A61 Liquid 3" ViscosityLINEST'!J135))</f>
        <v>197.01587301587301</v>
      </c>
      <c r="F138" s="37"/>
      <c r="G138" s="37"/>
      <c r="H138" s="37"/>
      <c r="I138" s="37"/>
      <c r="J138" s="37"/>
      <c r="K138" s="37"/>
      <c r="L138" s="37"/>
      <c r="M138" s="37"/>
      <c r="N138" s="37"/>
      <c r="O138" s="37"/>
      <c r="P138" s="37"/>
      <c r="Q138" s="37"/>
      <c r="R138" s="38"/>
    </row>
    <row r="139" spans="2:18">
      <c r="B139" s="36"/>
      <c r="C139" s="7">
        <v>0.6</v>
      </c>
      <c r="D139" s="7">
        <f>'10A61 Liquid 3"'!$B$4</f>
        <v>1</v>
      </c>
      <c r="E139" s="32">
        <f>IF(D147&gt;5,"",
IF(D147&gt;1.001,'10A61 Liquid 3" ViscosityLINEST'!J138,'10A61 Liquid 3" ViscosityLINEST'!J137))</f>
        <v>169.69047619047615</v>
      </c>
      <c r="F139" s="37"/>
      <c r="G139" s="37"/>
      <c r="H139" s="37"/>
      <c r="I139" s="37"/>
      <c r="J139" s="37"/>
      <c r="K139" s="37"/>
      <c r="L139" s="37"/>
      <c r="M139" s="37"/>
      <c r="N139" s="37"/>
      <c r="O139" s="37"/>
      <c r="P139" s="37"/>
      <c r="Q139" s="37"/>
      <c r="R139" s="38"/>
    </row>
    <row r="140" spans="2:18">
      <c r="B140" s="36"/>
      <c r="C140" s="7">
        <v>0.8</v>
      </c>
      <c r="D140" s="7">
        <f>'10A61 Liquid 3"'!$B$4</f>
        <v>1</v>
      </c>
      <c r="E140" s="32">
        <f>IF(D147&gt;5,"",
IF(D147&gt;1.001,'10A61 Liquid 3" ViscosityLINEST'!J140,'10A61 Liquid 3" ViscosityLINEST'!J139))</f>
        <v>150.20476190476202</v>
      </c>
      <c r="F140" s="37"/>
      <c r="G140" s="37"/>
      <c r="H140" s="37"/>
      <c r="I140" s="37"/>
      <c r="J140" s="37"/>
      <c r="K140" s="37"/>
      <c r="L140" s="37"/>
      <c r="M140" s="37"/>
      <c r="N140" s="37"/>
      <c r="O140" s="37"/>
      <c r="P140" s="37"/>
      <c r="Q140" s="37"/>
      <c r="R140" s="38"/>
    </row>
    <row r="141" spans="2:18">
      <c r="B141" s="36"/>
      <c r="C141" s="7">
        <v>1</v>
      </c>
      <c r="D141" s="7">
        <f>'10A61 Liquid 3"'!$B$4</f>
        <v>1</v>
      </c>
      <c r="E141" s="32">
        <f>IF(D147&gt;5,"",
IF(D147&gt;1.001,'10A61 Liquid 3" ViscosityLINEST'!J142,'10A61 Liquid 3" ViscosityLINEST'!J141))</f>
        <v>136.32579365079368</v>
      </c>
      <c r="F141" s="37"/>
      <c r="G141" s="37"/>
      <c r="H141" s="37"/>
      <c r="I141" s="37"/>
      <c r="J141" s="37"/>
      <c r="K141" s="37"/>
      <c r="L141" s="37"/>
      <c r="M141" s="37"/>
      <c r="N141" s="37"/>
      <c r="O141" s="37"/>
      <c r="P141" s="37"/>
      <c r="Q141" s="37"/>
      <c r="R141" s="38"/>
    </row>
    <row r="142" spans="2:18">
      <c r="B142" s="36"/>
      <c r="C142" s="7">
        <v>1.2</v>
      </c>
      <c r="D142" s="7">
        <f>'10A61 Liquid 3"'!$B$4</f>
        <v>1</v>
      </c>
      <c r="E142" s="32">
        <f>IF(D147&gt;5,"",
IF(D147&gt;1.001,'10A61 Liquid 3" ViscosityLINEST'!J144,'10A61 Liquid 3" ViscosityLINEST'!J143))</f>
        <v>125.49523809523805</v>
      </c>
      <c r="F142" s="37"/>
      <c r="G142" s="37"/>
      <c r="H142" s="37"/>
      <c r="I142" s="37"/>
      <c r="J142" s="37"/>
      <c r="K142" s="37"/>
      <c r="L142" s="37"/>
      <c r="M142" s="37"/>
      <c r="N142" s="37"/>
      <c r="O142" s="37"/>
      <c r="P142" s="37"/>
      <c r="Q142" s="37"/>
      <c r="R142" s="38"/>
    </row>
    <row r="143" spans="2:18">
      <c r="B143" s="36"/>
      <c r="C143" s="7">
        <v>1.4</v>
      </c>
      <c r="D143" s="7">
        <f>'10A61 Liquid 3"'!$B$4</f>
        <v>1</v>
      </c>
      <c r="E143" s="32">
        <f>IF(D147&gt;5,"",
IF(D147&gt;1.001,'10A61 Liquid 3" ViscosityLINEST'!J146,'10A61 Liquid 3" ViscosityLINEST'!J145))</f>
        <v>116.78730158730156</v>
      </c>
      <c r="F143" s="37"/>
      <c r="G143" s="37"/>
      <c r="H143" s="37"/>
      <c r="I143" s="37"/>
      <c r="J143" s="37"/>
      <c r="K143" s="37"/>
      <c r="L143" s="37"/>
      <c r="M143" s="37"/>
      <c r="N143" s="37"/>
      <c r="O143" s="37"/>
      <c r="P143" s="37"/>
      <c r="Q143" s="37"/>
      <c r="R143" s="38"/>
    </row>
    <row r="144" spans="2:18">
      <c r="B144" s="36"/>
      <c r="C144" s="7">
        <v>1.5</v>
      </c>
      <c r="D144" s="7">
        <f>'10A61 Liquid 3"'!$B$4</f>
        <v>1</v>
      </c>
      <c r="E144" s="32">
        <f>IF(D147&gt;5,"",
IF(D147&gt;1.001,'10A61 Liquid 3" ViscosityLINEST'!J148,'10A61 Liquid 3" ViscosityLINEST'!J147))</f>
        <v>112.99047619047619</v>
      </c>
      <c r="F144" s="37"/>
      <c r="G144" s="37"/>
      <c r="H144" s="37"/>
      <c r="I144" s="37"/>
      <c r="J144" s="37"/>
      <c r="K144" s="37"/>
      <c r="L144" s="37"/>
      <c r="M144" s="37"/>
      <c r="N144" s="37"/>
      <c r="O144" s="37"/>
      <c r="P144" s="37"/>
      <c r="Q144" s="37"/>
      <c r="R144" s="38"/>
    </row>
    <row r="145" spans="2:18" ht="15.75" thickBot="1">
      <c r="B145" s="36"/>
      <c r="C145" s="37"/>
      <c r="D145" s="37"/>
      <c r="E145" s="37"/>
      <c r="F145" s="37"/>
      <c r="G145" s="37"/>
      <c r="H145" s="37"/>
      <c r="I145" s="37"/>
      <c r="J145" s="37"/>
      <c r="K145" s="37"/>
      <c r="L145" s="37"/>
      <c r="M145" s="37"/>
      <c r="N145" s="37"/>
      <c r="O145" s="37"/>
      <c r="P145" s="37"/>
      <c r="Q145" s="37"/>
      <c r="R145" s="38"/>
    </row>
    <row r="146" spans="2:18" ht="15.75" thickBot="1">
      <c r="B146" s="36"/>
      <c r="C146" s="31" t="s">
        <v>76</v>
      </c>
      <c r="D146" s="31" t="s">
        <v>68</v>
      </c>
      <c r="E146" s="31" t="s">
        <v>67</v>
      </c>
      <c r="F146" s="37"/>
      <c r="G146" s="238" t="s">
        <v>65</v>
      </c>
      <c r="H146" s="238"/>
      <c r="I146" s="238"/>
      <c r="J146" s="37"/>
      <c r="K146" s="37"/>
      <c r="L146" s="37"/>
      <c r="M146" s="37"/>
      <c r="N146" s="37"/>
      <c r="O146" s="37"/>
      <c r="P146" s="37"/>
      <c r="Q146" s="37"/>
      <c r="R146" s="38"/>
    </row>
    <row r="147" spans="2:18" ht="15.75" thickBot="1">
      <c r="B147" s="36"/>
      <c r="C147" s="31">
        <f>$B$3</f>
        <v>0.99</v>
      </c>
      <c r="D147" s="31">
        <f>$C$3</f>
        <v>1</v>
      </c>
      <c r="E147" s="31">
        <f>G147*C147^3+H147*C147^2+I147*C147+J147</f>
        <v>136.65894834534367</v>
      </c>
      <c r="F147" s="37"/>
      <c r="G147" s="7">
        <f t="array" ref="G147:J147">IF(AND(NOT(E138="")),LINEST(E138:E144,C138:C144^{1,2,3}),
IF(AND(E138="",NOT(E139=""),NOT(E140=""),NOT(E141=""),NOT(E142=""),NOT(E143=""),NOT(E144="")),LINEST(E139:E144,C139:C144^{1,2,3}),
IF(AND(E139="",NOT(E140=""),NOT(E141=""),NOT(E142=""),NOT(E143=""),NOT(E144="")),LINEST(E140:E144,C140:C144^{1,2,3}),
IF(AND(E140="",NOT(E141=""),NOT(E142=""),NOT(E143=""),NOT(E144="")),LINEST(E141:E144,C141:C144^{1,2,3}),
IF(AND(E141="",NOT(E142=""),NOT(E143=""),NOT(E144="")),LINEST(E142:E144,C142:C144^{1,2,3}),
IF(AND(E142="",NOT(E143=""),NOT(E144="")),LINEST(E143:E144,C143:C144^{1,2,3}),
IF(AND(E143="",NOT(E144="")),LINEST(E144,C144^{1,2,3}),"NOT APPLICABLE")))))))</f>
        <v>-38.280904099096638</v>
      </c>
      <c r="H147" s="7">
        <v>161.02798209242198</v>
      </c>
      <c r="I147" s="7">
        <v>-267.1864221075046</v>
      </c>
      <c r="J147" s="37">
        <v>280.49390394943981</v>
      </c>
      <c r="K147" s="37"/>
      <c r="L147" s="37"/>
      <c r="M147" s="37"/>
      <c r="N147" s="37"/>
      <c r="O147" s="37"/>
      <c r="P147" s="37"/>
      <c r="Q147" s="37"/>
      <c r="R147" s="38"/>
    </row>
    <row r="148" spans="2:18">
      <c r="B148" s="36"/>
      <c r="C148" s="37"/>
      <c r="D148" s="37"/>
      <c r="E148" s="37"/>
      <c r="F148" s="37"/>
      <c r="G148" s="37"/>
      <c r="H148" s="37"/>
      <c r="I148" s="37"/>
      <c r="J148" s="37"/>
      <c r="K148" s="37"/>
      <c r="L148" s="37"/>
      <c r="M148" s="37"/>
      <c r="N148" s="37"/>
      <c r="O148" s="37"/>
      <c r="P148" s="37"/>
      <c r="Q148" s="37"/>
      <c r="R148" s="38"/>
    </row>
    <row r="149" spans="2:18">
      <c r="B149" s="39"/>
      <c r="C149" s="40"/>
      <c r="D149" s="40"/>
      <c r="E149" s="40"/>
      <c r="F149" s="40"/>
      <c r="G149" s="40"/>
      <c r="H149" s="40"/>
      <c r="I149" s="40"/>
      <c r="J149" s="40"/>
      <c r="K149" s="40"/>
      <c r="L149" s="40"/>
      <c r="M149" s="40"/>
      <c r="N149" s="40"/>
      <c r="O149" s="40"/>
      <c r="P149" s="40"/>
      <c r="Q149" s="40"/>
      <c r="R149" s="41"/>
    </row>
    <row r="151" spans="2:18">
      <c r="B151" s="34"/>
      <c r="C151" s="35"/>
      <c r="D151" s="35"/>
      <c r="E151" s="35"/>
      <c r="F151" s="35"/>
      <c r="G151" s="42" t="s">
        <v>87</v>
      </c>
      <c r="H151" s="35"/>
      <c r="I151" s="35"/>
      <c r="J151" s="35"/>
      <c r="K151" s="35"/>
      <c r="L151" s="35"/>
      <c r="M151" s="35"/>
      <c r="N151" s="35"/>
      <c r="O151" s="35"/>
      <c r="P151" s="35"/>
      <c r="Q151" s="35"/>
      <c r="R151" s="33"/>
    </row>
    <row r="152" spans="2:18">
      <c r="B152" s="36"/>
      <c r="C152" s="37"/>
      <c r="D152" s="37"/>
      <c r="E152" s="37"/>
      <c r="F152" s="37"/>
      <c r="G152" s="37"/>
      <c r="H152" s="37"/>
      <c r="I152" s="37"/>
      <c r="J152" s="37"/>
      <c r="K152" s="37"/>
      <c r="L152" s="37"/>
      <c r="M152" s="37"/>
      <c r="N152" s="37"/>
      <c r="O152" s="37"/>
      <c r="P152" s="37"/>
      <c r="Q152" s="37"/>
      <c r="R152" s="38"/>
    </row>
    <row r="153" spans="2:18">
      <c r="B153" s="36"/>
      <c r="C153" s="7" t="s">
        <v>11</v>
      </c>
      <c r="D153" s="7" t="s">
        <v>60</v>
      </c>
      <c r="E153" s="7" t="s">
        <v>53</v>
      </c>
      <c r="F153" s="37"/>
      <c r="G153" s="37"/>
      <c r="H153" s="37"/>
      <c r="I153" s="37"/>
      <c r="J153" s="37"/>
      <c r="K153" s="37"/>
      <c r="L153" s="37"/>
      <c r="M153" s="37"/>
      <c r="N153" s="37"/>
      <c r="O153" s="37"/>
      <c r="P153" s="37"/>
      <c r="Q153" s="37"/>
      <c r="R153" s="38"/>
    </row>
    <row r="154" spans="2:18">
      <c r="B154" s="36"/>
      <c r="C154" s="7">
        <v>0.4</v>
      </c>
      <c r="D154" s="7">
        <f>'10A61 Liquid 3"'!$B$4</f>
        <v>1</v>
      </c>
      <c r="E154" s="32">
        <f t="array" ref="E154">IF(D163&gt;5,"",
IF(D163&gt;1.011,'10A61 Liquid 3" ViscosityLINEST'!J152,'10A61 Liquid 3" ViscosityLINEST'!J151))</f>
        <v>212.51626984126978</v>
      </c>
      <c r="F154" s="37"/>
      <c r="G154" s="37"/>
      <c r="H154" s="37"/>
      <c r="I154" s="37"/>
      <c r="J154" s="37"/>
      <c r="K154" s="37"/>
      <c r="L154" s="37"/>
      <c r="M154" s="37"/>
      <c r="N154" s="37"/>
      <c r="O154" s="37"/>
      <c r="P154" s="37"/>
      <c r="Q154" s="37"/>
      <c r="R154" s="38"/>
    </row>
    <row r="155" spans="2:18">
      <c r="B155" s="36"/>
      <c r="C155" s="7">
        <v>0.6</v>
      </c>
      <c r="D155" s="7">
        <f>'10A61 Liquid 3"'!$B$4</f>
        <v>1</v>
      </c>
      <c r="E155" s="32">
        <f>IF(D163&gt;5,"",
IF(D163&gt;1.001,'10A61 Liquid 3" ViscosityLINEST'!J154,'10A61 Liquid 3" ViscosityLINEST'!J153))</f>
        <v>181.28293650793665</v>
      </c>
      <c r="F155" s="37"/>
      <c r="G155" s="37"/>
      <c r="H155" s="37"/>
      <c r="I155" s="37"/>
      <c r="J155" s="37"/>
      <c r="K155" s="37"/>
      <c r="L155" s="37"/>
      <c r="M155" s="37"/>
      <c r="N155" s="37"/>
      <c r="O155" s="37"/>
      <c r="P155" s="37"/>
      <c r="Q155" s="37"/>
      <c r="R155" s="38"/>
    </row>
    <row r="156" spans="2:18">
      <c r="B156" s="36"/>
      <c r="C156" s="7">
        <v>0.8</v>
      </c>
      <c r="D156" s="7">
        <f>'10A61 Liquid 3"'!$B$4</f>
        <v>1</v>
      </c>
      <c r="E156" s="32">
        <f>IF(D163&gt;5,"",
IF(D163&gt;1.001,'10A61 Liquid 3" ViscosityLINEST'!J156,'10A61 Liquid 3" ViscosityLINEST'!J155))</f>
        <v>160.61666666666667</v>
      </c>
      <c r="F156" s="37"/>
      <c r="G156" s="37"/>
      <c r="H156" s="37"/>
      <c r="I156" s="37"/>
      <c r="J156" s="37"/>
      <c r="K156" s="37"/>
      <c r="L156" s="37"/>
      <c r="M156" s="37"/>
      <c r="N156" s="37"/>
      <c r="O156" s="37"/>
      <c r="P156" s="37"/>
      <c r="Q156" s="37"/>
      <c r="R156" s="38"/>
    </row>
    <row r="157" spans="2:18">
      <c r="B157" s="36"/>
      <c r="C157" s="7">
        <v>1</v>
      </c>
      <c r="D157" s="7">
        <f>'10A61 Liquid 3"'!$B$4</f>
        <v>1</v>
      </c>
      <c r="E157" s="32">
        <f>IF(D163&gt;5,"",
IF(D163&gt;1.001,'10A61 Liquid 3" ViscosityLINEST'!J158,'10A61 Liquid 3" ViscosityLINEST'!J157))</f>
        <v>145.70793650793655</v>
      </c>
      <c r="F157" s="37"/>
      <c r="G157" s="37"/>
      <c r="H157" s="37"/>
      <c r="I157" s="37"/>
      <c r="J157" s="37"/>
      <c r="K157" s="37"/>
      <c r="L157" s="37"/>
      <c r="M157" s="37"/>
      <c r="N157" s="37"/>
      <c r="O157" s="37"/>
      <c r="P157" s="37"/>
      <c r="Q157" s="37"/>
      <c r="R157" s="38"/>
    </row>
    <row r="158" spans="2:18">
      <c r="B158" s="36"/>
      <c r="C158" s="7">
        <v>1.2</v>
      </c>
      <c r="D158" s="7">
        <f>'10A61 Liquid 3"'!$B$4</f>
        <v>1</v>
      </c>
      <c r="E158" s="32">
        <f>IF(D163&gt;5,"",
IF(D163&gt;1.001,'10A61 Liquid 3" ViscosityLINEST'!J160,'10A61 Liquid 3" ViscosityLINEST'!J159))</f>
        <v>134.18174603174617</v>
      </c>
      <c r="F158" s="37"/>
      <c r="G158" s="37"/>
      <c r="H158" s="37"/>
      <c r="I158" s="37"/>
      <c r="J158" s="37"/>
      <c r="K158" s="37"/>
      <c r="L158" s="37"/>
      <c r="M158" s="37"/>
      <c r="N158" s="37"/>
      <c r="O158" s="37"/>
      <c r="P158" s="37"/>
      <c r="Q158" s="37"/>
      <c r="R158" s="38"/>
    </row>
    <row r="159" spans="2:18">
      <c r="B159" s="36"/>
      <c r="C159" s="7">
        <v>1.4</v>
      </c>
      <c r="D159" s="7">
        <f>'10A61 Liquid 3"'!$B$4</f>
        <v>1</v>
      </c>
      <c r="E159" s="32">
        <f>IF(D163&gt;5,"",
IF(D163&gt;1.001,'10A61 Liquid 3" ViscosityLINEST'!J162,'10A61 Liquid 3" ViscosityLINEST'!J161))</f>
        <v>124.9944444444445</v>
      </c>
      <c r="F159" s="37"/>
      <c r="G159" s="37"/>
      <c r="H159" s="37"/>
      <c r="I159" s="37"/>
      <c r="J159" s="37"/>
      <c r="K159" s="37"/>
      <c r="L159" s="37"/>
      <c r="M159" s="37"/>
      <c r="N159" s="37"/>
      <c r="O159" s="37"/>
      <c r="P159" s="37"/>
      <c r="Q159" s="37"/>
      <c r="R159" s="38"/>
    </row>
    <row r="160" spans="2:18">
      <c r="B160" s="36"/>
      <c r="C160" s="7">
        <v>1.5</v>
      </c>
      <c r="D160" s="7">
        <f>'10A61 Liquid 3"'!$B$4</f>
        <v>1</v>
      </c>
      <c r="E160" s="32">
        <f>IF(D163&gt;5,"",
IF(D163&gt;1.001,'10A61 Liquid 3" ViscosityLINEST'!J164,'10A61 Liquid 3" ViscosityLINEST'!J163))</f>
        <v>120.99722222222229</v>
      </c>
      <c r="F160" s="37"/>
      <c r="G160" s="37"/>
      <c r="H160" s="37"/>
      <c r="I160" s="37"/>
      <c r="J160" s="37"/>
      <c r="K160" s="37"/>
      <c r="L160" s="37"/>
      <c r="M160" s="37"/>
      <c r="N160" s="37"/>
      <c r="O160" s="37"/>
      <c r="P160" s="37"/>
      <c r="Q160" s="37"/>
      <c r="R160" s="38"/>
    </row>
    <row r="161" spans="2:18" ht="15.75" thickBot="1">
      <c r="B161" s="36"/>
      <c r="C161" s="37"/>
      <c r="D161" s="37"/>
      <c r="E161" s="37"/>
      <c r="F161" s="37"/>
      <c r="G161" s="37"/>
      <c r="H161" s="37"/>
      <c r="I161" s="37"/>
      <c r="J161" s="37"/>
      <c r="K161" s="37"/>
      <c r="L161" s="37"/>
      <c r="M161" s="37"/>
      <c r="N161" s="37"/>
      <c r="O161" s="37"/>
      <c r="P161" s="37"/>
      <c r="Q161" s="37"/>
      <c r="R161" s="38"/>
    </row>
    <row r="162" spans="2:18" ht="15.75" thickBot="1">
      <c r="B162" s="36"/>
      <c r="C162" s="31" t="s">
        <v>76</v>
      </c>
      <c r="D162" s="31" t="s">
        <v>68</v>
      </c>
      <c r="E162" s="31" t="s">
        <v>67</v>
      </c>
      <c r="F162" s="37"/>
      <c r="G162" s="238" t="s">
        <v>65</v>
      </c>
      <c r="H162" s="238"/>
      <c r="I162" s="238"/>
      <c r="J162" s="37"/>
      <c r="K162" s="37"/>
      <c r="L162" s="37"/>
      <c r="M162" s="37"/>
      <c r="N162" s="37"/>
      <c r="O162" s="37"/>
      <c r="P162" s="37"/>
      <c r="Q162" s="37"/>
      <c r="R162" s="38"/>
    </row>
    <row r="163" spans="2:18" ht="15.75" thickBot="1">
      <c r="B163" s="36"/>
      <c r="C163" s="31">
        <f>$B$3</f>
        <v>0.99</v>
      </c>
      <c r="D163" s="31">
        <f>$C$3</f>
        <v>1</v>
      </c>
      <c r="E163" s="31">
        <f>G163*C163^3+H163*C163^2+I163*C163+J163</f>
        <v>145.94060747447531</v>
      </c>
      <c r="F163" s="37"/>
      <c r="G163" s="7">
        <f t="array" ref="G163:J163">IF(AND(NOT(E154="")),LINEST(E154:E160,C154:C160^{1,2,3}),
IF(AND(E154="",NOT(E155=""),NOT(E156=""),NOT(E157=""),NOT(E158=""),NOT(E159=""),NOT(E160="")),LINEST(E155:E160,C155:C160^{1,2,3}),
IF(AND(E155="",NOT(E156=""),NOT(E157=""),NOT(E158=""),NOT(E159=""),NOT(E160="")),LINEST(E156:E160,C156:C160^{1,2,3}),
IF(AND(E156="",NOT(E157=""),NOT(E158=""),NOT(E159=""),NOT(E160="")),LINEST(E157:E160,C157:C160^{1,2,3}),
IF(AND(E157="",NOT(E158=""),NOT(E159=""),NOT(E160="")),LINEST(E158:E160,C158:C160^{1,2,3}),
IF(AND(E158="",NOT(E159=""),NOT(E160="")),LINEST(E159:E160,C159:C160^{1,2,3}),
IF(AND(E159="",NOT(E160="")),LINEST(E160,C160^{1,2,3}),"NOT APPLICABLE")))))))</f>
        <v>-49.426276400707437</v>
      </c>
      <c r="H163" s="7">
        <v>200.1295455786678</v>
      </c>
      <c r="I163" s="7">
        <v>-314.73348507249341</v>
      </c>
      <c r="J163" s="37">
        <v>309.33805663992155</v>
      </c>
      <c r="K163" s="37"/>
      <c r="L163" s="37"/>
      <c r="M163" s="37"/>
      <c r="N163" s="37"/>
      <c r="O163" s="37"/>
      <c r="P163" s="37"/>
      <c r="Q163" s="37"/>
      <c r="R163" s="38"/>
    </row>
    <row r="164" spans="2:18">
      <c r="B164" s="36"/>
      <c r="C164" s="37"/>
      <c r="D164" s="37"/>
      <c r="E164" s="37"/>
      <c r="F164" s="37"/>
      <c r="G164" s="37"/>
      <c r="H164" s="37"/>
      <c r="I164" s="37"/>
      <c r="J164" s="37"/>
      <c r="K164" s="37"/>
      <c r="L164" s="37"/>
      <c r="M164" s="37"/>
      <c r="N164" s="37"/>
      <c r="O164" s="37"/>
      <c r="P164" s="37"/>
      <c r="Q164" s="37"/>
      <c r="R164" s="38"/>
    </row>
    <row r="165" spans="2:18">
      <c r="B165" s="39"/>
      <c r="C165" s="40"/>
      <c r="D165" s="40"/>
      <c r="E165" s="40"/>
      <c r="F165" s="40"/>
      <c r="G165" s="40"/>
      <c r="H165" s="40"/>
      <c r="I165" s="40"/>
      <c r="J165" s="40"/>
      <c r="K165" s="40"/>
      <c r="L165" s="40"/>
      <c r="M165" s="40"/>
      <c r="N165" s="40"/>
      <c r="O165" s="40"/>
      <c r="P165" s="40"/>
      <c r="Q165" s="40"/>
      <c r="R165" s="41"/>
    </row>
    <row r="167" spans="2:18">
      <c r="B167" s="34"/>
      <c r="C167" s="35"/>
      <c r="D167" s="35"/>
      <c r="E167" s="35"/>
      <c r="F167" s="35"/>
      <c r="G167" s="42" t="s">
        <v>88</v>
      </c>
      <c r="H167" s="35"/>
      <c r="I167" s="35"/>
      <c r="J167" s="35"/>
      <c r="K167" s="35"/>
      <c r="L167" s="35"/>
      <c r="M167" s="35"/>
      <c r="N167" s="35"/>
      <c r="O167" s="35"/>
      <c r="P167" s="35"/>
      <c r="Q167" s="35"/>
      <c r="R167" s="33"/>
    </row>
    <row r="168" spans="2:18">
      <c r="B168" s="36"/>
      <c r="C168" s="37"/>
      <c r="D168" s="37"/>
      <c r="E168" s="37"/>
      <c r="F168" s="37"/>
      <c r="G168" s="37"/>
      <c r="H168" s="37"/>
      <c r="I168" s="37"/>
      <c r="J168" s="37"/>
      <c r="K168" s="37"/>
      <c r="L168" s="37"/>
      <c r="M168" s="37"/>
      <c r="N168" s="37"/>
      <c r="O168" s="37"/>
      <c r="P168" s="37"/>
      <c r="Q168" s="37"/>
      <c r="R168" s="38"/>
    </row>
    <row r="169" spans="2:18">
      <c r="B169" s="36"/>
      <c r="C169" s="7" t="s">
        <v>11</v>
      </c>
      <c r="D169" s="7" t="s">
        <v>60</v>
      </c>
      <c r="E169" s="7" t="s">
        <v>53</v>
      </c>
      <c r="F169" s="37"/>
      <c r="G169" s="37"/>
      <c r="H169" s="37"/>
      <c r="I169" s="37"/>
      <c r="J169" s="37"/>
      <c r="K169" s="37"/>
      <c r="L169" s="37"/>
      <c r="M169" s="37"/>
      <c r="N169" s="37"/>
      <c r="O169" s="37"/>
      <c r="P169" s="37"/>
      <c r="Q169" s="37"/>
      <c r="R169" s="38"/>
    </row>
    <row r="170" spans="2:18">
      <c r="B170" s="36"/>
      <c r="C170" s="7">
        <v>0.4</v>
      </c>
      <c r="D170" s="7">
        <f>'10A61 Liquid 3"'!$B$4</f>
        <v>1</v>
      </c>
      <c r="E170" s="32">
        <f t="array" ref="E170">IF(D179&gt;5,"",
IF(D179&gt;1.011,'10A61 Liquid 3" ViscosityLINEST'!J168,'10A61 Liquid 3" ViscosityLINEST'!J167))</f>
        <v>210.13849206349198</v>
      </c>
      <c r="F170" s="37"/>
      <c r="G170" s="37"/>
      <c r="H170" s="37"/>
      <c r="I170" s="37"/>
      <c r="J170" s="37"/>
      <c r="K170" s="37"/>
      <c r="L170" s="37"/>
      <c r="M170" s="37"/>
      <c r="N170" s="37"/>
      <c r="O170" s="37"/>
      <c r="P170" s="37"/>
      <c r="Q170" s="37"/>
      <c r="R170" s="38"/>
    </row>
    <row r="171" spans="2:18">
      <c r="B171" s="36"/>
      <c r="C171" s="7">
        <v>0.6</v>
      </c>
      <c r="D171" s="7">
        <f>'10A61 Liquid 3"'!$B$4</f>
        <v>1</v>
      </c>
      <c r="E171" s="32">
        <f>IF(D179&gt;5,"",
IF(D179&gt;1.001,'10A61 Liquid 3" ViscosityLINEST'!J170,'10A61 Liquid 3" ViscosityLINEST'!J169))</f>
        <v>176.47738095238105</v>
      </c>
      <c r="F171" s="37"/>
      <c r="G171" s="37"/>
      <c r="H171" s="37"/>
      <c r="I171" s="37"/>
      <c r="J171" s="37"/>
      <c r="K171" s="37"/>
      <c r="L171" s="37"/>
      <c r="M171" s="37"/>
      <c r="N171" s="37"/>
      <c r="O171" s="37"/>
      <c r="P171" s="37"/>
      <c r="Q171" s="37"/>
      <c r="R171" s="38"/>
    </row>
    <row r="172" spans="2:18">
      <c r="B172" s="36"/>
      <c r="C172" s="7">
        <v>0.8</v>
      </c>
      <c r="D172" s="7">
        <f>'10A61 Liquid 3"'!$B$4</f>
        <v>1</v>
      </c>
      <c r="E172" s="32">
        <f>IF(D179&gt;5,"",
IF(D179&gt;1.001,'10A61 Liquid 3" ViscosityLINEST'!J172,'10A61 Liquid 3" ViscosityLINEST'!J171))</f>
        <v>149.9531746031746</v>
      </c>
      <c r="F172" s="37"/>
      <c r="G172" s="37"/>
      <c r="H172" s="37"/>
      <c r="I172" s="37"/>
      <c r="J172" s="37"/>
      <c r="K172" s="37"/>
      <c r="L172" s="37"/>
      <c r="M172" s="37"/>
      <c r="N172" s="37"/>
      <c r="O172" s="37"/>
      <c r="P172" s="37"/>
      <c r="Q172" s="37"/>
      <c r="R172" s="38"/>
    </row>
    <row r="173" spans="2:18">
      <c r="B173" s="36"/>
      <c r="C173" s="7">
        <v>1</v>
      </c>
      <c r="D173" s="7">
        <f>'10A61 Liquid 3"'!$B$4</f>
        <v>1</v>
      </c>
      <c r="E173" s="32">
        <f>IF(D179&gt;5,"",
IF(D179&gt;1.001,'10A61 Liquid 3" ViscosityLINEST'!J174,'10A61 Liquid 3" ViscosityLINEST'!J173))</f>
        <v>127.59365079365077</v>
      </c>
      <c r="F173" s="37"/>
      <c r="G173" s="37"/>
      <c r="H173" s="37"/>
      <c r="I173" s="37"/>
      <c r="J173" s="37"/>
      <c r="K173" s="37"/>
      <c r="L173" s="37"/>
      <c r="M173" s="37"/>
      <c r="N173" s="37"/>
      <c r="O173" s="37"/>
      <c r="P173" s="37"/>
      <c r="Q173" s="37"/>
      <c r="R173" s="38"/>
    </row>
    <row r="174" spans="2:18">
      <c r="B174" s="36"/>
      <c r="C174" s="7">
        <v>1.2</v>
      </c>
      <c r="D174" s="7">
        <f>'10A61 Liquid 3"'!$B$4</f>
        <v>1</v>
      </c>
      <c r="E174" s="32">
        <f>IF(D179&gt;5,"",
IF(D179&gt;1.001,'10A61 Liquid 3" ViscosityLINEST'!J176,'10A61 Liquid 3" ViscosityLINEST'!J175))</f>
        <v>107.30119047619047</v>
      </c>
      <c r="F174" s="37"/>
      <c r="G174" s="37"/>
      <c r="H174" s="37"/>
      <c r="I174" s="37"/>
      <c r="J174" s="37"/>
      <c r="K174" s="37"/>
      <c r="L174" s="37"/>
      <c r="M174" s="37"/>
      <c r="N174" s="37"/>
      <c r="O174" s="37"/>
      <c r="P174" s="37"/>
      <c r="Q174" s="37"/>
      <c r="R174" s="38"/>
    </row>
    <row r="175" spans="2:18">
      <c r="B175" s="36"/>
      <c r="C175" s="7">
        <v>1.4</v>
      </c>
      <c r="D175" s="7">
        <f>'10A61 Liquid 3"'!$B$4</f>
        <v>1</v>
      </c>
      <c r="E175" s="32">
        <f>IF(D179&gt;5,"",
IF(D179&gt;1.001,'10A61 Liquid 3" ViscosityLINEST'!J178,'10A61 Liquid 3" ViscosityLINEST'!J177))</f>
        <v>88.446269841269867</v>
      </c>
      <c r="F175" s="37"/>
      <c r="G175" s="37"/>
      <c r="H175" s="37"/>
      <c r="I175" s="37"/>
      <c r="J175" s="37"/>
      <c r="K175" s="37"/>
      <c r="L175" s="37"/>
      <c r="M175" s="37"/>
      <c r="N175" s="37"/>
      <c r="O175" s="37"/>
      <c r="P175" s="37"/>
      <c r="Q175" s="37"/>
      <c r="R175" s="38"/>
    </row>
    <row r="176" spans="2:18">
      <c r="B176" s="36"/>
      <c r="C176" s="7">
        <v>1.5</v>
      </c>
      <c r="D176" s="7">
        <f>'10A61 Liquid 3"'!$B$4</f>
        <v>1</v>
      </c>
      <c r="E176" s="32">
        <f>IF(D179&gt;5,"",
IF(D179&gt;1.001,'10A61 Liquid 3" ViscosityLINEST'!J180,'10A61 Liquid 3" ViscosityLINEST'!J179))</f>
        <v>79.293134920634927</v>
      </c>
      <c r="F176" s="37"/>
      <c r="G176" s="37"/>
      <c r="H176" s="37"/>
      <c r="I176" s="37"/>
      <c r="J176" s="37"/>
      <c r="K176" s="37"/>
      <c r="L176" s="37"/>
      <c r="M176" s="37"/>
      <c r="N176" s="37"/>
      <c r="O176" s="37"/>
      <c r="P176" s="37"/>
      <c r="Q176" s="37"/>
      <c r="R176" s="38"/>
    </row>
    <row r="177" spans="2:18" ht="15.75" thickBot="1">
      <c r="B177" s="36"/>
      <c r="C177" s="37"/>
      <c r="D177" s="37"/>
      <c r="E177" s="37"/>
      <c r="F177" s="37"/>
      <c r="G177" s="37"/>
      <c r="H177" s="37"/>
      <c r="I177" s="37"/>
      <c r="J177" s="37"/>
      <c r="K177" s="37"/>
      <c r="L177" s="37"/>
      <c r="M177" s="37"/>
      <c r="N177" s="37"/>
      <c r="O177" s="37"/>
      <c r="P177" s="37"/>
      <c r="Q177" s="37"/>
      <c r="R177" s="38"/>
    </row>
    <row r="178" spans="2:18" ht="15.75" thickBot="1">
      <c r="B178" s="36"/>
      <c r="C178" s="31" t="s">
        <v>76</v>
      </c>
      <c r="D178" s="31" t="s">
        <v>68</v>
      </c>
      <c r="E178" s="31" t="s">
        <v>67</v>
      </c>
      <c r="F178" s="37"/>
      <c r="G178" s="238" t="s">
        <v>65</v>
      </c>
      <c r="H178" s="238"/>
      <c r="I178" s="238"/>
      <c r="J178" s="37"/>
      <c r="K178" s="37"/>
      <c r="L178" s="37"/>
      <c r="M178" s="37"/>
      <c r="N178" s="37"/>
      <c r="O178" s="37"/>
      <c r="P178" s="37"/>
      <c r="Q178" s="37"/>
      <c r="R178" s="38"/>
    </row>
    <row r="179" spans="2:18" ht="15.75" thickBot="1">
      <c r="B179" s="36"/>
      <c r="C179" s="31">
        <f>$B$3</f>
        <v>0.99</v>
      </c>
      <c r="D179" s="31">
        <f>$C$3</f>
        <v>1</v>
      </c>
      <c r="E179" s="31">
        <f>G179*C179^3+H179*C179^2+I179*C179+J179</f>
        <v>128.33487322313147</v>
      </c>
      <c r="F179" s="37"/>
      <c r="G179" s="7">
        <f t="array" ref="G179:J179">IF(AND(NOT(E170="")),LINEST(E170:E176,C170:C176^{1,2,3}),
IF(AND(E170="",NOT(E171=""),NOT(E172=""),NOT(E173=""),NOT(E174=""),NOT(E175=""),NOT(E176="")),LINEST(E171:E176,C171:C176^{1,2,3}),
IF(AND(E171="",NOT(E172=""),NOT(E173=""),NOT(E174=""),NOT(E175=""),NOT(E176="")),LINEST(E172:E176,C172:C176^{1,2,3}),
IF(AND(E172="",NOT(E173=""),NOT(E174=""),NOT(E175=""),NOT(E176="")),LINEST(E173:E176,C173:C176^{1,2,3}),
IF(AND(E173="",NOT(E174=""),NOT(E175=""),NOT(E176="")),LINEST(E174:E176,C174:C176^{1,2,3}),
IF(AND(E174="",NOT(E175=""),NOT(E176="")),LINEST(E175:E176,C175:C176^{1,2,3}),
IF(AND(E175="",NOT(E176="")),LINEST(E176,C176^{1,2,3}),"NOT APPLICABLE")))))))</f>
        <v>-36.011788815455134</v>
      </c>
      <c r="H179" s="7">
        <v>142.16759282580864</v>
      </c>
      <c r="I179" s="7">
        <v>-280.72329601913657</v>
      </c>
      <c r="J179" s="37">
        <v>301.85468122934896</v>
      </c>
      <c r="K179" s="37"/>
      <c r="L179" s="37"/>
      <c r="M179" s="37"/>
      <c r="N179" s="37"/>
      <c r="O179" s="37"/>
      <c r="P179" s="37"/>
      <c r="Q179" s="37"/>
      <c r="R179" s="38"/>
    </row>
    <row r="180" spans="2:18">
      <c r="B180" s="36"/>
      <c r="C180" s="37"/>
      <c r="D180" s="37"/>
      <c r="E180" s="37"/>
      <c r="F180" s="37"/>
      <c r="G180" s="37"/>
      <c r="H180" s="37"/>
      <c r="I180" s="37"/>
      <c r="J180" s="37"/>
      <c r="K180" s="37"/>
      <c r="L180" s="37"/>
      <c r="M180" s="37"/>
      <c r="N180" s="37"/>
      <c r="O180" s="37"/>
      <c r="P180" s="37"/>
      <c r="Q180" s="37"/>
      <c r="R180" s="38"/>
    </row>
    <row r="181" spans="2:18">
      <c r="B181" s="39"/>
      <c r="C181" s="40"/>
      <c r="D181" s="40"/>
      <c r="E181" s="40"/>
      <c r="F181" s="40"/>
      <c r="G181" s="40"/>
      <c r="H181" s="40"/>
      <c r="I181" s="40"/>
      <c r="J181" s="40"/>
      <c r="K181" s="40"/>
      <c r="L181" s="40"/>
      <c r="M181" s="40"/>
      <c r="N181" s="40"/>
      <c r="O181" s="40"/>
      <c r="P181" s="40"/>
      <c r="Q181" s="40"/>
      <c r="R181" s="41"/>
    </row>
    <row r="183" spans="2:18">
      <c r="B183" s="34"/>
      <c r="C183" s="35"/>
      <c r="D183" s="35"/>
      <c r="E183" s="35"/>
      <c r="F183" s="35"/>
      <c r="G183" s="42" t="s">
        <v>89</v>
      </c>
      <c r="H183" s="35"/>
      <c r="I183" s="35"/>
      <c r="J183" s="35"/>
      <c r="K183" s="35"/>
      <c r="L183" s="35"/>
      <c r="M183" s="35"/>
      <c r="N183" s="35"/>
      <c r="O183" s="35"/>
      <c r="P183" s="35"/>
      <c r="Q183" s="35"/>
      <c r="R183" s="33"/>
    </row>
    <row r="184" spans="2:18">
      <c r="B184" s="36"/>
      <c r="C184" s="37"/>
      <c r="D184" s="37"/>
      <c r="E184" s="37"/>
      <c r="F184" s="37"/>
      <c r="G184" s="37"/>
      <c r="H184" s="37"/>
      <c r="I184" s="37"/>
      <c r="J184" s="37"/>
      <c r="K184" s="37"/>
      <c r="L184" s="37"/>
      <c r="M184" s="37"/>
      <c r="N184" s="37"/>
      <c r="O184" s="37"/>
      <c r="P184" s="37"/>
      <c r="Q184" s="37"/>
      <c r="R184" s="38"/>
    </row>
    <row r="185" spans="2:18">
      <c r="B185" s="36"/>
      <c r="C185" s="7" t="s">
        <v>11</v>
      </c>
      <c r="D185" s="7" t="s">
        <v>60</v>
      </c>
      <c r="E185" s="7" t="s">
        <v>53</v>
      </c>
      <c r="F185" s="37"/>
      <c r="G185" s="37"/>
      <c r="H185" s="37"/>
      <c r="I185" s="37"/>
      <c r="J185" s="37"/>
      <c r="K185" s="37"/>
      <c r="L185" s="37"/>
      <c r="M185" s="37"/>
      <c r="N185" s="37"/>
      <c r="O185" s="37"/>
      <c r="P185" s="37"/>
      <c r="Q185" s="37"/>
      <c r="R185" s="38"/>
    </row>
    <row r="186" spans="2:18">
      <c r="B186" s="36"/>
      <c r="C186" s="7">
        <v>0.4</v>
      </c>
      <c r="D186" s="7">
        <f>'10A61 Liquid 3"'!$B$4</f>
        <v>1</v>
      </c>
      <c r="E186" s="32">
        <f t="array" ref="E186">IF(D195&gt;5,"",
IF(D195&gt;1.011,'10A61 Liquid 3" ViscosityLINEST'!J184,'10A61 Liquid 3" ViscosityLINEST'!J183))</f>
        <v>347.90436507936533</v>
      </c>
      <c r="F186" s="37"/>
      <c r="G186" s="37"/>
      <c r="H186" s="37"/>
      <c r="I186" s="37"/>
      <c r="J186" s="37"/>
      <c r="K186" s="37"/>
      <c r="L186" s="37"/>
      <c r="M186" s="37"/>
      <c r="N186" s="37"/>
      <c r="O186" s="37"/>
      <c r="P186" s="37"/>
      <c r="Q186" s="37"/>
      <c r="R186" s="38"/>
    </row>
    <row r="187" spans="2:18">
      <c r="B187" s="36"/>
      <c r="C187" s="7">
        <v>0.6</v>
      </c>
      <c r="D187" s="7">
        <f>'10A61 Liquid 3"'!$B$4</f>
        <v>1</v>
      </c>
      <c r="E187" s="32">
        <f>IF(D195&gt;5,"",
IF(D195&gt;1.001,'10A61 Liquid 3" ViscosityLINEST'!J186,'10A61 Liquid 3" ViscosityLINEST'!J185))</f>
        <v>299.33055555555552</v>
      </c>
      <c r="F187" s="37"/>
      <c r="G187" s="37"/>
      <c r="H187" s="37"/>
      <c r="I187" s="37"/>
      <c r="J187" s="37"/>
      <c r="K187" s="37"/>
      <c r="L187" s="37"/>
      <c r="M187" s="37"/>
      <c r="N187" s="37"/>
      <c r="O187" s="37"/>
      <c r="P187" s="37"/>
      <c r="Q187" s="37"/>
      <c r="R187" s="38"/>
    </row>
    <row r="188" spans="2:18">
      <c r="B188" s="36"/>
      <c r="C188" s="7">
        <v>0.8</v>
      </c>
      <c r="D188" s="7">
        <f>'10A61 Liquid 3"'!$B$4</f>
        <v>1</v>
      </c>
      <c r="E188" s="32">
        <f>IF(D195&gt;5,"",
IF(D195&gt;1.001,'10A61 Liquid 3" ViscosityLINEST'!J188,'10A61 Liquid 3" ViscosityLINEST'!J187))</f>
        <v>261.50873015872969</v>
      </c>
      <c r="F188" s="37"/>
      <c r="G188" s="37"/>
      <c r="H188" s="37"/>
      <c r="I188" s="37"/>
      <c r="J188" s="37"/>
      <c r="K188" s="37"/>
      <c r="L188" s="37"/>
      <c r="M188" s="37"/>
      <c r="N188" s="37"/>
      <c r="O188" s="37"/>
      <c r="P188" s="37"/>
      <c r="Q188" s="37"/>
      <c r="R188" s="38"/>
    </row>
    <row r="189" spans="2:18">
      <c r="B189" s="36"/>
      <c r="C189" s="7">
        <v>1</v>
      </c>
      <c r="D189" s="7">
        <f>'10A61 Liquid 3"'!$B$4</f>
        <v>1</v>
      </c>
      <c r="E189" s="32">
        <f>IF(D195&gt;5,"",
IF(D195&gt;1.001,'10A61 Liquid 3" ViscosityLINEST'!J190,'10A61 Liquid 3" ViscosityLINEST'!J189))</f>
        <v>232.70992063492059</v>
      </c>
      <c r="F189" s="37"/>
      <c r="G189" s="37"/>
      <c r="H189" s="37"/>
      <c r="I189" s="37"/>
      <c r="J189" s="37"/>
      <c r="K189" s="37"/>
      <c r="L189" s="37"/>
      <c r="M189" s="37"/>
      <c r="N189" s="37"/>
      <c r="O189" s="37"/>
      <c r="P189" s="37"/>
      <c r="Q189" s="37"/>
      <c r="R189" s="38"/>
    </row>
    <row r="190" spans="2:18">
      <c r="B190" s="36"/>
      <c r="C190" s="7">
        <v>1.2</v>
      </c>
      <c r="D190" s="7">
        <f>'10A61 Liquid 3"'!$B$4</f>
        <v>1</v>
      </c>
      <c r="E190" s="32">
        <f>IF(D195&gt;5,"",
IF(D195&gt;1.001,'10A61 Liquid 3" ViscosityLINEST'!J192,'10A61 Liquid 3" ViscosityLINEST'!J191))</f>
        <v>208.22063492063495</v>
      </c>
      <c r="F190" s="37"/>
      <c r="G190" s="37"/>
      <c r="H190" s="37"/>
      <c r="I190" s="37"/>
      <c r="J190" s="37"/>
      <c r="K190" s="37"/>
      <c r="L190" s="37"/>
      <c r="M190" s="37"/>
      <c r="N190" s="37"/>
      <c r="O190" s="37"/>
      <c r="P190" s="37"/>
      <c r="Q190" s="37"/>
      <c r="R190" s="38"/>
    </row>
    <row r="191" spans="2:18">
      <c r="B191" s="36"/>
      <c r="C191" s="7">
        <v>1.4</v>
      </c>
      <c r="D191" s="7">
        <f>'10A61 Liquid 3"'!$B$4</f>
        <v>1</v>
      </c>
      <c r="E191" s="32">
        <f>IF(D195&gt;5,"",
IF(D195&gt;1.001,'10A61 Liquid 3" ViscosityLINEST'!J194,'10A61 Liquid 3" ViscosityLINEST'!J193))</f>
        <v>187.11190476190484</v>
      </c>
      <c r="F191" s="37"/>
      <c r="G191" s="37"/>
      <c r="H191" s="37"/>
      <c r="I191" s="37"/>
      <c r="J191" s="37"/>
      <c r="K191" s="37"/>
      <c r="L191" s="37"/>
      <c r="M191" s="37"/>
      <c r="N191" s="37"/>
      <c r="O191" s="37"/>
      <c r="P191" s="37"/>
      <c r="Q191" s="37"/>
      <c r="R191" s="38"/>
    </row>
    <row r="192" spans="2:18">
      <c r="B192" s="36"/>
      <c r="C192" s="7">
        <v>1.5</v>
      </c>
      <c r="D192" s="7">
        <f>'10A61 Liquid 3"'!$B$4</f>
        <v>1</v>
      </c>
      <c r="E192" s="32">
        <f>IF(D195&gt;5,"",
IF(D195&gt;1.001,'10A61 Liquid 3" ViscosityLINEST'!J196,'10A61 Liquid 3" ViscosityLINEST'!J195))</f>
        <v>177.80555555555554</v>
      </c>
      <c r="F192" s="37"/>
      <c r="G192" s="37"/>
      <c r="H192" s="37"/>
      <c r="I192" s="37"/>
      <c r="J192" s="37"/>
      <c r="K192" s="37"/>
      <c r="L192" s="37"/>
      <c r="M192" s="37"/>
      <c r="N192" s="37"/>
      <c r="O192" s="37"/>
      <c r="P192" s="37"/>
      <c r="Q192" s="37"/>
      <c r="R192" s="38"/>
    </row>
    <row r="193" spans="2:18" ht="15.75" thickBot="1">
      <c r="B193" s="36"/>
      <c r="C193" s="37"/>
      <c r="D193" s="37"/>
      <c r="E193" s="37"/>
      <c r="F193" s="37"/>
      <c r="G193" s="37"/>
      <c r="H193" s="37"/>
      <c r="I193" s="37"/>
      <c r="J193" s="37"/>
      <c r="K193" s="37"/>
      <c r="L193" s="37"/>
      <c r="M193" s="37"/>
      <c r="N193" s="37"/>
      <c r="O193" s="37"/>
      <c r="P193" s="37"/>
      <c r="Q193" s="37"/>
      <c r="R193" s="38"/>
    </row>
    <row r="194" spans="2:18" ht="15.75" thickBot="1">
      <c r="B194" s="36"/>
      <c r="C194" s="31" t="s">
        <v>76</v>
      </c>
      <c r="D194" s="31" t="s">
        <v>68</v>
      </c>
      <c r="E194" s="31" t="s">
        <v>67</v>
      </c>
      <c r="F194" s="37"/>
      <c r="G194" s="238" t="s">
        <v>65</v>
      </c>
      <c r="H194" s="238"/>
      <c r="I194" s="238"/>
      <c r="J194" s="37"/>
      <c r="K194" s="37"/>
      <c r="L194" s="37"/>
      <c r="M194" s="37"/>
      <c r="N194" s="37"/>
      <c r="O194" s="37"/>
      <c r="P194" s="37"/>
      <c r="Q194" s="37"/>
      <c r="R194" s="38"/>
    </row>
    <row r="195" spans="2:18" ht="15.75" thickBot="1">
      <c r="B195" s="36"/>
      <c r="C195" s="31">
        <f>$B$3</f>
        <v>0.99</v>
      </c>
      <c r="D195" s="31">
        <f>$C$3</f>
        <v>1</v>
      </c>
      <c r="E195" s="31">
        <f>G195*C195^3+H195*C195^2+I195*C195+J195</f>
        <v>233.53062218917492</v>
      </c>
      <c r="F195" s="37"/>
      <c r="G195" s="7">
        <f t="array" ref="G195:J195">IF(AND(NOT(E186="")),LINEST(E186:E192,C186:C192^{1,2,3}),
IF(AND(E186="",NOT(E187=""),NOT(E188=""),NOT(E189=""),NOT(E190=""),NOT(E191=""),NOT(E192="")),LINEST(E187:E192,C187:C192^{1,2,3}),
IF(AND(E187="",NOT(E188=""),NOT(E189=""),NOT(E190=""),NOT(E191=""),NOT(E192="")),LINEST(E188:E192,C188:C192^{1,2,3}),
IF(AND(E188="",NOT(E189=""),NOT(E190=""),NOT(E191=""),NOT(E192="")),LINEST(E189:E192,C189:C192^{1,2,3}),
IF(AND(E189="",NOT(E190=""),NOT(E191=""),NOT(E192="")),LINEST(E190:E192,C190:C192^{1,2,3}),
IF(AND(E190="",NOT(E191=""),NOT(E192="")),LINEST(E191:E192,C191:C192^{1,2,3}),
IF(AND(E191="",NOT(E192="")),LINEST(E192,C192^{1,2,3}),"NOT APPLICABLE")))))))</f>
        <v>-52.568720695402384</v>
      </c>
      <c r="H195" s="7">
        <v>228.20020912508429</v>
      </c>
      <c r="I195" s="7">
        <v>-430.17039162619261</v>
      </c>
      <c r="J195" s="37">
        <v>486.74766205763871</v>
      </c>
      <c r="K195" s="37"/>
      <c r="L195" s="37"/>
      <c r="M195" s="37"/>
      <c r="N195" s="37"/>
      <c r="O195" s="37"/>
      <c r="P195" s="37"/>
      <c r="Q195" s="37"/>
      <c r="R195" s="38"/>
    </row>
    <row r="196" spans="2:18">
      <c r="B196" s="36"/>
      <c r="C196" s="37"/>
      <c r="D196" s="37"/>
      <c r="E196" s="37"/>
      <c r="F196" s="37"/>
      <c r="G196" s="37"/>
      <c r="H196" s="37"/>
      <c r="I196" s="37"/>
      <c r="J196" s="37"/>
      <c r="K196" s="37"/>
      <c r="L196" s="37"/>
      <c r="M196" s="37"/>
      <c r="N196" s="37"/>
      <c r="O196" s="37"/>
      <c r="P196" s="37"/>
      <c r="Q196" s="37"/>
      <c r="R196" s="38"/>
    </row>
    <row r="197" spans="2:18">
      <c r="B197" s="39"/>
      <c r="C197" s="40"/>
      <c r="D197" s="40"/>
      <c r="E197" s="40"/>
      <c r="F197" s="40"/>
      <c r="G197" s="40"/>
      <c r="H197" s="40"/>
      <c r="I197" s="40"/>
      <c r="J197" s="40"/>
      <c r="K197" s="40"/>
      <c r="L197" s="40"/>
      <c r="M197" s="40"/>
      <c r="N197" s="40"/>
      <c r="O197" s="40"/>
      <c r="P197" s="40"/>
      <c r="Q197" s="40"/>
      <c r="R197" s="41"/>
    </row>
    <row r="199" spans="2:18">
      <c r="B199" s="34"/>
      <c r="C199" s="35"/>
      <c r="D199" s="35"/>
      <c r="E199" s="35"/>
      <c r="F199" s="35"/>
      <c r="G199" s="42" t="s">
        <v>90</v>
      </c>
      <c r="H199" s="35"/>
      <c r="I199" s="35"/>
      <c r="J199" s="35"/>
      <c r="K199" s="35"/>
      <c r="L199" s="35"/>
      <c r="M199" s="35"/>
      <c r="N199" s="35"/>
      <c r="O199" s="35"/>
      <c r="P199" s="35"/>
      <c r="Q199" s="35"/>
      <c r="R199" s="33"/>
    </row>
    <row r="200" spans="2:18">
      <c r="B200" s="36"/>
      <c r="C200" s="37"/>
      <c r="D200" s="37"/>
      <c r="E200" s="37"/>
      <c r="F200" s="37"/>
      <c r="G200" s="37"/>
      <c r="H200" s="37"/>
      <c r="I200" s="37"/>
      <c r="J200" s="37"/>
      <c r="K200" s="37"/>
      <c r="L200" s="37"/>
      <c r="M200" s="37"/>
      <c r="N200" s="37"/>
      <c r="O200" s="37"/>
      <c r="P200" s="37"/>
      <c r="Q200" s="37"/>
      <c r="R200" s="38"/>
    </row>
    <row r="201" spans="2:18">
      <c r="B201" s="36"/>
      <c r="C201" s="7" t="s">
        <v>11</v>
      </c>
      <c r="D201" s="7" t="s">
        <v>60</v>
      </c>
      <c r="E201" s="7" t="s">
        <v>53</v>
      </c>
      <c r="F201" s="37"/>
      <c r="G201" s="37"/>
      <c r="H201" s="37"/>
      <c r="I201" s="37"/>
      <c r="J201" s="37"/>
      <c r="K201" s="37"/>
      <c r="L201" s="37"/>
      <c r="M201" s="37"/>
      <c r="N201" s="37"/>
      <c r="O201" s="37"/>
      <c r="P201" s="37"/>
      <c r="Q201" s="37"/>
      <c r="R201" s="38"/>
    </row>
    <row r="202" spans="2:18">
      <c r="B202" s="36"/>
      <c r="C202" s="7">
        <v>0.4</v>
      </c>
      <c r="D202" s="7">
        <f>'10A61 Liquid 3"'!$B$4</f>
        <v>1</v>
      </c>
      <c r="E202" s="32">
        <f t="array" ref="E202">IF(D211&gt;5,"",
IF(D211&gt;1.011,'10A61 Liquid 3" ViscosityLINEST'!J200,'10A61 Liquid 3" ViscosityLINEST'!J199))</f>
        <v>390.21825396825398</v>
      </c>
      <c r="F202" s="37"/>
      <c r="G202" s="37"/>
      <c r="H202" s="37"/>
      <c r="I202" s="37"/>
      <c r="J202" s="37"/>
      <c r="K202" s="37"/>
      <c r="L202" s="37"/>
      <c r="M202" s="37"/>
      <c r="N202" s="37"/>
      <c r="O202" s="37"/>
      <c r="P202" s="37"/>
      <c r="Q202" s="37"/>
      <c r="R202" s="38"/>
    </row>
    <row r="203" spans="2:18">
      <c r="B203" s="36"/>
      <c r="C203" s="7">
        <v>0.6</v>
      </c>
      <c r="D203" s="7">
        <f>'10A61 Liquid 3"'!$B$4</f>
        <v>1</v>
      </c>
      <c r="E203" s="32">
        <f>IF(D211&gt;5,"",
IF(D211&gt;1.001,'10A61 Liquid 3" ViscosityLINEST'!J202,'10A61 Liquid 3" ViscosityLINEST'!J201))</f>
        <v>312.88134920634911</v>
      </c>
      <c r="F203" s="37"/>
      <c r="G203" s="37"/>
      <c r="H203" s="37"/>
      <c r="I203" s="37"/>
      <c r="J203" s="37"/>
      <c r="K203" s="37"/>
      <c r="L203" s="37"/>
      <c r="M203" s="37"/>
      <c r="N203" s="37"/>
      <c r="O203" s="37"/>
      <c r="P203" s="37"/>
      <c r="Q203" s="37"/>
      <c r="R203" s="38"/>
    </row>
    <row r="204" spans="2:18">
      <c r="B204" s="36"/>
      <c r="C204" s="7">
        <v>0.8</v>
      </c>
      <c r="D204" s="7">
        <f>'10A61 Liquid 3"'!$B$4</f>
        <v>1</v>
      </c>
      <c r="E204" s="32">
        <f>IF(D211&gt;5,"",
IF(D211&gt;1.001,'10A61 Liquid 3" ViscosityLINEST'!J204,'10A61 Liquid 3" ViscosityLINEST'!J203))</f>
        <v>259.37380952380954</v>
      </c>
      <c r="F204" s="37"/>
      <c r="G204" s="37"/>
      <c r="H204" s="37"/>
      <c r="I204" s="37"/>
      <c r="J204" s="37"/>
      <c r="K204" s="37"/>
      <c r="L204" s="37"/>
      <c r="M204" s="37"/>
      <c r="N204" s="37"/>
      <c r="O204" s="37"/>
      <c r="P204" s="37"/>
      <c r="Q204" s="37"/>
      <c r="R204" s="38"/>
    </row>
    <row r="205" spans="2:18">
      <c r="B205" s="36"/>
      <c r="C205" s="7">
        <v>1</v>
      </c>
      <c r="D205" s="7">
        <f>'10A61 Liquid 3"'!$B$4</f>
        <v>1</v>
      </c>
      <c r="E205" s="32">
        <f>IF(D211&gt;5,"",
IF(D211&gt;1.001,'10A61 Liquid 3" ViscosityLINEST'!J206,'10A61 Liquid 3" ViscosityLINEST'!J205))</f>
        <v>217.89999999999998</v>
      </c>
      <c r="F205" s="37"/>
      <c r="G205" s="37"/>
      <c r="H205" s="37"/>
      <c r="I205" s="37"/>
      <c r="J205" s="37"/>
      <c r="K205" s="37"/>
      <c r="L205" s="37"/>
      <c r="M205" s="37"/>
      <c r="N205" s="37"/>
      <c r="O205" s="37"/>
      <c r="P205" s="37"/>
      <c r="Q205" s="37"/>
      <c r="R205" s="38"/>
    </row>
    <row r="206" spans="2:18">
      <c r="B206" s="36"/>
      <c r="C206" s="7">
        <v>1.2</v>
      </c>
      <c r="D206" s="7">
        <f>'10A61 Liquid 3"'!$B$4</f>
        <v>1</v>
      </c>
      <c r="E206" s="32">
        <f>IF(D211&gt;5,"",
IF(D211&gt;1.001,'10A61 Liquid 3" ViscosityLINEST'!J208,'10A61 Liquid 3" ViscosityLINEST'!J207))</f>
        <v>183.00436507936507</v>
      </c>
      <c r="F206" s="37"/>
      <c r="G206" s="37"/>
      <c r="H206" s="37"/>
      <c r="I206" s="37"/>
      <c r="J206" s="37"/>
      <c r="K206" s="37"/>
      <c r="L206" s="37"/>
      <c r="M206" s="37"/>
      <c r="N206" s="37"/>
      <c r="O206" s="37"/>
      <c r="P206" s="37"/>
      <c r="Q206" s="37"/>
      <c r="R206" s="38"/>
    </row>
    <row r="207" spans="2:18">
      <c r="B207" s="36"/>
      <c r="C207" s="7">
        <v>1.4</v>
      </c>
      <c r="D207" s="7">
        <f>'10A61 Liquid 3"'!$B$4</f>
        <v>1</v>
      </c>
      <c r="E207" s="32">
        <f>IF(D211&gt;5,"",
IF(D211&gt;1.001,'10A61 Liquid 3" ViscosityLINEST'!J210,'10A61 Liquid 3" ViscosityLINEST'!J209))</f>
        <v>151.9980158730159</v>
      </c>
      <c r="F207" s="37"/>
      <c r="G207" s="37"/>
      <c r="H207" s="37"/>
      <c r="I207" s="37"/>
      <c r="J207" s="37"/>
      <c r="K207" s="37"/>
      <c r="L207" s="37"/>
      <c r="M207" s="37"/>
      <c r="N207" s="37"/>
      <c r="O207" s="37"/>
      <c r="P207" s="37"/>
      <c r="Q207" s="37"/>
      <c r="R207" s="38"/>
    </row>
    <row r="208" spans="2:18">
      <c r="B208" s="36"/>
      <c r="C208" s="7">
        <v>1.5</v>
      </c>
      <c r="D208" s="7">
        <f>'10A61 Liquid 3"'!$B$4</f>
        <v>1</v>
      </c>
      <c r="E208" s="32">
        <f>IF(D211&gt;5,"",
IF(D211&gt;1.001,'10A61 Liquid 3" ViscosityLINEST'!J212,'10A61 Liquid 3" ViscosityLINEST'!J211))</f>
        <v>137.38730158730149</v>
      </c>
      <c r="F208" s="37"/>
      <c r="G208" s="37"/>
      <c r="H208" s="37"/>
      <c r="I208" s="37"/>
      <c r="J208" s="37"/>
      <c r="K208" s="37"/>
      <c r="L208" s="37"/>
      <c r="M208" s="37"/>
      <c r="N208" s="37"/>
      <c r="O208" s="37"/>
      <c r="P208" s="37"/>
      <c r="Q208" s="37"/>
      <c r="R208" s="38"/>
    </row>
    <row r="209" spans="2:18" ht="15.75" thickBot="1">
      <c r="B209" s="36"/>
      <c r="C209" s="37"/>
      <c r="D209" s="37"/>
      <c r="E209" s="37"/>
      <c r="F209" s="37"/>
      <c r="G209" s="37"/>
      <c r="H209" s="37"/>
      <c r="I209" s="37"/>
      <c r="J209" s="37"/>
      <c r="K209" s="37"/>
      <c r="L209" s="37"/>
      <c r="M209" s="37"/>
      <c r="N209" s="37"/>
      <c r="O209" s="37"/>
      <c r="P209" s="37"/>
      <c r="Q209" s="37"/>
      <c r="R209" s="38"/>
    </row>
    <row r="210" spans="2:18" ht="15.75" thickBot="1">
      <c r="B210" s="36"/>
      <c r="C210" s="31" t="s">
        <v>76</v>
      </c>
      <c r="D210" s="31" t="s">
        <v>68</v>
      </c>
      <c r="E210" s="31" t="s">
        <v>67</v>
      </c>
      <c r="F210" s="37"/>
      <c r="G210" s="238" t="s">
        <v>65</v>
      </c>
      <c r="H210" s="238"/>
      <c r="I210" s="238"/>
      <c r="J210" s="37"/>
      <c r="K210" s="37"/>
      <c r="L210" s="37"/>
      <c r="M210" s="37"/>
      <c r="N210" s="37"/>
      <c r="O210" s="37"/>
      <c r="P210" s="37"/>
      <c r="Q210" s="37"/>
      <c r="R210" s="38"/>
    </row>
    <row r="211" spans="2:18" ht="15.75" thickBot="1">
      <c r="B211" s="36"/>
      <c r="C211" s="31">
        <f>$B$3</f>
        <v>0.99</v>
      </c>
      <c r="D211" s="31">
        <f>$C$3</f>
        <v>1</v>
      </c>
      <c r="E211" s="31">
        <f>G211*C211^3+H211*C211^2+I211*C211+J211</f>
        <v>218.80013269938411</v>
      </c>
      <c r="F211" s="37"/>
      <c r="G211" s="7">
        <f t="array" ref="G211:J211">IF(AND(NOT(E202="")),LINEST(E202:E208,C202:C208^{1,2,3}),
IF(AND(E202="",NOT(E203=""),NOT(E204=""),NOT(E205=""),NOT(E206=""),NOT(E207=""),NOT(E208="")),LINEST(E203:E208,C203:C208^{1,2,3}),
IF(AND(E203="",NOT(E204=""),NOT(E205=""),NOT(E206=""),NOT(E207=""),NOT(E208="")),LINEST(E204:E208,C204:C208^{1,2,3}),
IF(AND(E204="",NOT(E205=""),NOT(E206=""),NOT(E207=""),NOT(E208="")),LINEST(E205:E208,C205:C208^{1,2,3}),
IF(AND(E205="",NOT(E206=""),NOT(E207=""),NOT(E208="")),LINEST(E206:E208,C206:C208^{1,2,3}),
IF(AND(E206="",NOT(E207=""),NOT(E208="")),LINEST(E207:E208,C207:C208^{1,2,3}),
IF(AND(E207="",NOT(E208="")),LINEST(E208,C208^{1,2,3}),"NOT APPLICABLE")))))))</f>
        <v>-118.4935118057862</v>
      </c>
      <c r="H211" s="7">
        <v>459.40788749474291</v>
      </c>
      <c r="I211" s="7">
        <v>-746.20889860412854</v>
      </c>
      <c r="J211" s="37">
        <v>622.25540779551636</v>
      </c>
      <c r="K211" s="37"/>
      <c r="L211" s="37"/>
      <c r="M211" s="37"/>
      <c r="N211" s="37"/>
      <c r="O211" s="37"/>
      <c r="P211" s="37"/>
      <c r="Q211" s="37"/>
      <c r="R211" s="38"/>
    </row>
    <row r="212" spans="2:18">
      <c r="B212" s="36"/>
      <c r="C212" s="37"/>
      <c r="D212" s="37"/>
      <c r="E212" s="37"/>
      <c r="F212" s="37"/>
      <c r="G212" s="37"/>
      <c r="H212" s="37"/>
      <c r="I212" s="37"/>
      <c r="J212" s="37"/>
      <c r="K212" s="37"/>
      <c r="L212" s="37"/>
      <c r="M212" s="37"/>
      <c r="N212" s="37"/>
      <c r="O212" s="37"/>
      <c r="P212" s="37"/>
      <c r="Q212" s="37"/>
      <c r="R212" s="38"/>
    </row>
    <row r="213" spans="2:18">
      <c r="B213" s="39"/>
      <c r="C213" s="40"/>
      <c r="D213" s="40"/>
      <c r="E213" s="40"/>
      <c r="F213" s="40"/>
      <c r="G213" s="40"/>
      <c r="H213" s="40"/>
      <c r="I213" s="40"/>
      <c r="J213" s="40"/>
      <c r="K213" s="40"/>
      <c r="L213" s="40"/>
      <c r="M213" s="40"/>
      <c r="N213" s="40"/>
      <c r="O213" s="40"/>
      <c r="P213" s="40"/>
      <c r="Q213" s="40"/>
      <c r="R213" s="41"/>
    </row>
    <row r="215" spans="2:18">
      <c r="B215" s="34"/>
      <c r="C215" s="35"/>
      <c r="D215" s="35"/>
      <c r="E215" s="35"/>
      <c r="F215" s="35"/>
      <c r="G215" s="42" t="s">
        <v>91</v>
      </c>
      <c r="H215" s="35"/>
      <c r="I215" s="35"/>
      <c r="J215" s="35"/>
      <c r="K215" s="35"/>
      <c r="L215" s="35"/>
      <c r="M215" s="35"/>
      <c r="N215" s="35"/>
      <c r="O215" s="35"/>
      <c r="P215" s="35"/>
      <c r="Q215" s="35"/>
      <c r="R215" s="33"/>
    </row>
    <row r="216" spans="2:18">
      <c r="B216" s="36"/>
      <c r="C216" s="37"/>
      <c r="D216" s="37"/>
      <c r="E216" s="37"/>
      <c r="F216" s="37"/>
      <c r="G216" s="37"/>
      <c r="H216" s="37"/>
      <c r="I216" s="37"/>
      <c r="J216" s="37"/>
      <c r="K216" s="37"/>
      <c r="L216" s="37"/>
      <c r="M216" s="37"/>
      <c r="N216" s="37"/>
      <c r="O216" s="37"/>
      <c r="P216" s="37"/>
      <c r="Q216" s="37"/>
      <c r="R216" s="38"/>
    </row>
    <row r="217" spans="2:18">
      <c r="B217" s="36"/>
      <c r="C217" s="7" t="s">
        <v>11</v>
      </c>
      <c r="D217" s="7" t="s">
        <v>60</v>
      </c>
      <c r="E217" s="7" t="s">
        <v>53</v>
      </c>
      <c r="F217" s="37"/>
      <c r="G217" s="37"/>
      <c r="H217" s="37"/>
      <c r="I217" s="37"/>
      <c r="J217" s="37"/>
      <c r="K217" s="37"/>
      <c r="L217" s="37"/>
      <c r="M217" s="37"/>
      <c r="N217" s="37"/>
      <c r="O217" s="37"/>
      <c r="P217" s="37"/>
      <c r="Q217" s="37"/>
      <c r="R217" s="38"/>
    </row>
    <row r="218" spans="2:18">
      <c r="B218" s="36"/>
      <c r="C218" s="7">
        <v>0.4</v>
      </c>
      <c r="D218" s="7">
        <f>'10A61 Liquid 3"'!$B$4</f>
        <v>1</v>
      </c>
      <c r="E218" s="32">
        <f t="array" ref="E218">IF(D227&gt;5,"",
IF(D227&gt;1.011,'10A61 Liquid 3" ViscosityLINEST'!J216,'10A61 Liquid 3" ViscosityLINEST'!J215))</f>
        <v>593.75555555555593</v>
      </c>
      <c r="F218" s="37"/>
      <c r="G218" s="37"/>
      <c r="H218" s="37"/>
      <c r="I218" s="37"/>
      <c r="J218" s="37"/>
      <c r="K218" s="37"/>
      <c r="L218" s="37"/>
      <c r="M218" s="37"/>
      <c r="N218" s="37"/>
      <c r="O218" s="37"/>
      <c r="P218" s="37"/>
      <c r="Q218" s="37"/>
      <c r="R218" s="38"/>
    </row>
    <row r="219" spans="2:18">
      <c r="B219" s="36"/>
      <c r="C219" s="7">
        <v>0.6</v>
      </c>
      <c r="D219" s="7">
        <f>'10A61 Liquid 3"'!$B$4</f>
        <v>1</v>
      </c>
      <c r="E219" s="32">
        <f>IF(D227&gt;5,"",
IF(D227&gt;1.001,'10A61 Liquid 3" ViscosityLINEST'!J218,'10A61 Liquid 3" ViscosityLINEST'!J217))</f>
        <v>481.33174603174575</v>
      </c>
      <c r="F219" s="37"/>
      <c r="G219" s="37"/>
      <c r="H219" s="37"/>
      <c r="I219" s="37"/>
      <c r="J219" s="37"/>
      <c r="K219" s="37"/>
      <c r="L219" s="37"/>
      <c r="M219" s="37"/>
      <c r="N219" s="37"/>
      <c r="O219" s="37"/>
      <c r="P219" s="37"/>
      <c r="Q219" s="37"/>
      <c r="R219" s="38"/>
    </row>
    <row r="220" spans="2:18">
      <c r="B220" s="36"/>
      <c r="C220" s="7">
        <v>0.8</v>
      </c>
      <c r="D220" s="7">
        <f>'10A61 Liquid 3"'!$B$4</f>
        <v>1</v>
      </c>
      <c r="E220" s="32">
        <f>IF(D227&gt;5,"",
IF(D227&gt;1.001,'10A61 Liquid 3" ViscosityLINEST'!J220,'10A61 Liquid 3" ViscosityLINEST'!J219))</f>
        <v>413.22182539682524</v>
      </c>
      <c r="F220" s="37"/>
      <c r="G220" s="37"/>
      <c r="H220" s="37"/>
      <c r="I220" s="37"/>
      <c r="J220" s="37"/>
      <c r="K220" s="37"/>
      <c r="L220" s="37"/>
      <c r="M220" s="37"/>
      <c r="N220" s="37"/>
      <c r="O220" s="37"/>
      <c r="P220" s="37"/>
      <c r="Q220" s="37"/>
      <c r="R220" s="38"/>
    </row>
    <row r="221" spans="2:18">
      <c r="B221" s="36"/>
      <c r="C221" s="7">
        <v>1</v>
      </c>
      <c r="D221" s="7">
        <f>'10A61 Liquid 3"'!$B$4</f>
        <v>1</v>
      </c>
      <c r="E221" s="32">
        <f>IF(D227&gt;5,"",
IF(D227&gt;1.001,'10A61 Liquid 3" ViscosityLINEST'!J222,'10A61 Liquid 3" ViscosityLINEST'!J221))</f>
        <v>363.30476190476196</v>
      </c>
      <c r="F221" s="37"/>
      <c r="G221" s="37"/>
      <c r="H221" s="37"/>
      <c r="I221" s="37"/>
      <c r="J221" s="37"/>
      <c r="K221" s="37"/>
      <c r="L221" s="37"/>
      <c r="M221" s="37"/>
      <c r="N221" s="37"/>
      <c r="O221" s="37"/>
      <c r="P221" s="37"/>
      <c r="Q221" s="37"/>
      <c r="R221" s="38"/>
    </row>
    <row r="222" spans="2:18">
      <c r="B222" s="36"/>
      <c r="C222" s="7">
        <v>1.2</v>
      </c>
      <c r="D222" s="7">
        <f>'10A61 Liquid 3"'!$B$4</f>
        <v>1</v>
      </c>
      <c r="E222" s="32">
        <f>IF(D227&gt;5,"",
IF(D227&gt;1.001,'10A61 Liquid 3" ViscosityLINEST'!J224,'10A61 Liquid 3" ViscosityLINEST'!J223))</f>
        <v>322.59563492063489</v>
      </c>
      <c r="F222" s="37"/>
      <c r="G222" s="37"/>
      <c r="H222" s="37"/>
      <c r="I222" s="37"/>
      <c r="J222" s="37"/>
      <c r="K222" s="37"/>
      <c r="L222" s="37"/>
      <c r="M222" s="37"/>
      <c r="N222" s="37"/>
      <c r="O222" s="37"/>
      <c r="P222" s="37"/>
      <c r="Q222" s="37"/>
      <c r="R222" s="38"/>
    </row>
    <row r="223" spans="2:18">
      <c r="B223" s="36"/>
      <c r="C223" s="7">
        <v>1.4</v>
      </c>
      <c r="D223" s="7">
        <f>'10A61 Liquid 3"'!$B$4</f>
        <v>1</v>
      </c>
      <c r="E223" s="32">
        <f>IF(D227&gt;5,"",
IF(D227&gt;1.001,'10A61 Liquid 3" ViscosityLINEST'!J226,'10A61 Liquid 3" ViscosityLINEST'!J225))</f>
        <v>288.69722222222225</v>
      </c>
      <c r="F223" s="37"/>
      <c r="G223" s="37"/>
      <c r="H223" s="37"/>
      <c r="I223" s="37"/>
      <c r="J223" s="37"/>
      <c r="K223" s="37"/>
      <c r="L223" s="37"/>
      <c r="M223" s="37"/>
      <c r="N223" s="37"/>
      <c r="O223" s="37"/>
      <c r="P223" s="37"/>
      <c r="Q223" s="37"/>
      <c r="R223" s="38"/>
    </row>
    <row r="224" spans="2:18">
      <c r="B224" s="36"/>
      <c r="C224" s="7">
        <v>1.5</v>
      </c>
      <c r="D224" s="7">
        <f>'10A61 Liquid 3"'!$B$4</f>
        <v>1</v>
      </c>
      <c r="E224" s="32">
        <f>IF(D227&gt;5,"",
IF(D227&gt;1.001,'10A61 Liquid 3" ViscosityLINEST'!J228,'10A61 Liquid 3" ViscosityLINEST'!J227))</f>
        <v>273.7968253968254</v>
      </c>
      <c r="F224" s="37"/>
      <c r="G224" s="37"/>
      <c r="H224" s="37"/>
      <c r="I224" s="37"/>
      <c r="J224" s="37"/>
      <c r="K224" s="37"/>
      <c r="L224" s="37"/>
      <c r="M224" s="37"/>
      <c r="N224" s="37"/>
      <c r="O224" s="37"/>
      <c r="P224" s="37"/>
      <c r="Q224" s="37"/>
      <c r="R224" s="38"/>
    </row>
    <row r="225" spans="2:18" ht="15.75" thickBot="1">
      <c r="B225" s="36"/>
      <c r="C225" s="37"/>
      <c r="D225" s="37"/>
      <c r="E225" s="37"/>
      <c r="F225" s="37"/>
      <c r="G225" s="37"/>
      <c r="H225" s="37"/>
      <c r="I225" s="37"/>
      <c r="J225" s="37"/>
      <c r="K225" s="37"/>
      <c r="L225" s="37"/>
      <c r="M225" s="37"/>
      <c r="N225" s="37"/>
      <c r="O225" s="37"/>
      <c r="P225" s="37"/>
      <c r="Q225" s="37"/>
      <c r="R225" s="38"/>
    </row>
    <row r="226" spans="2:18" ht="15.75" thickBot="1">
      <c r="B226" s="36"/>
      <c r="C226" s="31" t="s">
        <v>76</v>
      </c>
      <c r="D226" s="31" t="s">
        <v>68</v>
      </c>
      <c r="E226" s="31" t="s">
        <v>67</v>
      </c>
      <c r="F226" s="37"/>
      <c r="G226" s="238" t="s">
        <v>65</v>
      </c>
      <c r="H226" s="238"/>
      <c r="I226" s="238"/>
      <c r="J226" s="37"/>
      <c r="K226" s="37"/>
      <c r="L226" s="37"/>
      <c r="M226" s="37"/>
      <c r="N226" s="37"/>
      <c r="O226" s="37"/>
      <c r="P226" s="37"/>
      <c r="Q226" s="37"/>
      <c r="R226" s="38"/>
    </row>
    <row r="227" spans="2:18" ht="15.75" thickBot="1">
      <c r="B227" s="36"/>
      <c r="C227" s="31">
        <f>$B$3</f>
        <v>0.99</v>
      </c>
      <c r="D227" s="31">
        <f>$C$3</f>
        <v>1</v>
      </c>
      <c r="E227" s="31">
        <f>G227*C227^3+H227*C227^2+I227*C227+J227</f>
        <v>363.0965690853518</v>
      </c>
      <c r="F227" s="37"/>
      <c r="G227" s="7">
        <f t="array" ref="G227:J227">IF(AND(NOT(E218="")),LINEST(E218:E224,C218:C224^{1,2,3}),
IF(AND(E218="",NOT(E219=""),NOT(E220=""),NOT(E221=""),NOT(E222=""),NOT(E223=""),NOT(E224="")),LINEST(E219:E224,C219:C224^{1,2,3}),
IF(AND(E219="",NOT(E220=""),NOT(E221=""),NOT(E222=""),NOT(E223=""),NOT(E224="")),LINEST(E220:E224,C220:C224^{1,2,3}),
IF(AND(E220="",NOT(E221=""),NOT(E222=""),NOT(E223=""),NOT(E224="")),LINEST(E221:E224,C221:C224^{1,2,3}),
IF(AND(E221="",NOT(E222=""),NOT(E223=""),NOT(E224="")),LINEST(E222:E224,C222:C224^{1,2,3}),
IF(AND(E222="",NOT(E223=""),NOT(E224="")),LINEST(E223:E224,C223:C224^{1,2,3}),
IF(AND(E223="",NOT(E224="")),LINEST(E224,C224^{1,2,3}),"NOT APPLICABLE")))))))</f>
        <v>-209.86172732422671</v>
      </c>
      <c r="H227" s="7">
        <v>797.67413937096728</v>
      </c>
      <c r="I227" s="7">
        <v>-1175.0782625893874</v>
      </c>
      <c r="J227" s="37">
        <v>948.25224921233007</v>
      </c>
      <c r="K227" s="37"/>
      <c r="L227" s="37"/>
      <c r="M227" s="37"/>
      <c r="N227" s="37"/>
      <c r="O227" s="37"/>
      <c r="P227" s="37"/>
      <c r="Q227" s="37"/>
      <c r="R227" s="38"/>
    </row>
    <row r="228" spans="2:18">
      <c r="B228" s="36"/>
      <c r="C228" s="37"/>
      <c r="D228" s="37"/>
      <c r="E228" s="37"/>
      <c r="F228" s="37"/>
      <c r="G228" s="37"/>
      <c r="H228" s="37"/>
      <c r="I228" s="37"/>
      <c r="J228" s="37"/>
      <c r="K228" s="37"/>
      <c r="L228" s="37"/>
      <c r="M228" s="37"/>
      <c r="N228" s="37"/>
      <c r="O228" s="37"/>
      <c r="P228" s="37"/>
      <c r="Q228" s="37"/>
      <c r="R228" s="38"/>
    </row>
    <row r="229" spans="2:18">
      <c r="B229" s="39"/>
      <c r="C229" s="40"/>
      <c r="D229" s="40"/>
      <c r="E229" s="40"/>
      <c r="F229" s="40"/>
      <c r="G229" s="40"/>
      <c r="H229" s="40"/>
      <c r="I229" s="40"/>
      <c r="J229" s="40"/>
      <c r="K229" s="40"/>
      <c r="L229" s="40"/>
      <c r="M229" s="40"/>
      <c r="N229" s="40"/>
      <c r="O229" s="40"/>
      <c r="P229" s="40"/>
      <c r="Q229" s="40"/>
      <c r="R229" s="41"/>
    </row>
    <row r="231" spans="2:18">
      <c r="B231" s="34"/>
      <c r="C231" s="35"/>
      <c r="D231" s="35"/>
      <c r="E231" s="35"/>
      <c r="F231" s="35"/>
      <c r="G231" s="42" t="s">
        <v>92</v>
      </c>
      <c r="H231" s="35"/>
      <c r="I231" s="35"/>
      <c r="J231" s="35"/>
      <c r="K231" s="35"/>
      <c r="L231" s="35"/>
      <c r="M231" s="35"/>
      <c r="N231" s="35"/>
      <c r="O231" s="35"/>
      <c r="P231" s="35"/>
      <c r="Q231" s="35"/>
      <c r="R231" s="33"/>
    </row>
    <row r="232" spans="2:18">
      <c r="B232" s="36"/>
      <c r="C232" s="37"/>
      <c r="D232" s="37"/>
      <c r="E232" s="37"/>
      <c r="F232" s="37"/>
      <c r="G232" s="37"/>
      <c r="H232" s="37"/>
      <c r="I232" s="37"/>
      <c r="J232" s="37"/>
      <c r="K232" s="37"/>
      <c r="L232" s="37"/>
      <c r="M232" s="37"/>
      <c r="N232" s="37"/>
      <c r="O232" s="37"/>
      <c r="P232" s="37"/>
      <c r="Q232" s="37"/>
      <c r="R232" s="38"/>
    </row>
    <row r="233" spans="2:18">
      <c r="B233" s="36"/>
      <c r="C233" s="7" t="s">
        <v>11</v>
      </c>
      <c r="D233" s="7" t="s">
        <v>60</v>
      </c>
      <c r="E233" s="7" t="s">
        <v>53</v>
      </c>
      <c r="F233" s="37"/>
      <c r="G233" s="37"/>
      <c r="H233" s="37"/>
      <c r="I233" s="37"/>
      <c r="J233" s="37"/>
      <c r="K233" s="37"/>
      <c r="L233" s="37"/>
      <c r="M233" s="37"/>
      <c r="N233" s="37"/>
      <c r="O233" s="37"/>
      <c r="P233" s="37"/>
      <c r="Q233" s="37"/>
      <c r="R233" s="38"/>
    </row>
    <row r="234" spans="2:18">
      <c r="B234" s="36"/>
      <c r="C234" s="7">
        <v>0.4</v>
      </c>
      <c r="D234" s="7">
        <f>'10A61 Liquid 3"'!$B$4</f>
        <v>1</v>
      </c>
      <c r="E234" s="32">
        <f t="array" ref="E234">IF(D243&gt;5,"",
IF(D243&gt;1.011,'10A61 Liquid 3" ViscosityLINEST'!J232,'10A61 Liquid 3" ViscosityLINEST'!J231))</f>
        <v>590.73015873015868</v>
      </c>
      <c r="F234" s="37"/>
      <c r="G234" s="37"/>
      <c r="H234" s="37"/>
      <c r="I234" s="37"/>
      <c r="J234" s="37"/>
      <c r="K234" s="37"/>
      <c r="L234" s="37"/>
      <c r="M234" s="37"/>
      <c r="N234" s="37"/>
      <c r="O234" s="37"/>
      <c r="P234" s="37"/>
      <c r="Q234" s="37"/>
      <c r="R234" s="38"/>
    </row>
    <row r="235" spans="2:18">
      <c r="B235" s="36"/>
      <c r="C235" s="7">
        <v>0.6</v>
      </c>
      <c r="D235" s="7">
        <f>'10A61 Liquid 3"'!$B$4</f>
        <v>1</v>
      </c>
      <c r="E235" s="32">
        <f>IF(D243&gt;5,"",
IF(D243&gt;1.001,'10A61 Liquid 3" ViscosityLINEST'!J234,'10A61 Liquid 3" ViscosityLINEST'!J233))</f>
        <v>494.34642857142853</v>
      </c>
      <c r="F235" s="37"/>
      <c r="G235" s="37"/>
      <c r="H235" s="37"/>
      <c r="I235" s="37"/>
      <c r="J235" s="37"/>
      <c r="K235" s="37"/>
      <c r="L235" s="37"/>
      <c r="M235" s="37"/>
      <c r="N235" s="37"/>
      <c r="O235" s="37"/>
      <c r="P235" s="37"/>
      <c r="Q235" s="37"/>
      <c r="R235" s="38"/>
    </row>
    <row r="236" spans="2:18">
      <c r="B236" s="36"/>
      <c r="C236" s="7">
        <v>0.8</v>
      </c>
      <c r="D236" s="7">
        <f>'10A61 Liquid 3"'!$B$4</f>
        <v>1</v>
      </c>
      <c r="E236" s="32">
        <f>IF(D243&gt;5,"",
IF(D243&gt;1.001,'10A61 Liquid 3" ViscosityLINEST'!J236,'10A61 Liquid 3" ViscosityLINEST'!J235))</f>
        <v>433.81428571428597</v>
      </c>
      <c r="F236" s="37"/>
      <c r="G236" s="37"/>
      <c r="H236" s="37"/>
      <c r="I236" s="37"/>
      <c r="J236" s="37"/>
      <c r="K236" s="37"/>
      <c r="L236" s="37"/>
      <c r="M236" s="37"/>
      <c r="N236" s="37"/>
      <c r="O236" s="37"/>
      <c r="P236" s="37"/>
      <c r="Q236" s="37"/>
      <c r="R236" s="38"/>
    </row>
    <row r="237" spans="2:18">
      <c r="B237" s="36"/>
      <c r="C237" s="7">
        <v>1</v>
      </c>
      <c r="D237" s="7">
        <f>'10A61 Liquid 3"'!$B$4</f>
        <v>1</v>
      </c>
      <c r="E237" s="32">
        <f>IF(D243&gt;5,"",
IF(D243&gt;1.001,'10A61 Liquid 3" ViscosityLINEST'!J238,'10A61 Liquid 3" ViscosityLINEST'!J237))</f>
        <v>390.04761904761904</v>
      </c>
      <c r="F237" s="37"/>
      <c r="G237" s="37"/>
      <c r="H237" s="37"/>
      <c r="I237" s="37"/>
      <c r="J237" s="37"/>
      <c r="K237" s="37"/>
      <c r="L237" s="37"/>
      <c r="M237" s="37"/>
      <c r="N237" s="37"/>
      <c r="O237" s="37"/>
      <c r="P237" s="37"/>
      <c r="Q237" s="37"/>
      <c r="R237" s="38"/>
    </row>
    <row r="238" spans="2:18">
      <c r="B238" s="36"/>
      <c r="C238" s="7">
        <v>1.2</v>
      </c>
      <c r="D238" s="7">
        <f>'10A61 Liquid 3"'!$B$4</f>
        <v>1</v>
      </c>
      <c r="E238" s="32">
        <f>IF(D243&gt;5,"",
IF(D243&gt;1.001,'10A61 Liquid 3" ViscosityLINEST'!J240,'10A61 Liquid 3" ViscosityLINEST'!J239))</f>
        <v>354.68928571428552</v>
      </c>
      <c r="F238" s="37"/>
      <c r="G238" s="37"/>
      <c r="H238" s="37"/>
      <c r="I238" s="37"/>
      <c r="J238" s="37"/>
      <c r="K238" s="37"/>
      <c r="L238" s="37"/>
      <c r="M238" s="37"/>
      <c r="N238" s="37"/>
      <c r="O238" s="37"/>
      <c r="P238" s="37"/>
      <c r="Q238" s="37"/>
      <c r="R238" s="38"/>
    </row>
    <row r="239" spans="2:18">
      <c r="B239" s="36"/>
      <c r="C239" s="7">
        <v>1.4</v>
      </c>
      <c r="D239" s="7">
        <f>'10A61 Liquid 3"'!$B$4</f>
        <v>1</v>
      </c>
      <c r="E239" s="32">
        <f>IF(D243&gt;5,"",
IF(D243&gt;1.001,'10A61 Liquid 3" ViscosityLINEST'!J242,'10A61 Liquid 3" ViscosityLINEST'!J241))</f>
        <v>326.36150793650779</v>
      </c>
      <c r="F239" s="37"/>
      <c r="G239" s="37"/>
      <c r="H239" s="37"/>
      <c r="I239" s="37"/>
      <c r="J239" s="37"/>
      <c r="K239" s="37"/>
      <c r="L239" s="37"/>
      <c r="M239" s="37"/>
      <c r="N239" s="37"/>
      <c r="O239" s="37"/>
      <c r="P239" s="37"/>
      <c r="Q239" s="37"/>
      <c r="R239" s="38"/>
    </row>
    <row r="240" spans="2:18">
      <c r="B240" s="36"/>
      <c r="C240" s="7">
        <v>1.5</v>
      </c>
      <c r="D240" s="7">
        <f>'10A61 Liquid 3"'!$B$4</f>
        <v>1</v>
      </c>
      <c r="E240" s="32">
        <f>IF(D243&gt;5,"",
IF(D243&gt;1.001,'10A61 Liquid 3" ViscosityLINEST'!J244,'10A61 Liquid 3" ViscosityLINEST'!J243))</f>
        <v>314.06865079365082</v>
      </c>
      <c r="F240" s="37"/>
      <c r="G240" s="37"/>
      <c r="H240" s="37"/>
      <c r="I240" s="37"/>
      <c r="J240" s="37"/>
      <c r="K240" s="37"/>
      <c r="L240" s="37"/>
      <c r="M240" s="37"/>
      <c r="N240" s="37"/>
      <c r="O240" s="37"/>
      <c r="P240" s="37"/>
      <c r="Q240" s="37"/>
      <c r="R240" s="38"/>
    </row>
    <row r="241" spans="2:18" ht="15.75" thickBot="1">
      <c r="B241" s="36"/>
      <c r="C241" s="37"/>
      <c r="D241" s="37"/>
      <c r="E241" s="37"/>
      <c r="F241" s="37"/>
      <c r="G241" s="37"/>
      <c r="H241" s="37"/>
      <c r="I241" s="37"/>
      <c r="J241" s="37"/>
      <c r="K241" s="37"/>
      <c r="L241" s="37"/>
      <c r="M241" s="37"/>
      <c r="N241" s="37"/>
      <c r="O241" s="37"/>
      <c r="P241" s="37"/>
      <c r="Q241" s="37"/>
      <c r="R241" s="38"/>
    </row>
    <row r="242" spans="2:18" ht="15.75" thickBot="1">
      <c r="B242" s="36"/>
      <c r="C242" s="31" t="s">
        <v>76</v>
      </c>
      <c r="D242" s="31" t="s">
        <v>68</v>
      </c>
      <c r="E242" s="31" t="s">
        <v>67</v>
      </c>
      <c r="F242" s="37"/>
      <c r="G242" s="238" t="s">
        <v>65</v>
      </c>
      <c r="H242" s="238"/>
      <c r="I242" s="238"/>
      <c r="J242" s="37"/>
      <c r="K242" s="37"/>
      <c r="L242" s="37"/>
      <c r="M242" s="37"/>
      <c r="N242" s="37"/>
      <c r="O242" s="37"/>
      <c r="P242" s="37"/>
      <c r="Q242" s="37"/>
      <c r="R242" s="38"/>
    </row>
    <row r="243" spans="2:18" ht="15.75" thickBot="1">
      <c r="B243" s="36"/>
      <c r="C243" s="31">
        <f>$B$3</f>
        <v>0.99</v>
      </c>
      <c r="D243" s="31">
        <f>$C$3</f>
        <v>1</v>
      </c>
      <c r="E243" s="31">
        <f>G243*C243^3+H243*C243^2+I243*C243+J243</f>
        <v>390.0204697760505</v>
      </c>
      <c r="F243" s="37"/>
      <c r="G243" s="7">
        <f t="array" ref="G243:J243">IF(AND(NOT(E234="")),LINEST(E234:E240,C234:C240^{1,2,3}),
IF(AND(E234="",NOT(E235=""),NOT(E236=""),NOT(E237=""),NOT(E238=""),NOT(E239=""),NOT(E240="")),LINEST(E235:E240,C235:C240^{1,2,3}),
IF(AND(E235="",NOT(E236=""),NOT(E237=""),NOT(E238=""),NOT(E239=""),NOT(E240="")),LINEST(E236:E240,C236:C240^{1,2,3}),
IF(AND(E236="",NOT(E237=""),NOT(E238=""),NOT(E239=""),NOT(E240="")),LINEST(E237:E240,C237:C240^{1,2,3}),
IF(AND(E237="",NOT(E238=""),NOT(E239=""),NOT(E240="")),LINEST(E238:E240,C238:C240^{1,2,3}),
IF(AND(E238="",NOT(E239=""),NOT(E240="")),LINEST(E239:E240,C239:C240^{1,2,3}),
IF(AND(E239="",NOT(E240="")),LINEST(E240,C240^{1,2,3}),"NOT APPLICABLE")))))))</f>
        <v>-167.33782823585676</v>
      </c>
      <c r="H243" s="7">
        <v>653.74932365352765</v>
      </c>
      <c r="I243" s="7">
        <v>-990.18832335824141</v>
      </c>
      <c r="J243" s="37">
        <v>891.93492518731057</v>
      </c>
      <c r="K243" s="37"/>
      <c r="L243" s="37"/>
      <c r="M243" s="37"/>
      <c r="N243" s="37"/>
      <c r="O243" s="37"/>
      <c r="P243" s="37"/>
      <c r="Q243" s="37"/>
      <c r="R243" s="38"/>
    </row>
    <row r="244" spans="2:18">
      <c r="B244" s="36"/>
      <c r="C244" s="37"/>
      <c r="D244" s="37"/>
      <c r="E244" s="37"/>
      <c r="F244" s="37"/>
      <c r="G244" s="37"/>
      <c r="H244" s="37"/>
      <c r="I244" s="37"/>
      <c r="J244" s="37"/>
      <c r="K244" s="37"/>
      <c r="L244" s="37"/>
      <c r="M244" s="37"/>
      <c r="N244" s="37"/>
      <c r="O244" s="37"/>
      <c r="P244" s="37"/>
      <c r="Q244" s="37"/>
      <c r="R244" s="38"/>
    </row>
    <row r="245" spans="2:18">
      <c r="B245" s="39"/>
      <c r="C245" s="40"/>
      <c r="D245" s="40"/>
      <c r="E245" s="40"/>
      <c r="F245" s="40"/>
      <c r="G245" s="40"/>
      <c r="H245" s="40"/>
      <c r="I245" s="40"/>
      <c r="J245" s="40"/>
      <c r="K245" s="40"/>
      <c r="L245" s="40"/>
      <c r="M245" s="40"/>
      <c r="N245" s="40"/>
      <c r="O245" s="40"/>
      <c r="P245" s="40"/>
      <c r="Q245" s="40"/>
      <c r="R245" s="41"/>
    </row>
    <row r="247" spans="2:18">
      <c r="B247" s="34"/>
      <c r="C247" s="35"/>
      <c r="D247" s="35"/>
      <c r="E247" s="35"/>
      <c r="F247" s="35"/>
      <c r="G247" s="42" t="s">
        <v>93</v>
      </c>
      <c r="H247" s="35"/>
      <c r="I247" s="35"/>
      <c r="J247" s="35"/>
      <c r="K247" s="35"/>
      <c r="L247" s="35"/>
      <c r="M247" s="35"/>
      <c r="N247" s="35"/>
      <c r="O247" s="35"/>
      <c r="P247" s="35"/>
      <c r="Q247" s="35"/>
      <c r="R247" s="33"/>
    </row>
    <row r="248" spans="2:18">
      <c r="B248" s="36"/>
      <c r="C248" s="37"/>
      <c r="D248" s="37"/>
      <c r="E248" s="37"/>
      <c r="F248" s="37"/>
      <c r="G248" s="37"/>
      <c r="H248" s="37"/>
      <c r="I248" s="37"/>
      <c r="J248" s="37"/>
      <c r="K248" s="37"/>
      <c r="L248" s="37"/>
      <c r="M248" s="37"/>
      <c r="N248" s="37"/>
      <c r="O248" s="37"/>
      <c r="P248" s="37"/>
      <c r="Q248" s="37"/>
      <c r="R248" s="38"/>
    </row>
    <row r="249" spans="2:18">
      <c r="B249" s="36"/>
      <c r="C249" s="7" t="s">
        <v>11</v>
      </c>
      <c r="D249" s="7" t="s">
        <v>60</v>
      </c>
      <c r="E249" s="7" t="s">
        <v>53</v>
      </c>
      <c r="F249" s="37"/>
      <c r="G249" s="37"/>
      <c r="H249" s="37"/>
      <c r="I249" s="37"/>
      <c r="J249" s="37"/>
      <c r="K249" s="37"/>
      <c r="L249" s="37"/>
      <c r="M249" s="37"/>
      <c r="N249" s="37"/>
      <c r="O249" s="37"/>
      <c r="P249" s="37"/>
      <c r="Q249" s="37"/>
      <c r="R249" s="38"/>
    </row>
    <row r="250" spans="2:18">
      <c r="B250" s="36"/>
      <c r="C250" s="7">
        <v>0.4</v>
      </c>
      <c r="D250" s="7">
        <f>'10A61 Liquid 3"'!$B$4</f>
        <v>1</v>
      </c>
      <c r="E250" s="32">
        <f t="array" ref="E250">IF(D259&gt;5,"",
IF(D259&gt;1.011,'10A61 Liquid 3" ViscosityLINEST'!J248,'10A61 Liquid 3" ViscosityLINEST'!J247))</f>
        <v>871.53452380952353</v>
      </c>
      <c r="F250" s="37"/>
      <c r="G250" s="37"/>
      <c r="H250" s="37"/>
      <c r="I250" s="37"/>
      <c r="J250" s="37"/>
      <c r="K250" s="37"/>
      <c r="L250" s="37"/>
      <c r="M250" s="37"/>
      <c r="N250" s="37"/>
      <c r="O250" s="37"/>
      <c r="P250" s="37"/>
      <c r="Q250" s="37"/>
      <c r="R250" s="38"/>
    </row>
    <row r="251" spans="2:18">
      <c r="B251" s="36"/>
      <c r="C251" s="7">
        <v>0.6</v>
      </c>
      <c r="D251" s="7">
        <f>'10A61 Liquid 3"'!$B$4</f>
        <v>1</v>
      </c>
      <c r="E251" s="32">
        <f>IF(D259&gt;5,"",
IF(D259&gt;1.001,'10A61 Liquid 3" ViscosityLINEST'!J250,'10A61 Liquid 3" ViscosityLINEST'!J249))</f>
        <v>730.14920634920645</v>
      </c>
      <c r="F251" s="37"/>
      <c r="G251" s="37"/>
      <c r="H251" s="37"/>
      <c r="I251" s="37"/>
      <c r="J251" s="37"/>
      <c r="K251" s="37"/>
      <c r="L251" s="37"/>
      <c r="M251" s="37"/>
      <c r="N251" s="37"/>
      <c r="O251" s="37"/>
      <c r="P251" s="37"/>
      <c r="Q251" s="37"/>
      <c r="R251" s="38"/>
    </row>
    <row r="252" spans="2:18">
      <c r="B252" s="36"/>
      <c r="C252" s="7">
        <v>0.8</v>
      </c>
      <c r="D252" s="7">
        <f>'10A61 Liquid 3"'!$B$4</f>
        <v>1</v>
      </c>
      <c r="E252" s="32">
        <f>IF(D259&gt;5,"",
IF(D259&gt;1.001,'10A61 Liquid 3" ViscosityLINEST'!J252,'10A61 Liquid 3" ViscosityLINEST'!J251))</f>
        <v>640.1174603174602</v>
      </c>
      <c r="F252" s="37"/>
      <c r="G252" s="37"/>
      <c r="H252" s="37"/>
      <c r="I252" s="37"/>
      <c r="J252" s="37"/>
      <c r="K252" s="37"/>
      <c r="L252" s="37"/>
      <c r="M252" s="37"/>
      <c r="N252" s="37"/>
      <c r="O252" s="37"/>
      <c r="P252" s="37"/>
      <c r="Q252" s="37"/>
      <c r="R252" s="38"/>
    </row>
    <row r="253" spans="2:18">
      <c r="B253" s="36"/>
      <c r="C253" s="7">
        <v>1</v>
      </c>
      <c r="D253" s="7">
        <f>'10A61 Liquid 3"'!$B$4</f>
        <v>1</v>
      </c>
      <c r="E253" s="32">
        <f>IF(D259&gt;5,"",
IF(D259&gt;1.001,'10A61 Liquid 3" ViscosityLINEST'!J254,'10A61 Liquid 3" ViscosityLINEST'!J253))</f>
        <v>576.95436507936495</v>
      </c>
      <c r="F253" s="37"/>
      <c r="G253" s="37"/>
      <c r="H253" s="37"/>
      <c r="I253" s="37"/>
      <c r="J253" s="37"/>
      <c r="K253" s="37"/>
      <c r="L253" s="37"/>
      <c r="M253" s="37"/>
      <c r="N253" s="37"/>
      <c r="O253" s="37"/>
      <c r="P253" s="37"/>
      <c r="Q253" s="37"/>
      <c r="R253" s="38"/>
    </row>
    <row r="254" spans="2:18">
      <c r="B254" s="36"/>
      <c r="C254" s="7">
        <v>1.2</v>
      </c>
      <c r="D254" s="7">
        <f>'10A61 Liquid 3"'!$B$4</f>
        <v>1</v>
      </c>
      <c r="E254" s="32">
        <f>IF(D259&gt;5,"",
IF(D259&gt;1.001,'10A61 Liquid 3" ViscosityLINEST'!J256,'10A61 Liquid 3" ViscosityLINEST'!J255))</f>
        <v>526.49960317460273</v>
      </c>
      <c r="F254" s="37"/>
      <c r="G254" s="37"/>
      <c r="H254" s="37"/>
      <c r="I254" s="37"/>
      <c r="J254" s="37"/>
      <c r="K254" s="37"/>
      <c r="L254" s="37"/>
      <c r="M254" s="37"/>
      <c r="N254" s="37"/>
      <c r="O254" s="37"/>
      <c r="P254" s="37"/>
      <c r="Q254" s="37"/>
      <c r="R254" s="38"/>
    </row>
    <row r="255" spans="2:18">
      <c r="B255" s="36"/>
      <c r="C255" s="7">
        <v>1.4</v>
      </c>
      <c r="D255" s="7">
        <f>'10A61 Liquid 3"'!$B$4</f>
        <v>1</v>
      </c>
      <c r="E255" s="32">
        <f>IF(D259&gt;5,"",
IF(D259&gt;1.001,'10A61 Liquid 3" ViscosityLINEST'!J258,'10A61 Liquid 3" ViscosityLINEST'!J257))</f>
        <v>486.25873015873037</v>
      </c>
      <c r="F255" s="37"/>
      <c r="G255" s="37"/>
      <c r="H255" s="37"/>
      <c r="I255" s="37"/>
      <c r="J255" s="37"/>
      <c r="K255" s="37"/>
      <c r="L255" s="37"/>
      <c r="M255" s="37"/>
      <c r="N255" s="37"/>
      <c r="O255" s="37"/>
      <c r="P255" s="37"/>
      <c r="Q255" s="37"/>
      <c r="R255" s="38"/>
    </row>
    <row r="256" spans="2:18">
      <c r="B256" s="36"/>
      <c r="C256" s="7">
        <v>1.5</v>
      </c>
      <c r="D256" s="7">
        <f>'10A61 Liquid 3"'!$B$4</f>
        <v>1</v>
      </c>
      <c r="E256" s="32">
        <f>IF(D259&gt;5,"",
IF(D259&gt;1.001,'10A61 Liquid 3" ViscosityLINEST'!J260,'10A61 Liquid 3" ViscosityLINEST'!J259))</f>
        <v>469.06428571428586</v>
      </c>
      <c r="F256" s="37"/>
      <c r="G256" s="37"/>
      <c r="H256" s="37"/>
      <c r="I256" s="37"/>
      <c r="J256" s="37"/>
      <c r="K256" s="37"/>
      <c r="L256" s="37"/>
      <c r="M256" s="37"/>
      <c r="N256" s="37"/>
      <c r="O256" s="37"/>
      <c r="P256" s="37"/>
      <c r="Q256" s="37"/>
      <c r="R256" s="38"/>
    </row>
    <row r="257" spans="2:18" ht="15.75" thickBot="1">
      <c r="B257" s="36"/>
      <c r="C257" s="37"/>
      <c r="D257" s="37"/>
      <c r="E257" s="37"/>
      <c r="F257" s="37"/>
      <c r="G257" s="37"/>
      <c r="H257" s="37"/>
      <c r="I257" s="37"/>
      <c r="J257" s="37"/>
      <c r="K257" s="37"/>
      <c r="L257" s="37"/>
      <c r="M257" s="37"/>
      <c r="N257" s="37"/>
      <c r="O257" s="37"/>
      <c r="P257" s="37"/>
      <c r="Q257" s="37"/>
      <c r="R257" s="38"/>
    </row>
    <row r="258" spans="2:18" ht="15.75" thickBot="1">
      <c r="B258" s="36"/>
      <c r="C258" s="31" t="s">
        <v>76</v>
      </c>
      <c r="D258" s="31" t="s">
        <v>68</v>
      </c>
      <c r="E258" s="31" t="s">
        <v>67</v>
      </c>
      <c r="F258" s="37"/>
      <c r="G258" s="238" t="s">
        <v>65</v>
      </c>
      <c r="H258" s="238"/>
      <c r="I258" s="238"/>
      <c r="J258" s="37"/>
      <c r="K258" s="37"/>
      <c r="L258" s="37"/>
      <c r="M258" s="37"/>
      <c r="N258" s="37"/>
      <c r="O258" s="37"/>
      <c r="P258" s="37"/>
      <c r="Q258" s="37"/>
      <c r="R258" s="38"/>
    </row>
    <row r="259" spans="2:18" ht="15.75" thickBot="1">
      <c r="B259" s="36"/>
      <c r="C259" s="31">
        <f>$B$3</f>
        <v>0.99</v>
      </c>
      <c r="D259" s="31">
        <f>$C$3</f>
        <v>1</v>
      </c>
      <c r="E259" s="31">
        <f>G259*C259^3+H259*C259^2+I259*C259+J259</f>
        <v>576.93364951556953</v>
      </c>
      <c r="F259" s="37"/>
      <c r="G259" s="7">
        <f t="array" ref="G259:J259">IF(AND(NOT(E250="")),LINEST(E250:E256,C250:C256^{1,2,3}),
IF(AND(E250="",NOT(E251=""),NOT(E252=""),NOT(E253=""),NOT(E254=""),NOT(E255=""),NOT(E256="")),LINEST(E251:E256,C251:C256^{1,2,3}),
IF(AND(E251="",NOT(E252=""),NOT(E253=""),NOT(E254=""),NOT(E255=""),NOT(E256="")),LINEST(E252:E256,C252:C256^{1,2,3}),
IF(AND(E252="",NOT(E253=""),NOT(E254=""),NOT(E255=""),NOT(E256="")),LINEST(E253:E256,C253:C256^{1,2,3}),
IF(AND(E253="",NOT(E254=""),NOT(E255=""),NOT(E256="")),LINEST(E254:E256,C254:C256^{1,2,3}),
IF(AND(E254="",NOT(E255=""),NOT(E256="")),LINEST(E255:E256,C255:C256^{1,2,3}),
IF(AND(E255="",NOT(E256="")),LINEST(E256,C256^{1,2,3}),"NOT APPLICABLE")))))))</f>
        <v>-247.21445510244732</v>
      </c>
      <c r="H259" s="7">
        <v>971.05483296381738</v>
      </c>
      <c r="I259" s="7">
        <v>-1467.2279264660872</v>
      </c>
      <c r="J259" s="37">
        <v>1317.6303935006081</v>
      </c>
      <c r="K259" s="37"/>
      <c r="L259" s="37"/>
      <c r="M259" s="37"/>
      <c r="N259" s="37"/>
      <c r="O259" s="37"/>
      <c r="P259" s="37"/>
      <c r="Q259" s="37"/>
      <c r="R259" s="38"/>
    </row>
    <row r="260" spans="2:18">
      <c r="B260" s="36"/>
      <c r="C260" s="37"/>
      <c r="D260" s="37"/>
      <c r="E260" s="37"/>
      <c r="F260" s="37"/>
      <c r="G260" s="37"/>
      <c r="H260" s="37"/>
      <c r="I260" s="37"/>
      <c r="J260" s="37"/>
      <c r="K260" s="37"/>
      <c r="L260" s="37"/>
      <c r="M260" s="37"/>
      <c r="N260" s="37"/>
      <c r="O260" s="37"/>
      <c r="P260" s="37"/>
      <c r="Q260" s="37"/>
      <c r="R260" s="38"/>
    </row>
    <row r="261" spans="2:18">
      <c r="B261" s="39"/>
      <c r="C261" s="40"/>
      <c r="D261" s="40"/>
      <c r="E261" s="40"/>
      <c r="F261" s="40"/>
      <c r="G261" s="40"/>
      <c r="H261" s="40"/>
      <c r="I261" s="40"/>
      <c r="J261" s="40"/>
      <c r="K261" s="40"/>
      <c r="L261" s="40"/>
      <c r="M261" s="40"/>
      <c r="N261" s="40"/>
      <c r="O261" s="40"/>
      <c r="P261" s="40"/>
      <c r="Q261" s="40"/>
      <c r="R261" s="41"/>
    </row>
    <row r="263" spans="2:18">
      <c r="B263" s="34"/>
      <c r="C263" s="35"/>
      <c r="D263" s="35"/>
      <c r="E263" s="35"/>
      <c r="F263" s="35"/>
      <c r="G263" s="42" t="s">
        <v>94</v>
      </c>
      <c r="H263" s="35"/>
      <c r="I263" s="35"/>
      <c r="J263" s="35"/>
      <c r="K263" s="35"/>
      <c r="L263" s="35"/>
      <c r="M263" s="35"/>
      <c r="N263" s="35"/>
      <c r="O263" s="35"/>
      <c r="P263" s="35"/>
      <c r="Q263" s="35"/>
      <c r="R263" s="33"/>
    </row>
    <row r="264" spans="2:18">
      <c r="B264" s="36"/>
      <c r="C264" s="37"/>
      <c r="D264" s="37"/>
      <c r="E264" s="37"/>
      <c r="F264" s="37"/>
      <c r="G264" s="37"/>
      <c r="H264" s="37"/>
      <c r="I264" s="37"/>
      <c r="J264" s="37"/>
      <c r="K264" s="37"/>
      <c r="L264" s="37"/>
      <c r="M264" s="37"/>
      <c r="N264" s="37"/>
      <c r="O264" s="37"/>
      <c r="P264" s="37"/>
      <c r="Q264" s="37"/>
      <c r="R264" s="38"/>
    </row>
    <row r="265" spans="2:18">
      <c r="B265" s="36"/>
      <c r="C265" s="7" t="s">
        <v>11</v>
      </c>
      <c r="D265" s="7" t="s">
        <v>60</v>
      </c>
      <c r="E265" s="7" t="s">
        <v>53</v>
      </c>
      <c r="F265" s="37"/>
      <c r="G265" s="37"/>
      <c r="H265" s="37"/>
      <c r="I265" s="37"/>
      <c r="J265" s="37"/>
      <c r="K265" s="37"/>
      <c r="L265" s="37"/>
      <c r="M265" s="37"/>
      <c r="N265" s="37"/>
      <c r="O265" s="37"/>
      <c r="P265" s="37"/>
      <c r="Q265" s="37"/>
      <c r="R265" s="38"/>
    </row>
    <row r="266" spans="2:18">
      <c r="B266" s="36"/>
      <c r="C266" s="7">
        <v>0.4</v>
      </c>
      <c r="D266" s="7">
        <f>'10A61 Liquid 3"'!$B$4</f>
        <v>1</v>
      </c>
      <c r="E266" s="32">
        <f t="array" ref="E266">IF(D275&gt;5,"",
IF(D275&gt;1.011,'10A61 Liquid 3" ViscosityLINEST'!J264,'10A61 Liquid 3" ViscosityLINEST'!J263))</f>
        <v>920.40158730158737</v>
      </c>
      <c r="F266" s="37"/>
      <c r="G266" s="37"/>
      <c r="H266" s="37"/>
      <c r="I266" s="37"/>
      <c r="J266" s="37"/>
      <c r="K266" s="37"/>
      <c r="L266" s="37"/>
      <c r="M266" s="37"/>
      <c r="N266" s="37"/>
      <c r="O266" s="37"/>
      <c r="P266" s="37"/>
      <c r="Q266" s="37"/>
      <c r="R266" s="38"/>
    </row>
    <row r="267" spans="2:18">
      <c r="B267" s="36"/>
      <c r="C267" s="7">
        <v>0.6</v>
      </c>
      <c r="D267" s="7">
        <f>'10A61 Liquid 3"'!$B$4</f>
        <v>1</v>
      </c>
      <c r="E267" s="32">
        <f>IF(D275&gt;5,"",
IF(D275&gt;1.001,'10A61 Liquid 3" ViscosityLINEST'!J266,'10A61 Liquid 3" ViscosityLINEST'!J265))</f>
        <v>754.79325396825379</v>
      </c>
      <c r="F267" s="37"/>
      <c r="G267" s="37"/>
      <c r="H267" s="37"/>
      <c r="I267" s="37"/>
      <c r="J267" s="37"/>
      <c r="K267" s="37"/>
      <c r="L267" s="37"/>
      <c r="M267" s="37"/>
      <c r="N267" s="37"/>
      <c r="O267" s="37"/>
      <c r="P267" s="37"/>
      <c r="Q267" s="37"/>
      <c r="R267" s="38"/>
    </row>
    <row r="268" spans="2:18">
      <c r="B268" s="36"/>
      <c r="C268" s="7">
        <v>0.8</v>
      </c>
      <c r="D268" s="7">
        <f>'10A61 Liquid 3"'!$B$4</f>
        <v>1</v>
      </c>
      <c r="E268" s="32">
        <f>IF(D275&gt;5,"",
IF(D275&gt;1.001,'10A61 Liquid 3" ViscosityLINEST'!J268,'10A61 Liquid 3" ViscosityLINEST'!J267))</f>
        <v>652.10277777777787</v>
      </c>
      <c r="F268" s="37"/>
      <c r="G268" s="37"/>
      <c r="H268" s="37"/>
      <c r="I268" s="37"/>
      <c r="J268" s="37"/>
      <c r="K268" s="37"/>
      <c r="L268" s="37"/>
      <c r="M268" s="37"/>
      <c r="N268" s="37"/>
      <c r="O268" s="37"/>
      <c r="P268" s="37"/>
      <c r="Q268" s="37"/>
      <c r="R268" s="38"/>
    </row>
    <row r="269" spans="2:18">
      <c r="B269" s="36"/>
      <c r="C269" s="7">
        <v>1</v>
      </c>
      <c r="D269" s="7">
        <f>'10A61 Liquid 3"'!$B$4</f>
        <v>1</v>
      </c>
      <c r="E269" s="32">
        <f>IF(D275&gt;5,"",
IF(D275&gt;1.001,'10A61 Liquid 3" ViscosityLINEST'!J270,'10A61 Liquid 3" ViscosityLINEST'!J269))</f>
        <v>580.04761904761904</v>
      </c>
      <c r="F269" s="37"/>
      <c r="G269" s="37"/>
      <c r="H269" s="37"/>
      <c r="I269" s="37"/>
      <c r="J269" s="37"/>
      <c r="K269" s="37"/>
      <c r="L269" s="37"/>
      <c r="M269" s="37"/>
      <c r="N269" s="37"/>
      <c r="O269" s="37"/>
      <c r="P269" s="37"/>
      <c r="Q269" s="37"/>
      <c r="R269" s="38"/>
    </row>
    <row r="270" spans="2:18">
      <c r="B270" s="36"/>
      <c r="C270" s="7">
        <v>1.2</v>
      </c>
      <c r="D270" s="7">
        <f>'10A61 Liquid 3"'!$B$4</f>
        <v>1</v>
      </c>
      <c r="E270" s="32">
        <f>IF(D275&gt;5,"",
IF(D275&gt;1.001,'10A61 Liquid 3" ViscosityLINEST'!J272,'10A61 Liquid 3" ViscosityLINEST'!J271))</f>
        <v>525.70079365079391</v>
      </c>
      <c r="F270" s="37"/>
      <c r="G270" s="37"/>
      <c r="H270" s="37"/>
      <c r="I270" s="37"/>
      <c r="J270" s="37"/>
      <c r="K270" s="37"/>
      <c r="L270" s="37"/>
      <c r="M270" s="37"/>
      <c r="N270" s="37"/>
      <c r="O270" s="37"/>
      <c r="P270" s="37"/>
      <c r="Q270" s="37"/>
      <c r="R270" s="38"/>
    </row>
    <row r="271" spans="2:18">
      <c r="B271" s="36"/>
      <c r="C271" s="7">
        <v>1.4</v>
      </c>
      <c r="D271" s="7">
        <f>'10A61 Liquid 3"'!$B$4</f>
        <v>1</v>
      </c>
      <c r="E271" s="32">
        <f>IF(D275&gt;5,"",
IF(D275&gt;1.001,'10A61 Liquid 3" ViscosityLINEST'!J274,'10A61 Liquid 3" ViscosityLINEST'!J273))</f>
        <v>482.27380952380918</v>
      </c>
      <c r="F271" s="37"/>
      <c r="G271" s="37"/>
      <c r="H271" s="37"/>
      <c r="I271" s="37"/>
      <c r="J271" s="37"/>
      <c r="K271" s="37"/>
      <c r="L271" s="37"/>
      <c r="M271" s="37"/>
      <c r="N271" s="37"/>
      <c r="O271" s="37"/>
      <c r="P271" s="37"/>
      <c r="Q271" s="37"/>
      <c r="R271" s="38"/>
    </row>
    <row r="272" spans="2:18">
      <c r="B272" s="36"/>
      <c r="C272" s="7">
        <v>1.5</v>
      </c>
      <c r="D272" s="7">
        <f>'10A61 Liquid 3"'!$B$4</f>
        <v>1</v>
      </c>
      <c r="E272" s="32">
        <f>IF(D275&gt;5,"",
IF(D275&gt;1.001,'10A61 Liquid 3" ViscosityLINEST'!J276,'10A61 Liquid 3" ViscosityLINEST'!J275))</f>
        <v>463.58690476190509</v>
      </c>
      <c r="F272" s="37"/>
      <c r="G272" s="37"/>
      <c r="H272" s="37"/>
      <c r="I272" s="37"/>
      <c r="J272" s="37"/>
      <c r="K272" s="37"/>
      <c r="L272" s="37"/>
      <c r="M272" s="37"/>
      <c r="N272" s="37"/>
      <c r="O272" s="37"/>
      <c r="P272" s="37"/>
      <c r="Q272" s="37"/>
      <c r="R272" s="38"/>
    </row>
    <row r="273" spans="2:18" ht="15.75" thickBot="1">
      <c r="B273" s="36"/>
      <c r="C273" s="37"/>
      <c r="D273" s="37"/>
      <c r="E273" s="37"/>
      <c r="F273" s="37"/>
      <c r="G273" s="37"/>
      <c r="H273" s="37"/>
      <c r="I273" s="37"/>
      <c r="J273" s="37"/>
      <c r="K273" s="37"/>
      <c r="L273" s="37"/>
      <c r="M273" s="37"/>
      <c r="N273" s="37"/>
      <c r="O273" s="37"/>
      <c r="P273" s="37"/>
      <c r="Q273" s="37"/>
      <c r="R273" s="38"/>
    </row>
    <row r="274" spans="2:18" ht="15.75" thickBot="1">
      <c r="B274" s="36"/>
      <c r="C274" s="31" t="s">
        <v>76</v>
      </c>
      <c r="D274" s="31" t="s">
        <v>68</v>
      </c>
      <c r="E274" s="31" t="s">
        <v>67</v>
      </c>
      <c r="F274" s="37"/>
      <c r="G274" s="238" t="s">
        <v>65</v>
      </c>
      <c r="H274" s="238"/>
      <c r="I274" s="238"/>
      <c r="J274" s="37"/>
      <c r="K274" s="37"/>
      <c r="L274" s="37"/>
      <c r="M274" s="37"/>
      <c r="N274" s="37"/>
      <c r="O274" s="37"/>
      <c r="P274" s="37"/>
      <c r="Q274" s="37"/>
      <c r="R274" s="38"/>
    </row>
    <row r="275" spans="2:18" ht="15.75" thickBot="1">
      <c r="B275" s="36"/>
      <c r="C275" s="31">
        <f>$B$3</f>
        <v>0.99</v>
      </c>
      <c r="D275" s="31">
        <f>$C$3</f>
        <v>1</v>
      </c>
      <c r="E275" s="31">
        <f>G275*C275^3+H275*C275^2+I275*C275+J275</f>
        <v>580.53029785692297</v>
      </c>
      <c r="F275" s="37"/>
      <c r="G275" s="7">
        <f t="array" ref="G275:J275">IF(AND(NOT(E266="")),LINEST(E266:E272,C266:C272^{1,2,3}),
IF(AND(E266="",NOT(E267=""),NOT(E268=""),NOT(E269=""),NOT(E270=""),NOT(E271=""),NOT(E272="")),LINEST(E267:E272,C267:C272^{1,2,3}),
IF(AND(E267="",NOT(E268=""),NOT(E269=""),NOT(E270=""),NOT(E271=""),NOT(E272="")),LINEST(E268:E272,C268:C272^{1,2,3}),
IF(AND(E268="",NOT(E269=""),NOT(E270=""),NOT(E271=""),NOT(E272="")),LINEST(E269:E272,C269:C272^{1,2,3}),
IF(AND(E269="",NOT(E270=""),NOT(E271=""),NOT(E272="")),LINEST(E270:E272,C270:C272^{1,2,3}),
IF(AND(E270="",NOT(E271=""),NOT(E272="")),LINEST(E271:E272,C271:C272^{1,2,3}),
IF(AND(E271="",NOT(E272="")),LINEST(E272,C272^{1,2,3}),"NOT APPLICABLE")))))))</f>
        <v>-301.86861689695337</v>
      </c>
      <c r="H275" s="7">
        <v>1181.9284061256717</v>
      </c>
      <c r="I275" s="7">
        <v>-1752.7301207480273</v>
      </c>
      <c r="J275" s="37">
        <v>1450.227903660196</v>
      </c>
      <c r="K275" s="37"/>
      <c r="L275" s="37"/>
      <c r="M275" s="37"/>
      <c r="N275" s="37"/>
      <c r="O275" s="37"/>
      <c r="P275" s="37"/>
      <c r="Q275" s="37"/>
      <c r="R275" s="38"/>
    </row>
    <row r="276" spans="2:18">
      <c r="B276" s="36"/>
      <c r="C276" s="37"/>
      <c r="D276" s="37"/>
      <c r="E276" s="37"/>
      <c r="F276" s="37"/>
      <c r="G276" s="37"/>
      <c r="H276" s="37"/>
      <c r="I276" s="37"/>
      <c r="J276" s="37"/>
      <c r="K276" s="37"/>
      <c r="L276" s="37"/>
      <c r="M276" s="37"/>
      <c r="N276" s="37"/>
      <c r="O276" s="37"/>
      <c r="P276" s="37"/>
      <c r="Q276" s="37"/>
      <c r="R276" s="38"/>
    </row>
    <row r="277" spans="2:18">
      <c r="B277" s="39"/>
      <c r="C277" s="40"/>
      <c r="D277" s="40"/>
      <c r="E277" s="40"/>
      <c r="F277" s="40"/>
      <c r="G277" s="40"/>
      <c r="H277" s="40"/>
      <c r="I277" s="40"/>
      <c r="J277" s="40"/>
      <c r="K277" s="40"/>
      <c r="L277" s="40"/>
      <c r="M277" s="40"/>
      <c r="N277" s="40"/>
      <c r="O277" s="40"/>
      <c r="P277" s="40"/>
      <c r="Q277" s="40"/>
      <c r="R277" s="41"/>
    </row>
    <row r="279" spans="2:18">
      <c r="B279" s="34"/>
      <c r="C279" s="35"/>
      <c r="D279" s="35"/>
      <c r="E279" s="35"/>
      <c r="F279" s="35"/>
      <c r="G279" s="42" t="s">
        <v>95</v>
      </c>
      <c r="H279" s="35"/>
      <c r="I279" s="35"/>
      <c r="J279" s="35"/>
      <c r="K279" s="35"/>
      <c r="L279" s="35"/>
      <c r="M279" s="35"/>
      <c r="N279" s="35"/>
      <c r="O279" s="35"/>
      <c r="P279" s="35"/>
      <c r="Q279" s="35"/>
      <c r="R279" s="33"/>
    </row>
    <row r="280" spans="2:18">
      <c r="B280" s="36"/>
      <c r="C280" s="37"/>
      <c r="D280" s="37"/>
      <c r="E280" s="37"/>
      <c r="F280" s="37"/>
      <c r="G280" s="37"/>
      <c r="H280" s="37"/>
      <c r="I280" s="37"/>
      <c r="J280" s="37"/>
      <c r="K280" s="37"/>
      <c r="L280" s="37"/>
      <c r="M280" s="37"/>
      <c r="N280" s="37"/>
      <c r="O280" s="37"/>
      <c r="P280" s="37"/>
      <c r="Q280" s="37"/>
      <c r="R280" s="38"/>
    </row>
    <row r="281" spans="2:18">
      <c r="B281" s="36"/>
      <c r="C281" s="7" t="s">
        <v>11</v>
      </c>
      <c r="D281" s="7" t="s">
        <v>60</v>
      </c>
      <c r="E281" s="7" t="s">
        <v>53</v>
      </c>
      <c r="F281" s="37"/>
      <c r="G281" s="37"/>
      <c r="H281" s="37"/>
      <c r="I281" s="37"/>
      <c r="J281" s="37"/>
      <c r="K281" s="37"/>
      <c r="L281" s="37"/>
      <c r="M281" s="37"/>
      <c r="N281" s="37"/>
      <c r="O281" s="37"/>
      <c r="P281" s="37"/>
      <c r="Q281" s="37"/>
      <c r="R281" s="38"/>
    </row>
    <row r="282" spans="2:18">
      <c r="B282" s="36"/>
      <c r="C282" s="7">
        <v>0.4</v>
      </c>
      <c r="D282" s="7">
        <f>'10A61 Liquid 3"'!$B$4</f>
        <v>1</v>
      </c>
      <c r="E282" s="32">
        <f t="array" ref="E282">IF(D291&gt;5,"",
IF(D291&gt;1.011,'10A61 Liquid 3" ViscosityLINEST'!J280,'10A61 Liquid 3" ViscosityLINEST'!J279))</f>
        <v>929.48373015872983</v>
      </c>
      <c r="F282" s="37"/>
      <c r="G282" s="37"/>
      <c r="H282" s="37"/>
      <c r="I282" s="37"/>
      <c r="J282" s="37"/>
      <c r="K282" s="37"/>
      <c r="L282" s="37"/>
      <c r="M282" s="37"/>
      <c r="N282" s="37"/>
      <c r="O282" s="37"/>
      <c r="P282" s="37"/>
      <c r="Q282" s="37"/>
      <c r="R282" s="38"/>
    </row>
    <row r="283" spans="2:18">
      <c r="B283" s="36"/>
      <c r="C283" s="7">
        <v>0.6</v>
      </c>
      <c r="D283" s="7">
        <f>'10A61 Liquid 3"'!$B$4</f>
        <v>1</v>
      </c>
      <c r="E283" s="32">
        <f>IF(D291&gt;5,"",
IF(D291&gt;1.001,'10A61 Liquid 3" ViscosityLINEST'!J282,'10A61 Liquid 3" ViscosityLINEST'!J281))</f>
        <v>776.91388888888866</v>
      </c>
      <c r="F283" s="37"/>
      <c r="G283" s="37"/>
      <c r="H283" s="37"/>
      <c r="I283" s="37"/>
      <c r="J283" s="37"/>
      <c r="K283" s="37"/>
      <c r="L283" s="37"/>
      <c r="M283" s="37"/>
      <c r="N283" s="37"/>
      <c r="O283" s="37"/>
      <c r="P283" s="37"/>
      <c r="Q283" s="37"/>
      <c r="R283" s="38"/>
    </row>
    <row r="284" spans="2:18">
      <c r="B284" s="36"/>
      <c r="C284" s="7">
        <v>0.8</v>
      </c>
      <c r="D284" s="7">
        <f>'10A61 Liquid 3"'!$B$4</f>
        <v>1</v>
      </c>
      <c r="E284" s="32">
        <f>IF(D291&gt;5,"",
IF(D291&gt;1.001,'10A61 Liquid 3" ViscosityLINEST'!J284,'10A61 Liquid 3" ViscosityLINEST'!J283))</f>
        <v>681.75317460317456</v>
      </c>
      <c r="F284" s="37"/>
      <c r="G284" s="37"/>
      <c r="H284" s="37"/>
      <c r="I284" s="37"/>
      <c r="J284" s="37"/>
      <c r="K284" s="37"/>
      <c r="L284" s="37"/>
      <c r="M284" s="37"/>
      <c r="N284" s="37"/>
      <c r="O284" s="37"/>
      <c r="P284" s="37"/>
      <c r="Q284" s="37"/>
      <c r="R284" s="38"/>
    </row>
    <row r="285" spans="2:18">
      <c r="B285" s="36"/>
      <c r="C285" s="7">
        <v>1</v>
      </c>
      <c r="D285" s="7">
        <f>'10A61 Liquid 3"'!$B$4</f>
        <v>1</v>
      </c>
      <c r="E285" s="32">
        <f>IF(D291&gt;5,"",
IF(D291&gt;1.001,'10A61 Liquid 3" ViscosityLINEST'!J286,'10A61 Liquid 3" ViscosityLINEST'!J285))</f>
        <v>613.12698412698455</v>
      </c>
      <c r="F285" s="37"/>
      <c r="G285" s="37"/>
      <c r="H285" s="37"/>
      <c r="I285" s="37"/>
      <c r="J285" s="37"/>
      <c r="K285" s="37"/>
      <c r="L285" s="37"/>
      <c r="M285" s="37"/>
      <c r="N285" s="37"/>
      <c r="O285" s="37"/>
      <c r="P285" s="37"/>
      <c r="Q285" s="37"/>
      <c r="R285" s="38"/>
    </row>
    <row r="286" spans="2:18">
      <c r="B286" s="36"/>
      <c r="C286" s="7">
        <v>1.2</v>
      </c>
      <c r="D286" s="7">
        <f>'10A61 Liquid 3"'!$B$4</f>
        <v>1</v>
      </c>
      <c r="E286" s="32">
        <f>IF(D291&gt;5,"",
IF(D291&gt;1.001,'10A61 Liquid 3" ViscosityLINEST'!J288,'10A61 Liquid 3" ViscosityLINEST'!J287))</f>
        <v>559.35634920634925</v>
      </c>
      <c r="F286" s="37"/>
      <c r="G286" s="37"/>
      <c r="H286" s="37"/>
      <c r="I286" s="37"/>
      <c r="J286" s="37"/>
      <c r="K286" s="37"/>
      <c r="L286" s="37"/>
      <c r="M286" s="37"/>
      <c r="N286" s="37"/>
      <c r="O286" s="37"/>
      <c r="P286" s="37"/>
      <c r="Q286" s="37"/>
      <c r="R286" s="38"/>
    </row>
    <row r="287" spans="2:18">
      <c r="B287" s="36"/>
      <c r="C287" s="7">
        <v>1.4</v>
      </c>
      <c r="D287" s="7">
        <f>'10A61 Liquid 3"'!$B$4</f>
        <v>1</v>
      </c>
      <c r="E287" s="32">
        <f>IF(D291&gt;5,"",
IF(D291&gt;1.001,'10A61 Liquid 3" ViscosityLINEST'!J290,'10A61 Liquid 3" ViscosityLINEST'!J289))</f>
        <v>517.15555555555557</v>
      </c>
      <c r="F287" s="37"/>
      <c r="G287" s="37"/>
      <c r="H287" s="37"/>
      <c r="I287" s="37"/>
      <c r="J287" s="37"/>
      <c r="K287" s="37"/>
      <c r="L287" s="37"/>
      <c r="M287" s="37"/>
      <c r="N287" s="37"/>
      <c r="O287" s="37"/>
      <c r="P287" s="37"/>
      <c r="Q287" s="37"/>
      <c r="R287" s="38"/>
    </row>
    <row r="288" spans="2:18">
      <c r="B288" s="36"/>
      <c r="C288" s="7">
        <v>1.5</v>
      </c>
      <c r="D288" s="7">
        <f>'10A61 Liquid 3"'!$B$4</f>
        <v>1</v>
      </c>
      <c r="E288" s="32">
        <f>IF(D291&gt;5,"",
IF(D291&gt;1.001,'10A61 Liquid 3" ViscosityLINEST'!J292,'10A61 Liquid 3" ViscosityLINEST'!J291))</f>
        <v>499.07738095238074</v>
      </c>
      <c r="F288" s="37"/>
      <c r="G288" s="37"/>
      <c r="H288" s="37"/>
      <c r="I288" s="37"/>
      <c r="J288" s="37"/>
      <c r="K288" s="37"/>
      <c r="L288" s="37"/>
      <c r="M288" s="37"/>
      <c r="N288" s="37"/>
      <c r="O288" s="37"/>
      <c r="P288" s="37"/>
      <c r="Q288" s="37"/>
      <c r="R288" s="38"/>
    </row>
    <row r="289" spans="2:18" ht="15.75" thickBot="1">
      <c r="B289" s="36"/>
      <c r="C289" s="37"/>
      <c r="D289" s="37"/>
      <c r="E289" s="37"/>
      <c r="F289" s="37"/>
      <c r="G289" s="37"/>
      <c r="H289" s="37"/>
      <c r="I289" s="37"/>
      <c r="J289" s="37"/>
      <c r="K289" s="37"/>
      <c r="L289" s="37"/>
      <c r="M289" s="37"/>
      <c r="N289" s="37"/>
      <c r="O289" s="37"/>
      <c r="P289" s="37"/>
      <c r="Q289" s="37"/>
      <c r="R289" s="38"/>
    </row>
    <row r="290" spans="2:18" ht="15.75" thickBot="1">
      <c r="B290" s="36"/>
      <c r="C290" s="31" t="s">
        <v>76</v>
      </c>
      <c r="D290" s="31" t="s">
        <v>68</v>
      </c>
      <c r="E290" s="31" t="s">
        <v>67</v>
      </c>
      <c r="F290" s="37"/>
      <c r="G290" s="238" t="s">
        <v>65</v>
      </c>
      <c r="H290" s="238"/>
      <c r="I290" s="238"/>
      <c r="J290" s="37"/>
      <c r="K290" s="37"/>
      <c r="L290" s="37"/>
      <c r="M290" s="37"/>
      <c r="N290" s="37"/>
      <c r="O290" s="37"/>
      <c r="P290" s="37"/>
      <c r="Q290" s="37"/>
      <c r="R290" s="38"/>
    </row>
    <row r="291" spans="2:18" ht="15.75" thickBot="1">
      <c r="B291" s="36"/>
      <c r="C291" s="31">
        <f>$B$3</f>
        <v>0.99</v>
      </c>
      <c r="D291" s="31">
        <f>$C$3</f>
        <v>1</v>
      </c>
      <c r="E291" s="31">
        <f>G291*C291^3+H291*C291^2+I291*C291+J291</f>
        <v>613.30092142384774</v>
      </c>
      <c r="F291" s="37"/>
      <c r="G291" s="7">
        <f t="array" ref="G291:J291">IF(AND(NOT(E282="")),LINEST(E282:E288,C282:C288^{1,2,3}),
IF(AND(E282="",NOT(E283=""),NOT(E284=""),NOT(E285=""),NOT(E286=""),NOT(E287=""),NOT(E288="")),LINEST(E283:E288,C283:C288^{1,2,3}),
IF(AND(E283="",NOT(E284=""),NOT(E285=""),NOT(E286=""),NOT(E287=""),NOT(E288="")),LINEST(E284:E288,C284:C288^{1,2,3}),
IF(AND(E284="",NOT(E285=""),NOT(E286=""),NOT(E287=""),NOT(E288="")),LINEST(E285:E288,C285:C288^{1,2,3}),
IF(AND(E285="",NOT(E286=""),NOT(E287=""),NOT(E288="")),LINEST(E286:E288,C286:C288^{1,2,3}),
IF(AND(E286="",NOT(E287=""),NOT(E288="")),LINEST(E287:E288,C287:C288^{1,2,3}),
IF(AND(E287="",NOT(E288="")),LINEST(E288,C288^{1,2,3}),"NOT APPLICABLE")))))))</f>
        <v>-263.10836103845776</v>
      </c>
      <c r="H291" s="7">
        <v>1038.275544298901</v>
      </c>
      <c r="I291" s="7">
        <v>-1572.3558040365704</v>
      </c>
      <c r="J291" s="37">
        <v>1407.613086059954</v>
      </c>
      <c r="K291" s="37"/>
      <c r="L291" s="37"/>
      <c r="M291" s="37"/>
      <c r="N291" s="37"/>
      <c r="O291" s="37"/>
      <c r="P291" s="37"/>
      <c r="Q291" s="37"/>
      <c r="R291" s="38"/>
    </row>
    <row r="292" spans="2:18">
      <c r="B292" s="36"/>
      <c r="C292" s="37"/>
      <c r="D292" s="37"/>
      <c r="E292" s="37"/>
      <c r="F292" s="37"/>
      <c r="G292" s="37"/>
      <c r="H292" s="37"/>
      <c r="I292" s="37"/>
      <c r="J292" s="37"/>
      <c r="K292" s="37"/>
      <c r="L292" s="37"/>
      <c r="M292" s="37"/>
      <c r="N292" s="37"/>
      <c r="O292" s="37"/>
      <c r="P292" s="37"/>
      <c r="Q292" s="37"/>
      <c r="R292" s="38"/>
    </row>
    <row r="293" spans="2:18">
      <c r="B293" s="39"/>
      <c r="C293" s="40"/>
      <c r="D293" s="40"/>
      <c r="E293" s="40"/>
      <c r="F293" s="40"/>
      <c r="G293" s="40"/>
      <c r="H293" s="40"/>
      <c r="I293" s="40"/>
      <c r="J293" s="40"/>
      <c r="K293" s="40"/>
      <c r="L293" s="40"/>
      <c r="M293" s="40"/>
      <c r="N293" s="40"/>
      <c r="O293" s="40"/>
      <c r="P293" s="40"/>
      <c r="Q293" s="40"/>
      <c r="R293" s="41"/>
    </row>
    <row r="295" spans="2:18">
      <c r="B295" s="34"/>
      <c r="C295" s="35"/>
      <c r="D295" s="35"/>
      <c r="E295" s="35"/>
      <c r="F295" s="35"/>
      <c r="G295" s="42" t="s">
        <v>96</v>
      </c>
      <c r="H295" s="35"/>
      <c r="I295" s="35"/>
      <c r="J295" s="35"/>
      <c r="K295" s="35"/>
      <c r="L295" s="35"/>
      <c r="M295" s="35"/>
      <c r="N295" s="35"/>
      <c r="O295" s="35"/>
      <c r="P295" s="35"/>
      <c r="Q295" s="35"/>
      <c r="R295" s="33"/>
    </row>
    <row r="296" spans="2:18">
      <c r="B296" s="36"/>
      <c r="C296" s="37"/>
      <c r="D296" s="37"/>
      <c r="E296" s="37"/>
      <c r="F296" s="37"/>
      <c r="G296" s="37"/>
      <c r="H296" s="37"/>
      <c r="I296" s="37"/>
      <c r="J296" s="37"/>
      <c r="K296" s="37"/>
      <c r="L296" s="37"/>
      <c r="M296" s="37"/>
      <c r="N296" s="37"/>
      <c r="O296" s="37"/>
      <c r="P296" s="37"/>
      <c r="Q296" s="37"/>
      <c r="R296" s="38"/>
    </row>
    <row r="297" spans="2:18">
      <c r="B297" s="36"/>
      <c r="C297" s="7" t="s">
        <v>11</v>
      </c>
      <c r="D297" s="7" t="s">
        <v>60</v>
      </c>
      <c r="E297" s="7" t="s">
        <v>53</v>
      </c>
      <c r="F297" s="37"/>
      <c r="G297" s="37"/>
      <c r="H297" s="37"/>
      <c r="I297" s="37"/>
      <c r="J297" s="37"/>
      <c r="K297" s="37"/>
      <c r="L297" s="37"/>
      <c r="M297" s="37"/>
      <c r="N297" s="37"/>
      <c r="O297" s="37"/>
      <c r="P297" s="37"/>
      <c r="Q297" s="37"/>
      <c r="R297" s="38"/>
    </row>
    <row r="298" spans="2:18">
      <c r="B298" s="36"/>
      <c r="C298" s="7">
        <v>0.4</v>
      </c>
      <c r="D298" s="7">
        <f>'10A61 Liquid 3"'!$B$4</f>
        <v>1</v>
      </c>
      <c r="E298" s="32">
        <f t="array" ref="E298">IF(D307&gt;5,"",
IF(D307&gt;1.011,'10A61 Liquid 3" ViscosityLINEST'!J296,'10A61 Liquid 3" ViscosityLINEST'!J295))</f>
        <v>1219.1507936507928</v>
      </c>
      <c r="F298" s="37"/>
      <c r="G298" s="37"/>
      <c r="H298" s="37"/>
      <c r="I298" s="37"/>
      <c r="J298" s="37"/>
      <c r="K298" s="37"/>
      <c r="L298" s="37"/>
      <c r="M298" s="37"/>
      <c r="N298" s="37"/>
      <c r="O298" s="37"/>
      <c r="P298" s="37"/>
      <c r="Q298" s="37"/>
      <c r="R298" s="38"/>
    </row>
    <row r="299" spans="2:18">
      <c r="B299" s="36"/>
      <c r="C299" s="7">
        <v>0.6</v>
      </c>
      <c r="D299" s="7">
        <f>'10A61 Liquid 3"'!$B$4</f>
        <v>1</v>
      </c>
      <c r="E299" s="32">
        <f>IF(D307&gt;5,"",
IF(D307&gt;1.001,'10A61 Liquid 3" ViscosityLINEST'!J298,'10A61 Liquid 3" ViscosityLINEST'!J297))</f>
        <v>998.37896825396911</v>
      </c>
      <c r="F299" s="37"/>
      <c r="G299" s="37"/>
      <c r="H299" s="37"/>
      <c r="I299" s="37"/>
      <c r="J299" s="37"/>
      <c r="K299" s="37"/>
      <c r="L299" s="37"/>
      <c r="M299" s="37"/>
      <c r="N299" s="37"/>
      <c r="O299" s="37"/>
      <c r="P299" s="37"/>
      <c r="Q299" s="37"/>
      <c r="R299" s="38"/>
    </row>
    <row r="300" spans="2:18">
      <c r="B300" s="36"/>
      <c r="C300" s="7">
        <v>0.8</v>
      </c>
      <c r="D300" s="7">
        <f>'10A61 Liquid 3"'!$B$4</f>
        <v>1</v>
      </c>
      <c r="E300" s="32">
        <f>IF(D307&gt;5,"",
IF(D307&gt;1.001,'10A61 Liquid 3" ViscosityLINEST'!J300,'10A61 Liquid 3" ViscosityLINEST'!J299))</f>
        <v>856.53492063492081</v>
      </c>
      <c r="F300" s="37"/>
      <c r="G300" s="37"/>
      <c r="H300" s="37"/>
      <c r="I300" s="37"/>
      <c r="J300" s="37"/>
      <c r="K300" s="37"/>
      <c r="L300" s="37"/>
      <c r="M300" s="37"/>
      <c r="N300" s="37"/>
      <c r="O300" s="37"/>
      <c r="P300" s="37"/>
      <c r="Q300" s="37"/>
      <c r="R300" s="38"/>
    </row>
    <row r="301" spans="2:18">
      <c r="B301" s="36"/>
      <c r="C301" s="7">
        <v>1</v>
      </c>
      <c r="D301" s="7">
        <f>'10A61 Liquid 3"'!$B$4</f>
        <v>1</v>
      </c>
      <c r="E301" s="32">
        <f>IF(D307&gt;5,"",
IF(D307&gt;1.001,'10A61 Liquid 3" ViscosityLINEST'!J302,'10A61 Liquid 3" ViscosityLINEST'!J301))</f>
        <v>752.50119047619046</v>
      </c>
      <c r="F301" s="37"/>
      <c r="G301" s="37"/>
      <c r="H301" s="37"/>
      <c r="I301" s="37"/>
      <c r="J301" s="37"/>
      <c r="K301" s="37"/>
      <c r="L301" s="37"/>
      <c r="M301" s="37"/>
      <c r="N301" s="37"/>
      <c r="O301" s="37"/>
      <c r="P301" s="37"/>
      <c r="Q301" s="37"/>
      <c r="R301" s="38"/>
    </row>
    <row r="302" spans="2:18">
      <c r="B302" s="36"/>
      <c r="C302" s="7">
        <v>1.2</v>
      </c>
      <c r="D302" s="7">
        <f>'10A61 Liquid 3"'!$B$4</f>
        <v>1</v>
      </c>
      <c r="E302" s="32">
        <f>IF(D307&gt;5,"",
IF(D307&gt;1.001,'10A61 Liquid 3" ViscosityLINEST'!J304,'10A61 Liquid 3" ViscosityLINEST'!J303))</f>
        <v>668.68650793650818</v>
      </c>
      <c r="F302" s="37"/>
      <c r="G302" s="37"/>
      <c r="H302" s="37"/>
      <c r="I302" s="37"/>
      <c r="J302" s="37"/>
      <c r="K302" s="37"/>
      <c r="L302" s="37"/>
      <c r="M302" s="37"/>
      <c r="N302" s="37"/>
      <c r="O302" s="37"/>
      <c r="P302" s="37"/>
      <c r="Q302" s="37"/>
      <c r="R302" s="38"/>
    </row>
    <row r="303" spans="2:18">
      <c r="B303" s="36"/>
      <c r="C303" s="7">
        <v>1.4</v>
      </c>
      <c r="D303" s="7">
        <f>'10A61 Liquid 3"'!$B$4</f>
        <v>1</v>
      </c>
      <c r="E303" s="32">
        <f>IF(D307&gt;5,"",
IF(D307&gt;1.001,'10A61 Liquid 3" ViscosityLINEST'!J306,'10A61 Liquid 3" ViscosityLINEST'!J305))</f>
        <v>598.89365079365098</v>
      </c>
      <c r="F303" s="37"/>
      <c r="G303" s="37"/>
      <c r="H303" s="37"/>
      <c r="I303" s="37"/>
      <c r="J303" s="37"/>
      <c r="K303" s="37"/>
      <c r="L303" s="37"/>
      <c r="M303" s="37"/>
      <c r="N303" s="37"/>
      <c r="O303" s="37"/>
      <c r="P303" s="37"/>
      <c r="Q303" s="37"/>
      <c r="R303" s="38"/>
    </row>
    <row r="304" spans="2:18">
      <c r="B304" s="36"/>
      <c r="C304" s="7">
        <v>1.5</v>
      </c>
      <c r="D304" s="7">
        <f>'10A61 Liquid 3"'!$B$4</f>
        <v>1</v>
      </c>
      <c r="E304" s="32">
        <f>IF(D307&gt;5,"",
IF(D307&gt;1.001,'10A61 Liquid 3" ViscosityLINEST'!J308,'10A61 Liquid 3" ViscosityLINEST'!J307))</f>
        <v>568.09761904761911</v>
      </c>
      <c r="F304" s="37"/>
      <c r="G304" s="37"/>
      <c r="H304" s="37"/>
      <c r="I304" s="37"/>
      <c r="J304" s="37"/>
      <c r="K304" s="37"/>
      <c r="L304" s="37"/>
      <c r="M304" s="37"/>
      <c r="N304" s="37"/>
      <c r="O304" s="37"/>
      <c r="P304" s="37"/>
      <c r="Q304" s="37"/>
      <c r="R304" s="38"/>
    </row>
    <row r="305" spans="2:18" ht="15.75" thickBot="1">
      <c r="B305" s="36"/>
      <c r="C305" s="37"/>
      <c r="D305" s="37"/>
      <c r="E305" s="37"/>
      <c r="F305" s="37"/>
      <c r="G305" s="37"/>
      <c r="H305" s="37"/>
      <c r="I305" s="37"/>
      <c r="J305" s="37"/>
      <c r="K305" s="37"/>
      <c r="L305" s="37"/>
      <c r="M305" s="37"/>
      <c r="N305" s="37"/>
      <c r="O305" s="37"/>
      <c r="P305" s="37"/>
      <c r="Q305" s="37"/>
      <c r="R305" s="38"/>
    </row>
    <row r="306" spans="2:18" ht="15.75" thickBot="1">
      <c r="B306" s="36"/>
      <c r="C306" s="31" t="s">
        <v>76</v>
      </c>
      <c r="D306" s="31" t="s">
        <v>68</v>
      </c>
      <c r="E306" s="31" t="s">
        <v>67</v>
      </c>
      <c r="F306" s="37"/>
      <c r="G306" s="238" t="s">
        <v>65</v>
      </c>
      <c r="H306" s="238"/>
      <c r="I306" s="238"/>
      <c r="J306" s="37"/>
      <c r="K306" s="37"/>
      <c r="L306" s="37"/>
      <c r="M306" s="37"/>
      <c r="N306" s="37"/>
      <c r="O306" s="37"/>
      <c r="P306" s="37"/>
      <c r="Q306" s="37"/>
      <c r="R306" s="38"/>
    </row>
    <row r="307" spans="2:18" ht="15.75" thickBot="1">
      <c r="B307" s="36"/>
      <c r="C307" s="31">
        <f>$B$3</f>
        <v>0.99</v>
      </c>
      <c r="D307" s="31">
        <f>$C$3</f>
        <v>1</v>
      </c>
      <c r="E307" s="31">
        <f>G307*C307^3+H307*C307^2+I307*C307+J307</f>
        <v>753.30280222857641</v>
      </c>
      <c r="F307" s="37"/>
      <c r="G307" s="7">
        <f t="array" ref="G307:J307">IF(AND(NOT(E298="")),LINEST(E298:E304,C298:C304^{1,2,3}),
IF(AND(E298="",NOT(E299=""),NOT(E300=""),NOT(E301=""),NOT(E302=""),NOT(E303=""),NOT(E304="")),LINEST(E299:E304,C299:C304^{1,2,3}),
IF(AND(E299="",NOT(E300=""),NOT(E301=""),NOT(E302=""),NOT(E303=""),NOT(E304="")),LINEST(E300:E304,C300:C304^{1,2,3}),
IF(AND(E300="",NOT(E301=""),NOT(E302=""),NOT(E303=""),NOT(E304="")),LINEST(E301:E304,C301:C304^{1,2,3}),
IF(AND(E301="",NOT(E302=""),NOT(E303=""),NOT(E304="")),LINEST(E302:E304,C302:C304^{1,2,3}),
IF(AND(E302="",NOT(E303=""),NOT(E304="")),LINEST(E303:E304,C303:C304^{1,2,3}),
IF(AND(E303="",NOT(E304="")),LINEST(E304,C304^{1,2,3}),"NOT APPLICABLE")))))))</f>
        <v>-376.36582061942806</v>
      </c>
      <c r="H307" s="7">
        <v>1467.5692689245177</v>
      </c>
      <c r="I307" s="7">
        <v>-2247.967249525494</v>
      </c>
      <c r="J307" s="37">
        <v>1905.6131181671062</v>
      </c>
      <c r="K307" s="37"/>
      <c r="L307" s="37"/>
      <c r="M307" s="37"/>
      <c r="N307" s="37"/>
      <c r="O307" s="37"/>
      <c r="P307" s="37"/>
      <c r="Q307" s="37"/>
      <c r="R307" s="38"/>
    </row>
    <row r="308" spans="2:18">
      <c r="B308" s="36"/>
      <c r="C308" s="37"/>
      <c r="D308" s="37"/>
      <c r="E308" s="37"/>
      <c r="F308" s="37"/>
      <c r="G308" s="37"/>
      <c r="H308" s="37"/>
      <c r="I308" s="37"/>
      <c r="J308" s="37"/>
      <c r="K308" s="37"/>
      <c r="L308" s="37"/>
      <c r="M308" s="37"/>
      <c r="N308" s="37"/>
      <c r="O308" s="37"/>
      <c r="P308" s="37"/>
      <c r="Q308" s="37"/>
      <c r="R308" s="38"/>
    </row>
    <row r="309" spans="2:18">
      <c r="B309" s="39"/>
      <c r="C309" s="40"/>
      <c r="D309" s="40"/>
      <c r="E309" s="40"/>
      <c r="F309" s="40"/>
      <c r="G309" s="40"/>
      <c r="H309" s="40"/>
      <c r="I309" s="40"/>
      <c r="J309" s="40"/>
      <c r="K309" s="40"/>
      <c r="L309" s="40"/>
      <c r="M309" s="40"/>
      <c r="N309" s="40"/>
      <c r="O309" s="40"/>
      <c r="P309" s="40"/>
      <c r="Q309" s="40"/>
      <c r="R309" s="41"/>
    </row>
    <row r="311" spans="2:18">
      <c r="B311" s="34"/>
      <c r="C311" s="35"/>
      <c r="D311" s="35"/>
      <c r="E311" s="35"/>
      <c r="F311" s="35"/>
      <c r="G311" s="42" t="s">
        <v>97</v>
      </c>
      <c r="H311" s="35"/>
      <c r="I311" s="35"/>
      <c r="J311" s="35"/>
      <c r="K311" s="35"/>
      <c r="L311" s="35"/>
      <c r="M311" s="35"/>
      <c r="N311" s="35"/>
      <c r="O311" s="35"/>
      <c r="P311" s="35"/>
      <c r="Q311" s="35"/>
      <c r="R311" s="33"/>
    </row>
    <row r="312" spans="2:18">
      <c r="B312" s="36"/>
      <c r="C312" s="37"/>
      <c r="D312" s="37"/>
      <c r="E312" s="37"/>
      <c r="F312" s="37"/>
      <c r="G312" s="37"/>
      <c r="H312" s="37"/>
      <c r="I312" s="37"/>
      <c r="J312" s="37"/>
      <c r="K312" s="37"/>
      <c r="L312" s="37"/>
      <c r="M312" s="37"/>
      <c r="N312" s="37"/>
      <c r="O312" s="37"/>
      <c r="P312" s="37"/>
      <c r="Q312" s="37"/>
      <c r="R312" s="38"/>
    </row>
    <row r="313" spans="2:18">
      <c r="B313" s="36"/>
      <c r="C313" s="7" t="s">
        <v>11</v>
      </c>
      <c r="D313" s="7" t="s">
        <v>60</v>
      </c>
      <c r="E313" s="7" t="s">
        <v>53</v>
      </c>
      <c r="F313" s="37"/>
      <c r="G313" s="37"/>
      <c r="H313" s="37"/>
      <c r="I313" s="37"/>
      <c r="J313" s="37"/>
      <c r="K313" s="37"/>
      <c r="L313" s="37"/>
      <c r="M313" s="37"/>
      <c r="N313" s="37"/>
      <c r="O313" s="37"/>
      <c r="P313" s="37"/>
      <c r="Q313" s="37"/>
      <c r="R313" s="38"/>
    </row>
    <row r="314" spans="2:18">
      <c r="B314" s="36"/>
      <c r="C314" s="7">
        <v>0.4</v>
      </c>
      <c r="D314" s="7">
        <f>'10A61 Liquid 3"'!$B$4</f>
        <v>1</v>
      </c>
      <c r="E314" s="32">
        <f t="array" ref="E314">IF(D323&gt;5,"",
IF(D323&gt;1.011,'10A61 Liquid 3" ViscosityLINEST'!J312,'10A61 Liquid 3" ViscosityLINEST'!J311))</f>
        <v>1310.0079365079364</v>
      </c>
      <c r="F314" s="37"/>
      <c r="G314" s="37"/>
      <c r="H314" s="37"/>
      <c r="I314" s="37"/>
      <c r="J314" s="37"/>
      <c r="K314" s="37"/>
      <c r="L314" s="37"/>
      <c r="M314" s="37"/>
      <c r="N314" s="37"/>
      <c r="O314" s="37"/>
      <c r="P314" s="37"/>
      <c r="Q314" s="37"/>
      <c r="R314" s="38"/>
    </row>
    <row r="315" spans="2:18">
      <c r="B315" s="36"/>
      <c r="C315" s="7">
        <v>0.6</v>
      </c>
      <c r="D315" s="7">
        <f>'10A61 Liquid 3"'!$B$4</f>
        <v>1</v>
      </c>
      <c r="E315" s="32">
        <f>IF(D323&gt;5,"",
IF(D323&gt;1.001,'10A61 Liquid 3" ViscosityLINEST'!J314,'10A61 Liquid 3" ViscosityLINEST'!J313))</f>
        <v>1080.9920634920638</v>
      </c>
      <c r="F315" s="37"/>
      <c r="G315" s="37"/>
      <c r="H315" s="37"/>
      <c r="I315" s="37"/>
      <c r="J315" s="37"/>
      <c r="K315" s="37"/>
      <c r="L315" s="37"/>
      <c r="M315" s="37"/>
      <c r="N315" s="37"/>
      <c r="O315" s="37"/>
      <c r="P315" s="37"/>
      <c r="Q315" s="37"/>
      <c r="R315" s="38"/>
    </row>
    <row r="316" spans="2:18">
      <c r="B316" s="36"/>
      <c r="C316" s="7">
        <v>0.8</v>
      </c>
      <c r="D316" s="7">
        <f>'10A61 Liquid 3"'!$B$4</f>
        <v>1</v>
      </c>
      <c r="E316" s="32">
        <f>IF(D323&gt;5,"",
IF(D323&gt;1.001,'10A61 Liquid 3" ViscosityLINEST'!J316,'10A61 Liquid 3" ViscosityLINEST'!J315))</f>
        <v>941.70158730158721</v>
      </c>
      <c r="F316" s="37"/>
      <c r="G316" s="37"/>
      <c r="H316" s="37"/>
      <c r="I316" s="37"/>
      <c r="J316" s="37"/>
      <c r="K316" s="37"/>
      <c r="L316" s="37"/>
      <c r="M316" s="37"/>
      <c r="N316" s="37"/>
      <c r="O316" s="37"/>
      <c r="P316" s="37"/>
      <c r="Q316" s="37"/>
      <c r="R316" s="38"/>
    </row>
    <row r="317" spans="2:18">
      <c r="B317" s="36"/>
      <c r="C317" s="7">
        <v>1</v>
      </c>
      <c r="D317" s="7">
        <f>'10A61 Liquid 3"'!$B$4</f>
        <v>1</v>
      </c>
      <c r="E317" s="32">
        <f>IF(D323&gt;5,"",
IF(D323&gt;1.001,'10A61 Liquid 3" ViscosityLINEST'!J318,'10A61 Liquid 3" ViscosityLINEST'!J317))</f>
        <v>844.64166666666688</v>
      </c>
      <c r="F317" s="37"/>
      <c r="G317" s="37"/>
      <c r="H317" s="37"/>
      <c r="I317" s="37"/>
      <c r="J317" s="37"/>
      <c r="K317" s="37"/>
      <c r="L317" s="37"/>
      <c r="M317" s="37"/>
      <c r="N317" s="37"/>
      <c r="O317" s="37"/>
      <c r="P317" s="37"/>
      <c r="Q317" s="37"/>
      <c r="R317" s="38"/>
    </row>
    <row r="318" spans="2:18">
      <c r="B318" s="36"/>
      <c r="C318" s="7">
        <v>1.2</v>
      </c>
      <c r="D318" s="7">
        <f>'10A61 Liquid 3"'!$B$4</f>
        <v>1</v>
      </c>
      <c r="E318" s="32">
        <f>IF(D323&gt;5,"",
IF(D323&gt;1.001,'10A61 Liquid 3" ViscosityLINEST'!J320,'10A61 Liquid 3" ViscosityLINEST'!J319))</f>
        <v>769.18571428571465</v>
      </c>
      <c r="F318" s="37"/>
      <c r="G318" s="37"/>
      <c r="H318" s="37"/>
      <c r="I318" s="37"/>
      <c r="J318" s="37"/>
      <c r="K318" s="37"/>
      <c r="L318" s="37"/>
      <c r="M318" s="37"/>
      <c r="N318" s="37"/>
      <c r="O318" s="37"/>
      <c r="P318" s="37"/>
      <c r="Q318" s="37"/>
      <c r="R318" s="38"/>
    </row>
    <row r="319" spans="2:18">
      <c r="B319" s="36"/>
      <c r="C319" s="7">
        <v>1.4</v>
      </c>
      <c r="D319" s="7">
        <f>'10A61 Liquid 3"'!$B$4</f>
        <v>1</v>
      </c>
      <c r="E319" s="32">
        <f>IF(D323&gt;5,"",
IF(D323&gt;1.001,'10A61 Liquid 3" ViscosityLINEST'!J322,'10A61 Liquid 3" ViscosityLINEST'!J321))</f>
        <v>709.45396825396801</v>
      </c>
      <c r="F319" s="37"/>
      <c r="G319" s="37"/>
      <c r="H319" s="37"/>
      <c r="I319" s="37"/>
      <c r="J319" s="37"/>
      <c r="K319" s="37"/>
      <c r="L319" s="37"/>
      <c r="M319" s="37"/>
      <c r="N319" s="37"/>
      <c r="O319" s="37"/>
      <c r="P319" s="37"/>
      <c r="Q319" s="37"/>
      <c r="R319" s="38"/>
    </row>
    <row r="320" spans="2:18">
      <c r="B320" s="36"/>
      <c r="C320" s="7">
        <v>1.5</v>
      </c>
      <c r="D320" s="7">
        <f>'10A61 Liquid 3"'!$B$4</f>
        <v>1</v>
      </c>
      <c r="E320" s="32">
        <f>IF(D323&gt;5,"",
IF(D323&gt;1.001,'10A61 Liquid 3" ViscosityLINEST'!J324,'10A61 Liquid 3" ViscosityLINEST'!J323))</f>
        <v>683.8730158730159</v>
      </c>
      <c r="F320" s="37"/>
      <c r="G320" s="37"/>
      <c r="H320" s="37"/>
      <c r="I320" s="37"/>
      <c r="J320" s="37"/>
      <c r="K320" s="37"/>
      <c r="L320" s="37"/>
      <c r="M320" s="37"/>
      <c r="N320" s="37"/>
      <c r="O320" s="37"/>
      <c r="P320" s="37"/>
      <c r="Q320" s="37"/>
      <c r="R320" s="38"/>
    </row>
    <row r="321" spans="2:18" ht="15.75" thickBot="1">
      <c r="B321" s="36"/>
      <c r="C321" s="37"/>
      <c r="D321" s="37"/>
      <c r="E321" s="37"/>
      <c r="F321" s="37"/>
      <c r="G321" s="37"/>
      <c r="H321" s="37"/>
      <c r="I321" s="37"/>
      <c r="J321" s="37"/>
      <c r="K321" s="37"/>
      <c r="L321" s="37"/>
      <c r="M321" s="37"/>
      <c r="N321" s="37"/>
      <c r="O321" s="37"/>
      <c r="P321" s="37"/>
      <c r="Q321" s="37"/>
      <c r="R321" s="38"/>
    </row>
    <row r="322" spans="2:18" ht="15.75" thickBot="1">
      <c r="B322" s="36"/>
      <c r="C322" s="31" t="s">
        <v>76</v>
      </c>
      <c r="D322" s="31" t="s">
        <v>68</v>
      </c>
      <c r="E322" s="31" t="s">
        <v>67</v>
      </c>
      <c r="F322" s="37"/>
      <c r="G322" s="238" t="s">
        <v>65</v>
      </c>
      <c r="H322" s="238"/>
      <c r="I322" s="238"/>
      <c r="J322" s="37"/>
      <c r="K322" s="37"/>
      <c r="L322" s="37"/>
      <c r="M322" s="37"/>
      <c r="N322" s="37"/>
      <c r="O322" s="37"/>
      <c r="P322" s="37"/>
      <c r="Q322" s="37"/>
      <c r="R322" s="38"/>
    </row>
    <row r="323" spans="2:18" ht="15.75" thickBot="1">
      <c r="B323" s="36"/>
      <c r="C323" s="31">
        <f>$B$3</f>
        <v>0.99</v>
      </c>
      <c r="D323" s="31">
        <f>$C$3</f>
        <v>1</v>
      </c>
      <c r="E323" s="31">
        <f>G323*C323^3+H323*C323^2+I323*C323+J323</f>
        <v>844.28030619440869</v>
      </c>
      <c r="F323" s="37"/>
      <c r="G323" s="7">
        <f t="array" ref="G323:J323">IF(AND(NOT(E314="")),LINEST(E314:E320,C314:C320^{1,2,3}),
IF(AND(E314="",NOT(E315=""),NOT(E316=""),NOT(E317=""),NOT(E318=""),NOT(E319=""),NOT(E320="")),LINEST(E315:E320,C315:C320^{1,2,3}),
IF(AND(E315="",NOT(E316=""),NOT(E317=""),NOT(E318=""),NOT(E319=""),NOT(E320="")),LINEST(E316:E320,C316:C320^{1,2,3}),
IF(AND(E316="",NOT(E317=""),NOT(E318=""),NOT(E319=""),NOT(E320="")),LINEST(E317:E320,C317:C320^{1,2,3}),
IF(AND(E317="",NOT(E318=""),NOT(E319=""),NOT(E320="")),LINEST(E318:E320,C318:C320^{1,2,3}),
IF(AND(E318="",NOT(E319=""),NOT(E320="")),LINEST(E319:E320,C319:C320^{1,2,3}),
IF(AND(E319="",NOT(E320="")),LINEST(E320,C320^{1,2,3}),"NOT APPLICABLE")))))))</f>
        <v>-430.00484276094016</v>
      </c>
      <c r="H323" s="7">
        <v>1665.3198992150453</v>
      </c>
      <c r="I323" s="7">
        <v>-2439.6475195090306</v>
      </c>
      <c r="J323" s="37">
        <v>2044.5845862137808</v>
      </c>
      <c r="K323" s="37"/>
      <c r="L323" s="37"/>
      <c r="M323" s="37"/>
      <c r="N323" s="37"/>
      <c r="O323" s="37"/>
      <c r="P323" s="37"/>
      <c r="Q323" s="37"/>
      <c r="R323" s="38"/>
    </row>
    <row r="324" spans="2:18">
      <c r="B324" s="36"/>
      <c r="C324" s="37"/>
      <c r="D324" s="37"/>
      <c r="E324" s="37"/>
      <c r="F324" s="37"/>
      <c r="G324" s="37"/>
      <c r="H324" s="37"/>
      <c r="I324" s="37"/>
      <c r="J324" s="37"/>
      <c r="K324" s="37"/>
      <c r="L324" s="37"/>
      <c r="M324" s="37"/>
      <c r="N324" s="37"/>
      <c r="O324" s="37"/>
      <c r="P324" s="37"/>
      <c r="Q324" s="37"/>
      <c r="R324" s="38"/>
    </row>
    <row r="325" spans="2:18">
      <c r="B325" s="39"/>
      <c r="C325" s="40"/>
      <c r="D325" s="40"/>
      <c r="E325" s="40"/>
      <c r="F325" s="40"/>
      <c r="G325" s="40"/>
      <c r="H325" s="40"/>
      <c r="I325" s="40"/>
      <c r="J325" s="40"/>
      <c r="K325" s="40"/>
      <c r="L325" s="40"/>
      <c r="M325" s="40"/>
      <c r="N325" s="40"/>
      <c r="O325" s="40"/>
      <c r="P325" s="40"/>
      <c r="Q325" s="40"/>
      <c r="R325" s="41"/>
    </row>
    <row r="327" spans="2:18">
      <c r="B327" s="34"/>
      <c r="C327" s="35"/>
      <c r="D327" s="35"/>
      <c r="E327" s="35"/>
      <c r="F327" s="35"/>
      <c r="G327" s="42" t="s">
        <v>98</v>
      </c>
      <c r="H327" s="35"/>
      <c r="I327" s="35"/>
      <c r="J327" s="35"/>
      <c r="K327" s="35"/>
      <c r="L327" s="35"/>
      <c r="M327" s="35"/>
      <c r="N327" s="35"/>
      <c r="O327" s="35"/>
      <c r="P327" s="35"/>
      <c r="Q327" s="35"/>
      <c r="R327" s="33"/>
    </row>
    <row r="328" spans="2:18">
      <c r="B328" s="36"/>
      <c r="C328" s="37"/>
      <c r="D328" s="37"/>
      <c r="E328" s="37"/>
      <c r="F328" s="37"/>
      <c r="G328" s="37"/>
      <c r="H328" s="37"/>
      <c r="I328" s="37"/>
      <c r="J328" s="37"/>
      <c r="K328" s="37"/>
      <c r="L328" s="37"/>
      <c r="M328" s="37"/>
      <c r="N328" s="37"/>
      <c r="O328" s="37"/>
      <c r="P328" s="37"/>
      <c r="Q328" s="37"/>
      <c r="R328" s="38"/>
    </row>
    <row r="329" spans="2:18">
      <c r="B329" s="36"/>
      <c r="C329" s="7" t="s">
        <v>11</v>
      </c>
      <c r="D329" s="7" t="s">
        <v>60</v>
      </c>
      <c r="E329" s="7" t="s">
        <v>53</v>
      </c>
      <c r="F329" s="37"/>
      <c r="G329" s="37"/>
      <c r="H329" s="37"/>
      <c r="I329" s="37"/>
      <c r="J329" s="37"/>
      <c r="K329" s="37"/>
      <c r="L329" s="37"/>
      <c r="M329" s="37"/>
      <c r="N329" s="37"/>
      <c r="O329" s="37"/>
      <c r="P329" s="37"/>
      <c r="Q329" s="37"/>
      <c r="R329" s="38"/>
    </row>
    <row r="330" spans="2:18">
      <c r="B330" s="36"/>
      <c r="C330" s="7">
        <v>0.4</v>
      </c>
      <c r="D330" s="7">
        <f>'10A61 Liquid 3"'!$B$4</f>
        <v>1</v>
      </c>
      <c r="E330" s="32">
        <f t="array" ref="E330">IF(D339&gt;5,"",
IF(D339&gt;1.011,'10A61 Liquid 3" ViscosityLINEST'!J328,'10A61 Liquid 3" ViscosityLINEST'!J327))</f>
        <v>1388.1150793650795</v>
      </c>
      <c r="F330" s="37"/>
      <c r="G330" s="37"/>
      <c r="H330" s="37"/>
      <c r="I330" s="37"/>
      <c r="J330" s="37"/>
      <c r="K330" s="37"/>
      <c r="L330" s="37"/>
      <c r="M330" s="37"/>
      <c r="N330" s="37"/>
      <c r="O330" s="37"/>
      <c r="P330" s="37"/>
      <c r="Q330" s="37"/>
      <c r="R330" s="38"/>
    </row>
    <row r="331" spans="2:18">
      <c r="B331" s="36"/>
      <c r="C331" s="7">
        <v>0.6</v>
      </c>
      <c r="D331" s="7">
        <f>'10A61 Liquid 3"'!$B$4</f>
        <v>1</v>
      </c>
      <c r="E331" s="32">
        <f>IF(D339&gt;5,"",
IF(D339&gt;1.001,'10A61 Liquid 3" ViscosityLINEST'!J330,'10A61 Liquid 3" ViscosityLINEST'!J329))</f>
        <v>1146.9404761904766</v>
      </c>
      <c r="F331" s="37"/>
      <c r="G331" s="37"/>
      <c r="H331" s="37"/>
      <c r="I331" s="37"/>
      <c r="J331" s="37"/>
      <c r="K331" s="37"/>
      <c r="L331" s="37"/>
      <c r="M331" s="37"/>
      <c r="N331" s="37"/>
      <c r="O331" s="37"/>
      <c r="P331" s="37"/>
      <c r="Q331" s="37"/>
      <c r="R331" s="38"/>
    </row>
    <row r="332" spans="2:18">
      <c r="B332" s="36"/>
      <c r="C332" s="7">
        <v>0.8</v>
      </c>
      <c r="D332" s="7">
        <f>'10A61 Liquid 3"'!$B$4</f>
        <v>1</v>
      </c>
      <c r="E332" s="32">
        <f>IF(D339&gt;5,"",
IF(D339&gt;1.001,'10A61 Liquid 3" ViscosityLINEST'!J332,'10A61 Liquid 3" ViscosityLINEST'!J331))</f>
        <v>999.98015873015845</v>
      </c>
      <c r="F332" s="37"/>
      <c r="G332" s="37"/>
      <c r="H332" s="37"/>
      <c r="I332" s="37"/>
      <c r="J332" s="37"/>
      <c r="K332" s="37"/>
      <c r="L332" s="37"/>
      <c r="M332" s="37"/>
      <c r="N332" s="37"/>
      <c r="O332" s="37"/>
      <c r="P332" s="37"/>
      <c r="Q332" s="37"/>
      <c r="R332" s="38"/>
    </row>
    <row r="333" spans="2:18">
      <c r="B333" s="36"/>
      <c r="C333" s="7">
        <v>1</v>
      </c>
      <c r="D333" s="7">
        <f>'10A61 Liquid 3"'!$B$4</f>
        <v>1</v>
      </c>
      <c r="E333" s="32">
        <f>IF(D339&gt;5,"",
IF(D339&gt;1.001,'10A61 Liquid 3" ViscosityLINEST'!J334,'10A61 Liquid 3" ViscosityLINEST'!J333))</f>
        <v>896.24603174603089</v>
      </c>
      <c r="F333" s="37"/>
      <c r="G333" s="37"/>
      <c r="H333" s="37"/>
      <c r="I333" s="37"/>
      <c r="J333" s="37"/>
      <c r="K333" s="37"/>
      <c r="L333" s="37"/>
      <c r="M333" s="37"/>
      <c r="N333" s="37"/>
      <c r="O333" s="37"/>
      <c r="P333" s="37"/>
      <c r="Q333" s="37"/>
      <c r="R333" s="38"/>
    </row>
    <row r="334" spans="2:18">
      <c r="B334" s="36"/>
      <c r="C334" s="7">
        <v>1.2</v>
      </c>
      <c r="D334" s="7">
        <f>'10A61 Liquid 3"'!$B$4</f>
        <v>1</v>
      </c>
      <c r="E334" s="32">
        <f>IF(D339&gt;5,"",
IF(D339&gt;1.001,'10A61 Liquid 3" ViscosityLINEST'!J336,'10A61 Liquid 3" ViscosityLINEST'!J335))</f>
        <v>816.35158730158719</v>
      </c>
      <c r="F334" s="37"/>
      <c r="G334" s="37"/>
      <c r="H334" s="37"/>
      <c r="I334" s="37"/>
      <c r="J334" s="37"/>
      <c r="K334" s="37"/>
      <c r="L334" s="37"/>
      <c r="M334" s="37"/>
      <c r="N334" s="37"/>
      <c r="O334" s="37"/>
      <c r="P334" s="37"/>
      <c r="Q334" s="37"/>
      <c r="R334" s="38"/>
    </row>
    <row r="335" spans="2:18">
      <c r="B335" s="36"/>
      <c r="C335" s="7">
        <v>1.4</v>
      </c>
      <c r="D335" s="7">
        <f>'10A61 Liquid 3"'!$B$4</f>
        <v>1</v>
      </c>
      <c r="E335" s="32">
        <f>IF(D339&gt;5,"",
IF(D339&gt;1.001,'10A61 Liquid 3" ViscosityLINEST'!J338,'10A61 Liquid 3" ViscosityLINEST'!J337))</f>
        <v>753.4936507936502</v>
      </c>
      <c r="F335" s="37"/>
      <c r="G335" s="37"/>
      <c r="H335" s="37"/>
      <c r="I335" s="37"/>
      <c r="J335" s="37"/>
      <c r="K335" s="37"/>
      <c r="L335" s="37"/>
      <c r="M335" s="37"/>
      <c r="N335" s="37"/>
      <c r="O335" s="37"/>
      <c r="P335" s="37"/>
      <c r="Q335" s="37"/>
      <c r="R335" s="38"/>
    </row>
    <row r="336" spans="2:18">
      <c r="B336" s="36"/>
      <c r="C336" s="7">
        <v>1.5</v>
      </c>
      <c r="D336" s="7">
        <f>'10A61 Liquid 3"'!$B$4</f>
        <v>1</v>
      </c>
      <c r="E336" s="32">
        <f>IF(D339&gt;5,"",
IF(D339&gt;1.001,'10A61 Liquid 3" ViscosityLINEST'!J340,'10A61 Liquid 3" ViscosityLINEST'!J339))</f>
        <v>726.65476190476193</v>
      </c>
      <c r="F336" s="37"/>
      <c r="G336" s="37"/>
      <c r="H336" s="37"/>
      <c r="I336" s="37"/>
      <c r="J336" s="37"/>
      <c r="K336" s="37"/>
      <c r="L336" s="37"/>
      <c r="M336" s="37"/>
      <c r="N336" s="37"/>
      <c r="O336" s="37"/>
      <c r="P336" s="37"/>
      <c r="Q336" s="37"/>
      <c r="R336" s="38"/>
    </row>
    <row r="337" spans="2:18" ht="15.75" thickBot="1">
      <c r="B337" s="36"/>
      <c r="C337" s="37"/>
      <c r="D337" s="37"/>
      <c r="E337" s="37"/>
      <c r="F337" s="37"/>
      <c r="G337" s="37"/>
      <c r="H337" s="37"/>
      <c r="I337" s="37"/>
      <c r="J337" s="37"/>
      <c r="K337" s="37"/>
      <c r="L337" s="37"/>
      <c r="M337" s="37"/>
      <c r="N337" s="37"/>
      <c r="O337" s="37"/>
      <c r="P337" s="37"/>
      <c r="Q337" s="37"/>
      <c r="R337" s="38"/>
    </row>
    <row r="338" spans="2:18" ht="15.75" thickBot="1">
      <c r="B338" s="36"/>
      <c r="C338" s="31" t="s">
        <v>76</v>
      </c>
      <c r="D338" s="31" t="s">
        <v>68</v>
      </c>
      <c r="E338" s="31" t="s">
        <v>67</v>
      </c>
      <c r="F338" s="37"/>
      <c r="G338" s="238" t="s">
        <v>65</v>
      </c>
      <c r="H338" s="238"/>
      <c r="I338" s="238"/>
      <c r="J338" s="37"/>
      <c r="K338" s="37"/>
      <c r="L338" s="37"/>
      <c r="M338" s="37"/>
      <c r="N338" s="37"/>
      <c r="O338" s="37"/>
      <c r="P338" s="37"/>
      <c r="Q338" s="37"/>
      <c r="R338" s="38"/>
    </row>
    <row r="339" spans="2:18" ht="15.75" thickBot="1">
      <c r="B339" s="36"/>
      <c r="C339" s="31">
        <f>$B$3</f>
        <v>0.99</v>
      </c>
      <c r="D339" s="31">
        <f>$C$3</f>
        <v>1</v>
      </c>
      <c r="E339" s="31">
        <f>G339*C339^3+H339*C339^2+I339*C339+J339</f>
        <v>896.1991779343623</v>
      </c>
      <c r="F339" s="37"/>
      <c r="G339" s="7">
        <f t="array" ref="G339:J339">IF(AND(NOT(E330="")),LINEST(E330:E336,C330:C336^{1,2,3}),
IF(AND(E330="",NOT(E331=""),NOT(E332=""),NOT(E333=""),NOT(E334=""),NOT(E335=""),NOT(E336="")),LINEST(E331:E336,C331:C336^{1,2,3}),
IF(AND(E331="",NOT(E332=""),NOT(E333=""),NOT(E334=""),NOT(E335=""),NOT(E336="")),LINEST(E332:E336,C332:C336^{1,2,3}),
IF(AND(E332="",NOT(E333=""),NOT(E334=""),NOT(E335=""),NOT(E336="")),LINEST(E333:E336,C333:C336^{1,2,3}),
IF(AND(E333="",NOT(E334=""),NOT(E335=""),NOT(E336="")),LINEST(E334:E336,C334:C336^{1,2,3}),
IF(AND(E334="",NOT(E335=""),NOT(E336="")),LINEST(E335:E336,C335:C336^{1,2,3}),
IF(AND(E335="",NOT(E336="")),LINEST(E336,C336^{1,2,3}),"NOT APPLICABLE")))))))</f>
        <v>-442.73909621630571</v>
      </c>
      <c r="H339" s="7">
        <v>1725.873894614293</v>
      </c>
      <c r="I339" s="7">
        <v>-2548.414817524641</v>
      </c>
      <c r="J339" s="37">
        <v>2157.1901454918734</v>
      </c>
      <c r="K339" s="37"/>
      <c r="L339" s="37"/>
      <c r="M339" s="37"/>
      <c r="N339" s="37"/>
      <c r="O339" s="37"/>
      <c r="P339" s="37"/>
      <c r="Q339" s="37"/>
      <c r="R339" s="38"/>
    </row>
    <row r="340" spans="2:18">
      <c r="B340" s="36"/>
      <c r="C340" s="37"/>
      <c r="D340" s="37"/>
      <c r="E340" s="37"/>
      <c r="F340" s="37"/>
      <c r="G340" s="37"/>
      <c r="H340" s="37"/>
      <c r="I340" s="37"/>
      <c r="J340" s="37"/>
      <c r="K340" s="37"/>
      <c r="L340" s="37"/>
      <c r="M340" s="37"/>
      <c r="N340" s="37"/>
      <c r="O340" s="37"/>
      <c r="P340" s="37"/>
      <c r="Q340" s="37"/>
      <c r="R340" s="38"/>
    </row>
    <row r="341" spans="2:18">
      <c r="B341" s="39"/>
      <c r="C341" s="40"/>
      <c r="D341" s="40"/>
      <c r="E341" s="40"/>
      <c r="F341" s="40"/>
      <c r="G341" s="40"/>
      <c r="H341" s="40"/>
      <c r="I341" s="40"/>
      <c r="J341" s="40"/>
      <c r="K341" s="40"/>
      <c r="L341" s="40"/>
      <c r="M341" s="40"/>
      <c r="N341" s="40"/>
      <c r="O341" s="40"/>
      <c r="P341" s="40"/>
      <c r="Q341" s="40"/>
      <c r="R341" s="41"/>
    </row>
    <row r="343" spans="2:18">
      <c r="B343" s="34"/>
      <c r="C343" s="35"/>
      <c r="D343" s="35"/>
      <c r="E343" s="35"/>
      <c r="F343" s="35"/>
      <c r="G343" s="42" t="s">
        <v>99</v>
      </c>
      <c r="H343" s="35"/>
      <c r="I343" s="35"/>
      <c r="J343" s="35"/>
      <c r="K343" s="35"/>
      <c r="L343" s="35"/>
      <c r="M343" s="35"/>
      <c r="N343" s="35"/>
      <c r="O343" s="35"/>
      <c r="P343" s="35"/>
      <c r="Q343" s="35"/>
      <c r="R343" s="33"/>
    </row>
    <row r="344" spans="2:18">
      <c r="B344" s="36"/>
      <c r="C344" s="37"/>
      <c r="D344" s="37"/>
      <c r="E344" s="37"/>
      <c r="F344" s="37"/>
      <c r="G344" s="37"/>
      <c r="H344" s="37"/>
      <c r="I344" s="37"/>
      <c r="J344" s="37"/>
      <c r="K344" s="37"/>
      <c r="L344" s="37"/>
      <c r="M344" s="37"/>
      <c r="N344" s="37"/>
      <c r="O344" s="37"/>
      <c r="P344" s="37"/>
      <c r="Q344" s="37"/>
      <c r="R344" s="38"/>
    </row>
    <row r="345" spans="2:18">
      <c r="B345" s="36"/>
      <c r="C345" s="7" t="s">
        <v>11</v>
      </c>
      <c r="D345" s="7" t="s">
        <v>60</v>
      </c>
      <c r="E345" s="7" t="s">
        <v>53</v>
      </c>
      <c r="F345" s="37"/>
      <c r="G345" s="37"/>
      <c r="H345" s="37"/>
      <c r="I345" s="37"/>
      <c r="J345" s="37"/>
      <c r="K345" s="37"/>
      <c r="L345" s="37"/>
      <c r="M345" s="37"/>
      <c r="N345" s="37"/>
      <c r="O345" s="37"/>
      <c r="P345" s="37"/>
      <c r="Q345" s="37"/>
      <c r="R345" s="38"/>
    </row>
    <row r="346" spans="2:18">
      <c r="B346" s="36"/>
      <c r="C346" s="7">
        <v>0.4</v>
      </c>
      <c r="D346" s="7">
        <f>'10A61 Liquid 3"'!$B$4</f>
        <v>1</v>
      </c>
      <c r="E346" s="32">
        <f t="array" ref="E346">IF(D355&gt;5,"",
IF(D355&gt;1.011,'10A61 Liquid 3" ViscosityLINEST'!J344,'10A61 Liquid 3" ViscosityLINEST'!J343))</f>
        <v>1625.0158730158728</v>
      </c>
      <c r="F346" s="37"/>
      <c r="G346" s="37"/>
      <c r="H346" s="37"/>
      <c r="I346" s="37"/>
      <c r="J346" s="37"/>
      <c r="K346" s="37"/>
      <c r="L346" s="37"/>
      <c r="M346" s="37"/>
      <c r="N346" s="37"/>
      <c r="O346" s="37"/>
      <c r="P346" s="37"/>
      <c r="Q346" s="37"/>
      <c r="R346" s="38"/>
    </row>
    <row r="347" spans="2:18">
      <c r="B347" s="36"/>
      <c r="C347" s="7">
        <v>0.6</v>
      </c>
      <c r="D347" s="7">
        <f>'10A61 Liquid 3"'!$B$4</f>
        <v>1</v>
      </c>
      <c r="E347" s="32">
        <f>IF(D355&gt;5,"",
IF(D355&gt;1.001,'10A61 Liquid 3" ViscosityLINEST'!J346,'10A61 Liquid 3" ViscosityLINEST'!J345))</f>
        <v>1316.9563492063492</v>
      </c>
      <c r="F347" s="37"/>
      <c r="G347" s="37"/>
      <c r="H347" s="37"/>
      <c r="I347" s="37"/>
      <c r="J347" s="37"/>
      <c r="K347" s="37"/>
      <c r="L347" s="37"/>
      <c r="M347" s="37"/>
      <c r="N347" s="37"/>
      <c r="O347" s="37"/>
      <c r="P347" s="37"/>
      <c r="Q347" s="37"/>
      <c r="R347" s="38"/>
    </row>
    <row r="348" spans="2:18">
      <c r="B348" s="36"/>
      <c r="C348" s="7">
        <v>0.8</v>
      </c>
      <c r="D348" s="7">
        <f>'10A61 Liquid 3"'!$B$4</f>
        <v>1</v>
      </c>
      <c r="E348" s="32">
        <f>IF(D355&gt;5,"",
IF(D355&gt;1.001,'10A61 Liquid 3" ViscosityLINEST'!J348,'10A61 Liquid 3" ViscosityLINEST'!J347))</f>
        <v>1117.9563492063494</v>
      </c>
      <c r="F348" s="37"/>
      <c r="G348" s="37"/>
      <c r="H348" s="37"/>
      <c r="I348" s="37"/>
      <c r="J348" s="37"/>
      <c r="K348" s="37"/>
      <c r="L348" s="37"/>
      <c r="M348" s="37"/>
      <c r="N348" s="37"/>
      <c r="O348" s="37"/>
      <c r="P348" s="37"/>
      <c r="Q348" s="37"/>
      <c r="R348" s="38"/>
    </row>
    <row r="349" spans="2:18">
      <c r="B349" s="36"/>
      <c r="C349" s="7">
        <v>1</v>
      </c>
      <c r="D349" s="7">
        <f>'10A61 Liquid 3"'!$B$4</f>
        <v>1</v>
      </c>
      <c r="E349" s="32">
        <f>IF(D355&gt;5,"",
IF(D355&gt;1.001,'10A61 Liquid 3" ViscosityLINEST'!J350,'10A61 Liquid 3" ViscosityLINEST'!J349))</f>
        <v>975.22896825396811</v>
      </c>
      <c r="F349" s="37"/>
      <c r="G349" s="37"/>
      <c r="H349" s="37"/>
      <c r="I349" s="37"/>
      <c r="J349" s="37"/>
      <c r="K349" s="37"/>
      <c r="L349" s="37"/>
      <c r="M349" s="37"/>
      <c r="N349" s="37"/>
      <c r="O349" s="37"/>
      <c r="P349" s="37"/>
      <c r="Q349" s="37"/>
      <c r="R349" s="38"/>
    </row>
    <row r="350" spans="2:18">
      <c r="B350" s="36"/>
      <c r="C350" s="7">
        <v>1.2</v>
      </c>
      <c r="D350" s="7">
        <f>'10A61 Liquid 3"'!$B$4</f>
        <v>1</v>
      </c>
      <c r="E350" s="32">
        <f>IF(D355&gt;5,"",
IF(D355&gt;1.001,'10A61 Liquid 3" ViscosityLINEST'!J352,'10A61 Liquid 3" ViscosityLINEST'!J351))</f>
        <v>864.48174603174584</v>
      </c>
      <c r="F350" s="37"/>
      <c r="G350" s="37"/>
      <c r="H350" s="37"/>
      <c r="I350" s="37"/>
      <c r="J350" s="37"/>
      <c r="K350" s="37"/>
      <c r="L350" s="37"/>
      <c r="M350" s="37"/>
      <c r="N350" s="37"/>
      <c r="O350" s="37"/>
      <c r="P350" s="37"/>
      <c r="Q350" s="37"/>
      <c r="R350" s="38"/>
    </row>
    <row r="351" spans="2:18">
      <c r="B351" s="36"/>
      <c r="C351" s="7">
        <v>1.4</v>
      </c>
      <c r="D351" s="7">
        <f>'10A61 Liquid 3"'!$B$4</f>
        <v>1</v>
      </c>
      <c r="E351" s="32">
        <f>IF(D355&gt;5,"",
IF(D355&gt;1.001,'10A61 Liquid 3" ViscosityLINEST'!J354,'10A61 Liquid 3" ViscosityLINEST'!J353))</f>
        <v>774.05992063492113</v>
      </c>
      <c r="F351" s="37"/>
      <c r="G351" s="37"/>
      <c r="H351" s="37"/>
      <c r="I351" s="37"/>
      <c r="J351" s="37"/>
      <c r="K351" s="37"/>
      <c r="L351" s="37"/>
      <c r="M351" s="37"/>
      <c r="N351" s="37"/>
      <c r="O351" s="37"/>
      <c r="P351" s="37"/>
      <c r="Q351" s="37"/>
      <c r="R351" s="38"/>
    </row>
    <row r="352" spans="2:18">
      <c r="B352" s="36"/>
      <c r="C352" s="7">
        <v>1.5</v>
      </c>
      <c r="D352" s="7">
        <f>'10A61 Liquid 3"'!$B$4</f>
        <v>1</v>
      </c>
      <c r="E352" s="32">
        <f>IF(D355&gt;5,"",
IF(D355&gt;1.001,'10A61 Liquid 3" ViscosityLINEST'!J356,'10A61 Liquid 3" ViscosityLINEST'!J355))</f>
        <v>734.14047619047642</v>
      </c>
      <c r="F352" s="37"/>
      <c r="G352" s="37"/>
      <c r="H352" s="37"/>
      <c r="I352" s="37"/>
      <c r="J352" s="37"/>
      <c r="K352" s="37"/>
      <c r="L352" s="37"/>
      <c r="M352" s="37"/>
      <c r="N352" s="37"/>
      <c r="O352" s="37"/>
      <c r="P352" s="37"/>
      <c r="Q352" s="37"/>
      <c r="R352" s="38"/>
    </row>
    <row r="353" spans="2:18" ht="15.75" thickBot="1">
      <c r="B353" s="36"/>
      <c r="C353" s="37"/>
      <c r="D353" s="37"/>
      <c r="E353" s="37"/>
      <c r="F353" s="37"/>
      <c r="G353" s="37"/>
      <c r="H353" s="37"/>
      <c r="I353" s="37"/>
      <c r="J353" s="37"/>
      <c r="K353" s="37"/>
      <c r="L353" s="37"/>
      <c r="M353" s="37"/>
      <c r="N353" s="37"/>
      <c r="O353" s="37"/>
      <c r="P353" s="37"/>
      <c r="Q353" s="37"/>
      <c r="R353" s="38"/>
    </row>
    <row r="354" spans="2:18" ht="15.75" thickBot="1">
      <c r="B354" s="36"/>
      <c r="C354" s="31" t="s">
        <v>76</v>
      </c>
      <c r="D354" s="31" t="s">
        <v>68</v>
      </c>
      <c r="E354" s="31" t="s">
        <v>67</v>
      </c>
      <c r="F354" s="37"/>
      <c r="G354" s="238" t="s">
        <v>65</v>
      </c>
      <c r="H354" s="238"/>
      <c r="I354" s="238"/>
      <c r="J354" s="37"/>
      <c r="K354" s="37"/>
      <c r="L354" s="37"/>
      <c r="M354" s="37"/>
      <c r="N354" s="37"/>
      <c r="O354" s="37"/>
      <c r="P354" s="37"/>
      <c r="Q354" s="37"/>
      <c r="R354" s="38"/>
    </row>
    <row r="355" spans="2:18" ht="15.75" thickBot="1">
      <c r="B355" s="36"/>
      <c r="C355" s="31">
        <f>$B$3</f>
        <v>0.99</v>
      </c>
      <c r="D355" s="31">
        <f>$C$3</f>
        <v>1</v>
      </c>
      <c r="E355" s="31">
        <f>G355*C355^3+H355*C355^2+I355*C355+J355</f>
        <v>976.99032249386028</v>
      </c>
      <c r="F355" s="37"/>
      <c r="G355" s="7">
        <f t="array" ref="G355:J355">IF(AND(NOT(E346="")),LINEST(E346:E352,C346:C352^{1,2,3}),
IF(AND(E346="",NOT(E347=""),NOT(E348=""),NOT(E349=""),NOT(E350=""),NOT(E351=""),NOT(E352="")),LINEST(E347:E352,C347:C352^{1,2,3}),
IF(AND(E347="",NOT(E348=""),NOT(E349=""),NOT(E350=""),NOT(E351=""),NOT(E352="")),LINEST(E348:E352,C348:C352^{1,2,3}),
IF(AND(E348="",NOT(E349=""),NOT(E350=""),NOT(E351=""),NOT(E352="")),LINEST(E349:E352,C349:C352^{1,2,3}),
IF(AND(E349="",NOT(E350=""),NOT(E351=""),NOT(E352="")),LINEST(E350:E352,C350:C352^{1,2,3}),
IF(AND(E350="",NOT(E351=""),NOT(E352="")),LINEST(E351:E352,C351:C352^{1,2,3}),
IF(AND(E351="",NOT(E352="")),LINEST(E352,C352^{1,2,3}),"NOT APPLICABLE")))))))</f>
        <v>-525.79731397478031</v>
      </c>
      <c r="H355" s="7">
        <v>2075.8870782961603</v>
      </c>
      <c r="I355" s="7">
        <v>-3172.1291797372246</v>
      </c>
      <c r="J355" s="37">
        <v>2593.0018929480611</v>
      </c>
      <c r="K355" s="37"/>
      <c r="L355" s="37"/>
      <c r="M355" s="37"/>
      <c r="N355" s="37"/>
      <c r="O355" s="37"/>
      <c r="P355" s="37"/>
      <c r="Q355" s="37"/>
      <c r="R355" s="38"/>
    </row>
    <row r="356" spans="2:18">
      <c r="B356" s="36"/>
      <c r="C356" s="37"/>
      <c r="D356" s="37"/>
      <c r="E356" s="37"/>
      <c r="F356" s="37"/>
      <c r="G356" s="37"/>
      <c r="H356" s="37"/>
      <c r="I356" s="37"/>
      <c r="J356" s="37"/>
      <c r="K356" s="37"/>
      <c r="L356" s="37"/>
      <c r="M356" s="37"/>
      <c r="N356" s="37"/>
      <c r="O356" s="37"/>
      <c r="P356" s="37"/>
      <c r="Q356" s="37"/>
      <c r="R356" s="38"/>
    </row>
    <row r="357" spans="2:18">
      <c r="B357" s="39"/>
      <c r="C357" s="40"/>
      <c r="D357" s="40"/>
      <c r="E357" s="40"/>
      <c r="F357" s="40"/>
      <c r="G357" s="40"/>
      <c r="H357" s="40"/>
      <c r="I357" s="40"/>
      <c r="J357" s="40"/>
      <c r="K357" s="40"/>
      <c r="L357" s="40"/>
      <c r="M357" s="40"/>
      <c r="N357" s="40"/>
      <c r="O357" s="40"/>
      <c r="P357" s="40"/>
      <c r="Q357" s="40"/>
      <c r="R357" s="41"/>
    </row>
    <row r="359" spans="2:18">
      <c r="B359" s="34"/>
      <c r="C359" s="35"/>
      <c r="D359" s="35"/>
      <c r="E359" s="35"/>
      <c r="F359" s="35"/>
      <c r="G359" s="42" t="s">
        <v>100</v>
      </c>
      <c r="H359" s="35"/>
      <c r="I359" s="35"/>
      <c r="J359" s="35"/>
      <c r="K359" s="35"/>
      <c r="L359" s="35"/>
      <c r="M359" s="35"/>
      <c r="N359" s="35"/>
      <c r="O359" s="35"/>
      <c r="P359" s="35"/>
      <c r="Q359" s="35"/>
      <c r="R359" s="33"/>
    </row>
    <row r="360" spans="2:18">
      <c r="B360" s="36"/>
      <c r="C360" s="37"/>
      <c r="D360" s="37"/>
      <c r="E360" s="37"/>
      <c r="F360" s="37"/>
      <c r="G360" s="37"/>
      <c r="H360" s="37"/>
      <c r="I360" s="37"/>
      <c r="J360" s="37"/>
      <c r="K360" s="37"/>
      <c r="L360" s="37"/>
      <c r="M360" s="37"/>
      <c r="N360" s="37"/>
      <c r="O360" s="37"/>
      <c r="P360" s="37"/>
      <c r="Q360" s="37"/>
      <c r="R360" s="38"/>
    </row>
    <row r="361" spans="2:18">
      <c r="B361" s="36"/>
      <c r="C361" s="7" t="s">
        <v>11</v>
      </c>
      <c r="D361" s="7" t="s">
        <v>60</v>
      </c>
      <c r="E361" s="7" t="s">
        <v>53</v>
      </c>
      <c r="F361" s="37"/>
      <c r="G361" s="37"/>
      <c r="H361" s="37"/>
      <c r="I361" s="37"/>
      <c r="J361" s="37"/>
      <c r="K361" s="37"/>
      <c r="L361" s="37"/>
      <c r="M361" s="37"/>
      <c r="N361" s="37"/>
      <c r="O361" s="37"/>
      <c r="P361" s="37"/>
      <c r="Q361" s="37"/>
      <c r="R361" s="38"/>
    </row>
    <row r="362" spans="2:18">
      <c r="B362" s="36"/>
      <c r="C362" s="7">
        <v>0.4</v>
      </c>
      <c r="D362" s="7">
        <f>'10A61 Liquid 3"'!$B$4</f>
        <v>1</v>
      </c>
      <c r="E362" s="32">
        <f t="array" ref="E362">IF(D371&gt;5,"",
IF(D371&gt;1.011,'10A61 Liquid 3" ViscosityLINEST'!J360,'10A61 Liquid 3" ViscosityLINEST'!J359))</f>
        <v>1907.0357142857142</v>
      </c>
      <c r="F362" s="37"/>
      <c r="G362" s="37"/>
      <c r="H362" s="37"/>
      <c r="I362" s="37"/>
      <c r="J362" s="37"/>
      <c r="K362" s="37"/>
      <c r="L362" s="37"/>
      <c r="M362" s="37"/>
      <c r="N362" s="37"/>
      <c r="O362" s="37"/>
      <c r="P362" s="37"/>
      <c r="Q362" s="37"/>
      <c r="R362" s="38"/>
    </row>
    <row r="363" spans="2:18">
      <c r="B363" s="36"/>
      <c r="C363" s="7">
        <v>0.6</v>
      </c>
      <c r="D363" s="7">
        <f>'10A61 Liquid 3"'!$B$4</f>
        <v>1</v>
      </c>
      <c r="E363" s="32">
        <f>IF(D371&gt;5,"",
IF(D371&gt;1.001,'10A61 Liquid 3" ViscosityLINEST'!J362,'10A61 Liquid 3" ViscosityLINEST'!J361))</f>
        <v>1568.0436507936506</v>
      </c>
      <c r="F363" s="37"/>
      <c r="G363" s="37"/>
      <c r="H363" s="37"/>
      <c r="I363" s="37"/>
      <c r="J363" s="37"/>
      <c r="K363" s="37"/>
      <c r="L363" s="37"/>
      <c r="M363" s="37"/>
      <c r="N363" s="37"/>
      <c r="O363" s="37"/>
      <c r="P363" s="37"/>
      <c r="Q363" s="37"/>
      <c r="R363" s="38"/>
    </row>
    <row r="364" spans="2:18">
      <c r="B364" s="36"/>
      <c r="C364" s="7">
        <v>0.8</v>
      </c>
      <c r="D364" s="7">
        <f>'10A61 Liquid 3"'!$B$4</f>
        <v>1</v>
      </c>
      <c r="E364" s="32">
        <f>IF(D371&gt;5,"",
IF(D371&gt;1.001,'10A61 Liquid 3" ViscosityLINEST'!J364,'10A61 Liquid 3" ViscosityLINEST'!J363))</f>
        <v>1357.9920634920632</v>
      </c>
      <c r="F364" s="37"/>
      <c r="G364" s="37"/>
      <c r="H364" s="37"/>
      <c r="I364" s="37"/>
      <c r="J364" s="37"/>
      <c r="K364" s="37"/>
      <c r="L364" s="37"/>
      <c r="M364" s="37"/>
      <c r="N364" s="37"/>
      <c r="O364" s="37"/>
      <c r="P364" s="37"/>
      <c r="Q364" s="37"/>
      <c r="R364" s="38"/>
    </row>
    <row r="365" spans="2:18">
      <c r="B365" s="36"/>
      <c r="C365" s="7">
        <v>1</v>
      </c>
      <c r="D365" s="7">
        <f>'10A61 Liquid 3"'!$B$4</f>
        <v>1</v>
      </c>
      <c r="E365" s="32">
        <f>IF(D371&gt;5,"",
IF(D371&gt;1.001,'10A61 Liquid 3" ViscosityLINEST'!J366,'10A61 Liquid 3" ViscosityLINEST'!J365))</f>
        <v>1210.0396825396829</v>
      </c>
      <c r="F365" s="37"/>
      <c r="G365" s="37"/>
      <c r="H365" s="37"/>
      <c r="I365" s="37"/>
      <c r="J365" s="37"/>
      <c r="K365" s="37"/>
      <c r="L365" s="37"/>
      <c r="M365" s="37"/>
      <c r="N365" s="37"/>
      <c r="O365" s="37"/>
      <c r="P365" s="37"/>
      <c r="Q365" s="37"/>
      <c r="R365" s="38"/>
    </row>
    <row r="366" spans="2:18">
      <c r="B366" s="36"/>
      <c r="C366" s="7">
        <v>1.2</v>
      </c>
      <c r="D366" s="7">
        <f>'10A61 Liquid 3"'!$B$4</f>
        <v>1</v>
      </c>
      <c r="E366" s="32">
        <f>IF(D371&gt;5,"",
IF(D371&gt;1.001,'10A61 Liquid 3" ViscosityLINEST'!J368,'10A61 Liquid 3" ViscosityLINEST'!J367))</f>
        <v>1098.0000000000002</v>
      </c>
      <c r="F366" s="37"/>
      <c r="G366" s="37"/>
      <c r="H366" s="37"/>
      <c r="I366" s="37"/>
      <c r="J366" s="37"/>
      <c r="K366" s="37"/>
      <c r="L366" s="37"/>
      <c r="M366" s="37"/>
      <c r="N366" s="37"/>
      <c r="O366" s="37"/>
      <c r="P366" s="37"/>
      <c r="Q366" s="37"/>
      <c r="R366" s="38"/>
    </row>
    <row r="367" spans="2:18">
      <c r="B367" s="36"/>
      <c r="C367" s="7">
        <v>1.4</v>
      </c>
      <c r="D367" s="7">
        <f>'10A61 Liquid 3"'!$B$4</f>
        <v>1</v>
      </c>
      <c r="E367" s="32">
        <f>IF(D371&gt;5,"",
IF(D371&gt;1.001,'10A61 Liquid 3" ViscosityLINEST'!J370,'10A61 Liquid 3" ViscosityLINEST'!J369))</f>
        <v>1008.8928571428578</v>
      </c>
      <c r="F367" s="37"/>
      <c r="G367" s="37"/>
      <c r="H367" s="37"/>
      <c r="I367" s="37"/>
      <c r="J367" s="37"/>
      <c r="K367" s="37"/>
      <c r="L367" s="37"/>
      <c r="M367" s="37"/>
      <c r="N367" s="37"/>
      <c r="O367" s="37"/>
      <c r="P367" s="37"/>
      <c r="Q367" s="37"/>
      <c r="R367" s="38"/>
    </row>
    <row r="368" spans="2:18">
      <c r="B368" s="36"/>
      <c r="C368" s="7">
        <v>1.5</v>
      </c>
      <c r="D368" s="7">
        <f>'10A61 Liquid 3"'!$B$4</f>
        <v>1</v>
      </c>
      <c r="E368" s="32">
        <f>IF(D371&gt;5,"",
IF(D371&gt;1.001,'10A61 Liquid 3" ViscosityLINEST'!J372,'10A61 Liquid 3" ViscosityLINEST'!J371))</f>
        <v>970.15555555555545</v>
      </c>
      <c r="F368" s="37"/>
      <c r="G368" s="37"/>
      <c r="H368" s="37"/>
      <c r="I368" s="37"/>
      <c r="J368" s="37"/>
      <c r="K368" s="37"/>
      <c r="L368" s="37"/>
      <c r="M368" s="37"/>
      <c r="N368" s="37"/>
      <c r="O368" s="37"/>
      <c r="P368" s="37"/>
      <c r="Q368" s="37"/>
      <c r="R368" s="38"/>
    </row>
    <row r="369" spans="2:18" ht="15.75" thickBot="1">
      <c r="B369" s="36"/>
      <c r="C369" s="37"/>
      <c r="D369" s="37"/>
      <c r="E369" s="37"/>
      <c r="F369" s="37"/>
      <c r="G369" s="37"/>
      <c r="H369" s="37"/>
      <c r="I369" s="37"/>
      <c r="J369" s="37"/>
      <c r="K369" s="37"/>
      <c r="L369" s="37"/>
      <c r="M369" s="37"/>
      <c r="N369" s="37"/>
      <c r="O369" s="37"/>
      <c r="P369" s="37"/>
      <c r="Q369" s="37"/>
      <c r="R369" s="38"/>
    </row>
    <row r="370" spans="2:18" ht="15.75" thickBot="1">
      <c r="B370" s="36"/>
      <c r="C370" s="31" t="s">
        <v>76</v>
      </c>
      <c r="D370" s="31" t="s">
        <v>68</v>
      </c>
      <c r="E370" s="31" t="s">
        <v>67</v>
      </c>
      <c r="F370" s="37"/>
      <c r="G370" s="238" t="s">
        <v>65</v>
      </c>
      <c r="H370" s="238"/>
      <c r="I370" s="238"/>
      <c r="J370" s="37"/>
      <c r="K370" s="37"/>
      <c r="L370" s="37"/>
      <c r="M370" s="37"/>
      <c r="N370" s="37"/>
      <c r="O370" s="37"/>
      <c r="P370" s="37"/>
      <c r="Q370" s="37"/>
      <c r="R370" s="38"/>
    </row>
    <row r="371" spans="2:18" ht="15.75" thickBot="1">
      <c r="B371" s="36"/>
      <c r="C371" s="31">
        <f>$B$3</f>
        <v>0.99</v>
      </c>
      <c r="D371" s="31">
        <f>$C$3</f>
        <v>1</v>
      </c>
      <c r="E371" s="31">
        <f>G371*C371^3+H371*C371^2+I371*C371+J371</f>
        <v>1210.9837168635368</v>
      </c>
      <c r="F371" s="37"/>
      <c r="G371" s="7">
        <f t="array" ref="G371:J371">IF(AND(NOT(E362="")),LINEST(E362:E368,C362:C368^{1,2,3}),
IF(AND(E362="",NOT(E363=""),NOT(E364=""),NOT(E365=""),NOT(E366=""),NOT(E367=""),NOT(E368="")),LINEST(E363:E368,C363:C368^{1,2,3}),
IF(AND(E363="",NOT(E364=""),NOT(E365=""),NOT(E366=""),NOT(E367=""),NOT(E368="")),LINEST(E364:E368,C364:C368^{1,2,3}),
IF(AND(E364="",NOT(E365=""),NOT(E366=""),NOT(E367=""),NOT(E368="")),LINEST(E365:E368,C365:C368^{1,2,3}),
IF(AND(E365="",NOT(E366=""),NOT(E367=""),NOT(E368="")),LINEST(E366:E368,C366:C368^{1,2,3}),
IF(AND(E366="",NOT(E367=""),NOT(E368="")),LINEST(E367:E368,C367:C368^{1,2,3}),
IF(AND(E367="",NOT(E368="")),LINEST(E368,C368^{1,2,3}),"NOT APPLICABLE")))))))</f>
        <v>-615.81890798927998</v>
      </c>
      <c r="H371" s="7">
        <v>2411.2966726433451</v>
      </c>
      <c r="I371" s="7">
        <v>-3580.2911437158546</v>
      </c>
      <c r="J371" s="37">
        <v>2989.6885508875807</v>
      </c>
      <c r="K371" s="37"/>
      <c r="L371" s="37"/>
      <c r="M371" s="37"/>
      <c r="N371" s="37"/>
      <c r="O371" s="37"/>
      <c r="P371" s="37"/>
      <c r="Q371" s="37"/>
      <c r="R371" s="38"/>
    </row>
    <row r="372" spans="2:18">
      <c r="B372" s="36"/>
      <c r="C372" s="37"/>
      <c r="D372" s="37"/>
      <c r="E372" s="37"/>
      <c r="F372" s="37"/>
      <c r="G372" s="37"/>
      <c r="H372" s="37"/>
      <c r="I372" s="37"/>
      <c r="J372" s="37"/>
      <c r="K372" s="37"/>
      <c r="L372" s="37"/>
      <c r="M372" s="37"/>
      <c r="N372" s="37"/>
      <c r="O372" s="37"/>
      <c r="P372" s="37"/>
      <c r="Q372" s="37"/>
      <c r="R372" s="38"/>
    </row>
    <row r="373" spans="2:18">
      <c r="B373" s="39"/>
      <c r="C373" s="40"/>
      <c r="D373" s="40"/>
      <c r="E373" s="40"/>
      <c r="F373" s="40"/>
      <c r="G373" s="40"/>
      <c r="H373" s="40"/>
      <c r="I373" s="40"/>
      <c r="J373" s="40"/>
      <c r="K373" s="40"/>
      <c r="L373" s="40"/>
      <c r="M373" s="40"/>
      <c r="N373" s="40"/>
      <c r="O373" s="40"/>
      <c r="P373" s="40"/>
      <c r="Q373" s="40"/>
      <c r="R373" s="41"/>
    </row>
    <row r="375" spans="2:18">
      <c r="B375" s="34"/>
      <c r="C375" s="35"/>
      <c r="D375" s="35"/>
      <c r="E375" s="35"/>
      <c r="F375" s="35"/>
      <c r="G375" s="42" t="s">
        <v>101</v>
      </c>
      <c r="H375" s="35"/>
      <c r="I375" s="35"/>
      <c r="J375" s="35"/>
      <c r="K375" s="35"/>
      <c r="L375" s="35"/>
      <c r="M375" s="35"/>
      <c r="N375" s="35"/>
      <c r="O375" s="35"/>
      <c r="P375" s="35"/>
      <c r="Q375" s="35"/>
      <c r="R375" s="33"/>
    </row>
    <row r="376" spans="2:18">
      <c r="B376" s="36"/>
      <c r="C376" s="37"/>
      <c r="D376" s="37"/>
      <c r="E376" s="37"/>
      <c r="F376" s="37"/>
      <c r="G376" s="37"/>
      <c r="H376" s="37"/>
      <c r="I376" s="37"/>
      <c r="J376" s="37"/>
      <c r="K376" s="37"/>
      <c r="L376" s="37"/>
      <c r="M376" s="37"/>
      <c r="N376" s="37"/>
      <c r="O376" s="37"/>
      <c r="P376" s="37"/>
      <c r="Q376" s="37"/>
      <c r="R376" s="38"/>
    </row>
    <row r="377" spans="2:18">
      <c r="B377" s="36"/>
      <c r="C377" s="7" t="s">
        <v>11</v>
      </c>
      <c r="D377" s="7" t="s">
        <v>60</v>
      </c>
      <c r="E377" s="7" t="s">
        <v>53</v>
      </c>
      <c r="F377" s="37"/>
      <c r="G377" s="37"/>
      <c r="H377" s="37"/>
      <c r="I377" s="37"/>
      <c r="J377" s="37"/>
      <c r="K377" s="37"/>
      <c r="L377" s="37"/>
      <c r="M377" s="37"/>
      <c r="N377" s="37"/>
      <c r="O377" s="37"/>
      <c r="P377" s="37"/>
      <c r="Q377" s="37"/>
      <c r="R377" s="38"/>
    </row>
    <row r="378" spans="2:18">
      <c r="B378" s="36"/>
      <c r="C378" s="7">
        <v>0.4</v>
      </c>
      <c r="D378" s="7">
        <f>'10A61 Liquid 3"'!$B$4</f>
        <v>1</v>
      </c>
      <c r="E378" s="32">
        <f t="array" ref="E378">IF(D387&gt;5,"",
IF(D387&gt;1.011,'10A61 Liquid 3" ViscosityLINEST'!J376,'10A61 Liquid 3" ViscosityLINEST'!J375))</f>
        <v>2468.1269841269836</v>
      </c>
      <c r="F378" s="37"/>
      <c r="G378" s="37"/>
      <c r="H378" s="37"/>
      <c r="I378" s="37"/>
      <c r="J378" s="37"/>
      <c r="K378" s="37"/>
      <c r="L378" s="37"/>
      <c r="M378" s="37"/>
      <c r="N378" s="37"/>
      <c r="O378" s="37"/>
      <c r="P378" s="37"/>
      <c r="Q378" s="37"/>
      <c r="R378" s="38"/>
    </row>
    <row r="379" spans="2:18">
      <c r="B379" s="36"/>
      <c r="C379" s="7">
        <v>0.6</v>
      </c>
      <c r="D379" s="7">
        <f>'10A61 Liquid 3"'!$B$4</f>
        <v>1</v>
      </c>
      <c r="E379" s="32">
        <f>IF(D387&gt;5,"",
IF(D387&gt;1.001,'10A61 Liquid 3" ViscosityLINEST'!J378,'10A61 Liquid 3" ViscosityLINEST'!J377))</f>
        <v>2024.8452380952385</v>
      </c>
      <c r="F379" s="37"/>
      <c r="G379" s="37"/>
      <c r="H379" s="37"/>
      <c r="I379" s="37"/>
      <c r="J379" s="37"/>
      <c r="K379" s="37"/>
      <c r="L379" s="37"/>
      <c r="M379" s="37"/>
      <c r="N379" s="37"/>
      <c r="O379" s="37"/>
      <c r="P379" s="37"/>
      <c r="Q379" s="37"/>
      <c r="R379" s="38"/>
    </row>
    <row r="380" spans="2:18">
      <c r="B380" s="36"/>
      <c r="C380" s="7">
        <v>0.8</v>
      </c>
      <c r="D380" s="7">
        <f>'10A61 Liquid 3"'!$B$4</f>
        <v>1</v>
      </c>
      <c r="E380" s="32">
        <f>IF(D387&gt;5,"",
IF(D387&gt;1.001,'10A61 Liquid 3" ViscosityLINEST'!J380,'10A61 Liquid 3" ViscosityLINEST'!J379))</f>
        <v>1752.0198412698417</v>
      </c>
      <c r="F380" s="37"/>
      <c r="G380" s="37"/>
      <c r="H380" s="37"/>
      <c r="I380" s="37"/>
      <c r="J380" s="37"/>
      <c r="K380" s="37"/>
      <c r="L380" s="37"/>
      <c r="M380" s="37"/>
      <c r="N380" s="37"/>
      <c r="O380" s="37"/>
      <c r="P380" s="37"/>
      <c r="Q380" s="37"/>
      <c r="R380" s="38"/>
    </row>
    <row r="381" spans="2:18">
      <c r="B381" s="36"/>
      <c r="C381" s="7">
        <v>1</v>
      </c>
      <c r="D381" s="7">
        <f>'10A61 Liquid 3"'!$B$4</f>
        <v>1</v>
      </c>
      <c r="E381" s="32">
        <f>IF(D387&gt;5,"",
IF(D387&gt;1.001,'10A61 Liquid 3" ViscosityLINEST'!J382,'10A61 Liquid 3" ViscosityLINEST'!J381))</f>
        <v>1560.019841269841</v>
      </c>
      <c r="F381" s="37"/>
      <c r="G381" s="37"/>
      <c r="H381" s="37"/>
      <c r="I381" s="37"/>
      <c r="J381" s="37"/>
      <c r="K381" s="37"/>
      <c r="L381" s="37"/>
      <c r="M381" s="37"/>
      <c r="N381" s="37"/>
      <c r="O381" s="37"/>
      <c r="P381" s="37"/>
      <c r="Q381" s="37"/>
      <c r="R381" s="38"/>
    </row>
    <row r="382" spans="2:18">
      <c r="B382" s="36"/>
      <c r="C382" s="7">
        <v>1.2</v>
      </c>
      <c r="D382" s="7">
        <f>'10A61 Liquid 3"'!$B$4</f>
        <v>1</v>
      </c>
      <c r="E382" s="32">
        <f>IF(D387&gt;5,"",
IF(D387&gt;1.001,'10A61 Liquid 3" ViscosityLINEST'!J384,'10A61 Liquid 3" ViscosityLINEST'!J383))</f>
        <v>1406.9920634920636</v>
      </c>
      <c r="F382" s="37"/>
      <c r="G382" s="37"/>
      <c r="H382" s="37"/>
      <c r="I382" s="37"/>
      <c r="J382" s="37"/>
      <c r="K382" s="37"/>
      <c r="L382" s="37"/>
      <c r="M382" s="37"/>
      <c r="N382" s="37"/>
      <c r="O382" s="37"/>
      <c r="P382" s="37"/>
      <c r="Q382" s="37"/>
      <c r="R382" s="38"/>
    </row>
    <row r="383" spans="2:18">
      <c r="B383" s="36"/>
      <c r="C383" s="7">
        <v>1.4</v>
      </c>
      <c r="D383" s="7">
        <f>'10A61 Liquid 3"'!$B$4</f>
        <v>1</v>
      </c>
      <c r="E383" s="32">
        <f>IF(D387&gt;5,"",
IF(D387&gt;1.001,'10A61 Liquid 3" ViscosityLINEST'!J386,'10A61 Liquid 3" ViscosityLINEST'!J385))</f>
        <v>1286.964285714286</v>
      </c>
      <c r="F383" s="37"/>
      <c r="G383" s="37"/>
      <c r="H383" s="37"/>
      <c r="I383" s="37"/>
      <c r="J383" s="37"/>
      <c r="K383" s="37"/>
      <c r="L383" s="37"/>
      <c r="M383" s="37"/>
      <c r="N383" s="37"/>
      <c r="O383" s="37"/>
      <c r="P383" s="37"/>
      <c r="Q383" s="37"/>
      <c r="R383" s="38"/>
    </row>
    <row r="384" spans="2:18">
      <c r="B384" s="36"/>
      <c r="C384" s="7">
        <v>1.5</v>
      </c>
      <c r="D384" s="7">
        <f>'10A61 Liquid 3"'!$B$4</f>
        <v>1</v>
      </c>
      <c r="E384" s="32">
        <f>IF(D387&gt;5,"",
IF(D387&gt;1.001,'10A61 Liquid 3" ViscosityLINEST'!J388,'10A61 Liquid 3" ViscosityLINEST'!J387))</f>
        <v>1234.9563492063498</v>
      </c>
      <c r="F384" s="37"/>
      <c r="G384" s="37"/>
      <c r="H384" s="37"/>
      <c r="I384" s="37"/>
      <c r="J384" s="37"/>
      <c r="K384" s="37"/>
      <c r="L384" s="37"/>
      <c r="M384" s="37"/>
      <c r="N384" s="37"/>
      <c r="O384" s="37"/>
      <c r="P384" s="37"/>
      <c r="Q384" s="37"/>
      <c r="R384" s="38"/>
    </row>
    <row r="385" spans="2:18" ht="15.75" thickBot="1">
      <c r="B385" s="36"/>
      <c r="C385" s="37"/>
      <c r="D385" s="37"/>
      <c r="E385" s="37"/>
      <c r="F385" s="37"/>
      <c r="G385" s="37"/>
      <c r="H385" s="37"/>
      <c r="I385" s="37"/>
      <c r="J385" s="37"/>
      <c r="K385" s="37"/>
      <c r="L385" s="37"/>
      <c r="M385" s="37"/>
      <c r="N385" s="37"/>
      <c r="O385" s="37"/>
      <c r="P385" s="37"/>
      <c r="Q385" s="37"/>
      <c r="R385" s="38"/>
    </row>
    <row r="386" spans="2:18" ht="15.75" thickBot="1">
      <c r="B386" s="36"/>
      <c r="C386" s="31" t="s">
        <v>76</v>
      </c>
      <c r="D386" s="31" t="s">
        <v>68</v>
      </c>
      <c r="E386" s="31" t="s">
        <v>67</v>
      </c>
      <c r="F386" s="37"/>
      <c r="G386" s="238" t="s">
        <v>65</v>
      </c>
      <c r="H386" s="238"/>
      <c r="I386" s="238"/>
      <c r="J386" s="37"/>
      <c r="K386" s="37"/>
      <c r="L386" s="37"/>
      <c r="M386" s="37"/>
      <c r="N386" s="37"/>
      <c r="O386" s="37"/>
      <c r="P386" s="37"/>
      <c r="Q386" s="37"/>
      <c r="R386" s="38"/>
    </row>
    <row r="387" spans="2:18" ht="15.75" thickBot="1">
      <c r="B387" s="36"/>
      <c r="C387" s="31">
        <f>$B$3</f>
        <v>0.99</v>
      </c>
      <c r="D387" s="31">
        <f>$C$3</f>
        <v>1</v>
      </c>
      <c r="E387" s="31">
        <f>G387*C387^3+H387*C387^2+I387*C387+J387</f>
        <v>1558.967880130333</v>
      </c>
      <c r="F387" s="37"/>
      <c r="G387" s="7">
        <f t="array" ref="G387:J387">IF(AND(NOT(E378="")),LINEST(E378:E384,C378:C384^{1,2,3}),
IF(AND(E378="",NOT(E379=""),NOT(E380=""),NOT(E381=""),NOT(E382=""),NOT(E383=""),NOT(E384="")),LINEST(E379:E384,C379:C384^{1,2,3}),
IF(AND(E379="",NOT(E380=""),NOT(E381=""),NOT(E382=""),NOT(E383=""),NOT(E384="")),LINEST(E380:E384,C380:C384^{1,2,3}),
IF(AND(E380="",NOT(E381=""),NOT(E382=""),NOT(E383=""),NOT(E384="")),LINEST(E381:E384,C381:C384^{1,2,3}),
IF(AND(E381="",NOT(E382=""),NOT(E383=""),NOT(E384="")),LINEST(E382:E384,C382:C384^{1,2,3}),
IF(AND(E382="",NOT(E383=""),NOT(E384="")),LINEST(E383:E384,C383:C384^{1,2,3}),
IF(AND(E383="",NOT(E384="")),LINEST(E384,C384^{1,2,3}),"NOT APPLICABLE")))))))</f>
        <v>-807.44240658338526</v>
      </c>
      <c r="H387" s="7">
        <v>3139.33143094963</v>
      </c>
      <c r="I387" s="7">
        <v>-4656.5184753624999</v>
      </c>
      <c r="J387" s="37">
        <v>3875.5229949309278</v>
      </c>
      <c r="K387" s="37"/>
      <c r="L387" s="37"/>
      <c r="M387" s="37"/>
      <c r="N387" s="37"/>
      <c r="O387" s="37"/>
      <c r="P387" s="37"/>
      <c r="Q387" s="37"/>
      <c r="R387" s="38"/>
    </row>
    <row r="388" spans="2:18">
      <c r="B388" s="36"/>
      <c r="C388" s="37"/>
      <c r="D388" s="37"/>
      <c r="E388" s="37"/>
      <c r="F388" s="37"/>
      <c r="G388" s="37"/>
      <c r="H388" s="37"/>
      <c r="I388" s="37"/>
      <c r="J388" s="37"/>
      <c r="K388" s="37"/>
      <c r="L388" s="37"/>
      <c r="M388" s="37"/>
      <c r="N388" s="37"/>
      <c r="O388" s="37"/>
      <c r="P388" s="37"/>
      <c r="Q388" s="37"/>
      <c r="R388" s="38"/>
    </row>
    <row r="389" spans="2:18">
      <c r="B389" s="39"/>
      <c r="C389" s="40"/>
      <c r="D389" s="40"/>
      <c r="E389" s="40"/>
      <c r="F389" s="40"/>
      <c r="G389" s="40"/>
      <c r="H389" s="40"/>
      <c r="I389" s="40"/>
      <c r="J389" s="40"/>
      <c r="K389" s="40"/>
      <c r="L389" s="40"/>
      <c r="M389" s="40"/>
      <c r="N389" s="40"/>
      <c r="O389" s="40"/>
      <c r="P389" s="40"/>
      <c r="Q389" s="40"/>
      <c r="R389" s="41"/>
    </row>
    <row r="391" spans="2:18">
      <c r="B391" s="34"/>
      <c r="C391" s="35"/>
      <c r="D391" s="35"/>
      <c r="E391" s="35"/>
      <c r="F391" s="35"/>
      <c r="G391" s="42" t="s">
        <v>102</v>
      </c>
      <c r="H391" s="35"/>
      <c r="I391" s="35"/>
      <c r="J391" s="35"/>
      <c r="K391" s="35"/>
      <c r="L391" s="35"/>
      <c r="M391" s="35"/>
      <c r="N391" s="35"/>
      <c r="O391" s="35"/>
      <c r="P391" s="35"/>
      <c r="Q391" s="35"/>
      <c r="R391" s="33"/>
    </row>
    <row r="392" spans="2:18">
      <c r="B392" s="36"/>
      <c r="C392" s="37"/>
      <c r="D392" s="37"/>
      <c r="E392" s="37"/>
      <c r="F392" s="37"/>
      <c r="G392" s="37"/>
      <c r="H392" s="37"/>
      <c r="I392" s="37"/>
      <c r="J392" s="37"/>
      <c r="K392" s="37"/>
      <c r="L392" s="37"/>
      <c r="M392" s="37"/>
      <c r="N392" s="37"/>
      <c r="O392" s="37"/>
      <c r="P392" s="37"/>
      <c r="Q392" s="37"/>
      <c r="R392" s="38"/>
    </row>
    <row r="393" spans="2:18">
      <c r="B393" s="36"/>
      <c r="C393" s="7" t="s">
        <v>11</v>
      </c>
      <c r="D393" s="7" t="s">
        <v>60</v>
      </c>
      <c r="E393" s="7" t="s">
        <v>53</v>
      </c>
      <c r="F393" s="37"/>
      <c r="G393" s="37"/>
      <c r="H393" s="37"/>
      <c r="I393" s="37"/>
      <c r="J393" s="37"/>
      <c r="K393" s="37"/>
      <c r="L393" s="37"/>
      <c r="M393" s="37"/>
      <c r="N393" s="37"/>
      <c r="O393" s="37"/>
      <c r="P393" s="37"/>
      <c r="Q393" s="37"/>
      <c r="R393" s="38"/>
    </row>
    <row r="394" spans="2:18">
      <c r="B394" s="36"/>
      <c r="C394" s="7">
        <v>0.4</v>
      </c>
      <c r="D394" s="7">
        <f>'10A61 Liquid 3"'!$B$4</f>
        <v>1</v>
      </c>
      <c r="E394" s="32">
        <f t="array" ref="E394">IF(D403&gt;5,"",
IF(D403&gt;1.011,'10A61 Liquid 3" ViscosityLINEST'!J392,'10A61 Liquid 3" ViscosityLINEST'!J391))</f>
        <v>2727.0238095238092</v>
      </c>
      <c r="F394" s="37"/>
      <c r="G394" s="37"/>
      <c r="H394" s="37"/>
      <c r="I394" s="37"/>
      <c r="J394" s="37"/>
      <c r="K394" s="37"/>
      <c r="L394" s="37"/>
      <c r="M394" s="37"/>
      <c r="N394" s="37"/>
      <c r="O394" s="37"/>
      <c r="P394" s="37"/>
      <c r="Q394" s="37"/>
      <c r="R394" s="38"/>
    </row>
    <row r="395" spans="2:18">
      <c r="B395" s="36"/>
      <c r="C395" s="7">
        <v>0.6</v>
      </c>
      <c r="D395" s="7">
        <f>'10A61 Liquid 3"'!$B$4</f>
        <v>1</v>
      </c>
      <c r="E395" s="32">
        <f>IF(D403&gt;5,"",
IF(D403&gt;1.001,'10A61 Liquid 3" ViscosityLINEST'!J394,'10A61 Liquid 3" ViscosityLINEST'!J393))</f>
        <v>2258.9166666666674</v>
      </c>
      <c r="F395" s="37"/>
      <c r="G395" s="37"/>
      <c r="H395" s="37"/>
      <c r="I395" s="37"/>
      <c r="J395" s="37"/>
      <c r="K395" s="37"/>
      <c r="L395" s="37"/>
      <c r="M395" s="37"/>
      <c r="N395" s="37"/>
      <c r="O395" s="37"/>
      <c r="P395" s="37"/>
      <c r="Q395" s="37"/>
      <c r="R395" s="38"/>
    </row>
    <row r="396" spans="2:18">
      <c r="B396" s="36"/>
      <c r="C396" s="7">
        <v>0.8</v>
      </c>
      <c r="D396" s="7">
        <f>'10A61 Liquid 3"'!$B$4</f>
        <v>1</v>
      </c>
      <c r="E396" s="32">
        <f>IF(D403&gt;5,"",
IF(D403&gt;1.001,'10A61 Liquid 3" ViscosityLINEST'!J396,'10A61 Liquid 3" ViscosityLINEST'!J395))</f>
        <v>1973.031746031746</v>
      </c>
      <c r="F396" s="37"/>
      <c r="G396" s="37"/>
      <c r="H396" s="37"/>
      <c r="I396" s="37"/>
      <c r="J396" s="37"/>
      <c r="K396" s="37"/>
      <c r="L396" s="37"/>
      <c r="M396" s="37"/>
      <c r="N396" s="37"/>
      <c r="O396" s="37"/>
      <c r="P396" s="37"/>
      <c r="Q396" s="37"/>
      <c r="R396" s="38"/>
    </row>
    <row r="397" spans="2:18">
      <c r="B397" s="36"/>
      <c r="C397" s="7">
        <v>1</v>
      </c>
      <c r="D397" s="7">
        <f>'10A61 Liquid 3"'!$B$4</f>
        <v>1</v>
      </c>
      <c r="E397" s="32">
        <f>IF(D403&gt;5,"",
IF(D403&gt;1.001,'10A61 Liquid 3" ViscosityLINEST'!J398,'10A61 Liquid 3" ViscosityLINEST'!J397))</f>
        <v>1773.1785714285716</v>
      </c>
      <c r="F397" s="37"/>
      <c r="G397" s="37"/>
      <c r="H397" s="37"/>
      <c r="I397" s="37"/>
      <c r="J397" s="37"/>
      <c r="K397" s="37"/>
      <c r="L397" s="37"/>
      <c r="M397" s="37"/>
      <c r="N397" s="37"/>
      <c r="O397" s="37"/>
      <c r="P397" s="37"/>
      <c r="Q397" s="37"/>
      <c r="R397" s="38"/>
    </row>
    <row r="398" spans="2:18">
      <c r="B398" s="36"/>
      <c r="C398" s="7">
        <v>1.2</v>
      </c>
      <c r="D398" s="7">
        <f>'10A61 Liquid 3"'!$B$4</f>
        <v>1</v>
      </c>
      <c r="E398" s="32">
        <f>IF(D403&gt;5,"",
IF(D403&gt;1.001,'10A61 Liquid 3" ViscosityLINEST'!J400,'10A61 Liquid 3" ViscosityLINEST'!J399))</f>
        <v>1619.9880952380959</v>
      </c>
      <c r="F398" s="37"/>
      <c r="G398" s="37"/>
      <c r="H398" s="37"/>
      <c r="I398" s="37"/>
      <c r="J398" s="37"/>
      <c r="K398" s="37"/>
      <c r="L398" s="37"/>
      <c r="M398" s="37"/>
      <c r="N398" s="37"/>
      <c r="O398" s="37"/>
      <c r="P398" s="37"/>
      <c r="Q398" s="37"/>
      <c r="R398" s="38"/>
    </row>
    <row r="399" spans="2:18">
      <c r="B399" s="36"/>
      <c r="C399" s="7">
        <v>1.4</v>
      </c>
      <c r="D399" s="7">
        <f>'10A61 Liquid 3"'!$B$4</f>
        <v>1</v>
      </c>
      <c r="E399" s="32">
        <f>IF(D403&gt;5,"",
IF(D403&gt;1.001,'10A61 Liquid 3" ViscosityLINEST'!J402,'10A61 Liquid 3" ViscosityLINEST'!J401))</f>
        <v>1498.88492063492</v>
      </c>
      <c r="F399" s="37"/>
      <c r="G399" s="37"/>
      <c r="H399" s="37"/>
      <c r="I399" s="37"/>
      <c r="J399" s="37"/>
      <c r="K399" s="37"/>
      <c r="L399" s="37"/>
      <c r="M399" s="37"/>
      <c r="N399" s="37"/>
      <c r="O399" s="37"/>
      <c r="P399" s="37"/>
      <c r="Q399" s="37"/>
      <c r="R399" s="38"/>
    </row>
    <row r="400" spans="2:18">
      <c r="B400" s="36"/>
      <c r="C400" s="7">
        <v>1.5</v>
      </c>
      <c r="D400" s="7">
        <f>'10A61 Liquid 3"'!$B$4</f>
        <v>1</v>
      </c>
      <c r="E400" s="32">
        <f>IF(D403&gt;5,"",
IF(D403&gt;1.001,'10A61 Liquid 3" ViscosityLINEST'!J404,'10A61 Liquid 3" ViscosityLINEST'!J403))</f>
        <v>1446.9285714285716</v>
      </c>
      <c r="F400" s="37"/>
      <c r="G400" s="37"/>
      <c r="H400" s="37"/>
      <c r="I400" s="37"/>
      <c r="J400" s="37"/>
      <c r="K400" s="37"/>
      <c r="L400" s="37"/>
      <c r="M400" s="37"/>
      <c r="N400" s="37"/>
      <c r="O400" s="37"/>
      <c r="P400" s="37"/>
      <c r="Q400" s="37"/>
      <c r="R400" s="38"/>
    </row>
    <row r="401" spans="2:18" ht="15.75" thickBot="1">
      <c r="B401" s="36"/>
      <c r="C401" s="37"/>
      <c r="D401" s="37"/>
      <c r="E401" s="37"/>
      <c r="F401" s="37"/>
      <c r="G401" s="37"/>
      <c r="H401" s="37"/>
      <c r="I401" s="37"/>
      <c r="J401" s="37"/>
      <c r="K401" s="37"/>
      <c r="L401" s="37"/>
      <c r="M401" s="37"/>
      <c r="N401" s="37"/>
      <c r="O401" s="37"/>
      <c r="P401" s="37"/>
      <c r="Q401" s="37"/>
      <c r="R401" s="38"/>
    </row>
    <row r="402" spans="2:18" ht="15.75" thickBot="1">
      <c r="B402" s="36"/>
      <c r="C402" s="31" t="s">
        <v>76</v>
      </c>
      <c r="D402" s="31" t="s">
        <v>68</v>
      </c>
      <c r="E402" s="31" t="s">
        <v>67</v>
      </c>
      <c r="F402" s="37"/>
      <c r="G402" s="238" t="s">
        <v>65</v>
      </c>
      <c r="H402" s="238"/>
      <c r="I402" s="238"/>
      <c r="J402" s="37"/>
      <c r="K402" s="37"/>
      <c r="L402" s="37"/>
      <c r="M402" s="37"/>
      <c r="N402" s="37"/>
      <c r="O402" s="37"/>
      <c r="P402" s="37"/>
      <c r="Q402" s="37"/>
      <c r="R402" s="38"/>
    </row>
    <row r="403" spans="2:18" ht="15.75" thickBot="1">
      <c r="B403" s="36"/>
      <c r="C403" s="31">
        <f>$B$3</f>
        <v>0.99</v>
      </c>
      <c r="D403" s="31">
        <f>$C$3</f>
        <v>1</v>
      </c>
      <c r="E403" s="31">
        <f>G403*C403^3+H403*C403^2+I403*C403+J403</f>
        <v>1773.1904560626958</v>
      </c>
      <c r="F403" s="37"/>
      <c r="G403" s="7">
        <f t="array" ref="G403:J403">IF(AND(NOT(E394="")),LINEST(E394:E400,C394:C400^{1,2,3}),
IF(AND(E394="",NOT(E395=""),NOT(E396=""),NOT(E397=""),NOT(E398=""),NOT(E399=""),NOT(E400="")),LINEST(E395:E400,C395:C400^{1,2,3}),
IF(AND(E395="",NOT(E396=""),NOT(E397=""),NOT(E398=""),NOT(E399=""),NOT(E400="")),LINEST(E396:E400,C396:C400^{1,2,3}),
IF(AND(E396="",NOT(E397=""),NOT(E398=""),NOT(E399=""),NOT(E400="")),LINEST(E397:E400,C397:C400^{1,2,3}),
IF(AND(E397="",NOT(E398=""),NOT(E399=""),NOT(E400="")),LINEST(E398:E400,C398:C400^{1,2,3}),
IF(AND(E398="",NOT(E399=""),NOT(E400="")),LINEST(E399:E400,C399:C400^{1,2,3}),
IF(AND(E399="",NOT(E400="")),LINEST(E400,C400^{1,2,3}),"NOT APPLICABLE")))))))</f>
        <v>-869.87936215835441</v>
      </c>
      <c r="H403" s="7">
        <v>3384.366129488355</v>
      </c>
      <c r="I403" s="7">
        <v>-4976.8689024791329</v>
      </c>
      <c r="J403" s="37">
        <v>4227.3165012283898</v>
      </c>
      <c r="K403" s="37"/>
      <c r="L403" s="37"/>
      <c r="M403" s="37"/>
      <c r="N403" s="37"/>
      <c r="O403" s="37"/>
      <c r="P403" s="37"/>
      <c r="Q403" s="37"/>
      <c r="R403" s="38"/>
    </row>
    <row r="404" spans="2:18">
      <c r="B404" s="36"/>
      <c r="C404" s="37"/>
      <c r="D404" s="37"/>
      <c r="E404" s="37"/>
      <c r="F404" s="37"/>
      <c r="G404" s="37"/>
      <c r="H404" s="37"/>
      <c r="I404" s="37"/>
      <c r="J404" s="37"/>
      <c r="K404" s="37"/>
      <c r="L404" s="37"/>
      <c r="M404" s="37"/>
      <c r="N404" s="37"/>
      <c r="O404" s="37"/>
      <c r="P404" s="37"/>
      <c r="Q404" s="37"/>
      <c r="R404" s="38"/>
    </row>
    <row r="405" spans="2:18">
      <c r="B405" s="39"/>
      <c r="C405" s="40"/>
      <c r="D405" s="40"/>
      <c r="E405" s="40"/>
      <c r="F405" s="40"/>
      <c r="G405" s="40"/>
      <c r="H405" s="40"/>
      <c r="I405" s="40"/>
      <c r="J405" s="40"/>
      <c r="K405" s="40"/>
      <c r="L405" s="40"/>
      <c r="M405" s="40"/>
      <c r="N405" s="40"/>
      <c r="O405" s="40"/>
      <c r="P405" s="40"/>
      <c r="Q405" s="40"/>
      <c r="R405" s="41"/>
    </row>
    <row r="407" spans="2:18">
      <c r="B407" s="34"/>
      <c r="C407" s="35"/>
      <c r="D407" s="35"/>
      <c r="E407" s="35"/>
      <c r="F407" s="35"/>
      <c r="G407" s="42" t="s">
        <v>103</v>
      </c>
      <c r="H407" s="35"/>
      <c r="I407" s="35"/>
      <c r="J407" s="35"/>
      <c r="K407" s="35"/>
      <c r="L407" s="35"/>
      <c r="M407" s="35"/>
      <c r="N407" s="35"/>
      <c r="O407" s="35"/>
      <c r="P407" s="35"/>
      <c r="Q407" s="35"/>
      <c r="R407" s="33"/>
    </row>
    <row r="408" spans="2:18">
      <c r="B408" s="36"/>
      <c r="C408" s="37"/>
      <c r="D408" s="37"/>
      <c r="E408" s="37"/>
      <c r="F408" s="37"/>
      <c r="G408" s="37"/>
      <c r="H408" s="37"/>
      <c r="I408" s="37"/>
      <c r="J408" s="37"/>
      <c r="K408" s="37"/>
      <c r="L408" s="37"/>
      <c r="M408" s="37"/>
      <c r="N408" s="37"/>
      <c r="O408" s="37"/>
      <c r="P408" s="37"/>
      <c r="Q408" s="37"/>
      <c r="R408" s="38"/>
    </row>
    <row r="409" spans="2:18">
      <c r="B409" s="36"/>
      <c r="C409" s="7" t="s">
        <v>11</v>
      </c>
      <c r="D409" s="7" t="s">
        <v>60</v>
      </c>
      <c r="E409" s="7" t="s">
        <v>53</v>
      </c>
      <c r="F409" s="37"/>
      <c r="G409" s="37"/>
      <c r="H409" s="37"/>
      <c r="I409" s="37"/>
      <c r="J409" s="37"/>
      <c r="K409" s="37"/>
      <c r="L409" s="37"/>
      <c r="M409" s="37"/>
      <c r="N409" s="37"/>
      <c r="O409" s="37"/>
      <c r="P409" s="37"/>
      <c r="Q409" s="37"/>
      <c r="R409" s="38"/>
    </row>
    <row r="410" spans="2:18">
      <c r="B410" s="36"/>
      <c r="C410" s="7">
        <v>0.4</v>
      </c>
      <c r="D410" s="7">
        <f>'10A61 Liquid 3"'!$B$4</f>
        <v>1</v>
      </c>
      <c r="E410" s="32">
        <f t="array" ref="E410">IF(D419&gt;5,"",
IF(D419&gt;1.011,'10A61 Liquid 3" ViscosityLINEST'!J408,'10A61 Liquid 3" ViscosityLINEST'!J407))</f>
        <v>2894.0674603174607</v>
      </c>
      <c r="F410" s="37"/>
      <c r="G410" s="37"/>
      <c r="H410" s="37"/>
      <c r="I410" s="37"/>
      <c r="J410" s="37"/>
      <c r="K410" s="37"/>
      <c r="L410" s="37"/>
      <c r="M410" s="37"/>
      <c r="N410" s="37"/>
      <c r="O410" s="37"/>
      <c r="P410" s="37"/>
      <c r="Q410" s="37"/>
      <c r="R410" s="38"/>
    </row>
    <row r="411" spans="2:18">
      <c r="B411" s="36"/>
      <c r="C411" s="7">
        <v>0.6</v>
      </c>
      <c r="D411" s="7">
        <f>'10A61 Liquid 3"'!$B$4</f>
        <v>1</v>
      </c>
      <c r="E411" s="32">
        <f>IF(D419&gt;5,"",
IF(D419&gt;1.001,'10A61 Liquid 3" ViscosityLINEST'!J410,'10A61 Liquid 3" ViscosityLINEST'!J409))</f>
        <v>2399.8690476190477</v>
      </c>
      <c r="F411" s="37"/>
      <c r="G411" s="37"/>
      <c r="H411" s="37"/>
      <c r="I411" s="37"/>
      <c r="J411" s="37"/>
      <c r="K411" s="37"/>
      <c r="L411" s="37"/>
      <c r="M411" s="37"/>
      <c r="N411" s="37"/>
      <c r="O411" s="37"/>
      <c r="P411" s="37"/>
      <c r="Q411" s="37"/>
      <c r="R411" s="38"/>
    </row>
    <row r="412" spans="2:18">
      <c r="B412" s="36"/>
      <c r="C412" s="7">
        <v>0.8</v>
      </c>
      <c r="D412" s="7">
        <f>'10A61 Liquid 3"'!$B$4</f>
        <v>1</v>
      </c>
      <c r="E412" s="32">
        <f>IF(D419&gt;5,"",
IF(D419&gt;1.001,'10A61 Liquid 3" ViscosityLINEST'!J412,'10A61 Liquid 3" ViscosityLINEST'!J411))</f>
        <v>2096.3809523809578</v>
      </c>
      <c r="F412" s="37"/>
      <c r="G412" s="37"/>
      <c r="H412" s="37"/>
      <c r="I412" s="37"/>
      <c r="J412" s="37"/>
      <c r="K412" s="37"/>
      <c r="L412" s="37"/>
      <c r="M412" s="37"/>
      <c r="N412" s="37"/>
      <c r="O412" s="37"/>
      <c r="P412" s="37"/>
      <c r="Q412" s="37"/>
      <c r="R412" s="38"/>
    </row>
    <row r="413" spans="2:18">
      <c r="B413" s="36"/>
      <c r="C413" s="7">
        <v>1</v>
      </c>
      <c r="D413" s="7">
        <f>'10A61 Liquid 3"'!$B$4</f>
        <v>1</v>
      </c>
      <c r="E413" s="32">
        <f>IF(D419&gt;5,"",
IF(D419&gt;1.001,'10A61 Liquid 3" ViscosityLINEST'!J414,'10A61 Liquid 3" ViscosityLINEST'!J413))</f>
        <v>1886.0595238095239</v>
      </c>
      <c r="F413" s="37"/>
      <c r="G413" s="37"/>
      <c r="H413" s="37"/>
      <c r="I413" s="37"/>
      <c r="J413" s="37"/>
      <c r="K413" s="37"/>
      <c r="L413" s="37"/>
      <c r="M413" s="37"/>
      <c r="N413" s="37"/>
      <c r="O413" s="37"/>
      <c r="P413" s="37"/>
      <c r="Q413" s="37"/>
      <c r="R413" s="38"/>
    </row>
    <row r="414" spans="2:18">
      <c r="B414" s="36"/>
      <c r="C414" s="7">
        <v>1.2</v>
      </c>
      <c r="D414" s="7">
        <f>'10A61 Liquid 3"'!$B$4</f>
        <v>1</v>
      </c>
      <c r="E414" s="32">
        <f>IF(D419&gt;5,"",
IF(D419&gt;1.001,'10A61 Liquid 3" ViscosityLINEST'!J416,'10A61 Liquid 3" ViscosityLINEST'!J415))</f>
        <v>1723.8690476190477</v>
      </c>
      <c r="F414" s="37"/>
      <c r="G414" s="37"/>
      <c r="H414" s="37"/>
      <c r="I414" s="37"/>
      <c r="J414" s="37"/>
      <c r="K414" s="37"/>
      <c r="L414" s="37"/>
      <c r="M414" s="37"/>
      <c r="N414" s="37"/>
      <c r="O414" s="37"/>
      <c r="P414" s="37"/>
      <c r="Q414" s="37"/>
      <c r="R414" s="38"/>
    </row>
    <row r="415" spans="2:18">
      <c r="B415" s="36"/>
      <c r="C415" s="7">
        <v>1.4</v>
      </c>
      <c r="D415" s="7">
        <f>'10A61 Liquid 3"'!$B$4</f>
        <v>1</v>
      </c>
      <c r="E415" s="32">
        <f>IF(D419&gt;5,"",
IF(D419&gt;1.001,'10A61 Liquid 3" ViscosityLINEST'!J418,'10A61 Liquid 3" ViscosityLINEST'!J417))</f>
        <v>1595.9642857142871</v>
      </c>
      <c r="F415" s="37"/>
      <c r="G415" s="37"/>
      <c r="H415" s="37"/>
      <c r="I415" s="37"/>
      <c r="J415" s="37"/>
      <c r="K415" s="37"/>
      <c r="L415" s="37"/>
      <c r="M415" s="37"/>
      <c r="N415" s="37"/>
      <c r="O415" s="37"/>
      <c r="P415" s="37"/>
      <c r="Q415" s="37"/>
      <c r="R415" s="38"/>
    </row>
    <row r="416" spans="2:18">
      <c r="B416" s="36"/>
      <c r="C416" s="7">
        <v>1.5</v>
      </c>
      <c r="D416" s="7">
        <f>'10A61 Liquid 3"'!$B$4</f>
        <v>1</v>
      </c>
      <c r="E416" s="32">
        <f>IF(D419&gt;5,"",
IF(D419&gt;1.001,'10A61 Liquid 3" ViscosityLINEST'!J420,'10A61 Liquid 3" ViscosityLINEST'!J419))</f>
        <v>1540.9841269841274</v>
      </c>
      <c r="F416" s="37"/>
      <c r="G416" s="37"/>
      <c r="H416" s="37"/>
      <c r="I416" s="37"/>
      <c r="J416" s="37"/>
      <c r="K416" s="37"/>
      <c r="L416" s="37"/>
      <c r="M416" s="37"/>
      <c r="N416" s="37"/>
      <c r="O416" s="37"/>
      <c r="P416" s="37"/>
      <c r="Q416" s="37"/>
      <c r="R416" s="38"/>
    </row>
    <row r="417" spans="2:18" ht="15.75" thickBot="1">
      <c r="B417" s="36"/>
      <c r="C417" s="37"/>
      <c r="D417" s="37"/>
      <c r="E417" s="37"/>
      <c r="F417" s="37"/>
      <c r="G417" s="37"/>
      <c r="H417" s="37"/>
      <c r="I417" s="37"/>
      <c r="J417" s="37"/>
      <c r="K417" s="37"/>
      <c r="L417" s="37"/>
      <c r="M417" s="37"/>
      <c r="N417" s="37"/>
      <c r="O417" s="37"/>
      <c r="P417" s="37"/>
      <c r="Q417" s="37"/>
      <c r="R417" s="38"/>
    </row>
    <row r="418" spans="2:18" ht="15.75" thickBot="1">
      <c r="B418" s="36"/>
      <c r="C418" s="31" t="s">
        <v>76</v>
      </c>
      <c r="D418" s="31" t="s">
        <v>68</v>
      </c>
      <c r="E418" s="31" t="s">
        <v>67</v>
      </c>
      <c r="F418" s="37"/>
      <c r="G418" s="238" t="s">
        <v>65</v>
      </c>
      <c r="H418" s="238"/>
      <c r="I418" s="238"/>
      <c r="J418" s="37"/>
      <c r="K418" s="37"/>
      <c r="L418" s="37"/>
      <c r="M418" s="37"/>
      <c r="N418" s="37"/>
      <c r="O418" s="37"/>
      <c r="P418" s="37"/>
      <c r="Q418" s="37"/>
      <c r="R418" s="38"/>
    </row>
    <row r="419" spans="2:18" ht="15.75" thickBot="1">
      <c r="B419" s="36"/>
      <c r="C419" s="31">
        <f>$B$3</f>
        <v>0.99</v>
      </c>
      <c r="D419" s="31">
        <f>$C$3</f>
        <v>1</v>
      </c>
      <c r="E419" s="31">
        <f>G419*C419^3+H419*C419^2+I419*C419+J419</f>
        <v>1885.7926382732117</v>
      </c>
      <c r="F419" s="37"/>
      <c r="G419" s="7">
        <f t="array" ref="G419:J419">IF(AND(NOT(E410="")),LINEST(E410:E416,C410:C416^{1,2,3}),
IF(AND(E410="",NOT(E411=""),NOT(E412=""),NOT(E413=""),NOT(E414=""),NOT(E415=""),NOT(E416="")),LINEST(E411:E416,C411:C416^{1,2,3}),
IF(AND(E411="",NOT(E412=""),NOT(E413=""),NOT(E414=""),NOT(E415=""),NOT(E416="")),LINEST(E412:E416,C412:C416^{1,2,3}),
IF(AND(E412="",NOT(E413=""),NOT(E414=""),NOT(E415=""),NOT(E416="")),LINEST(E413:E416,C413:C416^{1,2,3}),
IF(AND(E413="",NOT(E414=""),NOT(E415=""),NOT(E416="")),LINEST(E414:E416,C414:C416^{1,2,3}),
IF(AND(E414="",NOT(E415=""),NOT(E416="")),LINEST(E415:E416,C415:C416^{1,2,3}),
IF(AND(E415="",NOT(E416="")),LINEST(E416,C416^{1,2,3}),"NOT APPLICABLE")))))))</f>
        <v>-919.46961645446913</v>
      </c>
      <c r="H419" s="7">
        <v>3577.8355200988617</v>
      </c>
      <c r="I419" s="7">
        <v>-5261.7068224558179</v>
      </c>
      <c r="J419" s="37">
        <v>4480.4062486317316</v>
      </c>
      <c r="K419" s="37"/>
      <c r="L419" s="37"/>
      <c r="M419" s="37"/>
      <c r="N419" s="37"/>
      <c r="O419" s="37"/>
      <c r="P419" s="37"/>
      <c r="Q419" s="37"/>
      <c r="R419" s="38"/>
    </row>
    <row r="420" spans="2:18">
      <c r="B420" s="36"/>
      <c r="C420" s="37"/>
      <c r="D420" s="37"/>
      <c r="E420" s="37"/>
      <c r="F420" s="37"/>
      <c r="G420" s="37"/>
      <c r="H420" s="37"/>
      <c r="I420" s="37"/>
      <c r="J420" s="37"/>
      <c r="K420" s="37"/>
      <c r="L420" s="37"/>
      <c r="M420" s="37"/>
      <c r="N420" s="37"/>
      <c r="O420" s="37"/>
      <c r="P420" s="37"/>
      <c r="Q420" s="37"/>
      <c r="R420" s="38"/>
    </row>
    <row r="421" spans="2:18">
      <c r="B421" s="39"/>
      <c r="C421" s="40"/>
      <c r="D421" s="40"/>
      <c r="E421" s="40"/>
      <c r="F421" s="40"/>
      <c r="G421" s="40"/>
      <c r="H421" s="40"/>
      <c r="I421" s="40"/>
      <c r="J421" s="40"/>
      <c r="K421" s="40"/>
      <c r="L421" s="40"/>
      <c r="M421" s="40"/>
      <c r="N421" s="40"/>
      <c r="O421" s="40"/>
      <c r="P421" s="40"/>
      <c r="Q421" s="40"/>
      <c r="R421" s="41"/>
    </row>
    <row r="423" spans="2:18">
      <c r="B423" s="34"/>
      <c r="C423" s="35"/>
      <c r="D423" s="35"/>
      <c r="E423" s="35"/>
      <c r="F423" s="35"/>
      <c r="G423" s="42" t="s">
        <v>104</v>
      </c>
      <c r="H423" s="35"/>
      <c r="I423" s="35"/>
      <c r="J423" s="35"/>
      <c r="K423" s="35"/>
      <c r="L423" s="35"/>
      <c r="M423" s="35"/>
      <c r="N423" s="35"/>
      <c r="O423" s="35"/>
      <c r="P423" s="35"/>
      <c r="Q423" s="35"/>
      <c r="R423" s="33"/>
    </row>
    <row r="424" spans="2:18">
      <c r="B424" s="36"/>
      <c r="C424" s="37"/>
      <c r="D424" s="37"/>
      <c r="E424" s="37"/>
      <c r="F424" s="37"/>
      <c r="G424" s="37"/>
      <c r="H424" s="37"/>
      <c r="I424" s="37"/>
      <c r="J424" s="37"/>
      <c r="K424" s="37"/>
      <c r="L424" s="37"/>
      <c r="M424" s="37"/>
      <c r="N424" s="37"/>
      <c r="O424" s="37"/>
      <c r="P424" s="37"/>
      <c r="Q424" s="37"/>
      <c r="R424" s="38"/>
    </row>
    <row r="425" spans="2:18">
      <c r="B425" s="36"/>
      <c r="C425" s="7" t="s">
        <v>11</v>
      </c>
      <c r="D425" s="7" t="s">
        <v>60</v>
      </c>
      <c r="E425" s="7" t="s">
        <v>53</v>
      </c>
      <c r="F425" s="37"/>
      <c r="G425" s="37"/>
      <c r="H425" s="37"/>
      <c r="I425" s="37"/>
      <c r="J425" s="37"/>
      <c r="K425" s="37"/>
      <c r="L425" s="37"/>
      <c r="M425" s="37"/>
      <c r="N425" s="37"/>
      <c r="O425" s="37"/>
      <c r="P425" s="37"/>
      <c r="Q425" s="37"/>
      <c r="R425" s="38"/>
    </row>
    <row r="426" spans="2:18">
      <c r="B426" s="36"/>
      <c r="C426" s="7">
        <v>0.4</v>
      </c>
      <c r="D426" s="7">
        <f>'10A61 Liquid 3"'!$B$4</f>
        <v>1</v>
      </c>
      <c r="E426" s="32">
        <f t="array" ref="E426">IF(D435&gt;5,"",
IF(D435&gt;1.011,'10A61 Liquid 3" ViscosityLINEST'!J424,'10A61 Liquid 3" ViscosityLINEST'!J423))</f>
        <v>3529.7738095237291</v>
      </c>
      <c r="F426" s="37"/>
      <c r="G426" s="37"/>
      <c r="H426" s="37"/>
      <c r="I426" s="37"/>
      <c r="J426" s="37"/>
      <c r="K426" s="37"/>
      <c r="L426" s="37"/>
      <c r="M426" s="37"/>
      <c r="N426" s="37"/>
      <c r="O426" s="37"/>
      <c r="P426" s="37"/>
      <c r="Q426" s="37"/>
      <c r="R426" s="38"/>
    </row>
    <row r="427" spans="2:18">
      <c r="B427" s="36"/>
      <c r="C427" s="7">
        <v>0.6</v>
      </c>
      <c r="D427" s="7">
        <f>'10A61 Liquid 3"'!$B$4</f>
        <v>1</v>
      </c>
      <c r="E427" s="32">
        <f>IF(D435&gt;5,"",
IF(D435&gt;1.001,'10A61 Liquid 3" ViscosityLINEST'!J426,'10A61 Liquid 3" ViscosityLINEST'!J425))</f>
        <v>2889.9523809523816</v>
      </c>
      <c r="F427" s="37"/>
      <c r="G427" s="37"/>
      <c r="H427" s="37"/>
      <c r="I427" s="37"/>
      <c r="J427" s="37"/>
      <c r="K427" s="37"/>
      <c r="L427" s="37"/>
      <c r="M427" s="37"/>
      <c r="N427" s="37"/>
      <c r="O427" s="37"/>
      <c r="P427" s="37"/>
      <c r="Q427" s="37"/>
      <c r="R427" s="38"/>
    </row>
    <row r="428" spans="2:18">
      <c r="B428" s="36"/>
      <c r="C428" s="7">
        <v>0.8</v>
      </c>
      <c r="D428" s="7">
        <f>'10A61 Liquid 3"'!$B$4</f>
        <v>1</v>
      </c>
      <c r="E428" s="32">
        <f>IF(D435&gt;5,"",
IF(D435&gt;1.001,'10A61 Liquid 3" ViscosityLINEST'!J428,'10A61 Liquid 3" ViscosityLINEST'!J427))</f>
        <v>2496.9920634920641</v>
      </c>
      <c r="F428" s="37"/>
      <c r="G428" s="37"/>
      <c r="H428" s="37"/>
      <c r="I428" s="37"/>
      <c r="J428" s="37"/>
      <c r="K428" s="37"/>
      <c r="L428" s="37"/>
      <c r="M428" s="37"/>
      <c r="N428" s="37"/>
      <c r="O428" s="37"/>
      <c r="P428" s="37"/>
      <c r="Q428" s="37"/>
      <c r="R428" s="38"/>
    </row>
    <row r="429" spans="2:18">
      <c r="B429" s="36"/>
      <c r="C429" s="7">
        <v>1</v>
      </c>
      <c r="D429" s="7">
        <f>'10A61 Liquid 3"'!$B$4</f>
        <v>1</v>
      </c>
      <c r="E429" s="32">
        <f>IF(D435&gt;5,"",
IF(D435&gt;1.001,'10A61 Liquid 3" ViscosityLINEST'!J430,'10A61 Liquid 3" ViscosityLINEST'!J429))</f>
        <v>2226.1150793650795</v>
      </c>
      <c r="F429" s="37"/>
      <c r="G429" s="37"/>
      <c r="H429" s="37"/>
      <c r="I429" s="37"/>
      <c r="J429" s="37"/>
      <c r="K429" s="37"/>
      <c r="L429" s="37"/>
      <c r="M429" s="37"/>
      <c r="N429" s="37"/>
      <c r="O429" s="37"/>
      <c r="P429" s="37"/>
      <c r="Q429" s="37"/>
      <c r="R429" s="38"/>
    </row>
    <row r="430" spans="2:18">
      <c r="B430" s="36"/>
      <c r="C430" s="7">
        <v>1.2</v>
      </c>
      <c r="D430" s="7">
        <f>'10A61 Liquid 3"'!$B$4</f>
        <v>1</v>
      </c>
      <c r="E430" s="32">
        <f>IF(D435&gt;5,"",
IF(D435&gt;1.001,'10A61 Liquid 3" ViscosityLINEST'!J432,'10A61 Liquid 3" ViscosityLINEST'!J431))</f>
        <v>2023.9603174603167</v>
      </c>
      <c r="F430" s="37"/>
      <c r="G430" s="37"/>
      <c r="H430" s="37"/>
      <c r="I430" s="37"/>
      <c r="J430" s="37"/>
      <c r="K430" s="37"/>
      <c r="L430" s="37"/>
      <c r="M430" s="37"/>
      <c r="N430" s="37"/>
      <c r="O430" s="37"/>
      <c r="P430" s="37"/>
      <c r="Q430" s="37"/>
      <c r="R430" s="38"/>
    </row>
    <row r="431" spans="2:18">
      <c r="B431" s="36"/>
      <c r="C431" s="7">
        <v>1.4</v>
      </c>
      <c r="D431" s="7">
        <f>'10A61 Liquid 3"'!$B$4</f>
        <v>1</v>
      </c>
      <c r="E431" s="32">
        <f>IF(D435&gt;5,"",
IF(D435&gt;1.001,'10A61 Liquid 3" ViscosityLINEST'!J434,'10A61 Liquid 3" ViscosityLINEST'!J433))</f>
        <v>1864.9166666666661</v>
      </c>
      <c r="F431" s="37"/>
      <c r="G431" s="37"/>
      <c r="H431" s="37"/>
      <c r="I431" s="37"/>
      <c r="J431" s="37"/>
      <c r="K431" s="37"/>
      <c r="L431" s="37"/>
      <c r="M431" s="37"/>
      <c r="N431" s="37"/>
      <c r="O431" s="37"/>
      <c r="P431" s="37"/>
      <c r="Q431" s="37"/>
      <c r="R431" s="38"/>
    </row>
    <row r="432" spans="2:18">
      <c r="B432" s="36"/>
      <c r="C432" s="7">
        <v>1.5</v>
      </c>
      <c r="D432" s="7">
        <f>'10A61 Liquid 3"'!$B$4</f>
        <v>1</v>
      </c>
      <c r="E432" s="32">
        <f>IF(D435&gt;5,"",
IF(D435&gt;1.001,'10A61 Liquid 3" ViscosityLINEST'!J436,'10A61 Liquid 3" ViscosityLINEST'!J435))</f>
        <v>1796.9642857142858</v>
      </c>
      <c r="F432" s="37"/>
      <c r="G432" s="37"/>
      <c r="H432" s="37"/>
      <c r="I432" s="37"/>
      <c r="J432" s="37"/>
      <c r="K432" s="37"/>
      <c r="L432" s="37"/>
      <c r="M432" s="37"/>
      <c r="N432" s="37"/>
      <c r="O432" s="37"/>
      <c r="P432" s="37"/>
      <c r="Q432" s="37"/>
      <c r="R432" s="38"/>
    </row>
    <row r="433" spans="2:18" ht="15.75" thickBot="1">
      <c r="B433" s="36"/>
      <c r="C433" s="37"/>
      <c r="D433" s="37"/>
      <c r="E433" s="37"/>
      <c r="F433" s="37"/>
      <c r="G433" s="37"/>
      <c r="H433" s="37"/>
      <c r="I433" s="37"/>
      <c r="J433" s="37"/>
      <c r="K433" s="37"/>
      <c r="L433" s="37"/>
      <c r="M433" s="37"/>
      <c r="N433" s="37"/>
      <c r="O433" s="37"/>
      <c r="P433" s="37"/>
      <c r="Q433" s="37"/>
      <c r="R433" s="38"/>
    </row>
    <row r="434" spans="2:18" ht="15.75" thickBot="1">
      <c r="B434" s="36"/>
      <c r="C434" s="31" t="s">
        <v>76</v>
      </c>
      <c r="D434" s="31" t="s">
        <v>68</v>
      </c>
      <c r="E434" s="31" t="s">
        <v>67</v>
      </c>
      <c r="F434" s="37"/>
      <c r="G434" s="238" t="s">
        <v>65</v>
      </c>
      <c r="H434" s="238"/>
      <c r="I434" s="238"/>
      <c r="J434" s="37"/>
      <c r="K434" s="37"/>
      <c r="L434" s="37"/>
      <c r="M434" s="37"/>
      <c r="N434" s="37"/>
      <c r="O434" s="37"/>
      <c r="P434" s="37"/>
      <c r="Q434" s="37"/>
      <c r="R434" s="38"/>
    </row>
    <row r="435" spans="2:18" ht="15.75" thickBot="1">
      <c r="B435" s="36"/>
      <c r="C435" s="31">
        <f>$B$3</f>
        <v>0.99</v>
      </c>
      <c r="D435" s="31">
        <f>$C$3</f>
        <v>1</v>
      </c>
      <c r="E435" s="31">
        <f>G435*C435^5+H435*C435^4+I435*C435^3+J435*C435^2+K435*C435+L435</f>
        <v>2238.2217111654099</v>
      </c>
      <c r="F435" s="37"/>
      <c r="G435" s="7">
        <f t="array" ref="G435:L435">IF(AND(NOT(E426="")),LINEST(E426:E432,C426:C432^{1,2,3,4,5}),
IF(AND(E426="",NOT(E427=""),NOT(E428=""),NOT(E429=""),NOT(E430=""),NOT(E431=""),NOT(E432="")),LINEST(E427:E432,C427:C432^{1,2,3,4,5}),
IF(AND(E427="",NOT(E428=""),NOT(E429=""),NOT(E430=""),NOT(E431=""),NOT(E432="")),LINEST(E428:E432,C428:C432^{1,2,3,4,5}),
IF(AND(E428="",NOT(E429=""),NOT(E430=""),NOT(E431=""),NOT(E432="")),LINEST(E429:E432,C429:C432^{1,2,3,4,5}),
IF(AND(E429="",NOT(E430=""),NOT(E431=""),NOT(E432="")),LINEST(E430:E432,C430:C432^{1,2,3,4,5}),
IF(AND(E430="",NOT(E431=""),NOT(E432="")),LINEST(E431:E432,C431:C432^{1,2,3,4,5}),
IF(AND(E431="",NOT(E432="")),LINEST(E432,C432^{1,2,3,4,5}),"NOT APPLICABLE")))))))</f>
        <v>-851.35490642468812</v>
      </c>
      <c r="H435" s="7">
        <v>5138.8835676857861</v>
      </c>
      <c r="I435" s="7">
        <v>-12692.077583707225</v>
      </c>
      <c r="J435" s="37">
        <v>16559.286133032434</v>
      </c>
      <c r="K435" s="37">
        <v>-12496.453277130227</v>
      </c>
      <c r="L435" s="37">
        <v>6568.3032979026757</v>
      </c>
      <c r="M435" s="37"/>
      <c r="N435" s="37"/>
      <c r="O435" s="37"/>
      <c r="P435" s="37"/>
      <c r="Q435" s="37"/>
      <c r="R435" s="38"/>
    </row>
    <row r="436" spans="2:18">
      <c r="B436" s="36"/>
      <c r="C436" s="37"/>
      <c r="D436" s="37"/>
      <c r="E436" s="37"/>
      <c r="F436" s="37"/>
      <c r="G436" s="37"/>
      <c r="H436" s="37"/>
      <c r="I436" s="37"/>
      <c r="J436" s="37"/>
      <c r="K436" s="37"/>
      <c r="L436" s="37"/>
      <c r="M436" s="37"/>
      <c r="N436" s="37"/>
      <c r="O436" s="37"/>
      <c r="P436" s="37"/>
      <c r="Q436" s="37"/>
      <c r="R436" s="38"/>
    </row>
    <row r="437" spans="2:18">
      <c r="B437" s="39"/>
      <c r="C437" s="40"/>
      <c r="D437" s="40"/>
      <c r="E437" s="40"/>
      <c r="F437" s="40"/>
      <c r="G437" s="40"/>
      <c r="H437" s="40"/>
      <c r="I437" s="40"/>
      <c r="J437" s="40"/>
      <c r="K437" s="40"/>
      <c r="L437" s="40"/>
      <c r="M437" s="40"/>
      <c r="N437" s="40"/>
      <c r="O437" s="40"/>
      <c r="P437" s="40"/>
      <c r="Q437" s="40"/>
      <c r="R437" s="41"/>
    </row>
    <row r="439" spans="2:18">
      <c r="B439" s="34"/>
      <c r="C439" s="35"/>
      <c r="D439" s="35"/>
      <c r="E439" s="35"/>
      <c r="F439" s="35"/>
      <c r="G439" s="42" t="s">
        <v>105</v>
      </c>
      <c r="H439" s="35"/>
      <c r="I439" s="35"/>
      <c r="J439" s="35"/>
      <c r="K439" s="35"/>
      <c r="L439" s="35"/>
      <c r="M439" s="35"/>
      <c r="N439" s="35"/>
      <c r="O439" s="35"/>
      <c r="P439" s="35"/>
      <c r="Q439" s="35"/>
      <c r="R439" s="33"/>
    </row>
    <row r="440" spans="2:18">
      <c r="B440" s="36"/>
      <c r="C440" s="37"/>
      <c r="D440" s="37"/>
      <c r="E440" s="37"/>
      <c r="F440" s="37"/>
      <c r="G440" s="37"/>
      <c r="H440" s="37"/>
      <c r="I440" s="37"/>
      <c r="J440" s="37"/>
      <c r="K440" s="37"/>
      <c r="L440" s="37"/>
      <c r="M440" s="37"/>
      <c r="N440" s="37"/>
      <c r="O440" s="37"/>
      <c r="P440" s="37"/>
      <c r="Q440" s="37"/>
      <c r="R440" s="38"/>
    </row>
    <row r="441" spans="2:18">
      <c r="B441" s="36"/>
      <c r="C441" s="7" t="s">
        <v>11</v>
      </c>
      <c r="D441" s="7" t="s">
        <v>60</v>
      </c>
      <c r="E441" s="7" t="s">
        <v>53</v>
      </c>
      <c r="F441" s="37"/>
      <c r="G441" s="37"/>
      <c r="H441" s="37"/>
      <c r="I441" s="37"/>
      <c r="J441" s="37"/>
      <c r="K441" s="37"/>
      <c r="L441" s="37"/>
      <c r="M441" s="37"/>
      <c r="N441" s="37"/>
      <c r="O441" s="37"/>
      <c r="P441" s="37"/>
      <c r="Q441" s="37"/>
      <c r="R441" s="38"/>
    </row>
    <row r="442" spans="2:18">
      <c r="B442" s="36"/>
      <c r="C442" s="7">
        <v>0.4</v>
      </c>
      <c r="D442" s="7">
        <f>'10A61 Liquid 3"'!$B$4</f>
        <v>1</v>
      </c>
      <c r="E442" s="32">
        <f t="array" ref="E442">IF(D451&gt;5,"",
IF(D451&gt;1.011,'10A61 Liquid 3" ViscosityLINEST'!J440,'10A61 Liquid 3" ViscosityLINEST'!J439))</f>
        <v>3732.0793650793657</v>
      </c>
      <c r="F442" s="37"/>
      <c r="G442" s="37"/>
      <c r="H442" s="37"/>
      <c r="I442" s="37"/>
      <c r="J442" s="37"/>
      <c r="K442" s="37"/>
      <c r="L442" s="37"/>
      <c r="M442" s="37"/>
      <c r="N442" s="37"/>
      <c r="O442" s="37"/>
      <c r="P442" s="37"/>
      <c r="Q442" s="37"/>
      <c r="R442" s="38"/>
    </row>
    <row r="443" spans="2:18">
      <c r="B443" s="36"/>
      <c r="C443" s="7">
        <v>0.6</v>
      </c>
      <c r="D443" s="7">
        <f>'10A61 Liquid 3"'!$B$4</f>
        <v>1</v>
      </c>
      <c r="E443" s="32">
        <f>IF(D451&gt;5,"",
IF(D451&gt;1.001,'10A61 Liquid 3" ViscosityLINEST'!J442,'10A61 Liquid 3" ViscosityLINEST'!J441))</f>
        <v>3056.9246031746052</v>
      </c>
      <c r="F443" s="37"/>
      <c r="G443" s="37"/>
      <c r="H443" s="37"/>
      <c r="I443" s="37"/>
      <c r="J443" s="37"/>
      <c r="K443" s="37"/>
      <c r="L443" s="37"/>
      <c r="M443" s="37"/>
      <c r="N443" s="37"/>
      <c r="O443" s="37"/>
      <c r="P443" s="37"/>
      <c r="Q443" s="37"/>
      <c r="R443" s="38"/>
    </row>
    <row r="444" spans="2:18">
      <c r="B444" s="36"/>
      <c r="C444" s="7">
        <v>0.8</v>
      </c>
      <c r="D444" s="7">
        <f>'10A61 Liquid 3"'!$B$4</f>
        <v>1</v>
      </c>
      <c r="E444" s="32">
        <f>IF(D451&gt;5,"",
IF(D451&gt;1.001,'10A61 Liquid 3" ViscosityLINEST'!J444,'10A61 Liquid 3" ViscosityLINEST'!J443))</f>
        <v>2644.0793650793653</v>
      </c>
      <c r="F444" s="37"/>
      <c r="G444" s="37"/>
      <c r="H444" s="37"/>
      <c r="I444" s="37"/>
      <c r="J444" s="37"/>
      <c r="K444" s="37"/>
      <c r="L444" s="37"/>
      <c r="M444" s="37"/>
      <c r="N444" s="37"/>
      <c r="O444" s="37"/>
      <c r="P444" s="37"/>
      <c r="Q444" s="37"/>
      <c r="R444" s="38"/>
    </row>
    <row r="445" spans="2:18">
      <c r="B445" s="36"/>
      <c r="C445" s="7">
        <v>1</v>
      </c>
      <c r="D445" s="7">
        <f>'10A61 Liquid 3"'!$B$4</f>
        <v>1</v>
      </c>
      <c r="E445" s="32">
        <f>IF(D451&gt;5,"",
IF(D451&gt;1.001,'10A61 Liquid 3" ViscosityLINEST'!J446,'10A61 Liquid 3" ViscosityLINEST'!J445))</f>
        <v>2359.0039682539673</v>
      </c>
      <c r="F445" s="37"/>
      <c r="G445" s="37"/>
      <c r="H445" s="37"/>
      <c r="I445" s="37"/>
      <c r="J445" s="37"/>
      <c r="K445" s="37"/>
      <c r="L445" s="37"/>
      <c r="M445" s="37"/>
      <c r="N445" s="37"/>
      <c r="O445" s="37"/>
      <c r="P445" s="37"/>
      <c r="Q445" s="37"/>
      <c r="R445" s="38"/>
    </row>
    <row r="446" spans="2:18">
      <c r="B446" s="36"/>
      <c r="C446" s="7">
        <v>1.2</v>
      </c>
      <c r="D446" s="7">
        <f>'10A61 Liquid 3"'!$B$4</f>
        <v>1</v>
      </c>
      <c r="E446" s="32">
        <f>IF(D451&gt;5,"",
IF(D451&gt;1.001,'10A61 Liquid 3" ViscosityLINEST'!J448,'10A61 Liquid 3" ViscosityLINEST'!J447))</f>
        <v>2145.9087301587306</v>
      </c>
      <c r="F446" s="37"/>
      <c r="G446" s="37"/>
      <c r="H446" s="37"/>
      <c r="I446" s="37"/>
      <c r="J446" s="37"/>
      <c r="K446" s="37"/>
      <c r="L446" s="37"/>
      <c r="M446" s="37"/>
      <c r="N446" s="37"/>
      <c r="O446" s="37"/>
      <c r="P446" s="37"/>
      <c r="Q446" s="37"/>
      <c r="R446" s="38"/>
    </row>
    <row r="447" spans="2:18">
      <c r="B447" s="36"/>
      <c r="C447" s="7">
        <v>1.4</v>
      </c>
      <c r="D447" s="7">
        <f>'10A61 Liquid 3"'!$B$4</f>
        <v>1</v>
      </c>
      <c r="E447" s="32">
        <f>IF(D451&gt;5,"",
IF(D451&gt;1.001,'10A61 Liquid 3" ViscosityLINEST'!J450,'10A61 Liquid 3" ViscosityLINEST'!J449))</f>
        <v>1978.9841269841268</v>
      </c>
      <c r="F447" s="37"/>
      <c r="G447" s="37"/>
      <c r="H447" s="37"/>
      <c r="I447" s="37"/>
      <c r="J447" s="37"/>
      <c r="K447" s="37"/>
      <c r="L447" s="37"/>
      <c r="M447" s="37"/>
      <c r="N447" s="37"/>
      <c r="O447" s="37"/>
      <c r="P447" s="37"/>
      <c r="Q447" s="37"/>
      <c r="R447" s="38"/>
    </row>
    <row r="448" spans="2:18">
      <c r="B448" s="36"/>
      <c r="C448" s="7">
        <v>1.5</v>
      </c>
      <c r="D448" s="7">
        <f>'10A61 Liquid 3"'!$B$4</f>
        <v>1</v>
      </c>
      <c r="E448" s="32">
        <f>IF(D451&gt;5,"",
IF(D451&gt;1.001,'10A61 Liquid 3" ViscosityLINEST'!J452,'10A61 Liquid 3" ViscosityLINEST'!J451))</f>
        <v>1908.0317460317456</v>
      </c>
      <c r="F448" s="37"/>
      <c r="G448" s="37"/>
      <c r="H448" s="37"/>
      <c r="I448" s="37"/>
      <c r="J448" s="37"/>
      <c r="K448" s="37"/>
      <c r="L448" s="37"/>
      <c r="M448" s="37"/>
      <c r="N448" s="37"/>
      <c r="O448" s="37"/>
      <c r="P448" s="37"/>
      <c r="Q448" s="37"/>
      <c r="R448" s="38"/>
    </row>
    <row r="449" spans="2:18" ht="15.75" thickBot="1">
      <c r="B449" s="36"/>
      <c r="C449" s="37"/>
      <c r="D449" s="37"/>
      <c r="E449" s="37"/>
      <c r="F449" s="37"/>
      <c r="G449" s="37"/>
      <c r="H449" s="37"/>
      <c r="I449" s="37"/>
      <c r="J449" s="37"/>
      <c r="K449" s="37"/>
      <c r="L449" s="37"/>
      <c r="M449" s="37"/>
      <c r="N449" s="37"/>
      <c r="O449" s="37"/>
      <c r="P449" s="37"/>
      <c r="Q449" s="37"/>
      <c r="R449" s="38"/>
    </row>
    <row r="450" spans="2:18" ht="15.75" thickBot="1">
      <c r="B450" s="36"/>
      <c r="C450" s="31" t="s">
        <v>76</v>
      </c>
      <c r="D450" s="31" t="s">
        <v>68</v>
      </c>
      <c r="E450" s="31" t="s">
        <v>67</v>
      </c>
      <c r="F450" s="37"/>
      <c r="G450" s="238" t="s">
        <v>65</v>
      </c>
      <c r="H450" s="238"/>
      <c r="I450" s="238"/>
      <c r="J450" s="37"/>
      <c r="K450" s="37"/>
      <c r="L450" s="37"/>
      <c r="M450" s="37"/>
      <c r="N450" s="37"/>
      <c r="O450" s="37"/>
      <c r="P450" s="37"/>
      <c r="Q450" s="37"/>
      <c r="R450" s="38"/>
    </row>
    <row r="451" spans="2:18" ht="15.75" thickBot="1">
      <c r="B451" s="36"/>
      <c r="C451" s="31">
        <f>$B$3</f>
        <v>0.99</v>
      </c>
      <c r="D451" s="31">
        <f>$C$3</f>
        <v>1</v>
      </c>
      <c r="E451" s="31">
        <f>G451*C451^5+H451*C451^4+I451*C451^3+J451*C451^2+K451*C451+L451</f>
        <v>2371.7750986619221</v>
      </c>
      <c r="F451" s="37"/>
      <c r="G451" s="7">
        <f t="array" ref="G451:L451">IF(AND(NOT(E442="")),LINEST(E442:E448,C442:C448^{1,2,3,4,5}),
IF(AND(E442="",NOT(E443=""),NOT(E444=""),NOT(E445=""),NOT(E446=""),NOT(E447=""),NOT(E448="")),LINEST(E443:E448,C443:C448^{1,2,3,4,5}),
IF(AND(E443="",NOT(E444=""),NOT(E445=""),NOT(E446=""),NOT(E447=""),NOT(E448="")),LINEST(E444:E448,C444:C448^{1,2,3,4,5}),
IF(AND(E444="",NOT(E445=""),NOT(E446=""),NOT(E447=""),NOT(E448="")),LINEST(E445:E448,C445:C448^{1,2,3,4,5}),
IF(AND(E445="",NOT(E446=""),NOT(E447=""),NOT(E448="")),LINEST(E446:E448,C446:C448^{1,2,3,4,5}),
IF(AND(E446="",NOT(E447=""),NOT(E448="")),LINEST(E447:E448,C447:C448^{1,2,3,4,5}),
IF(AND(E447="",NOT(E448="")),LINEST(E448,C448^{1,2,3,4,5}),"NOT APPLICABLE")))))))</f>
        <v>-962.42884138326463</v>
      </c>
      <c r="H451" s="7">
        <v>5764.5048306702647</v>
      </c>
      <c r="I451" s="7">
        <v>-14088.800059480653</v>
      </c>
      <c r="J451" s="37">
        <v>18142.780840301381</v>
      </c>
      <c r="K451" s="37">
        <v>-13482.871803573249</v>
      </c>
      <c r="L451" s="37">
        <v>6986.3272034587635</v>
      </c>
      <c r="M451" s="37"/>
      <c r="N451" s="37"/>
      <c r="O451" s="37"/>
      <c r="P451" s="37"/>
      <c r="Q451" s="37"/>
      <c r="R451" s="38"/>
    </row>
    <row r="452" spans="2:18">
      <c r="B452" s="36"/>
      <c r="C452" s="37"/>
      <c r="D452" s="37"/>
      <c r="E452" s="37"/>
      <c r="F452" s="37"/>
      <c r="G452" s="37"/>
      <c r="H452" s="37"/>
      <c r="I452" s="37"/>
      <c r="J452" s="37"/>
      <c r="K452" s="37"/>
      <c r="L452" s="37"/>
      <c r="M452" s="37"/>
      <c r="N452" s="37"/>
      <c r="O452" s="37"/>
      <c r="P452" s="37"/>
      <c r="Q452" s="37"/>
      <c r="R452" s="38"/>
    </row>
    <row r="453" spans="2:18">
      <c r="B453" s="39"/>
      <c r="C453" s="40"/>
      <c r="D453" s="40"/>
      <c r="E453" s="40"/>
      <c r="F453" s="40"/>
      <c r="G453" s="40"/>
      <c r="H453" s="40"/>
      <c r="I453" s="40"/>
      <c r="J453" s="40"/>
      <c r="K453" s="40"/>
      <c r="L453" s="40"/>
      <c r="M453" s="40"/>
      <c r="N453" s="40"/>
      <c r="O453" s="40"/>
      <c r="P453" s="40"/>
      <c r="Q453" s="40"/>
      <c r="R453" s="41"/>
    </row>
  </sheetData>
  <mergeCells count="28">
    <mergeCell ref="G418:I418"/>
    <mergeCell ref="G434:I434"/>
    <mergeCell ref="G450:I450"/>
    <mergeCell ref="G338:I338"/>
    <mergeCell ref="G354:I354"/>
    <mergeCell ref="G370:I370"/>
    <mergeCell ref="G386:I386"/>
    <mergeCell ref="G402:I402"/>
    <mergeCell ref="G258:I258"/>
    <mergeCell ref="G274:I274"/>
    <mergeCell ref="G290:I290"/>
    <mergeCell ref="G306:I306"/>
    <mergeCell ref="G322:I322"/>
    <mergeCell ref="G178:I178"/>
    <mergeCell ref="G194:I194"/>
    <mergeCell ref="G210:I210"/>
    <mergeCell ref="G226:I226"/>
    <mergeCell ref="G242:I242"/>
    <mergeCell ref="G98:I98"/>
    <mergeCell ref="G114:I114"/>
    <mergeCell ref="G130:I130"/>
    <mergeCell ref="G146:I146"/>
    <mergeCell ref="G162:I162"/>
    <mergeCell ref="G18:I18"/>
    <mergeCell ref="G34:I34"/>
    <mergeCell ref="G50:I50"/>
    <mergeCell ref="G66:I66"/>
    <mergeCell ref="G82:I8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D30"/>
  <sheetViews>
    <sheetView showGridLines="0" showRowColHeaders="0" workbookViewId="0">
      <selection activeCell="N2" sqref="N2:Q3"/>
    </sheetView>
  </sheetViews>
  <sheetFormatPr defaultRowHeight="15"/>
  <cols>
    <col min="2" max="2" width="11.5703125" bestFit="1" customWidth="1"/>
    <col min="3" max="3" width="16.85546875" bestFit="1" customWidth="1"/>
    <col min="4" max="4" width="16.5703125" bestFit="1" customWidth="1"/>
  </cols>
  <sheetData>
    <row r="2" spans="2:4">
      <c r="B2" s="65" t="s">
        <v>58</v>
      </c>
      <c r="C2" s="65" t="s">
        <v>77</v>
      </c>
      <c r="D2" s="65" t="s">
        <v>80</v>
      </c>
    </row>
    <row r="3" spans="2:4">
      <c r="B3" s="5" t="s">
        <v>75</v>
      </c>
      <c r="C3" s="5">
        <f>'10A61 3" Density LINEST'!E19</f>
        <v>4.4321991904897988</v>
      </c>
      <c r="D3" s="5">
        <f t="shared" ref="D3:D8" si="0">C3/10</f>
        <v>0.44321991904897989</v>
      </c>
    </row>
    <row r="4" spans="2:4">
      <c r="B4" s="5" t="s">
        <v>78</v>
      </c>
      <c r="C4" s="5">
        <f>'10A61 3" Density LINEST'!E35</f>
        <v>8.4243047788105692</v>
      </c>
      <c r="D4" s="5">
        <f t="shared" si="0"/>
        <v>0.84243047788105696</v>
      </c>
    </row>
    <row r="5" spans="2:4">
      <c r="B5" s="5" t="s">
        <v>79</v>
      </c>
      <c r="C5" s="5">
        <f>'10A61 3" Density LINEST'!E51</f>
        <v>18.521387963010692</v>
      </c>
      <c r="D5" s="5">
        <f t="shared" si="0"/>
        <v>1.8521387963010691</v>
      </c>
    </row>
    <row r="6" spans="2:4">
      <c r="B6" s="5" t="s">
        <v>82</v>
      </c>
      <c r="C6" s="5">
        <f>'10A61 3" Density LINEST'!E67</f>
        <v>33.440291332708142</v>
      </c>
      <c r="D6" s="5">
        <f t="shared" si="0"/>
        <v>3.3440291332708143</v>
      </c>
    </row>
    <row r="7" spans="2:4">
      <c r="B7" s="5" t="s">
        <v>83</v>
      </c>
      <c r="C7" s="5">
        <f>'10A61 3" Density LINEST'!E83</f>
        <v>36.534275286493916</v>
      </c>
      <c r="D7" s="5">
        <f t="shared" si="0"/>
        <v>3.6534275286493916</v>
      </c>
    </row>
    <row r="8" spans="2:4">
      <c r="B8" s="5" t="s">
        <v>81</v>
      </c>
      <c r="C8" s="5">
        <f>'10A61 3" Density LINEST'!E99</f>
        <v>28.46556888826359</v>
      </c>
      <c r="D8" s="5">
        <f t="shared" si="0"/>
        <v>2.8465568888263588</v>
      </c>
    </row>
    <row r="9" spans="2:4">
      <c r="B9" s="5" t="s">
        <v>84</v>
      </c>
      <c r="C9" s="5">
        <f>'10A61 3" Density LINEST'!E115</f>
        <v>49.047742434853134</v>
      </c>
      <c r="D9" s="5">
        <f t="shared" ref="D9:D30" si="1">C9/10</f>
        <v>4.9047742434853134</v>
      </c>
    </row>
    <row r="10" spans="2:4">
      <c r="B10" s="5" t="s">
        <v>85</v>
      </c>
      <c r="C10" s="5">
        <f>'10A61 3" Density LINEST'!E131</f>
        <v>89.795932506569045</v>
      </c>
      <c r="D10" s="5">
        <f t="shared" si="1"/>
        <v>8.9795932506569045</v>
      </c>
    </row>
    <row r="11" spans="2:4">
      <c r="B11" s="5" t="s">
        <v>86</v>
      </c>
      <c r="C11" s="5">
        <f>'10A61 3" Density LINEST'!E147</f>
        <v>136.65894834534367</v>
      </c>
      <c r="D11" s="5">
        <f t="shared" si="1"/>
        <v>13.665894834534367</v>
      </c>
    </row>
    <row r="12" spans="2:4">
      <c r="B12" s="5" t="s">
        <v>87</v>
      </c>
      <c r="C12" s="5">
        <f>'10A61 3" Density LINEST'!E163</f>
        <v>145.94060747447531</v>
      </c>
      <c r="D12" s="5">
        <f t="shared" si="1"/>
        <v>14.594060747447532</v>
      </c>
    </row>
    <row r="13" spans="2:4">
      <c r="B13" s="5" t="s">
        <v>88</v>
      </c>
      <c r="C13" s="5">
        <f>'10A61 3" Density LINEST'!E179</f>
        <v>128.33487322313147</v>
      </c>
      <c r="D13" s="5">
        <f t="shared" si="1"/>
        <v>12.833487322313147</v>
      </c>
    </row>
    <row r="14" spans="2:4">
      <c r="B14" s="5" t="s">
        <v>89</v>
      </c>
      <c r="C14" s="5">
        <f>'10A61 3" Density LINEST'!E195</f>
        <v>233.53062218917492</v>
      </c>
      <c r="D14" s="5">
        <f t="shared" si="1"/>
        <v>23.353062218917493</v>
      </c>
    </row>
    <row r="15" spans="2:4">
      <c r="B15" s="5" t="s">
        <v>90</v>
      </c>
      <c r="C15" s="5">
        <f>'10A61 3" Density LINEST'!E211</f>
        <v>218.80013269938411</v>
      </c>
      <c r="D15" s="5">
        <f t="shared" si="1"/>
        <v>21.880013269938409</v>
      </c>
    </row>
    <row r="16" spans="2:4">
      <c r="B16" s="5" t="s">
        <v>91</v>
      </c>
      <c r="C16" s="5">
        <f>'10A61 3" Density LINEST'!E227</f>
        <v>363.0965690853518</v>
      </c>
      <c r="D16" s="5">
        <f t="shared" si="1"/>
        <v>36.309656908535182</v>
      </c>
    </row>
    <row r="17" spans="2:4">
      <c r="B17" s="5" t="s">
        <v>92</v>
      </c>
      <c r="C17" s="5">
        <f>'10A61 3" Density LINEST'!E243</f>
        <v>390.0204697760505</v>
      </c>
      <c r="D17" s="5">
        <f t="shared" si="1"/>
        <v>39.002046977605048</v>
      </c>
    </row>
    <row r="18" spans="2:4">
      <c r="B18" s="5" t="s">
        <v>93</v>
      </c>
      <c r="C18" s="5">
        <f>'10A61 3" Density LINEST'!E259</f>
        <v>576.93364951556953</v>
      </c>
      <c r="D18" s="5">
        <f t="shared" si="1"/>
        <v>57.693364951556951</v>
      </c>
    </row>
    <row r="19" spans="2:4">
      <c r="B19" s="5" t="s">
        <v>94</v>
      </c>
      <c r="C19" s="5">
        <f>'10A61 3" Density LINEST'!E275</f>
        <v>580.53029785692297</v>
      </c>
      <c r="D19" s="5">
        <f t="shared" si="1"/>
        <v>58.053029785692296</v>
      </c>
    </row>
    <row r="20" spans="2:4">
      <c r="B20" s="5" t="s">
        <v>95</v>
      </c>
      <c r="C20" s="5">
        <f>'10A61 3" Density LINEST'!E291</f>
        <v>613.30092142384774</v>
      </c>
      <c r="D20" s="5">
        <f t="shared" si="1"/>
        <v>61.330092142384771</v>
      </c>
    </row>
    <row r="21" spans="2:4">
      <c r="B21" s="5" t="s">
        <v>96</v>
      </c>
      <c r="C21" s="5">
        <f>'10A61 3" Density LINEST'!E307</f>
        <v>753.30280222857641</v>
      </c>
      <c r="D21" s="5">
        <f t="shared" si="1"/>
        <v>75.330280222857638</v>
      </c>
    </row>
    <row r="22" spans="2:4">
      <c r="B22" s="5" t="s">
        <v>97</v>
      </c>
      <c r="C22" s="5">
        <f>'10A61 3" Density LINEST'!E323</f>
        <v>844.28030619440869</v>
      </c>
      <c r="D22" s="5">
        <f t="shared" si="1"/>
        <v>84.428030619440875</v>
      </c>
    </row>
    <row r="23" spans="2:4">
      <c r="B23" s="5" t="s">
        <v>98</v>
      </c>
      <c r="C23" s="5">
        <f>'10A61 3" Density LINEST'!E339</f>
        <v>896.1991779343623</v>
      </c>
      <c r="D23" s="5">
        <f t="shared" si="1"/>
        <v>89.61991779343623</v>
      </c>
    </row>
    <row r="24" spans="2:4">
      <c r="B24" s="5" t="s">
        <v>99</v>
      </c>
      <c r="C24" s="5">
        <f>'10A61 3" Density LINEST'!E355</f>
        <v>976.99032249386028</v>
      </c>
      <c r="D24" s="5">
        <f t="shared" si="1"/>
        <v>97.699032249386022</v>
      </c>
    </row>
    <row r="25" spans="2:4">
      <c r="B25" s="5" t="s">
        <v>100</v>
      </c>
      <c r="C25" s="5">
        <f>'10A61 3" Density LINEST'!E371</f>
        <v>1210.9837168635368</v>
      </c>
      <c r="D25" s="5">
        <f t="shared" si="1"/>
        <v>121.09837168635367</v>
      </c>
    </row>
    <row r="26" spans="2:4">
      <c r="B26" s="5" t="s">
        <v>101</v>
      </c>
      <c r="C26" s="5">
        <f>'10A61 3" Density LINEST'!E387</f>
        <v>1558.967880130333</v>
      </c>
      <c r="D26" s="5">
        <f t="shared" si="1"/>
        <v>155.8967880130333</v>
      </c>
    </row>
    <row r="27" spans="2:4">
      <c r="B27" s="5" t="s">
        <v>102</v>
      </c>
      <c r="C27" s="5">
        <f>'10A61 3" Density LINEST'!E403</f>
        <v>1773.1904560626958</v>
      </c>
      <c r="D27" s="5">
        <f t="shared" si="1"/>
        <v>177.31904560626958</v>
      </c>
    </row>
    <row r="28" spans="2:4">
      <c r="B28" s="5" t="s">
        <v>103</v>
      </c>
      <c r="C28" s="5">
        <f>'10A61 3" Density LINEST'!E419</f>
        <v>1885.7926382732117</v>
      </c>
      <c r="D28" s="5">
        <f t="shared" si="1"/>
        <v>188.57926382732117</v>
      </c>
    </row>
    <row r="29" spans="2:4">
      <c r="B29" s="5" t="s">
        <v>104</v>
      </c>
      <c r="C29" s="5">
        <f>'10A61 3" Density LINEST'!E435</f>
        <v>2238.2217111654099</v>
      </c>
      <c r="D29" s="5">
        <f t="shared" si="1"/>
        <v>223.822171116541</v>
      </c>
    </row>
    <row r="30" spans="2:4">
      <c r="B30" s="5" t="s">
        <v>105</v>
      </c>
      <c r="C30" s="5">
        <f>'10A61 3" Density LINEST'!E451</f>
        <v>2371.7750986619221</v>
      </c>
      <c r="D30" s="5">
        <f t="shared" si="1"/>
        <v>237.17750986619222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6:X67"/>
  <sheetViews>
    <sheetView showGridLines="0" showRowColHeaders="0" topLeftCell="A40" workbookViewId="0">
      <selection activeCell="N2" sqref="N2:Q3"/>
    </sheetView>
  </sheetViews>
  <sheetFormatPr defaultRowHeight="15"/>
  <sheetData>
    <row r="6" spans="1:11">
      <c r="C6" t="s">
        <v>79</v>
      </c>
    </row>
    <row r="7" spans="1:11">
      <c r="C7">
        <v>1.2</v>
      </c>
      <c r="D7">
        <v>1.4</v>
      </c>
      <c r="E7">
        <v>1.6</v>
      </c>
      <c r="F7">
        <f ca="1">INDIRECT("RC[-1]",0)</f>
        <v>1.6</v>
      </c>
      <c r="K7" t="s">
        <v>117</v>
      </c>
    </row>
    <row r="8" spans="1:11">
      <c r="B8">
        <v>0.5</v>
      </c>
      <c r="C8">
        <v>26.45</v>
      </c>
      <c r="D8">
        <v>567</v>
      </c>
      <c r="K8">
        <v>378.5</v>
      </c>
    </row>
    <row r="9" spans="1:11">
      <c r="B9">
        <v>0.6</v>
      </c>
      <c r="C9">
        <v>24.3</v>
      </c>
      <c r="K9">
        <v>375.1</v>
      </c>
    </row>
    <row r="10" spans="1:11">
      <c r="B10">
        <v>0.7</v>
      </c>
      <c r="C10">
        <v>22.46</v>
      </c>
      <c r="K10">
        <v>370.9</v>
      </c>
    </row>
    <row r="11" spans="1:11">
      <c r="B11">
        <v>0.8</v>
      </c>
      <c r="C11">
        <v>20.72</v>
      </c>
      <c r="K11">
        <v>366</v>
      </c>
    </row>
    <row r="12" spans="1:11">
      <c r="B12">
        <v>0.9</v>
      </c>
      <c r="C12">
        <v>19.010000000000002</v>
      </c>
      <c r="K12">
        <v>360</v>
      </c>
    </row>
    <row r="13" spans="1:11">
      <c r="B13">
        <v>1</v>
      </c>
      <c r="C13">
        <v>17.600000000000001</v>
      </c>
      <c r="H13">
        <f t="array" ref="H13">INDEX(B8:C29,1,1)</f>
        <v>0.5</v>
      </c>
      <c r="K13">
        <v>354.7</v>
      </c>
    </row>
    <row r="14" spans="1:11">
      <c r="B14">
        <v>1.25</v>
      </c>
      <c r="C14">
        <v>14.74</v>
      </c>
      <c r="K14">
        <v>340.9</v>
      </c>
    </row>
    <row r="15" spans="1:11">
      <c r="B15">
        <v>1.5</v>
      </c>
      <c r="C15">
        <v>12.66</v>
      </c>
      <c r="K15">
        <v>328.9</v>
      </c>
    </row>
    <row r="16" spans="1:11">
      <c r="A16">
        <v>1.2</v>
      </c>
      <c r="B16">
        <v>1.75</v>
      </c>
      <c r="C16">
        <v>11.02</v>
      </c>
      <c r="K16">
        <v>315.39999999999998</v>
      </c>
    </row>
    <row r="17" spans="2:11">
      <c r="B17">
        <v>2</v>
      </c>
      <c r="C17">
        <v>9.6890000000000001</v>
      </c>
      <c r="D17">
        <v>567</v>
      </c>
      <c r="K17">
        <v>301.2</v>
      </c>
    </row>
    <row r="18" spans="2:11">
      <c r="B18">
        <v>2.25</v>
      </c>
      <c r="C18">
        <v>8.6530000000000005</v>
      </c>
      <c r="K18">
        <v>286.7</v>
      </c>
    </row>
    <row r="19" spans="2:11">
      <c r="B19">
        <v>2.5</v>
      </c>
      <c r="C19">
        <v>7.8280000000000003</v>
      </c>
      <c r="K19">
        <v>270.3</v>
      </c>
    </row>
    <row r="20" spans="2:11">
      <c r="B20">
        <v>2.75</v>
      </c>
      <c r="C20">
        <v>7.149</v>
      </c>
      <c r="E20">
        <v>567567</v>
      </c>
      <c r="K20">
        <v>256.3</v>
      </c>
    </row>
    <row r="21" spans="2:11">
      <c r="B21">
        <v>3</v>
      </c>
      <c r="C21">
        <v>6.5819999999999999</v>
      </c>
      <c r="K21">
        <v>244.2</v>
      </c>
    </row>
    <row r="22" spans="2:11">
      <c r="B22">
        <v>3.25</v>
      </c>
      <c r="C22">
        <v>6.0990000000000002</v>
      </c>
      <c r="K22">
        <v>233.4</v>
      </c>
    </row>
    <row r="23" spans="2:11">
      <c r="B23">
        <v>3.5</v>
      </c>
      <c r="C23">
        <v>5.6920000000000002</v>
      </c>
      <c r="K23">
        <v>221.4</v>
      </c>
    </row>
    <row r="24" spans="2:11">
      <c r="B24">
        <v>3.75</v>
      </c>
      <c r="C24">
        <v>5.3380000000000001</v>
      </c>
      <c r="K24">
        <v>210.9</v>
      </c>
    </row>
    <row r="25" spans="2:11">
      <c r="B25">
        <v>4</v>
      </c>
      <c r="C25">
        <v>5.0259999999999998</v>
      </c>
      <c r="K25">
        <v>201.4</v>
      </c>
    </row>
    <row r="26" spans="2:11">
      <c r="B26">
        <v>4.25</v>
      </c>
      <c r="C26">
        <v>4.75</v>
      </c>
      <c r="K26">
        <v>192.9</v>
      </c>
    </row>
    <row r="27" spans="2:11">
      <c r="B27">
        <v>4.5</v>
      </c>
      <c r="C27">
        <v>4.468</v>
      </c>
      <c r="K27">
        <v>184.3</v>
      </c>
    </row>
    <row r="28" spans="2:11">
      <c r="B28">
        <v>4.75</v>
      </c>
      <c r="C28">
        <v>4.2060000000000004</v>
      </c>
      <c r="K28">
        <v>176.2</v>
      </c>
    </row>
    <row r="29" spans="2:11">
      <c r="B29">
        <v>5</v>
      </c>
      <c r="C29">
        <v>3.9710000000000001</v>
      </c>
      <c r="K29">
        <v>168.8</v>
      </c>
    </row>
    <row r="35" spans="5:20">
      <c r="E35">
        <f t="array" ref="E35:J35">LINEST(C$8:C$29,$B$8:$B$29^{1,2,3,4,5})</f>
        <v>-3.9218989460610157E-2</v>
      </c>
      <c r="F35">
        <v>0.69416844568190095</v>
      </c>
      <c r="G35">
        <v>-4.9707321028605698</v>
      </c>
      <c r="H35">
        <v>18.469696697786905</v>
      </c>
      <c r="I35">
        <v>-37.8198637221114</v>
      </c>
      <c r="J35">
        <v>41.346360554077307</v>
      </c>
    </row>
    <row r="36" spans="5:20">
      <c r="E36">
        <f t="array" ref="E36:J36">LINEST(C$8:C$29,$B$8:$B$29^{1,2,3,4,5})</f>
        <v>-3.9218989460610157E-2</v>
      </c>
      <c r="F36">
        <v>0.69416844568190095</v>
      </c>
      <c r="G36">
        <v>-4.9707321028605698</v>
      </c>
      <c r="H36">
        <v>18.469696697786905</v>
      </c>
      <c r="I36">
        <v>-37.8198637221114</v>
      </c>
      <c r="J36">
        <v>41.346360554077307</v>
      </c>
    </row>
    <row r="37" spans="5:20">
      <c r="G37" t="e">
        <f t="array" ref="G37:L37">LINEST(E$8:E$29,$B$8:$B$29^{1,2,3,4,5})</f>
        <v>#VALUE!</v>
      </c>
      <c r="H37" t="e">
        <v>#VALUE!</v>
      </c>
      <c r="I37" t="e">
        <v>#VALUE!</v>
      </c>
      <c r="J37" t="e">
        <v>#VALUE!</v>
      </c>
      <c r="K37" t="e">
        <v>#VALUE!</v>
      </c>
      <c r="L37" t="e">
        <v>#VALUE!</v>
      </c>
      <c r="O37" t="e">
        <f t="array" ref="O37:T37">LINEST(P14:P35,O14:O35^{1,2,3,4,5})</f>
        <v>#VALUE!</v>
      </c>
      <c r="P37" t="e">
        <v>#VALUE!</v>
      </c>
      <c r="Q37" t="e">
        <v>#VALUE!</v>
      </c>
      <c r="R37" t="e">
        <v>#VALUE!</v>
      </c>
      <c r="S37" t="e">
        <v>#VALUE!</v>
      </c>
      <c r="T37" t="e">
        <v>#VALUE!</v>
      </c>
    </row>
    <row r="38" spans="5:20">
      <c r="H38" t="e">
        <f t="array" ref="H38:M38">LINEST(F$8:F$29,$B$8:$B$29^{1,2,3,4,5})</f>
        <v>#VALUE!</v>
      </c>
      <c r="I38" t="e">
        <v>#VALUE!</v>
      </c>
      <c r="J38" t="e">
        <v>#VALUE!</v>
      </c>
      <c r="K38" t="e">
        <v>#VALUE!</v>
      </c>
      <c r="L38" t="e">
        <v>#VALUE!</v>
      </c>
      <c r="M38" t="e">
        <v>#VALUE!</v>
      </c>
      <c r="O38" t="e">
        <f t="array" ref="O38:T38">LINEST(X14:X35,O14:O35^{1,2,3,4,5})</f>
        <v>#VALUE!</v>
      </c>
      <c r="P38" t="e">
        <v>#VALUE!</v>
      </c>
      <c r="Q38" t="e">
        <v>#VALUE!</v>
      </c>
      <c r="R38" t="e">
        <v>#VALUE!</v>
      </c>
      <c r="S38" t="e">
        <v>#VALUE!</v>
      </c>
      <c r="T38" t="e">
        <v>#VALUE!</v>
      </c>
    </row>
    <row r="39" spans="5:20">
      <c r="I39" t="e">
        <f t="array" ref="I39:N39">LINEST(G$8:G$29,$B$8:$B$29^{1,2,3,4,5})</f>
        <v>#VALUE!</v>
      </c>
      <c r="J39" t="e">
        <v>#VALUE!</v>
      </c>
      <c r="K39" t="e">
        <v>#VALUE!</v>
      </c>
      <c r="L39" t="e">
        <v>#VALUE!</v>
      </c>
      <c r="M39" t="e">
        <v>#VALUE!</v>
      </c>
      <c r="N39" t="e">
        <v>#VALUE!</v>
      </c>
    </row>
    <row r="41" spans="5:20">
      <c r="Q41">
        <f t="array" ref="Q41:Q46">TRANSPOSE(E35:J35)</f>
        <v>-3.9218989460610157E-2</v>
      </c>
      <c r="R41">
        <f t="array" ref="R41:R46">TRANSPOSE(F35:K35)</f>
        <v>0.69416844568190095</v>
      </c>
      <c r="S41" t="e">
        <f>TRANSPOSE(K23:K29)</f>
        <v>#VALUE!</v>
      </c>
    </row>
    <row r="42" spans="5:20">
      <c r="E42">
        <f t="array" ref="E42:J42">LINEST(C$8:C$29,$B$8:$B$29^{1,2,3,4,5})</f>
        <v>-3.9218989460610157E-2</v>
      </c>
      <c r="F42">
        <v>0.69416844568190095</v>
      </c>
      <c r="G42">
        <v>-4.9707321028605698</v>
      </c>
      <c r="H42">
        <v>18.469696697786905</v>
      </c>
      <c r="I42">
        <v>-37.8198637221114</v>
      </c>
      <c r="J42">
        <v>41.346360554077307</v>
      </c>
      <c r="O42" t="e">
        <f t="array" ref="O42:O48">INDEX(E35:J35,ROWS(O42:O47)*2-1)</f>
        <v>#REF!</v>
      </c>
      <c r="Q42">
        <v>0.69416844568190095</v>
      </c>
      <c r="R42">
        <v>-4.9707321028605698</v>
      </c>
    </row>
    <row r="43" spans="5:20">
      <c r="E43">
        <f t="array" ref="E43:J43">LINEST(C8:C29,$B$8:$B$29^{1,2,3,4,5})</f>
        <v>-3.9218989460610157E-2</v>
      </c>
      <c r="F43">
        <v>0.69416844568190095</v>
      </c>
      <c r="G43">
        <v>-4.9707321028605698</v>
      </c>
      <c r="H43">
        <v>18.469696697786905</v>
      </c>
      <c r="I43">
        <v>-37.8198637221114</v>
      </c>
      <c r="J43">
        <v>41.346360554077307</v>
      </c>
      <c r="O43" t="e">
        <v>#REF!</v>
      </c>
      <c r="Q43">
        <v>-4.9707321028605698</v>
      </c>
      <c r="R43">
        <v>18.469696697786905</v>
      </c>
    </row>
    <row r="44" spans="5:20">
      <c r="E44" t="e">
        <f t="array" ref="E44:J44">LINEST(C9:C30,$B$8:$B$29^{1,2,3,4,5})</f>
        <v>#VALUE!</v>
      </c>
      <c r="F44" t="e">
        <v>#VALUE!</v>
      </c>
      <c r="G44" t="e">
        <v>#VALUE!</v>
      </c>
      <c r="H44" t="e">
        <v>#VALUE!</v>
      </c>
      <c r="I44" t="e">
        <v>#VALUE!</v>
      </c>
      <c r="J44" t="e">
        <v>#VALUE!</v>
      </c>
      <c r="O44" t="e">
        <v>#REF!</v>
      </c>
      <c r="Q44">
        <v>18.469696697786905</v>
      </c>
      <c r="R44">
        <v>-37.8198637221114</v>
      </c>
    </row>
    <row r="45" spans="5:20">
      <c r="E45" t="e">
        <f t="array" ref="E45:J45">LINEST(C10:C31,$B$8:$B$29^{1,2,3,4,5})</f>
        <v>#VALUE!</v>
      </c>
      <c r="F45" t="e">
        <v>#VALUE!</v>
      </c>
      <c r="G45" t="e">
        <v>#VALUE!</v>
      </c>
      <c r="H45" t="e">
        <v>#VALUE!</v>
      </c>
      <c r="I45" t="e">
        <v>#VALUE!</v>
      </c>
      <c r="J45" t="e">
        <v>#VALUE!</v>
      </c>
      <c r="O45" t="e">
        <v>#REF!</v>
      </c>
      <c r="Q45">
        <v>-37.8198637221114</v>
      </c>
      <c r="R45">
        <v>41.346360554077307</v>
      </c>
    </row>
    <row r="46" spans="5:20">
      <c r="E46">
        <f t="array" ref="E46:J46">LINEST(C8:C29,$B$8:$B$29^{1,2,3,4,5})</f>
        <v>-3.9218989460610157E-2</v>
      </c>
      <c r="F46">
        <v>0.69416844568190095</v>
      </c>
      <c r="G46">
        <v>-4.9707321028605698</v>
      </c>
      <c r="H46">
        <v>18.469696697786905</v>
      </c>
      <c r="I46">
        <v>-37.8198637221114</v>
      </c>
      <c r="J46">
        <v>41.346360554077307</v>
      </c>
      <c r="O46" t="e">
        <v>#REF!</v>
      </c>
      <c r="Q46">
        <v>41.346360554077307</v>
      </c>
      <c r="R46">
        <v>0</v>
      </c>
    </row>
    <row r="47" spans="5:20">
      <c r="E47" t="e">
        <f t="array" ref="E47:J47">LINEST(C12:C33,$B$8:$B$29^{1,2,3,4,5})</f>
        <v>#VALUE!</v>
      </c>
      <c r="F47" t="e">
        <v>#VALUE!</v>
      </c>
      <c r="G47" t="e">
        <v>#VALUE!</v>
      </c>
      <c r="H47" t="e">
        <v>#VALUE!</v>
      </c>
      <c r="I47" t="e">
        <v>#VALUE!</v>
      </c>
      <c r="J47" t="e">
        <v>#VALUE!</v>
      </c>
      <c r="O47" t="e">
        <v>#REF!</v>
      </c>
      <c r="Q47">
        <f t="array" ref="Q47:Q49">TRANSPOSE(E41:J41)</f>
        <v>0</v>
      </c>
    </row>
    <row r="48" spans="5:20">
      <c r="E48" t="e">
        <f t="array" ref="E48:J48">LINEST(C13:C34,$B$8:$B$29^{1,2,3,4,5})</f>
        <v>#VALUE!</v>
      </c>
      <c r="F48" t="e">
        <v>#VALUE!</v>
      </c>
      <c r="G48" t="e">
        <v>#VALUE!</v>
      </c>
      <c r="H48" t="e">
        <v>#VALUE!</v>
      </c>
      <c r="I48" t="e">
        <v>#VALUE!</v>
      </c>
      <c r="J48" t="e">
        <v>#VALUE!</v>
      </c>
      <c r="O48" t="e">
        <v>#REF!</v>
      </c>
      <c r="Q48">
        <v>0</v>
      </c>
    </row>
    <row r="49" spans="1:24">
      <c r="Q49">
        <v>0</v>
      </c>
    </row>
    <row r="51" spans="1:24">
      <c r="K51">
        <v>1.2</v>
      </c>
    </row>
    <row r="52" spans="1:24">
      <c r="C52">
        <v>0.5</v>
      </c>
      <c r="D52">
        <v>0.6</v>
      </c>
      <c r="E52">
        <v>0.7</v>
      </c>
      <c r="F52">
        <v>0.8</v>
      </c>
      <c r="G52">
        <v>0.9</v>
      </c>
      <c r="H52">
        <v>1</v>
      </c>
      <c r="I52">
        <v>1.25</v>
      </c>
      <c r="J52">
        <v>1.5</v>
      </c>
      <c r="K52">
        <v>1.75</v>
      </c>
      <c r="L52">
        <v>2</v>
      </c>
      <c r="M52">
        <v>2.25</v>
      </c>
      <c r="N52">
        <v>2.5</v>
      </c>
      <c r="O52">
        <v>2.75</v>
      </c>
      <c r="P52">
        <v>3</v>
      </c>
      <c r="Q52">
        <v>3.25</v>
      </c>
      <c r="R52">
        <v>3.5</v>
      </c>
      <c r="S52">
        <v>3.75</v>
      </c>
      <c r="T52">
        <v>4</v>
      </c>
      <c r="U52">
        <v>4.25</v>
      </c>
      <c r="V52">
        <v>4.5</v>
      </c>
      <c r="W52">
        <v>4.75</v>
      </c>
      <c r="X52">
        <v>5</v>
      </c>
    </row>
    <row r="53" spans="1:24">
      <c r="A53" t="s">
        <v>79</v>
      </c>
      <c r="B53">
        <v>1.2</v>
      </c>
      <c r="C53">
        <v>26.45</v>
      </c>
      <c r="D53">
        <v>24.3</v>
      </c>
      <c r="E53">
        <v>22.46</v>
      </c>
      <c r="F53">
        <v>20.72</v>
      </c>
      <c r="G53">
        <v>19.010000000000002</v>
      </c>
      <c r="H53">
        <v>17.600000000000001</v>
      </c>
      <c r="I53">
        <v>14.74</v>
      </c>
      <c r="J53">
        <v>12.66</v>
      </c>
      <c r="K53">
        <v>11.02</v>
      </c>
      <c r="L53">
        <v>9.6890000000000001</v>
      </c>
      <c r="M53">
        <v>8.6530000000000005</v>
      </c>
      <c r="N53">
        <v>7.8280000000000003</v>
      </c>
      <c r="O53">
        <v>7.149</v>
      </c>
      <c r="P53">
        <v>6.5819999999999999</v>
      </c>
      <c r="Q53">
        <v>6.0990000000000002</v>
      </c>
      <c r="R53">
        <v>5.6920000000000002</v>
      </c>
      <c r="S53">
        <v>5.3380000000000001</v>
      </c>
      <c r="T53">
        <v>5.0259999999999998</v>
      </c>
      <c r="U53">
        <v>4.75</v>
      </c>
      <c r="V53">
        <v>4.468</v>
      </c>
      <c r="W53">
        <v>4.2060000000000004</v>
      </c>
      <c r="X53">
        <v>3.9710000000000001</v>
      </c>
    </row>
    <row r="54" spans="1:24">
      <c r="B54">
        <v>1.4</v>
      </c>
      <c r="C54">
        <v>567</v>
      </c>
      <c r="L54">
        <v>567</v>
      </c>
    </row>
    <row r="55" spans="1:24">
      <c r="B55">
        <v>1.6</v>
      </c>
      <c r="O55">
        <v>567567</v>
      </c>
    </row>
    <row r="58" spans="1:24">
      <c r="C58">
        <f t="array" ref="C58:H58">LINEST(C53:X53,$C$52:$X$52^{1;2;3;4;5})</f>
        <v>-3.9218989460610157E-2</v>
      </c>
      <c r="D58">
        <v>0.69416844568190095</v>
      </c>
      <c r="E58">
        <v>-4.9707321028605698</v>
      </c>
      <c r="F58">
        <v>18.469696697786905</v>
      </c>
      <c r="G58">
        <v>-37.8198637221114</v>
      </c>
      <c r="H58">
        <v>41.346360554077307</v>
      </c>
    </row>
    <row r="59" spans="1:24">
      <c r="C59" t="e">
        <f t="array" ref="C59:H59">LINEST(C54:X54,$C$52:$X$52^{1;2;3;4;5})</f>
        <v>#VALUE!</v>
      </c>
      <c r="D59" t="e">
        <v>#VALUE!</v>
      </c>
      <c r="E59" t="e">
        <v>#VALUE!</v>
      </c>
      <c r="F59" t="e">
        <v>#VALUE!</v>
      </c>
      <c r="G59" t="e">
        <v>#VALUE!</v>
      </c>
      <c r="H59" t="e">
        <v>#VALUE!</v>
      </c>
    </row>
    <row r="60" spans="1:24">
      <c r="C60" t="e">
        <f t="array" ref="C60:H60">LINEST(C55:X55,$C$52:$X$52^{1;2;3;4;5})</f>
        <v>#VALUE!</v>
      </c>
      <c r="D60" t="e">
        <v>#VALUE!</v>
      </c>
      <c r="E60" t="e">
        <v>#VALUE!</v>
      </c>
      <c r="F60" t="e">
        <v>#VALUE!</v>
      </c>
      <c r="G60" t="e">
        <v>#VALUE!</v>
      </c>
      <c r="H60" t="e">
        <v>#VALUE!</v>
      </c>
    </row>
    <row r="61" spans="1:24">
      <c r="C61" t="e">
        <f t="array" ref="C61:H61">LINEST(C56:X56,$C$52:$X$52^{1;2;3;4;5})</f>
        <v>#VALUE!</v>
      </c>
      <c r="D61" t="e">
        <v>#VALUE!</v>
      </c>
      <c r="E61" t="e">
        <v>#VALUE!</v>
      </c>
      <c r="F61" t="e">
        <v>#VALUE!</v>
      </c>
      <c r="G61" t="e">
        <v>#VALUE!</v>
      </c>
      <c r="H61" t="e">
        <v>#VALUE!</v>
      </c>
    </row>
    <row r="62" spans="1:24">
      <c r="C62" t="e">
        <f t="array" ref="C62:H62">LINEST(C57:X57,$C$52:$X$52^{1;2;3;4;5})</f>
        <v>#VALUE!</v>
      </c>
      <c r="D62" t="e">
        <v>#VALUE!</v>
      </c>
      <c r="E62" t="e">
        <v>#VALUE!</v>
      </c>
      <c r="F62" t="e">
        <v>#VALUE!</v>
      </c>
      <c r="G62" t="e">
        <v>#VALUE!</v>
      </c>
      <c r="H62" t="e">
        <v>#VALUE!</v>
      </c>
    </row>
    <row r="63" spans="1:24">
      <c r="C63" t="e">
        <f t="array" ref="C63:H63">LINEST(C58:X58,$C$52:$X$52^{1;2;3;4;5})</f>
        <v>#VALUE!</v>
      </c>
      <c r="D63" t="e">
        <v>#VALUE!</v>
      </c>
      <c r="E63" t="e">
        <v>#VALUE!</v>
      </c>
      <c r="F63" t="e">
        <v>#VALUE!</v>
      </c>
      <c r="G63" t="e">
        <v>#VALUE!</v>
      </c>
      <c r="H63" t="e">
        <v>#VALUE!</v>
      </c>
    </row>
    <row r="64" spans="1:24">
      <c r="C64" t="e">
        <f t="array" ref="C64:H64">LINEST(C59:X59,$C$52:$X$52^{1;2;3;4;5})</f>
        <v>#VALUE!</v>
      </c>
      <c r="D64" t="e">
        <v>#VALUE!</v>
      </c>
      <c r="E64" t="e">
        <v>#VALUE!</v>
      </c>
      <c r="F64" t="e">
        <v>#VALUE!</v>
      </c>
      <c r="G64" t="e">
        <v>#VALUE!</v>
      </c>
      <c r="H64" t="e">
        <v>#VALUE!</v>
      </c>
    </row>
    <row r="65" spans="3:8">
      <c r="C65" t="e">
        <f t="array" ref="C65:H65">LINEST(C60:X60,$C$52:$X$52^{1;2;3;4;5})</f>
        <v>#VALUE!</v>
      </c>
      <c r="D65" t="e">
        <v>#VALUE!</v>
      </c>
      <c r="E65" t="e">
        <v>#VALUE!</v>
      </c>
      <c r="F65" t="e">
        <v>#VALUE!</v>
      </c>
      <c r="G65" t="e">
        <v>#VALUE!</v>
      </c>
      <c r="H65" t="e">
        <v>#VALUE!</v>
      </c>
    </row>
    <row r="66" spans="3:8">
      <c r="C66" t="e">
        <f t="array" ref="C66:H66">LINEST(C61:X61,$C$52:$X$52^{1;2;3;4;5})</f>
        <v>#VALUE!</v>
      </c>
      <c r="D66" t="e">
        <v>#VALUE!</v>
      </c>
      <c r="E66" t="e">
        <v>#VALUE!</v>
      </c>
      <c r="F66" t="e">
        <v>#VALUE!</v>
      </c>
      <c r="G66" t="e">
        <v>#VALUE!</v>
      </c>
      <c r="H66" t="e">
        <v>#VALUE!</v>
      </c>
    </row>
    <row r="67" spans="3:8">
      <c r="C67" t="e">
        <f t="array" ref="C67:H67">LINEST(C62:X62,$C$52:$X$52^{1;2;3;4;5})</f>
        <v>#VALUE!</v>
      </c>
      <c r="D67" t="e">
        <v>#VALUE!</v>
      </c>
      <c r="E67" t="e">
        <v>#VALUE!</v>
      </c>
      <c r="F67" t="e">
        <v>#VALUE!</v>
      </c>
      <c r="G67" t="e">
        <v>#VALUE!</v>
      </c>
      <c r="H67" t="e">
        <v>#VALUE!</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33"/>
  <sheetViews>
    <sheetView showGridLines="0" showRowColHeaders="0" workbookViewId="0">
      <selection activeCell="N2" sqref="N2:Q3"/>
    </sheetView>
  </sheetViews>
  <sheetFormatPr defaultRowHeight="15"/>
  <sheetData>
    <row r="1" spans="1:19">
      <c r="A1" t="s">
        <v>122</v>
      </c>
      <c r="B1" t="s">
        <v>125</v>
      </c>
    </row>
    <row r="2" spans="1:19">
      <c r="A2" s="7" t="s">
        <v>123</v>
      </c>
      <c r="B2" s="7" t="s">
        <v>124</v>
      </c>
    </row>
    <row r="3" spans="1:19">
      <c r="A3" s="7">
        <v>30</v>
      </c>
      <c r="B3" s="7">
        <v>0.08</v>
      </c>
      <c r="D3">
        <f t="array" ref="D3:E3">LINEST(B3:B9,LN(A3:A9))</f>
        <v>0.13693027110752118</v>
      </c>
      <c r="E3">
        <v>-0.39603758830901137</v>
      </c>
    </row>
    <row r="4" spans="1:19">
      <c r="A4" s="7">
        <v>45</v>
      </c>
      <c r="B4" s="7">
        <v>0.12</v>
      </c>
      <c r="D4">
        <v>30</v>
      </c>
      <c r="E4">
        <v>700</v>
      </c>
      <c r="O4" t="s">
        <v>123</v>
      </c>
      <c r="P4" t="s">
        <v>124</v>
      </c>
      <c r="Q4" t="s">
        <v>127</v>
      </c>
      <c r="R4" t="s">
        <v>128</v>
      </c>
      <c r="S4" t="s">
        <v>129</v>
      </c>
    </row>
    <row r="5" spans="1:19">
      <c r="A5" s="7">
        <v>70</v>
      </c>
      <c r="B5" s="7">
        <v>0.18</v>
      </c>
      <c r="N5" t="s">
        <v>23</v>
      </c>
      <c r="O5">
        <f>1142*SQRT(7.02)</f>
        <v>3025.7612728039203</v>
      </c>
      <c r="P5">
        <f>$D$17*LN(O5)+$E$17</f>
        <v>0.61774362837822128</v>
      </c>
      <c r="Q5">
        <f>P5*434*SQRT(7.02)</f>
        <v>710.34047312994596</v>
      </c>
      <c r="R5">
        <v>716.4</v>
      </c>
      <c r="S5">
        <f>100*(R5-Q5)/R5</f>
        <v>0.84583010469765696</v>
      </c>
    </row>
    <row r="6" spans="1:19">
      <c r="A6" s="7">
        <v>100</v>
      </c>
      <c r="B6" s="7">
        <v>0.23</v>
      </c>
      <c r="N6" t="s">
        <v>26</v>
      </c>
      <c r="O6">
        <f>1142*SQRT(14)</f>
        <v>4272.972735695841</v>
      </c>
      <c r="P6">
        <f t="shared" ref="P6" si="0">$D$17*LN(O6)+$E$17</f>
        <v>0.64340692652263498</v>
      </c>
      <c r="Q6">
        <f>P6*434*SQRT(14)</f>
        <v>1044.8151932270221</v>
      </c>
      <c r="R6">
        <v>1042</v>
      </c>
      <c r="S6">
        <f t="shared" ref="S6:S7" si="1">100*(R6-Q6)/R6</f>
        <v>-0.27017209472380654</v>
      </c>
    </row>
    <row r="7" spans="1:19">
      <c r="A7" s="7">
        <v>200</v>
      </c>
      <c r="B7" s="7">
        <v>0.33</v>
      </c>
      <c r="N7" t="s">
        <v>126</v>
      </c>
      <c r="O7">
        <f>1142*SQRT(15.6)</f>
        <v>4510.5385931172341</v>
      </c>
      <c r="P7">
        <f>$D$17*LN(O7)+$E$17</f>
        <v>0.64743001963515112</v>
      </c>
      <c r="Q7">
        <f>P7*434*SQRT(15.6)</f>
        <v>1109.8003599121164</v>
      </c>
      <c r="R7">
        <v>1108</v>
      </c>
      <c r="S7">
        <f t="shared" si="1"/>
        <v>-0.16248735668920503</v>
      </c>
    </row>
    <row r="8" spans="1:19">
      <c r="A8" s="7">
        <v>400</v>
      </c>
      <c r="B8" s="7">
        <v>0.43</v>
      </c>
    </row>
    <row r="9" spans="1:19">
      <c r="A9" s="7">
        <v>700</v>
      </c>
      <c r="B9" s="7">
        <v>0.5</v>
      </c>
    </row>
    <row r="10" spans="1:19">
      <c r="A10" s="7">
        <v>1000</v>
      </c>
      <c r="B10" s="7">
        <v>0.54</v>
      </c>
    </row>
    <row r="11" spans="1:19">
      <c r="A11" s="7">
        <v>2000</v>
      </c>
      <c r="B11" s="7">
        <v>0.59299999999999997</v>
      </c>
    </row>
    <row r="12" spans="1:19">
      <c r="A12" s="7">
        <v>5000</v>
      </c>
      <c r="B12" s="7">
        <v>0.66</v>
      </c>
      <c r="N12" t="s">
        <v>130</v>
      </c>
      <c r="O12" t="s">
        <v>131</v>
      </c>
      <c r="P12" t="s">
        <v>132</v>
      </c>
    </row>
    <row r="13" spans="1:19">
      <c r="A13" s="7">
        <v>10000</v>
      </c>
      <c r="B13" s="7">
        <v>0.7</v>
      </c>
      <c r="N13">
        <f>(30/14.7)*(530/560)</f>
        <v>1.9314868804664722</v>
      </c>
      <c r="O13">
        <v>1.1999999999999999E-3</v>
      </c>
      <c r="P13">
        <f>O13*N13</f>
        <v>2.3177842565597663E-3</v>
      </c>
    </row>
    <row r="14" spans="1:19">
      <c r="A14" s="7">
        <v>20000</v>
      </c>
      <c r="B14" s="7">
        <v>0.72050000000000003</v>
      </c>
      <c r="N14" t="s">
        <v>133</v>
      </c>
      <c r="O14" t="s">
        <v>134</v>
      </c>
      <c r="P14" t="s">
        <v>135</v>
      </c>
      <c r="Q14" t="s">
        <v>136</v>
      </c>
    </row>
    <row r="15" spans="1:19">
      <c r="A15" s="7">
        <v>40000</v>
      </c>
      <c r="B15" s="7">
        <v>0.75</v>
      </c>
      <c r="N15">
        <v>1.8120000000000001E-2</v>
      </c>
      <c r="O15">
        <v>2.5999999999999998E-5</v>
      </c>
      <c r="P15">
        <v>30</v>
      </c>
      <c r="Q15">
        <f>N15+O15*P15</f>
        <v>1.89E-2</v>
      </c>
    </row>
    <row r="16" spans="1:19">
      <c r="A16" s="7">
        <v>100000</v>
      </c>
      <c r="B16" s="7">
        <v>0.78</v>
      </c>
    </row>
    <row r="17" spans="1:19">
      <c r="A17" s="7">
        <v>200000</v>
      </c>
      <c r="B17" s="7">
        <v>0.8</v>
      </c>
      <c r="D17">
        <f t="array" ref="D17:E17">LINEST(B9:B13,LN(A9:A13))</f>
        <v>7.4354677851053805E-2</v>
      </c>
      <c r="E17">
        <v>2.1796982542503951E-2</v>
      </c>
      <c r="O17" t="s">
        <v>123</v>
      </c>
      <c r="P17" t="s">
        <v>124</v>
      </c>
      <c r="Q17" t="s">
        <v>127</v>
      </c>
      <c r="R17" t="s">
        <v>128</v>
      </c>
      <c r="S17" t="s">
        <v>137</v>
      </c>
    </row>
    <row r="18" spans="1:19">
      <c r="D18">
        <v>700</v>
      </c>
      <c r="E18">
        <v>10000</v>
      </c>
      <c r="N18" t="s">
        <v>23</v>
      </c>
      <c r="O18">
        <f>(1142/$Q$15)*SQRT((8.02-$P$13)*$P$13)</f>
        <v>8236.9271212727472</v>
      </c>
      <c r="P18">
        <f>D17*LN(O18)+E17</f>
        <v>0.69220720846536632</v>
      </c>
      <c r="Q18">
        <f>P18*434*SQRT((8.02-$P$13)*$P$13)</f>
        <v>40.953098961677782</v>
      </c>
      <c r="R18">
        <v>40.450000000000003</v>
      </c>
      <c r="S18">
        <f>100*(R18-Q18)/R18</f>
        <v>-1.2437551586595272</v>
      </c>
    </row>
    <row r="19" spans="1:19">
      <c r="A19" s="239" t="s">
        <v>121</v>
      </c>
      <c r="B19" s="239"/>
      <c r="N19" t="s">
        <v>26</v>
      </c>
      <c r="O19">
        <f>(1142/$Q$15)*SQRT((15-$P$13)*$P$13)</f>
        <v>11265.56240368002</v>
      </c>
      <c r="P19">
        <f>D32*LN(O19)+E32</f>
        <v>0.70380957305091951</v>
      </c>
      <c r="Q19">
        <f>P19*434*SQRT((15-$P$13)*$P$13)</f>
        <v>56.949967044599859</v>
      </c>
      <c r="R19">
        <v>56.59</v>
      </c>
      <c r="S19">
        <f t="shared" ref="S19:S20" si="2">100*(R19-Q19)/R19</f>
        <v>-0.63609656228990186</v>
      </c>
    </row>
    <row r="20" spans="1:19">
      <c r="N20" t="s">
        <v>126</v>
      </c>
      <c r="O20">
        <f>(1142/$Q$15)*SQRT((16.6-$P$13)*$P$13)</f>
        <v>11851.260016462829</v>
      </c>
      <c r="P20">
        <f>D32*LN(O20)+E32</f>
        <v>0.70553929395998438</v>
      </c>
      <c r="Q20">
        <f>P20*434*SQRT((16.6-$P$13)*$P$13)</f>
        <v>60.058041066852127</v>
      </c>
      <c r="R20">
        <v>59.82</v>
      </c>
      <c r="S20">
        <f t="shared" si="2"/>
        <v>-0.3979288981145544</v>
      </c>
    </row>
    <row r="32" spans="1:19">
      <c r="D32">
        <f t="array" ref="D32:E32">LINEST(B13:B17,LN(A13:A17))</f>
        <v>3.4127758675246346E-2</v>
      </c>
      <c r="E32">
        <v>0.38541445135148822</v>
      </c>
    </row>
    <row r="33" spans="4:5">
      <c r="D33">
        <v>10000</v>
      </c>
      <c r="E33">
        <v>200000</v>
      </c>
    </row>
  </sheetData>
  <mergeCells count="1">
    <mergeCell ref="A19:B19"/>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U128"/>
  <sheetViews>
    <sheetView topLeftCell="A39" workbookViewId="0">
      <selection activeCell="N2" sqref="N2:Q3"/>
    </sheetView>
  </sheetViews>
  <sheetFormatPr defaultRowHeight="15"/>
  <cols>
    <col min="17" max="17" width="10.7109375" customWidth="1"/>
  </cols>
  <sheetData>
    <row r="3" spans="1:18">
      <c r="A3" s="3" t="s">
        <v>216</v>
      </c>
      <c r="B3" t="s">
        <v>260</v>
      </c>
      <c r="C3">
        <v>21</v>
      </c>
      <c r="D3">
        <v>15</v>
      </c>
      <c r="E3">
        <v>13</v>
      </c>
      <c r="F3">
        <v>4.5999999999999996</v>
      </c>
      <c r="G3">
        <v>4</v>
      </c>
      <c r="H3">
        <v>2.5</v>
      </c>
      <c r="I3">
        <v>2</v>
      </c>
      <c r="J3">
        <v>1.8</v>
      </c>
      <c r="K3">
        <v>1.5</v>
      </c>
      <c r="L3">
        <v>1.25</v>
      </c>
      <c r="M3">
        <v>0.94</v>
      </c>
      <c r="N3">
        <v>0.78</v>
      </c>
      <c r="O3">
        <v>0.64</v>
      </c>
      <c r="P3">
        <v>0.36</v>
      </c>
      <c r="Q3">
        <v>0.25</v>
      </c>
      <c r="R3">
        <v>0.13</v>
      </c>
    </row>
    <row r="4" spans="1:18">
      <c r="B4" t="s">
        <v>261</v>
      </c>
      <c r="C4">
        <v>1</v>
      </c>
      <c r="D4">
        <v>1.4</v>
      </c>
      <c r="E4">
        <v>1.6</v>
      </c>
      <c r="F4">
        <v>4.4000000000000004</v>
      </c>
      <c r="G4">
        <v>5</v>
      </c>
      <c r="H4">
        <v>8</v>
      </c>
      <c r="I4">
        <v>10</v>
      </c>
      <c r="J4">
        <v>11</v>
      </c>
      <c r="K4">
        <v>13</v>
      </c>
      <c r="L4">
        <v>15.1</v>
      </c>
      <c r="M4">
        <v>19</v>
      </c>
      <c r="N4">
        <v>22</v>
      </c>
      <c r="O4">
        <v>25</v>
      </c>
      <c r="P4">
        <v>32</v>
      </c>
      <c r="Q4">
        <v>34</v>
      </c>
      <c r="R4">
        <v>35</v>
      </c>
    </row>
    <row r="8" spans="1:18">
      <c r="C8">
        <f t="array" ref="C8:D8">LINEST(LN(C4:K4),LN(C3:K3))</f>
        <v>-0.97387384072301764</v>
      </c>
      <c r="D8">
        <v>2.9681733559373455</v>
      </c>
      <c r="K8">
        <f t="array" ref="K8:O8">LINEST(K4:R4,K3:R3^{1;2;3;4})</f>
        <v>-19.098143812200441</v>
      </c>
      <c r="L8">
        <v>71.813858472749217</v>
      </c>
      <c r="M8">
        <v>-84.521345409750552</v>
      </c>
      <c r="N8">
        <v>15.433358760513263</v>
      </c>
      <c r="O8">
        <v>34.315359228047079</v>
      </c>
      <c r="Q8">
        <f>K8*(0.5^4)+L8*0.5^3+M8*0.5^2+N8*0.5+O8</f>
        <v>28.684800576697196</v>
      </c>
    </row>
    <row r="9" spans="1:18">
      <c r="D9">
        <f>EXP(D8)</f>
        <v>19.456347295687859</v>
      </c>
    </row>
    <row r="27" spans="1:17">
      <c r="A27" s="3" t="s">
        <v>267</v>
      </c>
      <c r="B27" t="s">
        <v>260</v>
      </c>
      <c r="C27">
        <v>90</v>
      </c>
      <c r="D27">
        <v>80</v>
      </c>
      <c r="E27">
        <v>44</v>
      </c>
      <c r="F27">
        <v>26</v>
      </c>
      <c r="G27">
        <v>12</v>
      </c>
      <c r="H27">
        <v>8.4</v>
      </c>
      <c r="I27">
        <v>7</v>
      </c>
      <c r="J27">
        <v>4.5999999999999996</v>
      </c>
      <c r="K27">
        <v>3.2</v>
      </c>
      <c r="L27">
        <v>1.8</v>
      </c>
      <c r="M27">
        <v>1.5</v>
      </c>
      <c r="N27">
        <v>1.2</v>
      </c>
      <c r="O27">
        <v>1</v>
      </c>
      <c r="P27">
        <v>0.6</v>
      </c>
      <c r="Q27">
        <v>0.12</v>
      </c>
    </row>
    <row r="28" spans="1:17">
      <c r="B28" t="s">
        <v>261</v>
      </c>
      <c r="C28">
        <v>1.6</v>
      </c>
      <c r="D28">
        <v>1.8</v>
      </c>
      <c r="E28">
        <v>3.3</v>
      </c>
      <c r="F28">
        <v>5.6</v>
      </c>
      <c r="G28">
        <v>12</v>
      </c>
      <c r="H28">
        <v>17</v>
      </c>
      <c r="I28">
        <v>20</v>
      </c>
      <c r="J28">
        <v>30</v>
      </c>
      <c r="K28">
        <v>42</v>
      </c>
      <c r="L28">
        <v>68</v>
      </c>
      <c r="M28">
        <v>76</v>
      </c>
      <c r="N28">
        <v>84</v>
      </c>
      <c r="O28">
        <v>90</v>
      </c>
      <c r="P28">
        <v>100</v>
      </c>
      <c r="Q28">
        <v>110</v>
      </c>
    </row>
    <row r="30" spans="1:17">
      <c r="C30">
        <f t="array" ref="C30:D30">LINEST(LN(C28:J28),LN(C27:J27))</f>
        <v>-0.98807102107474298</v>
      </c>
      <c r="D30">
        <v>4.9265438410321547</v>
      </c>
    </row>
    <row r="31" spans="1:17">
      <c r="D31">
        <f>EXP(D30)</f>
        <v>137.90207627014709</v>
      </c>
      <c r="J31">
        <f t="array" ref="J31:N31">LINEST(J28:Q28,J27:Q27^{1;2;3;4})</f>
        <v>-0.47262646109200579</v>
      </c>
      <c r="K31">
        <v>4.9333024826654661</v>
      </c>
      <c r="L31">
        <v>-13.810759116791797</v>
      </c>
      <c r="M31">
        <v>-12.610865069447886</v>
      </c>
      <c r="N31">
        <v>111.67497350218625</v>
      </c>
    </row>
    <row r="50" spans="1:21">
      <c r="A50" s="3" t="s">
        <v>268</v>
      </c>
      <c r="B50" t="s">
        <v>260</v>
      </c>
      <c r="C50">
        <v>70</v>
      </c>
      <c r="D50">
        <v>58</v>
      </c>
      <c r="E50">
        <v>38</v>
      </c>
      <c r="F50">
        <v>35</v>
      </c>
      <c r="G50">
        <v>19</v>
      </c>
      <c r="H50">
        <v>15</v>
      </c>
      <c r="I50">
        <v>13</v>
      </c>
      <c r="J50">
        <v>12</v>
      </c>
      <c r="K50">
        <v>10</v>
      </c>
      <c r="L50">
        <v>6.6</v>
      </c>
      <c r="M50">
        <v>4</v>
      </c>
      <c r="N50">
        <v>3.4</v>
      </c>
      <c r="O50">
        <v>3</v>
      </c>
      <c r="P50">
        <v>2.5</v>
      </c>
      <c r="Q50">
        <v>1.7</v>
      </c>
      <c r="R50">
        <v>1</v>
      </c>
      <c r="S50">
        <v>0.88</v>
      </c>
      <c r="T50">
        <v>0.5</v>
      </c>
      <c r="U50">
        <v>0.13</v>
      </c>
    </row>
    <row r="51" spans="1:21">
      <c r="B51" t="s">
        <v>261</v>
      </c>
      <c r="C51">
        <v>14</v>
      </c>
      <c r="D51">
        <v>17</v>
      </c>
      <c r="E51">
        <v>26</v>
      </c>
      <c r="F51">
        <v>28</v>
      </c>
      <c r="G51">
        <v>51</v>
      </c>
      <c r="H51">
        <v>66</v>
      </c>
      <c r="I51">
        <v>76</v>
      </c>
      <c r="J51">
        <v>75</v>
      </c>
      <c r="K51">
        <v>97</v>
      </c>
      <c r="L51">
        <v>150</v>
      </c>
      <c r="M51">
        <v>210</v>
      </c>
      <c r="N51">
        <v>230</v>
      </c>
      <c r="O51">
        <v>260</v>
      </c>
      <c r="P51">
        <v>290</v>
      </c>
      <c r="Q51">
        <v>350</v>
      </c>
      <c r="R51">
        <v>390</v>
      </c>
      <c r="S51">
        <v>400</v>
      </c>
      <c r="T51">
        <v>420</v>
      </c>
      <c r="U51">
        <v>437</v>
      </c>
    </row>
    <row r="54" spans="1:21">
      <c r="C54">
        <f t="array" ref="C54:D54">LINEST(LN(C51:I51),LN(C50:I50))</f>
        <v>-1.0009407190145534</v>
      </c>
      <c r="D54">
        <v>6.893772807903952</v>
      </c>
      <c r="J54">
        <f t="array" ref="J54:N54">LINEST(I51:U51,I50:U50^{1;2;3;4})</f>
        <v>-9.6145417061474746E-3</v>
      </c>
      <c r="K54">
        <v>4.7592060839260077E-2</v>
      </c>
      <c r="L54">
        <v>4.8720518779824369</v>
      </c>
      <c r="M54">
        <v>-80.087044961569219</v>
      </c>
      <c r="N54">
        <v>459.07257891595384</v>
      </c>
    </row>
    <row r="55" spans="1:21">
      <c r="D55">
        <f>EXP(D54)</f>
        <v>986.11482964111372</v>
      </c>
    </row>
    <row r="76" spans="1:17">
      <c r="A76" s="3" t="s">
        <v>120</v>
      </c>
      <c r="B76" t="s">
        <v>260</v>
      </c>
      <c r="C76">
        <v>86</v>
      </c>
      <c r="D76">
        <v>58</v>
      </c>
      <c r="E76">
        <v>36</v>
      </c>
      <c r="F76">
        <v>30</v>
      </c>
      <c r="G76">
        <v>27</v>
      </c>
      <c r="H76">
        <v>24</v>
      </c>
      <c r="I76">
        <v>18</v>
      </c>
      <c r="J76">
        <v>12</v>
      </c>
      <c r="K76">
        <v>7.6</v>
      </c>
      <c r="L76">
        <v>4.5999999999999996</v>
      </c>
      <c r="M76">
        <v>3.4</v>
      </c>
      <c r="N76">
        <v>1.9</v>
      </c>
      <c r="O76">
        <v>1.5</v>
      </c>
      <c r="P76">
        <v>0.7</v>
      </c>
      <c r="Q76">
        <v>0.13</v>
      </c>
    </row>
    <row r="77" spans="1:17">
      <c r="B77" t="s">
        <v>261</v>
      </c>
      <c r="C77">
        <v>25</v>
      </c>
      <c r="D77">
        <v>34</v>
      </c>
      <c r="E77">
        <v>60</v>
      </c>
      <c r="F77">
        <v>72</v>
      </c>
      <c r="G77">
        <v>80</v>
      </c>
      <c r="H77">
        <v>90</v>
      </c>
      <c r="I77">
        <v>120</v>
      </c>
      <c r="J77">
        <v>180</v>
      </c>
      <c r="K77">
        <v>280</v>
      </c>
      <c r="L77">
        <v>400</v>
      </c>
      <c r="M77">
        <v>460</v>
      </c>
      <c r="N77">
        <v>540</v>
      </c>
      <c r="O77">
        <v>560</v>
      </c>
      <c r="P77">
        <v>600</v>
      </c>
      <c r="Q77">
        <v>620</v>
      </c>
    </row>
    <row r="80" spans="1:17">
      <c r="C80">
        <f t="array" ref="C80:D80">LINEST(LN(C77:K77),LN(C76:K76))</f>
        <v>-1.01337793516429</v>
      </c>
      <c r="D80">
        <v>7.7092385285920919</v>
      </c>
      <c r="K80">
        <f t="array" ref="K80:O80">LINEST(K77:Q77,K76:Q76^{1;2;3;4})</f>
        <v>-0.10886394698005425</v>
      </c>
      <c r="L80">
        <v>2.0155820126125392</v>
      </c>
      <c r="M80">
        <v>-11.048599635382233</v>
      </c>
      <c r="N80">
        <v>-29.999107414230895</v>
      </c>
      <c r="O80">
        <v>624.55164261782738</v>
      </c>
    </row>
    <row r="81" spans="4:4">
      <c r="D81">
        <f>EXP(D80)</f>
        <v>2228.8444105451795</v>
      </c>
    </row>
    <row r="100" spans="1:19">
      <c r="A100" s="3" t="s">
        <v>269</v>
      </c>
      <c r="B100" t="s">
        <v>260</v>
      </c>
      <c r="C100">
        <v>98</v>
      </c>
      <c r="D100">
        <v>58</v>
      </c>
      <c r="E100">
        <v>46</v>
      </c>
      <c r="F100">
        <v>39</v>
      </c>
      <c r="G100">
        <v>32</v>
      </c>
      <c r="H100">
        <v>27</v>
      </c>
      <c r="I100">
        <v>24</v>
      </c>
      <c r="J100">
        <v>20</v>
      </c>
      <c r="K100">
        <v>15</v>
      </c>
      <c r="L100">
        <v>12</v>
      </c>
      <c r="M100">
        <v>8.1999999999999993</v>
      </c>
      <c r="N100">
        <v>6.2</v>
      </c>
      <c r="O100">
        <v>4.4000000000000004</v>
      </c>
      <c r="P100">
        <v>2</v>
      </c>
      <c r="Q100">
        <v>1.2</v>
      </c>
      <c r="R100">
        <v>0.44</v>
      </c>
      <c r="S100">
        <v>0.11</v>
      </c>
    </row>
    <row r="101" spans="1:19">
      <c r="B101" t="s">
        <v>261</v>
      </c>
      <c r="C101">
        <v>90</v>
      </c>
      <c r="D101">
        <v>150</v>
      </c>
      <c r="E101">
        <v>190</v>
      </c>
      <c r="F101">
        <v>220</v>
      </c>
      <c r="G101">
        <v>270</v>
      </c>
      <c r="H101">
        <v>320</v>
      </c>
      <c r="I101">
        <v>360</v>
      </c>
      <c r="J101">
        <v>430</v>
      </c>
      <c r="K101">
        <v>540</v>
      </c>
      <c r="L101">
        <v>620</v>
      </c>
      <c r="M101">
        <v>740</v>
      </c>
      <c r="N101">
        <v>820</v>
      </c>
      <c r="O101">
        <v>920</v>
      </c>
      <c r="P101">
        <v>1100</v>
      </c>
      <c r="Q101">
        <v>1200</v>
      </c>
      <c r="R101">
        <v>1300</v>
      </c>
      <c r="S101">
        <v>1370</v>
      </c>
    </row>
    <row r="104" spans="1:19">
      <c r="C104">
        <f t="array" ref="C104:D104">LINEST(LN(C101:I101),LN(C100:I100))</f>
        <v>-0.98471286020147009</v>
      </c>
      <c r="D104">
        <v>9.011791040675309</v>
      </c>
      <c r="L104">
        <f t="array" ref="L104:P104">LINEST(I101:S101,I100:S100^{1;2;3;4})</f>
        <v>9.7181331831853717E-3</v>
      </c>
      <c r="M104">
        <v>-0.58315127430627278</v>
      </c>
      <c r="N104">
        <v>12.8713364351882</v>
      </c>
      <c r="O104">
        <v>-149.27494739622105</v>
      </c>
      <c r="P104">
        <v>1368.572077312846</v>
      </c>
    </row>
    <row r="105" spans="1:19">
      <c r="D105">
        <f>EXP(D104)</f>
        <v>8199.1932205595149</v>
      </c>
    </row>
    <row r="123" spans="1:18">
      <c r="A123" s="3" t="s">
        <v>270</v>
      </c>
      <c r="B123" t="s">
        <v>260</v>
      </c>
      <c r="C123">
        <v>90</v>
      </c>
      <c r="D123">
        <v>70</v>
      </c>
      <c r="E123">
        <v>58</v>
      </c>
      <c r="F123">
        <v>46</v>
      </c>
      <c r="G123">
        <v>34</v>
      </c>
      <c r="H123">
        <v>27</v>
      </c>
      <c r="I123">
        <v>22</v>
      </c>
      <c r="J123">
        <v>18</v>
      </c>
      <c r="K123">
        <v>12</v>
      </c>
      <c r="L123">
        <v>8</v>
      </c>
      <c r="M123">
        <v>6</v>
      </c>
      <c r="N123">
        <v>4.2</v>
      </c>
      <c r="O123">
        <v>2.7</v>
      </c>
      <c r="P123">
        <v>1.6</v>
      </c>
      <c r="Q123">
        <v>0.5</v>
      </c>
      <c r="R123">
        <v>0.11</v>
      </c>
    </row>
    <row r="124" spans="1:18">
      <c r="B124" t="s">
        <v>261</v>
      </c>
      <c r="C124">
        <v>150</v>
      </c>
      <c r="D124">
        <v>190</v>
      </c>
      <c r="E124">
        <v>230</v>
      </c>
      <c r="F124">
        <v>290</v>
      </c>
      <c r="G124">
        <v>390</v>
      </c>
      <c r="H124">
        <v>480</v>
      </c>
      <c r="I124">
        <v>580</v>
      </c>
      <c r="J124">
        <v>680</v>
      </c>
      <c r="K124">
        <v>900</v>
      </c>
      <c r="L124">
        <v>1100</v>
      </c>
      <c r="M124">
        <v>1200</v>
      </c>
      <c r="N124">
        <v>1300</v>
      </c>
      <c r="O124">
        <v>1400</v>
      </c>
      <c r="P124">
        <v>1500</v>
      </c>
      <c r="Q124">
        <v>1600</v>
      </c>
      <c r="R124">
        <v>1630</v>
      </c>
    </row>
    <row r="127" spans="1:18">
      <c r="C127">
        <f t="array" ref="C127:D127">LINEST(LN(C124:I124),LN(C123:I123))</f>
        <v>-0.96591145157053193</v>
      </c>
      <c r="D127">
        <v>9.3591624714358996</v>
      </c>
      <c r="L127">
        <f t="array" ref="L127:P127">LINEST(I124:R124,I123:R123^{1;2;3;4})</f>
        <v>5.6543339749193233E-3</v>
      </c>
      <c r="M127">
        <v>-0.28433599684739286</v>
      </c>
      <c r="N127">
        <v>5.9205898453107562</v>
      </c>
      <c r="O127">
        <v>-101.16140921122313</v>
      </c>
      <c r="P127">
        <v>1643.9548772023693</v>
      </c>
    </row>
    <row r="128" spans="1:18">
      <c r="D128">
        <f>EXP(D127)</f>
        <v>11604.66523222963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R43"/>
  <sheetViews>
    <sheetView topLeftCell="C25" workbookViewId="0">
      <selection activeCell="N2" sqref="N2:Q3"/>
    </sheetView>
  </sheetViews>
  <sheetFormatPr defaultRowHeight="15"/>
  <cols>
    <col min="2" max="2" width="20.85546875" bestFit="1" customWidth="1"/>
    <col min="3" max="3" width="22.42578125" bestFit="1" customWidth="1"/>
    <col min="4" max="4" width="16.140625" bestFit="1" customWidth="1"/>
    <col min="5" max="5" width="10.7109375" customWidth="1"/>
    <col min="6" max="6" width="15.7109375" bestFit="1" customWidth="1"/>
    <col min="7" max="7" width="17.28515625" bestFit="1" customWidth="1"/>
    <col min="8" max="8" width="17.42578125" bestFit="1" customWidth="1"/>
    <col min="9" max="9" width="10.7109375" bestFit="1" customWidth="1"/>
    <col min="10" max="10" width="12.85546875" bestFit="1" customWidth="1"/>
    <col min="11" max="11" width="11" bestFit="1" customWidth="1"/>
    <col min="12" max="12" width="18.42578125" bestFit="1" customWidth="1"/>
    <col min="14" max="14" width="12.85546875" bestFit="1" customWidth="1"/>
    <col min="17" max="17" width="12" bestFit="1" customWidth="1"/>
    <col min="18" max="18" width="11.7109375" bestFit="1" customWidth="1"/>
  </cols>
  <sheetData>
    <row r="2" spans="1:18">
      <c r="B2" s="62" t="s">
        <v>150</v>
      </c>
      <c r="C2" s="62" t="s">
        <v>151</v>
      </c>
      <c r="D2" s="62" t="s">
        <v>152</v>
      </c>
      <c r="E2" s="62" t="s">
        <v>165</v>
      </c>
      <c r="F2" s="62" t="s">
        <v>166</v>
      </c>
      <c r="G2" s="62" t="s">
        <v>153</v>
      </c>
      <c r="H2" s="62" t="s">
        <v>154</v>
      </c>
      <c r="I2" s="62" t="s">
        <v>155</v>
      </c>
      <c r="J2" s="62" t="s">
        <v>167</v>
      </c>
      <c r="K2" s="62" t="s">
        <v>135</v>
      </c>
      <c r="L2" s="62" t="s">
        <v>156</v>
      </c>
    </row>
    <row r="3" spans="1:18">
      <c r="B3">
        <f>'Modified Inputs'!$K$2</f>
        <v>140</v>
      </c>
      <c r="C3">
        <f>'Modified Inputs'!$I$2</f>
        <v>145</v>
      </c>
      <c r="D3" t="str">
        <f>IF(AND('VA Sizing'!$C$4=" Other",'VA Sizing'!$C$6="at Operating Conditions",'VA Sizing'!$C$5="Standard"),G3/E3,
IF(AND('VA Sizing'!$C$4=" Other",'VA Sizing'!$C$6="at Operating Conditions",OR('VA Sizing'!$C$5="Normal",'VA Sizing'!$C$5="Actual")),G3/F3,
IF(AND('VA Sizing'!$C$4=" Other",'VA Sizing'!$C$6="at Reference Conditions"),'Modified Inputs'!$M$4,
IF(AND('VA Sizing'!$C$3="Gas",'VA Sizing'!$C$5="Standard"),VLOOKUP('VA Sizing'!$C$4,'10A61 5" Calcs'!$J$3:$K$29,2,FALSE),
IF(AND('VA Sizing'!$C$3="Gas",OR('VA Sizing'!$C$5="Actual",'VA Sizing'!$C$5="Normal")),VLOOKUP('VA Sizing'!$C$4,'10A61 5" Calcs'!$J$3:$L$29,3,FALSE),"")))))</f>
        <v/>
      </c>
      <c r="E3">
        <f>(C3/14.7)*(530/(460+B3))</f>
        <v>8.7131519274376412</v>
      </c>
      <c r="F3">
        <f>(C3/14.7)*(492/(460+B3))</f>
        <v>8.0884353741496593</v>
      </c>
      <c r="G3" t="str">
        <f>IF(AND('VA Sizing'!$C$3="Gas",'VA Sizing'!$C$6="at Operating Conditions"),'Modified Inputs'!$M$2,
IF(OR(AND('VA Sizing'!$C$4="Carbon Dioxide",'Modified Inputs'!$I$2&gt;70),'VA Sizing'!$C$4="Ammonia",'VA Sizing'!$C$4="Chlorine",'VA Sizing'!$C$4="Sulfur Dioxide"),'10A61 5" Calcs'!$G$27,
IF('VA Sizing'!$C$5="Standard",'10A61 5" Calcs'!M46*'10A61 5" Calcs'!L46,
IF(OR('VA Sizing'!$C$5="Normal",'VA Sizing'!$C$5="Actual"),'10A61 5" Calcs'!N46*'10A61 5" Calcs'!L46,""))))</f>
        <v/>
      </c>
      <c r="H3" t="e">
        <f>VLOOKUP('VA Sizing'!$C$4,'10A61 5" Calcs'!$J$3:$M$29,4,FALSE)</f>
        <v>#N/A</v>
      </c>
      <c r="I3" t="e">
        <f>VLOOKUP('VA Sizing'!$C$4,'10A61 5" Calcs'!$J$3:$N$28,5,FALSE)</f>
        <v>#N/A</v>
      </c>
      <c r="J3">
        <f>B3-32</f>
        <v>108</v>
      </c>
      <c r="K3">
        <f>B3-70</f>
        <v>70</v>
      </c>
      <c r="L3" t="str">
        <f>IF(AND('VA Sizing'!$C$3="Gas",'VA Sizing'!$C$4=" Other"),'Modified Inputs'!$G$2,
IF('VA Sizing'!$C$5="Standard",'10A61 5" Calcs'!P46+'10A61 5" Calcs'!Q46*'10A61 5" Calcs'!S46,
IF(OR('VA Sizing'!$C$5="Normal",'VA Sizing'!$C$5="Actual"),'10A61 5" Calcs'!P46+'10A61 5" Calcs'!Q46*'10A61 5" Calcs'!R46,"")))</f>
        <v/>
      </c>
    </row>
    <row r="6" spans="1:18">
      <c r="J6" s="240" t="s">
        <v>110</v>
      </c>
      <c r="K6" s="240"/>
      <c r="N6" s="240" t="s">
        <v>109</v>
      </c>
      <c r="O6" s="240"/>
      <c r="Q6" s="240" t="s">
        <v>200</v>
      </c>
      <c r="R6" s="240"/>
    </row>
    <row r="7" spans="1:18">
      <c r="A7" t="s">
        <v>15</v>
      </c>
      <c r="G7" t="s">
        <v>16</v>
      </c>
      <c r="H7" t="s">
        <v>262</v>
      </c>
      <c r="I7" t="s">
        <v>263</v>
      </c>
      <c r="J7" t="s">
        <v>264</v>
      </c>
      <c r="K7" t="s">
        <v>29</v>
      </c>
      <c r="L7" t="s">
        <v>265</v>
      </c>
      <c r="M7" t="s">
        <v>266</v>
      </c>
      <c r="N7" t="s">
        <v>264</v>
      </c>
      <c r="O7" t="s">
        <v>29</v>
      </c>
      <c r="Q7" s="58" t="s">
        <v>158</v>
      </c>
      <c r="R7" s="58" t="s">
        <v>58</v>
      </c>
    </row>
    <row r="8" spans="1:18">
      <c r="A8" s="3" t="s">
        <v>216</v>
      </c>
      <c r="B8">
        <v>-0.97387384072301764</v>
      </c>
      <c r="C8">
        <v>2.9681733559373455</v>
      </c>
      <c r="G8" t="s">
        <v>18</v>
      </c>
      <c r="H8" t="e">
        <f>$L$3*(SQRT((7.02/((VLOOKUP(G8,'10A61 5" Calcs'!$A$3:$B$8,2,FALSE)-'10A61 3" Gas+liquid Calcs'!$G$3)*'10A61 3" Gas+liquid Calcs'!$G$3))))</f>
        <v>#VALUE!</v>
      </c>
      <c r="I8" t="e">
        <f>IF(H8&lt;$B$11+0.001,$B$10*(H8^4)+$C$10*(H8^3)+$D$10*(H8^2)+$E$10*H8+$F$10,$C$9*(H8^$B$8))</f>
        <v>#VALUE!</v>
      </c>
      <c r="J8" t="e">
        <f>I8/(SQRT((7.02/((VLOOKUP(G8,'10A61 5" Calcs'!$A$3:$B$8,2,FALSE)-'10A61 3" Gas+liquid Calcs'!$G$3)*'10A61 3" Gas+liquid Calcs'!$G$3))))</f>
        <v>#VALUE!</v>
      </c>
      <c r="K8" t="str">
        <f>IF(AND('VA Sizing'!$C$3="Gas",'VA Sizing'!$C$4=" Other",NOT('VA Sizing'!$C$5="Actual"),'VA Sizing'!$C$6="at Operating Conditions"),J8/$D$3,
IF(AND('VA Sizing'!$C$3="Gas",'VA Sizing'!$C$4=" Other",NOT('VA Sizing'!$C$5="Actual"),'VA Sizing'!$C$6="at Reference Conditions"),J8/'Modified Inputs'!$M$4,
IF('VA Sizing'!$C$5="Standard",J8/VLOOKUP('VA Sizing'!$C$4,'10A61 5" Calcs'!$J$3:$K$29,2,FALSE),
IF('VA Sizing'!$C$5="Normal",J8/VLOOKUP('VA Sizing'!$C$4,'10A61 5" Calcs'!$J$3:$L$29,3,FALSE),
IF('VA Sizing'!$C$5="Actual",J8/$G$3,"")))))</f>
        <v/>
      </c>
      <c r="L8" s="25">
        <f>'Modified Inputs'!$G$2*(SQRT((7.02/((VLOOKUP(G8,'10A61 5" Calcs'!$A$3:$B$8,2,FALSE)-'Modified Inputs'!$M$2)*'Modified Inputs'!$M$2))))</f>
        <v>2.1388735490091566</v>
      </c>
      <c r="M8">
        <f>IF(L8&lt;$B$11+0.001,$B$10*(L8^4)+$C$10*(L8^3)+$D$10*(L8^2)+$E$10*L8+$F$10,$C$9*(L8^$B$8))</f>
        <v>9.279031924203812</v>
      </c>
      <c r="N8">
        <f>M8/(SQRT((7.02/((VLOOKUP(G8,'10A61 5" Calcs'!$A$3:$B$8,2,FALSE)-'Modified Inputs'!$M$2)*'Modified Inputs'!$M$2))))</f>
        <v>4.3382798055090106</v>
      </c>
      <c r="O8">
        <f>N8/'Modified Inputs'!$M$2</f>
        <v>4.3821008136454651</v>
      </c>
      <c r="Q8" s="7">
        <f>IF('VA Sizing'!$C$3="Gas",K8,
IF('VA Sizing'!$C$3="Liquid",O8,""))</f>
        <v>4.3821008136454651</v>
      </c>
      <c r="R8" s="7" t="str">
        <f>CONCATENATE($A$8,"-",G8)</f>
        <v>1/8-08-BG</v>
      </c>
    </row>
    <row r="9" spans="1:18">
      <c r="C9">
        <v>19.456347295687859</v>
      </c>
      <c r="G9" t="s">
        <v>21</v>
      </c>
      <c r="H9" t="e">
        <f>$L$3*(SQRT((7.02/((VLOOKUP(G9,'10A61 5" Calcs'!$A$3:$B$8,2,FALSE)-'10A61 3" Gas+liquid Calcs'!$G$3)*'10A61 3" Gas+liquid Calcs'!$G$3))))</f>
        <v>#VALUE!</v>
      </c>
      <c r="I9" t="e">
        <f t="shared" ref="I9:I12" si="0">IF(H9&lt;$B$11+0.001,$B$10*(H9^4)+$C$10*(H9^3)+$D$10*(H9^2)+$E$10*H9+$F$10,$C$9*(H9^$B$8))</f>
        <v>#VALUE!</v>
      </c>
      <c r="J9" t="e">
        <f>I9/(SQRT((7.02/((VLOOKUP(G9,'10A61 5" Calcs'!$A$3:$B$8,2,FALSE)-'10A61 3" Gas+liquid Calcs'!$G$3)*'10A61 3" Gas+liquid Calcs'!$G$3))))</f>
        <v>#VALUE!</v>
      </c>
      <c r="K9" t="str">
        <f>IF(AND('VA Sizing'!$C$3="Gas",'VA Sizing'!$C$4=" Other",NOT('VA Sizing'!$C$5="Actual"),'VA Sizing'!$C$6="at Operating Conditions"),J9/$D$3,
IF(AND('VA Sizing'!$C$3="Gas",'VA Sizing'!$C$4=" Other",NOT('VA Sizing'!$C$5="Actual"),'VA Sizing'!$C$6="at Reference Conditions"),J9/'Modified Inputs'!$M$4,
IF('VA Sizing'!$C$5="Standard",J9/VLOOKUP('VA Sizing'!$C$4,'10A61 5" Calcs'!$J$3:$K$29,2,FALSE),
IF('VA Sizing'!$C$5="Normal",J9/VLOOKUP('VA Sizing'!$C$4,'10A61 5" Calcs'!$J$3:$L$29,3,FALSE),
IF('VA Sizing'!$C$5="Actual",J9/$G$3,"")))))</f>
        <v/>
      </c>
      <c r="L9" s="25">
        <f>'Modified Inputs'!$G$2*(SQRT((7.02/((VLOOKUP(G9,'10A61 5" Calcs'!$A$3:$B$8,2,FALSE)-'Modified Inputs'!$M$2)*'Modified Inputs'!$M$2))))</f>
        <v>1.539981007018036</v>
      </c>
      <c r="M9">
        <f t="shared" ref="M9:M12" si="1">IF(L9&lt;$B$11+0.001,$B$10*(L9^4)+$C$10*(L9^3)+$D$10*(L9^2)+$E$10*L9+$F$10,$C$9*(L9^$B$8))</f>
        <v>12.777473870021481</v>
      </c>
      <c r="N9">
        <f>M9/(SQRT((7.02/((VLOOKUP(G9,'10A61 5" Calcs'!$A$3:$B$8,2,FALSE)-'Modified Inputs'!$M$2)*'Modified Inputs'!$M$2))))</f>
        <v>8.2971632843468139</v>
      </c>
      <c r="O9">
        <f>N9/'Modified Inputs'!$M$2</f>
        <v>8.3809730144917314</v>
      </c>
      <c r="Q9" s="7">
        <f>IF('VA Sizing'!$C$3="Gas",K9,
IF('VA Sizing'!$C$3="Liquid",O9,""))</f>
        <v>8.3809730144917314</v>
      </c>
      <c r="R9" s="7" t="str">
        <f t="shared" ref="R9:R12" si="2">CONCATENATE($A$8,"-",G9)</f>
        <v>1/8-08-SA</v>
      </c>
    </row>
    <row r="10" spans="1:18">
      <c r="B10">
        <v>-19.098143812200441</v>
      </c>
      <c r="C10">
        <v>71.813858472749217</v>
      </c>
      <c r="D10">
        <v>-84.521345409750552</v>
      </c>
      <c r="E10">
        <v>15.433358760513263</v>
      </c>
      <c r="F10">
        <v>34.315359228047079</v>
      </c>
      <c r="G10" t="s">
        <v>23</v>
      </c>
      <c r="H10" t="e">
        <f>$L$3*(SQRT((7.02/((VLOOKUP(G10,'10A61 5" Calcs'!$A$3:$B$8,2,FALSE)-'10A61 3" Gas+liquid Calcs'!$G$3)*'10A61 3" Gas+liquid Calcs'!$G$3))))</f>
        <v>#VALUE!</v>
      </c>
      <c r="I10" t="e">
        <f t="shared" si="0"/>
        <v>#VALUE!</v>
      </c>
      <c r="J10" t="e">
        <f>I10/(SQRT((7.02/((VLOOKUP(G10,'10A61 5" Calcs'!$A$3:$B$8,2,FALSE)-'10A61 3" Gas+liquid Calcs'!$G$3)*'10A61 3" Gas+liquid Calcs'!$G$3))))</f>
        <v>#VALUE!</v>
      </c>
      <c r="K10" t="str">
        <f>IF(AND('VA Sizing'!$C$3="Gas",'VA Sizing'!$C$4=" Other",NOT('VA Sizing'!$C$5="Actual"),'VA Sizing'!$C$6="at Operating Conditions"),J10/$D$3,
IF(AND('VA Sizing'!$C$3="Gas",'VA Sizing'!$C$4=" Other",NOT('VA Sizing'!$C$5="Actual"),'VA Sizing'!$C$6="at Reference Conditions"),J10/'Modified Inputs'!$M$4,
IF('VA Sizing'!$C$5="Standard",J10/VLOOKUP('VA Sizing'!$C$4,'10A61 5" Calcs'!$J$3:$K$29,2,FALSE),
IF('VA Sizing'!$C$5="Normal",J10/VLOOKUP('VA Sizing'!$C$4,'10A61 5" Calcs'!$J$3:$L$29,3,FALSE),
IF('VA Sizing'!$C$5="Actual",J10/$G$3,"")))))</f>
        <v/>
      </c>
      <c r="L10" s="25">
        <f>'Modified Inputs'!$G$2*(SQRT((7.02/((VLOOKUP(G10,'10A61 5" Calcs'!$A$3:$B$8,2,FALSE)-'Modified Inputs'!$M$2)*'Modified Inputs'!$M$2))))</f>
        <v>1.0043227402378698</v>
      </c>
      <c r="M10">
        <f t="shared" si="1"/>
        <v>17.880451499592652</v>
      </c>
      <c r="N10">
        <f>M10/(SQRT((7.02/((VLOOKUP(G10,'10A61 5" Calcs'!$A$3:$B$8,2,FALSE)-'Modified Inputs'!$M$2)*'Modified Inputs'!$M$2))))</f>
        <v>17.803491629949292</v>
      </c>
      <c r="O10">
        <f>N10/'Modified Inputs'!$M$2</f>
        <v>17.98332487873666</v>
      </c>
      <c r="Q10" s="7">
        <f>IF('VA Sizing'!$C$3="Gas",K10,
IF('VA Sizing'!$C$3="Liquid",O10,""))</f>
        <v>17.98332487873666</v>
      </c>
      <c r="R10" s="7" t="str">
        <f t="shared" si="2"/>
        <v>1/8-08-SS</v>
      </c>
    </row>
    <row r="11" spans="1:18">
      <c r="B11">
        <v>1.5</v>
      </c>
      <c r="G11" t="s">
        <v>26</v>
      </c>
      <c r="H11" t="e">
        <f>$L$3*(SQRT((7.02/((VLOOKUP(G11,'10A61 5" Calcs'!$A$3:$B$8,2,FALSE)-'10A61 3" Gas+liquid Calcs'!$G$3)*'10A61 3" Gas+liquid Calcs'!$G$3))))</f>
        <v>#VALUE!</v>
      </c>
      <c r="I11" t="e">
        <f t="shared" si="0"/>
        <v>#VALUE!</v>
      </c>
      <c r="J11" t="e">
        <f>I11/(SQRT((7.02/((VLOOKUP(G11,'10A61 5" Calcs'!$A$3:$B$8,2,FALSE)-'10A61 3" Gas+liquid Calcs'!$G$3)*'10A61 3" Gas+liquid Calcs'!$G$3))))</f>
        <v>#VALUE!</v>
      </c>
      <c r="K11" t="str">
        <f>IF(AND('VA Sizing'!$C$3="Gas",'VA Sizing'!$C$4=" Other",NOT('VA Sizing'!$C$5="Actual"),'VA Sizing'!$C$6="at Operating Conditions"),J11/$D$3,
IF(AND('VA Sizing'!$C$3="Gas",'VA Sizing'!$C$4=" Other",NOT('VA Sizing'!$C$5="Actual"),'VA Sizing'!$C$6="at Reference Conditions"),J11/'Modified Inputs'!$M$4,
IF('VA Sizing'!$C$5="Standard",J11/VLOOKUP('VA Sizing'!$C$4,'10A61 5" Calcs'!$J$3:$K$29,2,FALSE),
IF('VA Sizing'!$C$5="Normal",J11/VLOOKUP('VA Sizing'!$C$4,'10A61 5" Calcs'!$J$3:$L$29,3,FALSE),
IF('VA Sizing'!$C$5="Actual",J11/$G$3,"")))))</f>
        <v/>
      </c>
      <c r="L11" s="25">
        <f>'Modified Inputs'!$G$2*(SQRT((7.02/((VLOOKUP(G11,'10A61 5" Calcs'!$A$3:$B$8,2,FALSE)-'Modified Inputs'!$M$2)*'Modified Inputs'!$M$2))))</f>
        <v>0.7114295352654707</v>
      </c>
      <c r="M11">
        <f t="shared" si="1"/>
        <v>23.482322783360544</v>
      </c>
      <c r="N11">
        <f>M11/(SQRT((7.02/((VLOOKUP(G11,'10A61 5" Calcs'!$A$3:$B$8,2,FALSE)-'Modified Inputs'!$M$2)*'Modified Inputs'!$M$2))))</f>
        <v>33.007236302887101</v>
      </c>
      <c r="O11">
        <f>N11/'Modified Inputs'!$M$2</f>
        <v>33.340642730188989</v>
      </c>
      <c r="Q11" s="7">
        <f>IF('VA Sizing'!$C$3="Gas",K11,
IF('VA Sizing'!$C$3="Liquid",O11,""))</f>
        <v>33.340642730188989</v>
      </c>
      <c r="R11" s="7" t="str">
        <f t="shared" si="2"/>
        <v>1/8-08-CA</v>
      </c>
    </row>
    <row r="12" spans="1:18">
      <c r="G12" t="s">
        <v>126</v>
      </c>
      <c r="H12" t="e">
        <f>$L$3*(SQRT((7.02/((VLOOKUP(G12,'10A61 5" Calcs'!$A$3:$B$8,2,FALSE)-'10A61 3" Gas+liquid Calcs'!$G$3)*'10A61 3" Gas+liquid Calcs'!$G$3))))</f>
        <v>#VALUE!</v>
      </c>
      <c r="I12" t="e">
        <f t="shared" si="0"/>
        <v>#VALUE!</v>
      </c>
      <c r="J12" t="e">
        <f>I12/(SQRT((7.02/((VLOOKUP(G12,'10A61 5" Calcs'!$A$3:$B$8,2,FALSE)-'10A61 3" Gas+liquid Calcs'!$G$3)*'10A61 3" Gas+liquid Calcs'!$G$3))))</f>
        <v>#VALUE!</v>
      </c>
      <c r="K12" t="str">
        <f>IF(AND('VA Sizing'!$C$3="Gas",'VA Sizing'!$C$4=" Other",NOT('VA Sizing'!$C$5="Actual"),'VA Sizing'!$C$6="at Operating Conditions"),J12/$D$3,
IF(AND('VA Sizing'!$C$3="Gas",'VA Sizing'!$C$4=" Other",NOT('VA Sizing'!$C$5="Actual"),'VA Sizing'!$C$6="at Reference Conditions"),J12/'Modified Inputs'!$M$4,
IF('VA Sizing'!$C$5="Standard",J12/VLOOKUP('VA Sizing'!$C$4,'10A61 5" Calcs'!$J$3:$K$29,2,FALSE),
IF('VA Sizing'!$C$5="Normal",J12/VLOOKUP('VA Sizing'!$C$4,'10A61 5" Calcs'!$J$3:$L$29,3,FALSE),
IF('VA Sizing'!$C$5="Actual",J12/$G$3,"")))))</f>
        <v/>
      </c>
      <c r="L12" s="25">
        <f>'Modified Inputs'!$G$2*(SQRT((7.02/((VLOOKUP(G12,'10A61 5" Calcs'!$A$3:$B$8,2,FALSE)-'Modified Inputs'!$M$2)*'Modified Inputs'!$M$2))))</f>
        <v>0.67398387659754788</v>
      </c>
      <c r="M12">
        <f t="shared" si="1"/>
        <v>24.368703562002722</v>
      </c>
      <c r="N12">
        <f>M12/(SQRT((7.02/((VLOOKUP(G12,'10A61 5" Calcs'!$A$3:$B$8,2,FALSE)-'Modified Inputs'!$M$2)*'Modified Inputs'!$M$2))))</f>
        <v>36.156211458681327</v>
      </c>
      <c r="O12">
        <f>N12/'Modified Inputs'!$M$2</f>
        <v>36.521425715839726</v>
      </c>
      <c r="Q12" s="7">
        <f>IF('VA Sizing'!$C$3="Gas",K12,
IF('VA Sizing'!$C$3="Liquid",O12,""))</f>
        <v>36.521425715839726</v>
      </c>
      <c r="R12" s="7" t="str">
        <f t="shared" si="2"/>
        <v>1/8-08-TA</v>
      </c>
    </row>
    <row r="13" spans="1:18">
      <c r="L13" s="25"/>
      <c r="Q13" s="7"/>
      <c r="R13" s="7"/>
    </row>
    <row r="14" spans="1:18">
      <c r="A14" s="3" t="s">
        <v>267</v>
      </c>
      <c r="B14">
        <v>-0.98807102107474298</v>
      </c>
      <c r="C14">
        <v>4.9265438410321547</v>
      </c>
      <c r="G14" t="s">
        <v>18</v>
      </c>
      <c r="H14" t="e">
        <f>$L$3*(SQRT((7.02/((VLOOKUP(G14,'10A61 5" Calcs'!$A$3:$B$8,2,FALSE)-'10A61 3" Gas+liquid Calcs'!$G$3)*'10A61 3" Gas+liquid Calcs'!$G$3))))</f>
        <v>#VALUE!</v>
      </c>
      <c r="I14" t="e">
        <f>IF(H14&lt;$B$17+0.001,$B$16*(H14^4)+$C$16*(H14^3)+$D$16*(H14^2)+$E$16*H14+$F$16,$C$15*(H14^$B$14))</f>
        <v>#VALUE!</v>
      </c>
      <c r="J14" t="e">
        <f>I14/(SQRT((7.02/((VLOOKUP(G14,'10A61 5" Calcs'!$A$3:$B$8,2,FALSE)-'10A61 3" Gas+liquid Calcs'!$G$3)*'10A61 3" Gas+liquid Calcs'!$G$3))))</f>
        <v>#VALUE!</v>
      </c>
      <c r="K14" t="str">
        <f>IF(AND('VA Sizing'!$C$3="Gas",'VA Sizing'!$C$4=" Other",NOT('VA Sizing'!$C$5="Actual"),'VA Sizing'!$C$6="at Operating Conditions"),J14/$D$3,
IF(AND('VA Sizing'!$C$3="Gas",'VA Sizing'!$C$4=" Other",NOT('VA Sizing'!$C$5="Actual"),'VA Sizing'!$C$6="at Reference Conditions"),J14/'Modified Inputs'!$M$4,
IF('VA Sizing'!$C$5="Standard",J14/VLOOKUP('VA Sizing'!$C$4,'10A61 5" Calcs'!$J$3:$K$29,2,FALSE),
IF('VA Sizing'!$C$5="Normal",J14/VLOOKUP('VA Sizing'!$C$4,'10A61 5" Calcs'!$J$3:$L$29,3,FALSE),
IF('VA Sizing'!$C$5="Actual",J14/$G$3,"")))))</f>
        <v/>
      </c>
      <c r="L14" s="25">
        <f>'Modified Inputs'!$G$2*(SQRT((7.02/((VLOOKUP(G14,'10A61 5" Calcs'!$A$3:$B$8,2,FALSE)-'Modified Inputs'!$M$2)*'Modified Inputs'!$M$2))))</f>
        <v>2.1388735490091566</v>
      </c>
      <c r="M14">
        <f>IF(L14&lt;$B$17+0.001,$B$16*(L14^4)+$C$16*(L14^3)+$D$16*(L14^2)+$E$16*L14+$F$16,$C$15*(L14^$B$14))</f>
        <v>59.901079630349017</v>
      </c>
      <c r="N14">
        <f>M14/(SQRT((7.02/((VLOOKUP(G14,'10A61 5" Calcs'!$A$3:$B$8,2,FALSE)-'Modified Inputs'!$M$2)*'Modified Inputs'!$M$2))))</f>
        <v>28.005900422724139</v>
      </c>
      <c r="O14">
        <f>N14/'Modified Inputs'!$M$2</f>
        <v>28.28878830578196</v>
      </c>
      <c r="Q14" s="7">
        <f>IF('VA Sizing'!$C$3="Gas",K14,
IF('VA Sizing'!$C$3="Liquid",O14,""))</f>
        <v>28.28878830578196</v>
      </c>
      <c r="R14" s="7" t="str">
        <f>CONCATENATE($A$14,"-",G14)</f>
        <v>1/8-20-BG</v>
      </c>
    </row>
    <row r="15" spans="1:18">
      <c r="C15">
        <v>137.90207627014709</v>
      </c>
      <c r="G15" t="s">
        <v>21</v>
      </c>
      <c r="H15" t="e">
        <f>$L$3*(SQRT((7.02/((VLOOKUP(G15,'10A61 5" Calcs'!$A$3:$B$8,2,FALSE)-'10A61 3" Gas+liquid Calcs'!$G$3)*'10A61 3" Gas+liquid Calcs'!$G$3))))</f>
        <v>#VALUE!</v>
      </c>
      <c r="I15" t="e">
        <f t="shared" ref="I15:I18" si="3">IF(H15&lt;$B$17+0.001,$B$16*(H15^4)+$C$16*(H15^3)+$D$16*(H15^2)+$E$16*H15+$F$16,$C$15*(H15^$B$14))</f>
        <v>#VALUE!</v>
      </c>
      <c r="J15" t="e">
        <f>I15/(SQRT((7.02/((VLOOKUP(G15,'10A61 5" Calcs'!$A$3:$B$8,2,FALSE)-'10A61 3" Gas+liquid Calcs'!$G$3)*'10A61 3" Gas+liquid Calcs'!$G$3))))</f>
        <v>#VALUE!</v>
      </c>
      <c r="K15" t="str">
        <f>IF(AND('VA Sizing'!$C$3="Gas",'VA Sizing'!$C$4=" Other",NOT('VA Sizing'!$C$5="Actual"),'VA Sizing'!$C$6="at Operating Conditions"),J15/$D$3,
IF(AND('VA Sizing'!$C$3="Gas",'VA Sizing'!$C$4=" Other",NOT('VA Sizing'!$C$5="Actual"),'VA Sizing'!$C$6="at Reference Conditions"),J15/'Modified Inputs'!$M$4,
IF('VA Sizing'!$C$5="Standard",J15/VLOOKUP('VA Sizing'!$C$4,'10A61 5" Calcs'!$J$3:$K$29,2,FALSE),
IF('VA Sizing'!$C$5="Normal",J15/VLOOKUP('VA Sizing'!$C$4,'10A61 5" Calcs'!$J$3:$L$29,3,FALSE),
IF('VA Sizing'!$C$5="Actual",J15/$G$3,"")))))</f>
        <v/>
      </c>
      <c r="L15" s="25">
        <f>'Modified Inputs'!$G$2*(SQRT((7.02/((VLOOKUP(G15,'10A61 5" Calcs'!$A$3:$B$8,2,FALSE)-'Modified Inputs'!$M$2)*'Modified Inputs'!$M$2))))</f>
        <v>1.539981007018036</v>
      </c>
      <c r="M15">
        <f t="shared" ref="M15:M18" si="4">IF(L15&lt;$B$17+0.001,$B$16*(L15^4)+$C$16*(L15^3)+$D$16*(L15^2)+$E$16*L15+$F$16,$C$15*(L15^$B$14))</f>
        <v>74.860598775958422</v>
      </c>
      <c r="N15">
        <f>M15/(SQRT((7.02/((VLOOKUP(G15,'10A61 5" Calcs'!$A$3:$B$8,2,FALSE)-'Modified Inputs'!$M$2)*'Modified Inputs'!$M$2))))</f>
        <v>48.611377955183876</v>
      </c>
      <c r="O15">
        <f>N15/'Modified Inputs'!$M$2</f>
        <v>49.102401974933208</v>
      </c>
      <c r="Q15" s="7">
        <f>IF('VA Sizing'!$C$3="Gas",K15,
IF('VA Sizing'!$C$3="Liquid",O15,""))</f>
        <v>49.102401974933208</v>
      </c>
      <c r="R15" s="7" t="str">
        <f t="shared" ref="R15:R18" si="5">CONCATENATE($A$14,"-",G15)</f>
        <v>1/8-20-SA</v>
      </c>
    </row>
    <row r="16" spans="1:18">
      <c r="B16">
        <v>-0.47262646109200579</v>
      </c>
      <c r="C16">
        <v>4.9333024826654661</v>
      </c>
      <c r="D16">
        <v>-13.810759116791797</v>
      </c>
      <c r="E16">
        <v>-12.610865069447886</v>
      </c>
      <c r="F16">
        <v>111.67497350218625</v>
      </c>
      <c r="G16" t="s">
        <v>23</v>
      </c>
      <c r="H16" t="e">
        <f>$L$3*(SQRT((7.02/((VLOOKUP(G16,'10A61 5" Calcs'!$A$3:$B$8,2,FALSE)-'10A61 3" Gas+liquid Calcs'!$G$3)*'10A61 3" Gas+liquid Calcs'!$G$3))))</f>
        <v>#VALUE!</v>
      </c>
      <c r="I16" t="e">
        <f t="shared" si="3"/>
        <v>#VALUE!</v>
      </c>
      <c r="J16" t="e">
        <f>I16/(SQRT((7.02/((VLOOKUP(G16,'10A61 5" Calcs'!$A$3:$B$8,2,FALSE)-'10A61 3" Gas+liquid Calcs'!$G$3)*'10A61 3" Gas+liquid Calcs'!$G$3))))</f>
        <v>#VALUE!</v>
      </c>
      <c r="K16" t="str">
        <f>IF(AND('VA Sizing'!$C$3="Gas",'VA Sizing'!$C$4=" Other",NOT('VA Sizing'!$C$5="Actual"),'VA Sizing'!$C$6="at Operating Conditions"),J16/$D$3,
IF(AND('VA Sizing'!$C$3="Gas",'VA Sizing'!$C$4=" Other",NOT('VA Sizing'!$C$5="Actual"),'VA Sizing'!$C$6="at Reference Conditions"),J16/'Modified Inputs'!$M$4,
IF('VA Sizing'!$C$5="Standard",J16/VLOOKUP('VA Sizing'!$C$4,'10A61 5" Calcs'!$J$3:$K$29,2,FALSE),
IF('VA Sizing'!$C$5="Normal",J16/VLOOKUP('VA Sizing'!$C$4,'10A61 5" Calcs'!$J$3:$L$29,3,FALSE),
IF('VA Sizing'!$C$5="Actual",J16/$G$3,"")))))</f>
        <v/>
      </c>
      <c r="L16" s="25">
        <f>'Modified Inputs'!$G$2*(SQRT((7.02/((VLOOKUP(G16,'10A61 5" Calcs'!$A$3:$B$8,2,FALSE)-'Modified Inputs'!$M$2)*'Modified Inputs'!$M$2))))</f>
        <v>1.0043227402378698</v>
      </c>
      <c r="M16">
        <f t="shared" si="4"/>
        <v>89.595880924810388</v>
      </c>
      <c r="N16">
        <f>M16/(SQRT((7.02/((VLOOKUP(G16,'10A61 5" Calcs'!$A$3:$B$8,2,FALSE)-'Modified Inputs'!$M$2)*'Modified Inputs'!$M$2))))</f>
        <v>89.210248195306178</v>
      </c>
      <c r="O16">
        <f>N16/'Modified Inputs'!$M$2</f>
        <v>90.111361813440581</v>
      </c>
      <c r="Q16" s="7">
        <f>IF('VA Sizing'!$C$3="Gas",K16,
IF('VA Sizing'!$C$3="Liquid",O16,""))</f>
        <v>90.111361813440581</v>
      </c>
      <c r="R16" s="7" t="str">
        <f t="shared" si="5"/>
        <v>1/8-20-SS</v>
      </c>
    </row>
    <row r="17" spans="1:18">
      <c r="B17">
        <v>4.5999999999999996</v>
      </c>
      <c r="G17" t="s">
        <v>26</v>
      </c>
      <c r="H17" t="e">
        <f>$L$3*(SQRT((7.02/((VLOOKUP(G17,'10A61 5" Calcs'!$A$3:$B$8,2,FALSE)-'10A61 3" Gas+liquid Calcs'!$G$3)*'10A61 3" Gas+liquid Calcs'!$G$3))))</f>
        <v>#VALUE!</v>
      </c>
      <c r="I17" t="e">
        <f t="shared" si="3"/>
        <v>#VALUE!</v>
      </c>
      <c r="J17" t="e">
        <f>I17/(SQRT((7.02/((VLOOKUP(G17,'10A61 5" Calcs'!$A$3:$B$8,2,FALSE)-'10A61 3" Gas+liquid Calcs'!$G$3)*'10A61 3" Gas+liquid Calcs'!$G$3))))</f>
        <v>#VALUE!</v>
      </c>
      <c r="K17" t="str">
        <f>IF(AND('VA Sizing'!$C$3="Gas",'VA Sizing'!$C$4=" Other",NOT('VA Sizing'!$C$5="Actual"),'VA Sizing'!$C$6="at Operating Conditions"),J17/$D$3,
IF(AND('VA Sizing'!$C$3="Gas",'VA Sizing'!$C$4=" Other",NOT('VA Sizing'!$C$5="Actual"),'VA Sizing'!$C$6="at Reference Conditions"),J17/'Modified Inputs'!$M$4,
IF('VA Sizing'!$C$5="Standard",J17/VLOOKUP('VA Sizing'!$C$4,'10A61 5" Calcs'!$J$3:$K$29,2,FALSE),
IF('VA Sizing'!$C$5="Normal",J17/VLOOKUP('VA Sizing'!$C$4,'10A61 5" Calcs'!$J$3:$L$29,3,FALSE),
IF('VA Sizing'!$C$5="Actual",J17/$G$3,"")))))</f>
        <v/>
      </c>
      <c r="L17" s="25">
        <f>'Modified Inputs'!$G$2*(SQRT((7.02/((VLOOKUP(G17,'10A61 5" Calcs'!$A$3:$B$8,2,FALSE)-'Modified Inputs'!$M$2)*'Modified Inputs'!$M$2))))</f>
        <v>0.7114295352654707</v>
      </c>
      <c r="M17">
        <f t="shared" si="4"/>
        <v>97.368462146193565</v>
      </c>
      <c r="N17">
        <f>M17/(SQRT((7.02/((VLOOKUP(G17,'10A61 5" Calcs'!$A$3:$B$8,2,FALSE)-'Modified Inputs'!$M$2)*'Modified Inputs'!$M$2))))</f>
        <v>136.86311478460115</v>
      </c>
      <c r="O17">
        <f>N17/'Modified Inputs'!$M$2</f>
        <v>138.24557048949612</v>
      </c>
      <c r="Q17" s="7">
        <f>IF('VA Sizing'!$C$3="Gas",K17,
IF('VA Sizing'!$C$3="Liquid",O17,""))</f>
        <v>138.24557048949612</v>
      </c>
      <c r="R17" s="7" t="str">
        <f t="shared" si="5"/>
        <v>1/8-20-CA</v>
      </c>
    </row>
    <row r="18" spans="1:18">
      <c r="G18" t="s">
        <v>126</v>
      </c>
      <c r="H18" t="e">
        <f>$L$3*(SQRT((7.02/((VLOOKUP(G18,'10A61 5" Calcs'!$A$3:$B$8,2,FALSE)-'10A61 3" Gas+liquid Calcs'!$G$3)*'10A61 3" Gas+liquid Calcs'!$G$3))))</f>
        <v>#VALUE!</v>
      </c>
      <c r="I18" t="e">
        <f t="shared" si="3"/>
        <v>#VALUE!</v>
      </c>
      <c r="J18" t="e">
        <f>I18/(SQRT((7.02/((VLOOKUP(G18,'10A61 5" Calcs'!$A$3:$B$8,2,FALSE)-'10A61 3" Gas+liquid Calcs'!$G$3)*'10A61 3" Gas+liquid Calcs'!$G$3))))</f>
        <v>#VALUE!</v>
      </c>
      <c r="K18" t="str">
        <f>IF(AND('VA Sizing'!$C$3="Gas",'VA Sizing'!$C$4=" Other",NOT('VA Sizing'!$C$5="Actual"),'VA Sizing'!$C$6="at Operating Conditions"),J18/$D$3,
IF(AND('VA Sizing'!$C$3="Gas",'VA Sizing'!$C$4=" Other",NOT('VA Sizing'!$C$5="Actual"),'VA Sizing'!$C$6="at Reference Conditions"),J18/'Modified Inputs'!$M$4,
IF('VA Sizing'!$C$5="Standard",J18/VLOOKUP('VA Sizing'!$C$4,'10A61 5" Calcs'!$J$3:$K$29,2,FALSE),
IF('VA Sizing'!$C$5="Normal",J18/VLOOKUP('VA Sizing'!$C$4,'10A61 5" Calcs'!$J$3:$L$29,3,FALSE),
IF('VA Sizing'!$C$5="Actual",J18/$G$3,"")))))</f>
        <v/>
      </c>
      <c r="L18" s="25">
        <f>'Modified Inputs'!$G$2*(SQRT((7.02/((VLOOKUP(G18,'10A61 5" Calcs'!$A$3:$B$8,2,FALSE)-'Modified Inputs'!$M$2)*'Modified Inputs'!$M$2))))</f>
        <v>0.67398387659754788</v>
      </c>
      <c r="M18">
        <f t="shared" si="4"/>
        <v>98.314712648204804</v>
      </c>
      <c r="N18">
        <f>M18/(SQRT((7.02/((VLOOKUP(G18,'10A61 5" Calcs'!$A$3:$B$8,2,FALSE)-'Modified Inputs'!$M$2)*'Modified Inputs'!$M$2))))</f>
        <v>145.8710157051886</v>
      </c>
      <c r="O18">
        <f>N18/'Modified Inputs'!$M$2</f>
        <v>147.34446030827132</v>
      </c>
      <c r="Q18" s="7">
        <f>IF('VA Sizing'!$C$3="Gas",K18,
IF('VA Sizing'!$C$3="Liquid",O18,""))</f>
        <v>147.34446030827132</v>
      </c>
      <c r="R18" s="7" t="str">
        <f t="shared" si="5"/>
        <v>1/8-20-TA</v>
      </c>
    </row>
    <row r="19" spans="1:18">
      <c r="L19" s="25"/>
      <c r="Q19" s="7"/>
      <c r="R19" s="7"/>
    </row>
    <row r="20" spans="1:18">
      <c r="A20" s="3" t="s">
        <v>268</v>
      </c>
      <c r="B20">
        <v>-1.0009407190145534</v>
      </c>
      <c r="C20">
        <v>6.893772807903952</v>
      </c>
      <c r="G20" t="s">
        <v>18</v>
      </c>
      <c r="H20" t="e">
        <f>$L$3*(SQRT((7.02/((VLOOKUP(G20,'10A61 5" Calcs'!$A$3:$B$8,2,FALSE)-'10A61 3" Gas+liquid Calcs'!$G$3)*'10A61 3" Gas+liquid Calcs'!$G$3))))</f>
        <v>#VALUE!</v>
      </c>
      <c r="I20" t="e">
        <f>IF(H20&lt;$B$23+0.001,$B$22*(H20^4)+$C$22*(H20^3)+$D$22*(H20^2)+$E$22*H20+$F$22,$C$21*(H20^$B$20))</f>
        <v>#VALUE!</v>
      </c>
      <c r="J20" t="e">
        <f>I20/(SQRT((7.02/((VLOOKUP(G20,'10A61 5" Calcs'!$A$3:$B$8,2,FALSE)-'10A61 3" Gas+liquid Calcs'!$G$3)*'10A61 3" Gas+liquid Calcs'!$G$3))))</f>
        <v>#VALUE!</v>
      </c>
      <c r="K20" t="str">
        <f>IF(AND('VA Sizing'!$C$3="Gas",'VA Sizing'!$C$4=" Other",NOT('VA Sizing'!$C$5="Actual"),'VA Sizing'!$C$6="at Operating Conditions"),J20/$D$3,
IF(AND('VA Sizing'!$C$3="Gas",'VA Sizing'!$C$4=" Other",NOT('VA Sizing'!$C$5="Actual"),'VA Sizing'!$C$6="at Reference Conditions"),J20/'Modified Inputs'!$M$4,
IF('VA Sizing'!$C$5="Standard",J20/VLOOKUP('VA Sizing'!$C$4,'10A61 5" Calcs'!$J$3:$K$29,2,FALSE),
IF('VA Sizing'!$C$5="Normal",J20/VLOOKUP('VA Sizing'!$C$4,'10A61 5" Calcs'!$J$3:$L$29,3,FALSE),
IF('VA Sizing'!$C$5="Actual",J20/$G$3,"")))))</f>
        <v/>
      </c>
      <c r="L20" s="25">
        <f>'Modified Inputs'!$G$2*(SQRT((7.02/((VLOOKUP(G20,'10A61 5" Calcs'!$A$3:$B$8,2,FALSE)-'Modified Inputs'!$M$2)*'Modified Inputs'!$M$2))))</f>
        <v>2.1388735490091566</v>
      </c>
      <c r="M20">
        <f>IF(L20&lt;$B$23+0.001,$B$22*(L20^4)+$C$22*(L20^3)+$D$22*(L20^2)+$E$22*L20+$F$22,$C$21*(L20^$B$20))</f>
        <v>310.32954600365446</v>
      </c>
      <c r="N20">
        <f>M20/(SQRT((7.02/((VLOOKUP(G20,'10A61 5" Calcs'!$A$3:$B$8,2,FALSE)-'Modified Inputs'!$M$2)*'Modified Inputs'!$M$2))))</f>
        <v>145.09017896238706</v>
      </c>
      <c r="O20">
        <f>N20/'Modified Inputs'!$M$2</f>
        <v>146.55573632564349</v>
      </c>
      <c r="Q20" s="7">
        <f>IF('VA Sizing'!$C$3="Gas",K20,
IF('VA Sizing'!$C$3="Liquid",O20,""))</f>
        <v>146.55573632564349</v>
      </c>
      <c r="R20" s="7" t="str">
        <f>CONCATENATE($A$20,"-",G20)</f>
        <v>1/4-15-BG</v>
      </c>
    </row>
    <row r="21" spans="1:18">
      <c r="C21">
        <v>986.11482964111372</v>
      </c>
      <c r="G21" t="s">
        <v>21</v>
      </c>
      <c r="H21" t="e">
        <f>$L$3*(SQRT((7.02/((VLOOKUP(G21,'10A61 5" Calcs'!$A$3:$B$8,2,FALSE)-'10A61 3" Gas+liquid Calcs'!$G$3)*'10A61 3" Gas+liquid Calcs'!$G$3))))</f>
        <v>#VALUE!</v>
      </c>
      <c r="I21" t="e">
        <f t="shared" ref="I21:I25" si="6">IF(H21&lt;$B$23+0.001,$B$22*(H21^4)+$C$22*(H21^3)+$D$22*(H21^2)+$E$22*H21+$F$22,$C$21*(H21^$B$20))</f>
        <v>#VALUE!</v>
      </c>
      <c r="J21" t="e">
        <f>I21/(SQRT((7.02/((VLOOKUP(G21,'10A61 5" Calcs'!$A$3:$B$8,2,FALSE)-'10A61 3" Gas+liquid Calcs'!$G$3)*'10A61 3" Gas+liquid Calcs'!$G$3))))</f>
        <v>#VALUE!</v>
      </c>
      <c r="K21" t="str">
        <f>IF(AND('VA Sizing'!$C$3="Gas",'VA Sizing'!$C$4=" Other",NOT('VA Sizing'!$C$5="Actual"),'VA Sizing'!$C$6="at Operating Conditions"),J21/$D$3,
IF(AND('VA Sizing'!$C$3="Gas",'VA Sizing'!$C$4=" Other",NOT('VA Sizing'!$C$5="Actual"),'VA Sizing'!$C$6="at Reference Conditions"),J21/'Modified Inputs'!$M$4,
IF('VA Sizing'!$C$5="Standard",J21/VLOOKUP('VA Sizing'!$C$4,'10A61 5" Calcs'!$J$3:$K$29,2,FALSE),
IF('VA Sizing'!$C$5="Normal",J21/VLOOKUP('VA Sizing'!$C$4,'10A61 5" Calcs'!$J$3:$L$29,3,FALSE),
IF('VA Sizing'!$C$5="Actual",J21/$G$3,"")))))</f>
        <v/>
      </c>
      <c r="L21" s="25">
        <f>'Modified Inputs'!$G$2*(SQRT((7.02/((VLOOKUP(G21,'10A61 5" Calcs'!$A$3:$B$8,2,FALSE)-'Modified Inputs'!$M$2)*'Modified Inputs'!$M$2))))</f>
        <v>1.539981007018036</v>
      </c>
      <c r="M21">
        <f t="shared" ref="M21:M25" si="7">IF(L21&lt;$B$23+0.001,$B$22*(L21^4)+$C$22*(L21^3)+$D$22*(L21^2)+$E$22*L21+$F$22,$C$21*(L21^$B$20))</f>
        <v>347.41406214183371</v>
      </c>
      <c r="N21">
        <f>M21/(SQRT((7.02/((VLOOKUP(G21,'10A61 5" Calcs'!$A$3:$B$8,2,FALSE)-'Modified Inputs'!$M$2)*'Modified Inputs'!$M$2))))</f>
        <v>225.59632914860023</v>
      </c>
      <c r="O21">
        <f>N21/'Modified Inputs'!$M$2</f>
        <v>227.87507994808104</v>
      </c>
      <c r="Q21" s="7">
        <f>IF('VA Sizing'!$C$3="Gas",K21,
IF('VA Sizing'!$C$3="Liquid",O21,""))</f>
        <v>227.87507994808104</v>
      </c>
      <c r="R21" s="7" t="str">
        <f t="shared" ref="R21:R25" si="8">CONCATENATE($A$20,"-",G21)</f>
        <v>1/4-15-SA</v>
      </c>
    </row>
    <row r="22" spans="1:18">
      <c r="B22">
        <v>-9.6145417061474746E-3</v>
      </c>
      <c r="C22">
        <v>4.7592060839260077E-2</v>
      </c>
      <c r="D22">
        <v>4.8720518779824369</v>
      </c>
      <c r="E22">
        <v>-80.087044961569219</v>
      </c>
      <c r="F22">
        <v>459.07257891595384</v>
      </c>
      <c r="G22" t="s">
        <v>23</v>
      </c>
      <c r="H22" t="e">
        <f>$L$3*(SQRT((7.02/((VLOOKUP(G22,'10A61 5" Calcs'!$A$3:$B$8,2,FALSE)-'10A61 3" Gas+liquid Calcs'!$G$3)*'10A61 3" Gas+liquid Calcs'!$G$3))))</f>
        <v>#VALUE!</v>
      </c>
      <c r="I22" t="e">
        <f t="shared" si="6"/>
        <v>#VALUE!</v>
      </c>
      <c r="J22" t="e">
        <f>I22/(SQRT((7.02/((VLOOKUP(G22,'10A61 5" Calcs'!$A$3:$B$8,2,FALSE)-'10A61 3" Gas+liquid Calcs'!$G$3)*'10A61 3" Gas+liquid Calcs'!$G$3))))</f>
        <v>#VALUE!</v>
      </c>
      <c r="K22" t="str">
        <f>IF(AND('VA Sizing'!$C$3="Gas",'VA Sizing'!$C$4=" Other",NOT('VA Sizing'!$C$5="Actual"),'VA Sizing'!$C$6="at Operating Conditions"),J22/$D$3,
IF(AND('VA Sizing'!$C$3="Gas",'VA Sizing'!$C$4=" Other",NOT('VA Sizing'!$C$5="Actual"),'VA Sizing'!$C$6="at Reference Conditions"),J22/'Modified Inputs'!$M$4,
IF('VA Sizing'!$C$5="Standard",J22/VLOOKUP('VA Sizing'!$C$4,'10A61 5" Calcs'!$J$3:$K$29,2,FALSE),
IF('VA Sizing'!$C$5="Normal",J22/VLOOKUP('VA Sizing'!$C$4,'10A61 5" Calcs'!$J$3:$L$29,3,FALSE),
IF('VA Sizing'!$C$5="Actual",J22/$G$3,"")))))</f>
        <v/>
      </c>
      <c r="L22" s="25">
        <f>'Modified Inputs'!$G$2*(SQRT((7.02/((VLOOKUP(G22,'10A61 5" Calcs'!$A$3:$B$8,2,FALSE)-'Modified Inputs'!$M$2)*'Modified Inputs'!$M$2))))</f>
        <v>1.0043227402378698</v>
      </c>
      <c r="M22">
        <f t="shared" si="7"/>
        <v>383.59203265906444</v>
      </c>
      <c r="N22">
        <f>M22/(SQRT((7.02/((VLOOKUP(G22,'10A61 5" Calcs'!$A$3:$B$8,2,FALSE)-'Modified Inputs'!$M$2)*'Modified Inputs'!$M$2))))</f>
        <v>381.9410009258699</v>
      </c>
      <c r="O22">
        <f>N22/'Modified Inputs'!$M$2</f>
        <v>385.79899083421202</v>
      </c>
      <c r="Q22" s="7">
        <f>IF('VA Sizing'!$C$3="Gas",K22,
IF('VA Sizing'!$C$3="Liquid",O22,""))</f>
        <v>385.79899083421202</v>
      </c>
      <c r="R22" s="7" t="str">
        <f t="shared" si="8"/>
        <v>1/4-15-SS</v>
      </c>
    </row>
    <row r="23" spans="1:18">
      <c r="B23">
        <v>13</v>
      </c>
      <c r="G23" t="s">
        <v>26</v>
      </c>
      <c r="H23" t="e">
        <f>$L$3*(SQRT((7.02/((VLOOKUP(G23,'10A61 5" Calcs'!$A$3:$B$8,2,FALSE)-'10A61 3" Gas+liquid Calcs'!$G$3)*'10A61 3" Gas+liquid Calcs'!$G$3))))</f>
        <v>#VALUE!</v>
      </c>
      <c r="I23" t="e">
        <f t="shared" si="6"/>
        <v>#VALUE!</v>
      </c>
      <c r="J23" t="e">
        <f>I23/(SQRT((7.02/((VLOOKUP(G23,'10A61 5" Calcs'!$A$3:$B$8,2,FALSE)-'10A61 3" Gas+liquid Calcs'!$G$3)*'10A61 3" Gas+liquid Calcs'!$G$3))))</f>
        <v>#VALUE!</v>
      </c>
      <c r="K23" t="str">
        <f>IF(AND('VA Sizing'!$C$3="Gas",'VA Sizing'!$C$4=" Other",NOT('VA Sizing'!$C$5="Actual"),'VA Sizing'!$C$6="at Operating Conditions"),J23/$D$3,
IF(AND('VA Sizing'!$C$3="Gas",'VA Sizing'!$C$4=" Other",NOT('VA Sizing'!$C$5="Actual"),'VA Sizing'!$C$6="at Reference Conditions"),J23/'Modified Inputs'!$M$4,
IF('VA Sizing'!$C$5="Standard",J23/VLOOKUP('VA Sizing'!$C$4,'10A61 5" Calcs'!$J$3:$K$29,2,FALSE),
IF('VA Sizing'!$C$5="Normal",J23/VLOOKUP('VA Sizing'!$C$4,'10A61 5" Calcs'!$J$3:$L$29,3,FALSE),
IF('VA Sizing'!$C$5="Actual",J23/$G$3,"")))))</f>
        <v/>
      </c>
      <c r="L23" s="25">
        <f>'Modified Inputs'!$G$2*(SQRT((7.02/((VLOOKUP(G23,'10A61 5" Calcs'!$A$3:$B$8,2,FALSE)-'Modified Inputs'!$M$2)*'Modified Inputs'!$M$2))))</f>
        <v>0.7114295352654707</v>
      </c>
      <c r="M23">
        <f t="shared" si="7"/>
        <v>404.5768648844454</v>
      </c>
      <c r="N23">
        <f>M23/(SQRT((7.02/((VLOOKUP(G23,'10A61 5" Calcs'!$A$3:$B$8,2,FALSE)-'Modified Inputs'!$M$2)*'Modified Inputs'!$M$2))))</f>
        <v>568.68156975444811</v>
      </c>
      <c r="O23">
        <f>N23/'Modified Inputs'!$M$2</f>
        <v>574.42582803479604</v>
      </c>
      <c r="Q23" s="7">
        <f>IF('VA Sizing'!$C$3="Gas",K23,
IF('VA Sizing'!$C$3="Liquid",O23,""))</f>
        <v>574.42582803479604</v>
      </c>
      <c r="R23" s="7" t="str">
        <f t="shared" si="8"/>
        <v>1/4-15-CA</v>
      </c>
    </row>
    <row r="24" spans="1:18">
      <c r="G24" t="s">
        <v>126</v>
      </c>
      <c r="H24" t="e">
        <f>$L$3*(SQRT((7.02/((VLOOKUP(G24,'10A61 5" Calcs'!$A$3:$B$8,2,FALSE)-'10A61 3" Gas+liquid Calcs'!$G$3)*'10A61 3" Gas+liquid Calcs'!$G$3))))</f>
        <v>#VALUE!</v>
      </c>
      <c r="I24" t="e">
        <f t="shared" si="6"/>
        <v>#VALUE!</v>
      </c>
      <c r="J24" t="e">
        <f>I24/(SQRT((7.02/((VLOOKUP(G24,'10A61 5" Calcs'!$A$3:$B$8,2,FALSE)-'10A61 3" Gas+liquid Calcs'!$G$3)*'10A61 3" Gas+liquid Calcs'!$G$3))))</f>
        <v>#VALUE!</v>
      </c>
      <c r="K24" t="str">
        <f>IF(AND('VA Sizing'!$C$3="Gas",'VA Sizing'!$C$4=" Other",NOT('VA Sizing'!$C$5="Actual"),'VA Sizing'!$C$6="at Operating Conditions"),J24/$D$3,
IF(AND('VA Sizing'!$C$3="Gas",'VA Sizing'!$C$4=" Other",NOT('VA Sizing'!$C$5="Actual"),'VA Sizing'!$C$6="at Reference Conditions"),J24/'Modified Inputs'!$M$4,
IF('VA Sizing'!$C$5="Standard",J24/VLOOKUP('VA Sizing'!$C$4,'10A61 5" Calcs'!$J$3:$K$29,2,FALSE),
IF('VA Sizing'!$C$5="Normal",J24/VLOOKUP('VA Sizing'!$C$4,'10A61 5" Calcs'!$J$3:$L$29,3,FALSE),
IF('VA Sizing'!$C$5="Actual",J24/$G$3,"")))))</f>
        <v/>
      </c>
      <c r="L24" s="25">
        <f>'Modified Inputs'!$G$2*(SQRT((7.02/((VLOOKUP(G24,'10A61 5" Calcs'!$A$3:$B$8,2,FALSE)-'Modified Inputs'!$M$2)*'Modified Inputs'!$M$2))))</f>
        <v>0.67398387659754788</v>
      </c>
      <c r="M24">
        <f t="shared" si="7"/>
        <v>407.32093909337476</v>
      </c>
      <c r="N24">
        <f>M24/(SQRT((7.02/((VLOOKUP(G24,'10A61 5" Calcs'!$A$3:$B$8,2,FALSE)-'Modified Inputs'!$M$2)*'Modified Inputs'!$M$2))))</f>
        <v>604.34819472186871</v>
      </c>
      <c r="O24">
        <f>N24/'Modified Inputs'!$M$2</f>
        <v>610.45272194128154</v>
      </c>
      <c r="Q24" s="7">
        <f>IF('VA Sizing'!$C$3="Gas",K24,
IF('VA Sizing'!$C$3="Liquid",O24,""))</f>
        <v>610.45272194128154</v>
      </c>
      <c r="R24" s="7" t="str">
        <f t="shared" si="8"/>
        <v>1/4-15-TA</v>
      </c>
    </row>
    <row r="25" spans="1:18" s="87" customFormat="1">
      <c r="G25" s="152" t="s">
        <v>142</v>
      </c>
      <c r="H25" s="153" t="e">
        <f>$L$3*(SQRT((7.02/((VLOOKUP(G25,'10A61 5" Calcs'!$A$3:$B$8,2,FALSE)-'10A61 3" Gas+liquid Calcs'!$G$3)*'10A61 3" Gas+liquid Calcs'!$G$3))))</f>
        <v>#VALUE!</v>
      </c>
      <c r="I25" s="153" t="e">
        <f t="shared" si="6"/>
        <v>#VALUE!</v>
      </c>
      <c r="J25" s="153" t="e">
        <f>I25/(SQRT((7.02/((VLOOKUP(G25,'10A61 5" Calcs'!$A$3:$B$8,2,FALSE)-'10A61 3" Gas+liquid Calcs'!$G$3)*'10A61 3" Gas+liquid Calcs'!$G$3))))</f>
        <v>#VALUE!</v>
      </c>
      <c r="K25" s="153" t="str">
        <f>IF(AND('VA Sizing'!$C$3="Gas",'VA Sizing'!$C$4=" Other",NOT('VA Sizing'!$C$5="Actual"),'VA Sizing'!$C$6="at Operating Conditions"),J25/$D$3,
IF(AND('VA Sizing'!$C$3="Gas",'VA Sizing'!$C$4=" Other",NOT('VA Sizing'!$C$5="Actual"),'VA Sizing'!$C$6="at Reference Conditions"),J25/'Modified Inputs'!$M$4,
IF('VA Sizing'!$C$5="Standard",J25/VLOOKUP('VA Sizing'!$C$4,'10A61 5" Calcs'!$J$3:$K$29,2,FALSE),
IF('VA Sizing'!$C$5="Normal",J25/VLOOKUP('VA Sizing'!$C$4,'10A61 5" Calcs'!$J$3:$L$29,3,FALSE),
IF('VA Sizing'!$C$5="Actual",J25/$G$3,"")))))</f>
        <v/>
      </c>
      <c r="L25" s="154">
        <f>'Modified Inputs'!$G$2*(SQRT((7.02/((VLOOKUP(G25,'10A61 5" Calcs'!$A$3:$B$8,2,FALSE)-'Modified Inputs'!$M$2)*'Modified Inputs'!$M$2))))</f>
        <v>2.3445316702153347</v>
      </c>
      <c r="M25" s="153">
        <f t="shared" si="7"/>
        <v>298.40963804968067</v>
      </c>
      <c r="N25" s="153">
        <f>M25/(SQRT((7.02/((VLOOKUP(G25,'10A61 5" Calcs'!$A$3:$B$8,2,FALSE)-'Modified Inputs'!$M$2)*'Modified Inputs'!$M$2))))</f>
        <v>127.27899641563515</v>
      </c>
      <c r="O25" s="153">
        <f>N25/'Modified Inputs'!$M$2</f>
        <v>128.56464284407591</v>
      </c>
      <c r="P25" s="153"/>
      <c r="Q25" s="63">
        <f>IF('VA Sizing'!$C$3="Gas",K25,
IF('VA Sizing'!$C$3="Liquid",O25,""))</f>
        <v>128.56464284407591</v>
      </c>
      <c r="R25" s="63" t="str">
        <f t="shared" si="8"/>
        <v>1/4-15-CD</v>
      </c>
    </row>
    <row r="26" spans="1:18">
      <c r="A26" s="3" t="s">
        <v>120</v>
      </c>
      <c r="B26">
        <v>-1.01337793516429</v>
      </c>
      <c r="C26">
        <v>7.7092385285920919</v>
      </c>
      <c r="G26" t="s">
        <v>18</v>
      </c>
      <c r="H26" t="e">
        <f>$L$3*(SQRT((7.02/((VLOOKUP(G26,'10A61 5" Calcs'!$A$3:$B$8,2,FALSE)-'10A61 3" Gas+liquid Calcs'!$G$3)*'10A61 3" Gas+liquid Calcs'!$G$3))))</f>
        <v>#VALUE!</v>
      </c>
      <c r="I26" t="e">
        <f>IF(H26&lt;$B$29+0.001,$B$28*(H26^4)+$C$28*(H26^3)+$D$28*(H26^2)+$E$28*H26+$F$28,$C$27*(H26^$B$26))</f>
        <v>#VALUE!</v>
      </c>
      <c r="J26" t="e">
        <f>I26/(SQRT((7.02/((VLOOKUP(G26,'10A61 5" Calcs'!$A$3:$B$8,2,FALSE)-'10A61 3" Gas+liquid Calcs'!$G$3)*'10A61 3" Gas+liquid Calcs'!$G$3))))</f>
        <v>#VALUE!</v>
      </c>
      <c r="K26" t="str">
        <f>IF(AND('VA Sizing'!$C$3="Gas",'VA Sizing'!$C$4=" Other",NOT('VA Sizing'!$C$5="Actual"),'VA Sizing'!$C$6="at Operating Conditions"),J26/$D$3,
IF(AND('VA Sizing'!$C$3="Gas",'VA Sizing'!$C$4=" Other",NOT('VA Sizing'!$C$5="Actual"),'VA Sizing'!$C$6="at Reference Conditions"),J26/'Modified Inputs'!$M$4,
IF('VA Sizing'!$C$5="Standard",J26/VLOOKUP('VA Sizing'!$C$4,'10A61 5" Calcs'!$J$3:$K$29,2,FALSE),
IF('VA Sizing'!$C$5="Normal",J26/VLOOKUP('VA Sizing'!$C$4,'10A61 5" Calcs'!$J$3:$L$29,3,FALSE),
IF('VA Sizing'!$C$5="Actual",J26/$G$3,"")))))</f>
        <v/>
      </c>
      <c r="L26" s="25">
        <f>'Modified Inputs'!$G$2*(SQRT((7.02/((VLOOKUP(G26,'10A61 5" Calcs'!$A$3:$B$8,2,FALSE)-'Modified Inputs'!$M$2)*'Modified Inputs'!$M$2))))</f>
        <v>2.1388735490091566</v>
      </c>
      <c r="M26">
        <f>IF(L26&lt;$B$29+0.001,$B$28*(L26^4)+$C$28*(L26^3)+$D$28*(L26^2)+$E$28*L26+$F$28,$C$27*(L26^$B$26))</f>
        <v>527.28628079900113</v>
      </c>
      <c r="N26">
        <f>M26/(SQRT((7.02/((VLOOKUP(G26,'10A61 5" Calcs'!$A$3:$B$8,2,FALSE)-'Modified Inputs'!$M$2)*'Modified Inputs'!$M$2))))</f>
        <v>246.52522401021278</v>
      </c>
      <c r="O26">
        <f>N26/'Modified Inputs'!$M$2</f>
        <v>249.01537778809373</v>
      </c>
      <c r="Q26" s="151">
        <f>IF('VA Sizing'!$C$3="Gas",K26,
IF('VA Sizing'!$C$3="Liquid",O26,""))</f>
        <v>249.01537778809373</v>
      </c>
      <c r="R26" s="151" t="str">
        <f>CONCATENATE($A$26,"-",G26)</f>
        <v>1/4-20-BG</v>
      </c>
    </row>
    <row r="27" spans="1:18">
      <c r="C27">
        <v>2228.8444105451795</v>
      </c>
      <c r="G27" t="s">
        <v>21</v>
      </c>
      <c r="H27" t="e">
        <f>$L$3*(SQRT((7.02/((VLOOKUP(G27,'10A61 5" Calcs'!$A$3:$B$8,2,FALSE)-'10A61 3" Gas+liquid Calcs'!$G$3)*'10A61 3" Gas+liquid Calcs'!$G$3))))</f>
        <v>#VALUE!</v>
      </c>
      <c r="I27" t="e">
        <f t="shared" ref="I27:I30" si="9">IF(H27&lt;$B$29+0.001,$B$28*(H27^4)+$C$28*(H27^3)+$D$28*(H27^2)+$E$28*H27+$F$28,$C$27*(H27^$B$26))</f>
        <v>#VALUE!</v>
      </c>
      <c r="J27" t="e">
        <f>I27/(SQRT((7.02/((VLOOKUP(G27,'10A61 5" Calcs'!$A$3:$B$8,2,FALSE)-'10A61 3" Gas+liquid Calcs'!$G$3)*'10A61 3" Gas+liquid Calcs'!$G$3))))</f>
        <v>#VALUE!</v>
      </c>
      <c r="K27" t="str">
        <f>IF(AND('VA Sizing'!$C$3="Gas",'VA Sizing'!$C$4=" Other",NOT('VA Sizing'!$C$5="Actual"),'VA Sizing'!$C$6="at Operating Conditions"),J27/$D$3,
IF(AND('VA Sizing'!$C$3="Gas",'VA Sizing'!$C$4=" Other",NOT('VA Sizing'!$C$5="Actual"),'VA Sizing'!$C$6="at Reference Conditions"),J27/'Modified Inputs'!$M$4,
IF('VA Sizing'!$C$5="Standard",J27/VLOOKUP('VA Sizing'!$C$4,'10A61 5" Calcs'!$J$3:$K$29,2,FALSE),
IF('VA Sizing'!$C$5="Normal",J27/VLOOKUP('VA Sizing'!$C$4,'10A61 5" Calcs'!$J$3:$L$29,3,FALSE),
IF('VA Sizing'!$C$5="Actual",J27/$G$3,"")))))</f>
        <v/>
      </c>
      <c r="L27" s="25">
        <f>'Modified Inputs'!$G$2*(SQRT((7.02/((VLOOKUP(G27,'10A61 5" Calcs'!$A$3:$B$8,2,FALSE)-'Modified Inputs'!$M$2)*'Modified Inputs'!$M$2))))</f>
        <v>1.539981007018036</v>
      </c>
      <c r="M27">
        <f t="shared" ref="M27:M30" si="10">IF(L27&lt;$B$29+0.001,$B$28*(L27^4)+$C$28*(L27^3)+$D$28*(L27^2)+$E$28*L27+$F$28,$C$27*(L27^$B$26))</f>
        <v>558.90026605651929</v>
      </c>
      <c r="N27">
        <f>M27/(SQRT((7.02/((VLOOKUP(G27,'10A61 5" Calcs'!$A$3:$B$8,2,FALSE)-'Modified Inputs'!$M$2)*'Modified Inputs'!$M$2))))</f>
        <v>362.9267266995414</v>
      </c>
      <c r="O27">
        <f>N27/'Modified Inputs'!$M$2</f>
        <v>366.59265323186003</v>
      </c>
      <c r="Q27" s="7">
        <f>IF('VA Sizing'!$C$3="Gas",K27,
IF('VA Sizing'!$C$3="Liquid",O27,""))</f>
        <v>366.59265323186003</v>
      </c>
      <c r="R27" s="7" t="str">
        <f t="shared" ref="R27:R31" si="11">CONCATENATE($A$26,"-",G27)</f>
        <v>1/4-20-SA</v>
      </c>
    </row>
    <row r="28" spans="1:18">
      <c r="B28">
        <v>-0.10886394698005425</v>
      </c>
      <c r="C28">
        <v>2.0155820126125392</v>
      </c>
      <c r="D28">
        <v>-11.048599635382233</v>
      </c>
      <c r="E28">
        <v>-29.999107414230895</v>
      </c>
      <c r="F28">
        <v>624.55164261782738</v>
      </c>
      <c r="G28" t="s">
        <v>23</v>
      </c>
      <c r="H28" t="e">
        <f>$L$3*(SQRT((7.02/((VLOOKUP(G28,'10A61 5" Calcs'!$A$3:$B$8,2,FALSE)-'10A61 3" Gas+liquid Calcs'!$G$3)*'10A61 3" Gas+liquid Calcs'!$G$3))))</f>
        <v>#VALUE!</v>
      </c>
      <c r="I28" t="e">
        <f t="shared" si="9"/>
        <v>#VALUE!</v>
      </c>
      <c r="J28" t="e">
        <f>I28/(SQRT((7.02/((VLOOKUP(G28,'10A61 5" Calcs'!$A$3:$B$8,2,FALSE)-'10A61 3" Gas+liquid Calcs'!$G$3)*'10A61 3" Gas+liquid Calcs'!$G$3))))</f>
        <v>#VALUE!</v>
      </c>
      <c r="K28" t="str">
        <f>IF(AND('VA Sizing'!$C$3="Gas",'VA Sizing'!$C$4=" Other",NOT('VA Sizing'!$C$5="Actual"),'VA Sizing'!$C$6="at Operating Conditions"),J28/$D$3,
IF(AND('VA Sizing'!$C$3="Gas",'VA Sizing'!$C$4=" Other",NOT('VA Sizing'!$C$5="Actual"),'VA Sizing'!$C$6="at Reference Conditions"),J28/'Modified Inputs'!$M$4,
IF('VA Sizing'!$C$5="Standard",J28/VLOOKUP('VA Sizing'!$C$4,'10A61 5" Calcs'!$J$3:$K$29,2,FALSE),
IF('VA Sizing'!$C$5="Normal",J28/VLOOKUP('VA Sizing'!$C$4,'10A61 5" Calcs'!$J$3:$L$29,3,FALSE),
IF('VA Sizing'!$C$5="Actual",J28/$G$3,"")))))</f>
        <v/>
      </c>
      <c r="L28" s="25">
        <f>'Modified Inputs'!$G$2*(SQRT((7.02/((VLOOKUP(G28,'10A61 5" Calcs'!$A$3:$B$8,2,FALSE)-'Modified Inputs'!$M$2)*'Modified Inputs'!$M$2))))</f>
        <v>1.0043227402378698</v>
      </c>
      <c r="M28">
        <f t="shared" si="10"/>
        <v>585.20960543994465</v>
      </c>
      <c r="N28">
        <f>M28/(SQRT((7.02/((VLOOKUP(G28,'10A61 5" Calcs'!$A$3:$B$8,2,FALSE)-'Modified Inputs'!$M$2)*'Modified Inputs'!$M$2))))</f>
        <v>582.69078453938039</v>
      </c>
      <c r="O28">
        <f>N28/'Modified Inputs'!$M$2</f>
        <v>588.57655003977823</v>
      </c>
      <c r="Q28" s="7">
        <f>IF('VA Sizing'!$C$3="Gas",K28,
IF('VA Sizing'!$C$3="Liquid",O28,""))</f>
        <v>588.57655003977823</v>
      </c>
      <c r="R28" s="7" t="str">
        <f t="shared" si="11"/>
        <v>1/4-20-SS</v>
      </c>
    </row>
    <row r="29" spans="1:18">
      <c r="B29">
        <v>7.6</v>
      </c>
      <c r="G29" t="s">
        <v>26</v>
      </c>
      <c r="H29" t="e">
        <f>$L$3*(SQRT((7.02/((VLOOKUP(G29,'10A61 5" Calcs'!$A$3:$B$8,2,FALSE)-'10A61 3" Gas+liquid Calcs'!$G$3)*'10A61 3" Gas+liquid Calcs'!$G$3))))</f>
        <v>#VALUE!</v>
      </c>
      <c r="I29" t="e">
        <f t="shared" si="9"/>
        <v>#VALUE!</v>
      </c>
      <c r="J29" t="e">
        <f>I29/(SQRT((7.02/((VLOOKUP(G29,'10A61 5" Calcs'!$A$3:$B$8,2,FALSE)-'10A61 3" Gas+liquid Calcs'!$G$3)*'10A61 3" Gas+liquid Calcs'!$G$3))))</f>
        <v>#VALUE!</v>
      </c>
      <c r="K29" t="str">
        <f>IF(AND('VA Sizing'!$C$3="Gas",'VA Sizing'!$C$4=" Other",NOT('VA Sizing'!$C$5="Actual"),'VA Sizing'!$C$6="at Operating Conditions"),J29/$D$3,
IF(AND('VA Sizing'!$C$3="Gas",'VA Sizing'!$C$4=" Other",NOT('VA Sizing'!$C$5="Actual"),'VA Sizing'!$C$6="at Reference Conditions"),J29/'Modified Inputs'!$M$4,
IF('VA Sizing'!$C$5="Standard",J29/VLOOKUP('VA Sizing'!$C$4,'10A61 5" Calcs'!$J$3:$K$29,2,FALSE),
IF('VA Sizing'!$C$5="Normal",J29/VLOOKUP('VA Sizing'!$C$4,'10A61 5" Calcs'!$J$3:$L$29,3,FALSE),
IF('VA Sizing'!$C$5="Actual",J29/$G$3,"")))))</f>
        <v/>
      </c>
      <c r="L29" s="25">
        <f>'Modified Inputs'!$G$2*(SQRT((7.02/((VLOOKUP(G29,'10A61 5" Calcs'!$A$3:$B$8,2,FALSE)-'Modified Inputs'!$M$2)*'Modified Inputs'!$M$2))))</f>
        <v>0.7114295352654707</v>
      </c>
      <c r="M29">
        <f t="shared" si="10"/>
        <v>598.31521950159208</v>
      </c>
      <c r="N29">
        <f>M29/(SQRT((7.02/((VLOOKUP(G29,'10A61 5" Calcs'!$A$3:$B$8,2,FALSE)-'Modified Inputs'!$M$2)*'Modified Inputs'!$M$2))))</f>
        <v>841.00418923193865</v>
      </c>
      <c r="O29">
        <f>N29/'Modified Inputs'!$M$2</f>
        <v>849.49918104236224</v>
      </c>
      <c r="Q29" s="7">
        <f>IF('VA Sizing'!$C$3="Gas",K29,
IF('VA Sizing'!$C$3="Liquid",O29,""))</f>
        <v>849.49918104236224</v>
      </c>
      <c r="R29" s="7" t="str">
        <f t="shared" si="11"/>
        <v>1/4-20-CA</v>
      </c>
    </row>
    <row r="30" spans="1:18">
      <c r="G30" t="s">
        <v>126</v>
      </c>
      <c r="H30" t="e">
        <f>$L$3*(SQRT((7.02/((VLOOKUP(G30,'10A61 5" Calcs'!$A$3:$B$8,2,FALSE)-'10A61 3" Gas+liquid Calcs'!$G$3)*'10A61 3" Gas+liquid Calcs'!$G$3))))</f>
        <v>#VALUE!</v>
      </c>
      <c r="I30" t="e">
        <f t="shared" si="9"/>
        <v>#VALUE!</v>
      </c>
      <c r="J30" t="e">
        <f>I30/(SQRT((7.02/((VLOOKUP(G30,'10A61 5" Calcs'!$A$3:$B$8,2,FALSE)-'10A61 3" Gas+liquid Calcs'!$G$3)*'10A61 3" Gas+liquid Calcs'!$G$3))))</f>
        <v>#VALUE!</v>
      </c>
      <c r="K30" t="str">
        <f>IF(AND('VA Sizing'!$C$3="Gas",'VA Sizing'!$C$4=" Other",NOT('VA Sizing'!$C$5="Actual"),'VA Sizing'!$C$6="at Operating Conditions"),J30/$D$3,
IF(AND('VA Sizing'!$C$3="Gas",'VA Sizing'!$C$4=" Other",NOT('VA Sizing'!$C$5="Actual"),'VA Sizing'!$C$6="at Reference Conditions"),J30/'Modified Inputs'!$M$4,
IF('VA Sizing'!$C$5="Standard",J30/VLOOKUP('VA Sizing'!$C$4,'10A61 5" Calcs'!$J$3:$K$29,2,FALSE),
IF('VA Sizing'!$C$5="Normal",J30/VLOOKUP('VA Sizing'!$C$4,'10A61 5" Calcs'!$J$3:$L$29,3,FALSE),
IF('VA Sizing'!$C$5="Actual",J30/$G$3,"")))))</f>
        <v/>
      </c>
      <c r="L30" s="25">
        <f>'Modified Inputs'!$G$2*(SQRT((7.02/((VLOOKUP(G30,'10A61 5" Calcs'!$A$3:$B$8,2,FALSE)-'Modified Inputs'!$M$2)*'Modified Inputs'!$M$2))))</f>
        <v>0.67398387659754788</v>
      </c>
      <c r="M30">
        <f t="shared" si="10"/>
        <v>599.90848134142698</v>
      </c>
      <c r="N30">
        <f>M30/(SQRT((7.02/((VLOOKUP(G30,'10A61 5" Calcs'!$A$3:$B$8,2,FALSE)-'Modified Inputs'!$M$2)*'Modified Inputs'!$M$2))))</f>
        <v>890.0932235499854</v>
      </c>
      <c r="O30">
        <f>N30/'Modified Inputs'!$M$2</f>
        <v>899.08406419190442</v>
      </c>
      <c r="Q30" s="7">
        <f>IF('VA Sizing'!$C$3="Gas",K30,
IF('VA Sizing'!$C$3="Liquid",O30,""))</f>
        <v>899.08406419190442</v>
      </c>
      <c r="R30" s="7" t="str">
        <f t="shared" si="11"/>
        <v>1/4-20-TA</v>
      </c>
    </row>
    <row r="31" spans="1:18" s="87" customFormat="1">
      <c r="G31" s="152" t="s">
        <v>142</v>
      </c>
      <c r="H31" s="153" t="e">
        <f>$L$3*(SQRT((7.02/((VLOOKUP(G31,'10A61 5" Calcs'!$A$3:$B$8,2,FALSE)-'10A61 3" Gas+liquid Calcs'!$G$3)*'10A61 3" Gas+liquid Calcs'!$G$3))))</f>
        <v>#VALUE!</v>
      </c>
      <c r="I31" s="153" t="e">
        <f t="shared" ref="I31" si="12">IF(H31&lt;$B$29+0.001,$B$28*(H31^4)+$C$28*(H31^3)+$D$28*(H31^2)+$E$28*H31+$F$28,$C$27*(H31^$B$26))</f>
        <v>#VALUE!</v>
      </c>
      <c r="J31" s="153" t="e">
        <f>I31/(SQRT((7.02/((VLOOKUP(G31,'10A61 5" Calcs'!$A$3:$B$8,2,FALSE)-'10A61 3" Gas+liquid Calcs'!$G$3)*'10A61 3" Gas+liquid Calcs'!$G$3))))</f>
        <v>#VALUE!</v>
      </c>
      <c r="K31" s="153" t="str">
        <f>IF(AND('VA Sizing'!$C$3="Gas",'VA Sizing'!$C$4=" Other",NOT('VA Sizing'!$C$5="Actual"),'VA Sizing'!$C$6="at Operating Conditions"),J31/$D$3,
IF(AND('VA Sizing'!$C$3="Gas",'VA Sizing'!$C$4=" Other",NOT('VA Sizing'!$C$5="Actual"),'VA Sizing'!$C$6="at Reference Conditions"),J31/'Modified Inputs'!$M$4,
IF('VA Sizing'!$C$5="Standard",J31/VLOOKUP('VA Sizing'!$C$4,'10A61 5" Calcs'!$J$3:$K$29,2,FALSE),
IF('VA Sizing'!$C$5="Normal",J31/VLOOKUP('VA Sizing'!$C$4,'10A61 5" Calcs'!$J$3:$L$29,3,FALSE),
IF('VA Sizing'!$C$5="Actual",J31/$G$3,"")))))</f>
        <v/>
      </c>
      <c r="L31" s="154">
        <f>'Modified Inputs'!$G$2*(SQRT((7.02/((VLOOKUP(G31,'10A61 5" Calcs'!$A$3:$B$8,2,FALSE)-'Modified Inputs'!$M$2)*'Modified Inputs'!$M$2))))</f>
        <v>2.3445316702153347</v>
      </c>
      <c r="M31" s="153">
        <f t="shared" ref="M31" si="13">IF(L31&lt;$B$29+0.001,$B$28*(L31^4)+$C$28*(L31^3)+$D$28*(L31^2)+$E$28*L31+$F$28,$C$27*(L31^$B$26))</f>
        <v>516.17197835362481</v>
      </c>
      <c r="N31" s="153">
        <f>M31/(SQRT((7.02/((VLOOKUP(G31,'10A61 5" Calcs'!$A$3:$B$8,2,FALSE)-'Modified Inputs'!$M$2)*'Modified Inputs'!$M$2))))</f>
        <v>220.15995130755334</v>
      </c>
      <c r="O31" s="153">
        <f>N31/'Modified Inputs'!$M$2</f>
        <v>222.38378919954883</v>
      </c>
      <c r="P31" s="153"/>
      <c r="Q31" s="63">
        <f>IF('VA Sizing'!$C$3="Gas",K31,
IF('VA Sizing'!$C$3="Liquid",O31,""))</f>
        <v>222.38378919954883</v>
      </c>
      <c r="R31" s="63" t="str">
        <f t="shared" si="11"/>
        <v>1/4-20-CD</v>
      </c>
    </row>
    <row r="32" spans="1:18">
      <c r="A32" s="3" t="s">
        <v>269</v>
      </c>
      <c r="B32">
        <v>-0.98471286020147009</v>
      </c>
      <c r="C32">
        <v>9.011791040675309</v>
      </c>
      <c r="G32" t="s">
        <v>18</v>
      </c>
      <c r="H32" t="e">
        <f>$L$3*(SQRT((7.02/((VLOOKUP(G32,'10A61 5" Calcs'!$A$3:$B$8,2,FALSE)-'10A61 3" Gas+liquid Calcs'!$G$3)*'10A61 3" Gas+liquid Calcs'!$G$3))))</f>
        <v>#VALUE!</v>
      </c>
      <c r="I32" t="e">
        <f>IF(H32&lt;$B$35+0.001,$B$34*(H32^4)+$C$34*(H32^3)+$D$34*(H32^2)+$E$34*H32+$F$34,$C$33*(H32^$B$32))</f>
        <v>#VALUE!</v>
      </c>
      <c r="J32" t="e">
        <f>I32/(SQRT((7.02/((VLOOKUP(G32,'10A61 5" Calcs'!$A$3:$B$8,2,FALSE)-'10A61 3" Gas+liquid Calcs'!$G$3)*'10A61 3" Gas+liquid Calcs'!$G$3))))</f>
        <v>#VALUE!</v>
      </c>
      <c r="K32" t="str">
        <f>IF(AND('VA Sizing'!$C$3="Gas",'VA Sizing'!$C$4=" Other",NOT('VA Sizing'!$C$5="Actual"),'VA Sizing'!$C$6="at Operating Conditions"),J32/$D$3,
IF(AND('VA Sizing'!$C$3="Gas",'VA Sizing'!$C$4=" Other",NOT('VA Sizing'!$C$5="Actual"),'VA Sizing'!$C$6="at Reference Conditions"),J32/'Modified Inputs'!$M$4,
IF('VA Sizing'!$C$5="Standard",J32/VLOOKUP('VA Sizing'!$C$4,'10A61 5" Calcs'!$J$3:$K$29,2,FALSE),
IF('VA Sizing'!$C$5="Normal",J32/VLOOKUP('VA Sizing'!$C$4,'10A61 5" Calcs'!$J$3:$L$29,3,FALSE),
IF('VA Sizing'!$C$5="Actual",J32/$G$3,"")))))</f>
        <v/>
      </c>
      <c r="L32" s="25">
        <f>'Modified Inputs'!$G$2*(SQRT((7.02/((VLOOKUP(G32,'10A61 5" Calcs'!$A$3:$B$8,2,FALSE)-'Modified Inputs'!$M$2)*'Modified Inputs'!$M$2))))</f>
        <v>2.1388735490091566</v>
      </c>
      <c r="M32">
        <f>IF(L32&lt;$B$35+0.001,$B$34*(L32^4)+$C$34*(L32^3)+$D$34*(L32^2)+$E$34*L32+$F$34,$C$33*(L32^$B$32))</f>
        <v>1102.6726981503552</v>
      </c>
      <c r="N32">
        <f>M32/(SQRT((7.02/((VLOOKUP(G32,'10A61 5" Calcs'!$A$3:$B$8,2,FALSE)-'Modified Inputs'!$M$2)*'Modified Inputs'!$M$2))))</f>
        <v>515.53898483674902</v>
      </c>
      <c r="O32">
        <f>N32/'Modified Inputs'!$M$2</f>
        <v>520.74644933004947</v>
      </c>
      <c r="Q32" s="151">
        <f>IF('VA Sizing'!$C$3="Gas",K32,
IF('VA Sizing'!$C$3="Liquid",O32,""))</f>
        <v>520.74644933004947</v>
      </c>
      <c r="R32" s="151" t="str">
        <f>CONCATENATE($A$32,"-",G32)</f>
        <v>1/4-41-G-BG</v>
      </c>
    </row>
    <row r="33" spans="1:18">
      <c r="C33">
        <v>8199.1932205595149</v>
      </c>
      <c r="G33" t="s">
        <v>21</v>
      </c>
      <c r="H33" t="e">
        <f>$L$3*(SQRT((7.02/((VLOOKUP(G33,'10A61 5" Calcs'!$A$3:$B$8,2,FALSE)-'10A61 3" Gas+liquid Calcs'!$G$3)*'10A61 3" Gas+liquid Calcs'!$G$3))))</f>
        <v>#VALUE!</v>
      </c>
      <c r="I33" t="e">
        <f t="shared" ref="I33:I36" si="14">IF(H33&lt;$B$35+0.001,$B$34*(H33^4)+$C$34*(H33^3)+$D$34*(H33^2)+$E$34*H33+$F$34,$C$33*(H33^$B$32))</f>
        <v>#VALUE!</v>
      </c>
      <c r="J33" t="e">
        <f>I33/(SQRT((7.02/((VLOOKUP(G33,'10A61 5" Calcs'!$A$3:$B$8,2,FALSE)-'10A61 3" Gas+liquid Calcs'!$G$3)*'10A61 3" Gas+liquid Calcs'!$G$3))))</f>
        <v>#VALUE!</v>
      </c>
      <c r="K33" t="str">
        <f>IF(AND('VA Sizing'!$C$3="Gas",'VA Sizing'!$C$4=" Other",NOT('VA Sizing'!$C$5="Actual"),'VA Sizing'!$C$6="at Operating Conditions"),J33/$D$3,
IF(AND('VA Sizing'!$C$3="Gas",'VA Sizing'!$C$4=" Other",NOT('VA Sizing'!$C$5="Actual"),'VA Sizing'!$C$6="at Reference Conditions"),J33/'Modified Inputs'!$M$4,
IF('VA Sizing'!$C$5="Standard",J33/VLOOKUP('VA Sizing'!$C$4,'10A61 5" Calcs'!$J$3:$K$29,2,FALSE),
IF('VA Sizing'!$C$5="Normal",J33/VLOOKUP('VA Sizing'!$C$4,'10A61 5" Calcs'!$J$3:$L$29,3,FALSE),
IF('VA Sizing'!$C$5="Actual",J33/$G$3,"")))))</f>
        <v/>
      </c>
      <c r="L33" s="25">
        <f>'Modified Inputs'!$G$2*(SQRT((7.02/((VLOOKUP(G33,'10A61 5" Calcs'!$A$3:$B$8,2,FALSE)-'Modified Inputs'!$M$2)*'Modified Inputs'!$M$2))))</f>
        <v>1.539981007018036</v>
      </c>
      <c r="M33">
        <f t="shared" ref="M33:M36" si="15">IF(L33&lt;$B$35+0.001,$B$34*(L33^4)+$C$34*(L33^3)+$D$34*(L33^2)+$E$34*L33+$F$34,$C$33*(L33^$B$32))</f>
        <v>1167.1413152493349</v>
      </c>
      <c r="N33">
        <f>M33/(SQRT((7.02/((VLOOKUP(G33,'10A61 5" Calcs'!$A$3:$B$8,2,FALSE)-'Modified Inputs'!$M$2)*'Modified Inputs'!$M$2))))</f>
        <v>757.89331811912768</v>
      </c>
      <c r="O33">
        <f>N33/'Modified Inputs'!$M$2</f>
        <v>765.54880618093705</v>
      </c>
      <c r="Q33" s="7">
        <f>IF('VA Sizing'!$C$3="Gas",K33,
IF('VA Sizing'!$C$3="Liquid",O33,""))</f>
        <v>765.54880618093705</v>
      </c>
      <c r="R33" s="7" t="str">
        <f t="shared" ref="R33:R37" si="16">CONCATENATE($A$32,"-",G33)</f>
        <v>1/4-41-G-SA</v>
      </c>
    </row>
    <row r="34" spans="1:18">
      <c r="B34">
        <v>9.7181331831853717E-3</v>
      </c>
      <c r="C34">
        <v>-0.58315127430627278</v>
      </c>
      <c r="D34">
        <v>12.8713364351882</v>
      </c>
      <c r="E34">
        <v>-149.27494739622105</v>
      </c>
      <c r="F34">
        <v>1368.572077312846</v>
      </c>
      <c r="G34" t="s">
        <v>23</v>
      </c>
      <c r="H34" t="e">
        <f>$L$3*(SQRT((7.02/((VLOOKUP(G34,'10A61 5" Calcs'!$A$3:$B$8,2,FALSE)-'10A61 3" Gas+liquid Calcs'!$G$3)*'10A61 3" Gas+liquid Calcs'!$G$3))))</f>
        <v>#VALUE!</v>
      </c>
      <c r="I34" t="e">
        <f t="shared" si="14"/>
        <v>#VALUE!</v>
      </c>
      <c r="J34" t="e">
        <f>I34/(SQRT((7.02/((VLOOKUP(G34,'10A61 5" Calcs'!$A$3:$B$8,2,FALSE)-'10A61 3" Gas+liquid Calcs'!$G$3)*'10A61 3" Gas+liquid Calcs'!$G$3))))</f>
        <v>#VALUE!</v>
      </c>
      <c r="K34" t="str">
        <f>IF(AND('VA Sizing'!$C$3="Gas",'VA Sizing'!$C$4=" Other",NOT('VA Sizing'!$C$5="Actual"),'VA Sizing'!$C$6="at Operating Conditions"),J34/$D$3,
IF(AND('VA Sizing'!$C$3="Gas",'VA Sizing'!$C$4=" Other",NOT('VA Sizing'!$C$5="Actual"),'VA Sizing'!$C$6="at Reference Conditions"),J34/'Modified Inputs'!$M$4,
IF('VA Sizing'!$C$5="Standard",J34/VLOOKUP('VA Sizing'!$C$4,'10A61 5" Calcs'!$J$3:$K$29,2,FALSE),
IF('VA Sizing'!$C$5="Normal",J34/VLOOKUP('VA Sizing'!$C$4,'10A61 5" Calcs'!$J$3:$L$29,3,FALSE),
IF('VA Sizing'!$C$5="Actual",J34/$G$3,"")))))</f>
        <v/>
      </c>
      <c r="L34" s="25">
        <f>'Modified Inputs'!$G$2*(SQRT((7.02/((VLOOKUP(G34,'10A61 5" Calcs'!$A$3:$B$8,2,FALSE)-'Modified Inputs'!$M$2)*'Modified Inputs'!$M$2))))</f>
        <v>1.0043227402378698</v>
      </c>
      <c r="M34">
        <f t="shared" si="15"/>
        <v>1231.053849748374</v>
      </c>
      <c r="N34">
        <f>M34/(SQRT((7.02/((VLOOKUP(G34,'10A61 5" Calcs'!$A$3:$B$8,2,FALSE)-'Modified Inputs'!$M$2)*'Modified Inputs'!$M$2))))</f>
        <v>1225.7552283012169</v>
      </c>
      <c r="O34">
        <f>N34/'Modified Inputs'!$M$2</f>
        <v>1238.1365942436535</v>
      </c>
      <c r="Q34" s="7">
        <f>IF('VA Sizing'!$C$3="Gas",K34,
IF('VA Sizing'!$C$3="Liquid",O34,""))</f>
        <v>1238.1365942436535</v>
      </c>
      <c r="R34" s="7" t="str">
        <f t="shared" si="16"/>
        <v>1/4-41-G-SS</v>
      </c>
    </row>
    <row r="35" spans="1:18">
      <c r="B35">
        <v>24</v>
      </c>
      <c r="G35" t="s">
        <v>26</v>
      </c>
      <c r="H35" t="e">
        <f>$L$3*(SQRT((7.02/((VLOOKUP(G35,'10A61 5" Calcs'!$A$3:$B$8,2,FALSE)-'10A61 3" Gas+liquid Calcs'!$G$3)*'10A61 3" Gas+liquid Calcs'!$G$3))))</f>
        <v>#VALUE!</v>
      </c>
      <c r="I35" t="e">
        <f t="shared" si="14"/>
        <v>#VALUE!</v>
      </c>
      <c r="J35" t="e">
        <f>I35/(SQRT((7.02/((VLOOKUP(G35,'10A61 5" Calcs'!$A$3:$B$8,2,FALSE)-'10A61 3" Gas+liquid Calcs'!$G$3)*'10A61 3" Gas+liquid Calcs'!$G$3))))</f>
        <v>#VALUE!</v>
      </c>
      <c r="K35" t="str">
        <f>IF(AND('VA Sizing'!$C$3="Gas",'VA Sizing'!$C$4=" Other",NOT('VA Sizing'!$C$5="Actual"),'VA Sizing'!$C$6="at Operating Conditions"),J35/$D$3,
IF(AND('VA Sizing'!$C$3="Gas",'VA Sizing'!$C$4=" Other",NOT('VA Sizing'!$C$5="Actual"),'VA Sizing'!$C$6="at Reference Conditions"),J35/'Modified Inputs'!$M$4,
IF('VA Sizing'!$C$5="Standard",J35/VLOOKUP('VA Sizing'!$C$4,'10A61 5" Calcs'!$J$3:$K$29,2,FALSE),
IF('VA Sizing'!$C$5="Normal",J35/VLOOKUP('VA Sizing'!$C$4,'10A61 5" Calcs'!$J$3:$L$29,3,FALSE),
IF('VA Sizing'!$C$5="Actual",J35/$G$3,"")))))</f>
        <v/>
      </c>
      <c r="L35" s="25">
        <f>'Modified Inputs'!$G$2*(SQRT((7.02/((VLOOKUP(G35,'10A61 5" Calcs'!$A$3:$B$8,2,FALSE)-'Modified Inputs'!$M$2)*'Modified Inputs'!$M$2))))</f>
        <v>0.7114295352654707</v>
      </c>
      <c r="M35">
        <f t="shared" si="15"/>
        <v>1268.6805758897929</v>
      </c>
      <c r="N35">
        <f>M35/(SQRT((7.02/((VLOOKUP(G35,'10A61 5" Calcs'!$A$3:$B$8,2,FALSE)-'Modified Inputs'!$M$2)*'Modified Inputs'!$M$2))))</f>
        <v>1783.2835340697281</v>
      </c>
      <c r="O35">
        <f>N35/'Modified Inputs'!$M$2</f>
        <v>1801.2964990603314</v>
      </c>
      <c r="Q35" s="7">
        <f>IF('VA Sizing'!$C$3="Gas",K35,
IF('VA Sizing'!$C$3="Liquid",O35,""))</f>
        <v>1801.2964990603314</v>
      </c>
      <c r="R35" s="7" t="str">
        <f t="shared" si="16"/>
        <v>1/4-41-G-CA</v>
      </c>
    </row>
    <row r="36" spans="1:18">
      <c r="G36" t="s">
        <v>126</v>
      </c>
      <c r="H36" t="e">
        <f>$L$3*(SQRT((7.02/((VLOOKUP(G36,'10A61 5" Calcs'!$A$3:$B$8,2,FALSE)-'10A61 3" Gas+liquid Calcs'!$G$3)*'10A61 3" Gas+liquid Calcs'!$G$3))))</f>
        <v>#VALUE!</v>
      </c>
      <c r="I36" t="e">
        <f t="shared" si="14"/>
        <v>#VALUE!</v>
      </c>
      <c r="J36" t="e">
        <f>I36/(SQRT((7.02/((VLOOKUP(G36,'10A61 5" Calcs'!$A$3:$B$8,2,FALSE)-'10A61 3" Gas+liquid Calcs'!$G$3)*'10A61 3" Gas+liquid Calcs'!$G$3))))</f>
        <v>#VALUE!</v>
      </c>
      <c r="K36" t="str">
        <f>IF(AND('VA Sizing'!$C$3="Gas",'VA Sizing'!$C$4=" Other",NOT('VA Sizing'!$C$5="Actual"),'VA Sizing'!$C$6="at Operating Conditions"),J36/$D$3,
IF(AND('VA Sizing'!$C$3="Gas",'VA Sizing'!$C$4=" Other",NOT('VA Sizing'!$C$5="Actual"),'VA Sizing'!$C$6="at Reference Conditions"),J36/'Modified Inputs'!$M$4,
IF('VA Sizing'!$C$5="Standard",J36/VLOOKUP('VA Sizing'!$C$4,'10A61 5" Calcs'!$J$3:$K$29,2,FALSE),
IF('VA Sizing'!$C$5="Normal",J36/VLOOKUP('VA Sizing'!$C$4,'10A61 5" Calcs'!$J$3:$L$29,3,FALSE),
IF('VA Sizing'!$C$5="Actual",J36/$G$3,"")))))</f>
        <v/>
      </c>
      <c r="L36" s="25">
        <f>'Modified Inputs'!$G$2*(SQRT((7.02/((VLOOKUP(G36,'10A61 5" Calcs'!$A$3:$B$8,2,FALSE)-'Modified Inputs'!$M$2)*'Modified Inputs'!$M$2))))</f>
        <v>0.67398387659754788</v>
      </c>
      <c r="M36">
        <f t="shared" si="15"/>
        <v>1273.6334967546225</v>
      </c>
      <c r="N36">
        <f>M36/(SQRT((7.02/((VLOOKUP(G36,'10A61 5" Calcs'!$A$3:$B$8,2,FALSE)-'Modified Inputs'!$M$2)*'Modified Inputs'!$M$2))))</f>
        <v>1889.70914732303</v>
      </c>
      <c r="O36">
        <f>N36/'Modified Inputs'!$M$2</f>
        <v>1908.7971185081112</v>
      </c>
      <c r="Q36" s="7">
        <f>IF('VA Sizing'!$C$3="Gas",K36,
IF('VA Sizing'!$C$3="Liquid",O36,""))</f>
        <v>1908.7971185081112</v>
      </c>
      <c r="R36" s="7" t="str">
        <f t="shared" si="16"/>
        <v>1/4-41-G-TA</v>
      </c>
    </row>
    <row r="37" spans="1:18" s="87" customFormat="1">
      <c r="G37" s="152" t="s">
        <v>142</v>
      </c>
      <c r="H37" s="153" t="e">
        <f>$L$3*(SQRT((7.02/((VLOOKUP(G37,'10A61 5" Calcs'!$A$3:$B$8,2,FALSE)-'10A61 3" Gas+liquid Calcs'!$G$3)*'10A61 3" Gas+liquid Calcs'!$G$3))))</f>
        <v>#VALUE!</v>
      </c>
      <c r="I37" s="153" t="e">
        <f t="shared" ref="I37" si="17">IF(H37&lt;$B$35+0.001,$B$34*(H37^4)+$C$34*(H37^3)+$D$34*(H37^2)+$E$34*H37+$F$34,$C$33*(H37^$B$32))</f>
        <v>#VALUE!</v>
      </c>
      <c r="J37" s="153" t="e">
        <f>I37/(SQRT((7.02/((VLOOKUP(G37,'10A61 5" Calcs'!$A$3:$B$8,2,FALSE)-'10A61 3" Gas+liquid Calcs'!$G$3)*'10A61 3" Gas+liquid Calcs'!$G$3))))</f>
        <v>#VALUE!</v>
      </c>
      <c r="K37" s="153" t="str">
        <f>IF(AND('VA Sizing'!$C$3="Gas",'VA Sizing'!$C$4=" Other",NOT('VA Sizing'!$C$5="Actual"),'VA Sizing'!$C$6="at Operating Conditions"),J37/$D$3,
IF(AND('VA Sizing'!$C$3="Gas",'VA Sizing'!$C$4=" Other",NOT('VA Sizing'!$C$5="Actual"),'VA Sizing'!$C$6="at Reference Conditions"),J37/'Modified Inputs'!$M$4,
IF('VA Sizing'!$C$5="Standard",J37/VLOOKUP('VA Sizing'!$C$4,'10A61 5" Calcs'!$J$3:$K$29,2,FALSE),
IF('VA Sizing'!$C$5="Normal",J37/VLOOKUP('VA Sizing'!$C$4,'10A61 5" Calcs'!$J$3:$L$29,3,FALSE),
IF('VA Sizing'!$C$5="Actual",J37/$G$3,"")))))</f>
        <v/>
      </c>
      <c r="L37" s="154">
        <f>'Modified Inputs'!$G$2*(SQRT((7.02/((VLOOKUP(G37,'10A61 5" Calcs'!$A$3:$B$8,2,FALSE)-'Modified Inputs'!$M$2)*'Modified Inputs'!$M$2))))</f>
        <v>2.3445316702153347</v>
      </c>
      <c r="M37" s="153">
        <f t="shared" ref="M37" si="18">IF(L37&lt;$B$35+0.001,$B$34*(L37^4)+$C$34*(L37^3)+$D$34*(L37^2)+$E$34*L37+$F$34,$C$33*(L37^$B$32))</f>
        <v>1082.1220467073088</v>
      </c>
      <c r="N37" s="153">
        <f>M37/(SQRT((7.02/((VLOOKUP(G37,'10A61 5" Calcs'!$A$3:$B$8,2,FALSE)-'Modified Inputs'!$M$2)*'Modified Inputs'!$M$2))))</f>
        <v>461.55147335157164</v>
      </c>
      <c r="O37" s="153">
        <f>N37/'Modified Inputs'!$M$2</f>
        <v>466.21360944603197</v>
      </c>
      <c r="P37" s="153"/>
      <c r="Q37" s="63">
        <f>IF('VA Sizing'!$C$3="Gas",K37,
IF('VA Sizing'!$C$3="Liquid",O37,""))</f>
        <v>466.21360944603197</v>
      </c>
      <c r="R37" s="63" t="str">
        <f t="shared" si="16"/>
        <v>1/4-41-G-CD</v>
      </c>
    </row>
    <row r="38" spans="1:18">
      <c r="A38" s="3" t="s">
        <v>270</v>
      </c>
      <c r="B38">
        <v>-0.96591145157053193</v>
      </c>
      <c r="C38">
        <v>9.3591624714358996</v>
      </c>
      <c r="G38" t="s">
        <v>18</v>
      </c>
      <c r="H38" t="e">
        <f>$L$3*(SQRT((7.02/((VLOOKUP(G38,'10A61 5" Calcs'!$A$3:$B$8,2,FALSE)-'10A61 3" Gas+liquid Calcs'!$G$3)*'10A61 3" Gas+liquid Calcs'!$G$3))))</f>
        <v>#VALUE!</v>
      </c>
      <c r="I38" t="e">
        <f>IF(H38&lt;$B$41+0.001,$B$40*(H38^4)+$C$40*(H38^3)+$D$40*(H38^2)+$E$40*H38+$F$40,$C$39*(H38^$B$38))</f>
        <v>#VALUE!</v>
      </c>
      <c r="J38" t="e">
        <f>I38/(SQRT((7.02/((VLOOKUP(G38,'10A61 5" Calcs'!$A$3:$B$8,2,FALSE)-'10A61 3" Gas+liquid Calcs'!$G$3)*'10A61 3" Gas+liquid Calcs'!$G$3))))</f>
        <v>#VALUE!</v>
      </c>
      <c r="K38" t="str">
        <f>IF(AND('VA Sizing'!$C$3="Gas",'VA Sizing'!$C$4=" Other",NOT('VA Sizing'!$C$5="Actual"),'VA Sizing'!$C$6="at Operating Conditions"),J38/$D$3,
IF(AND('VA Sizing'!$C$3="Gas",'VA Sizing'!$C$4=" Other",NOT('VA Sizing'!$C$5="Actual"),'VA Sizing'!$C$6="at Reference Conditions"),J38/'Modified Inputs'!$M$4,
IF('VA Sizing'!$C$5="Standard",J38/VLOOKUP('VA Sizing'!$C$4,'10A61 5" Calcs'!$J$3:$K$29,2,FALSE),
IF('VA Sizing'!$C$5="Normal",J38/VLOOKUP('VA Sizing'!$C$4,'10A61 5" Calcs'!$J$3:$L$29,3,FALSE),
IF('VA Sizing'!$C$5="Actual",J38/$G$3,"")))))</f>
        <v/>
      </c>
      <c r="L38" s="25">
        <f>'Modified Inputs'!$G$2*(SQRT((7.02/((VLOOKUP(G38,'10A61 5" Calcs'!$A$3:$B$8,2,FALSE)-'Modified Inputs'!$M$2)*'Modified Inputs'!$M$2))))</f>
        <v>2.1388735490091566</v>
      </c>
      <c r="M38">
        <f>IF(L38&lt;$B$41+0.001,$B$40*(L38^4)+$C$40*(L38^3)+$D$40*(L38^2)+$E$40*L38+$F$40,$C$39*(L38^$B$38))</f>
        <v>1452.0049560964162</v>
      </c>
      <c r="N38">
        <f>M38/(SQRT((7.02/((VLOOKUP(G38,'10A61 5" Calcs'!$A$3:$B$8,2,FALSE)-'Modified Inputs'!$M$2)*'Modified Inputs'!$M$2))))</f>
        <v>678.86432873465776</v>
      </c>
      <c r="O38">
        <f>N38/'Modified Inputs'!$M$2</f>
        <v>685.72154417642196</v>
      </c>
      <c r="Q38" s="151">
        <f>IF('VA Sizing'!$C$3="Gas",K38,
IF('VA Sizing'!$C$3="Liquid",O38,""))</f>
        <v>685.72154417642196</v>
      </c>
      <c r="R38" s="151" t="str">
        <f>CONCATENATE($A$38,"-",G38)</f>
        <v>1/4-41-P-BG</v>
      </c>
    </row>
    <row r="39" spans="1:18">
      <c r="C39">
        <v>11604.66523222963</v>
      </c>
      <c r="G39" t="s">
        <v>21</v>
      </c>
      <c r="H39" t="e">
        <f>$L$3*(SQRT((7.02/((VLOOKUP(G39,'10A61 5" Calcs'!$A$3:$B$8,2,FALSE)-'10A61 3" Gas+liquid Calcs'!$G$3)*'10A61 3" Gas+liquid Calcs'!$G$3))))</f>
        <v>#VALUE!</v>
      </c>
      <c r="I39" t="e">
        <f t="shared" ref="I39:I42" si="19">IF(H39&lt;$B$41+0.001,$B$40*(H39^4)+$C$40*(H39^3)+$D$40*(H39^2)+$E$40*H39+$F$40,$C$39*(H39^$B$38))</f>
        <v>#VALUE!</v>
      </c>
      <c r="J39" t="e">
        <f>I39/(SQRT((7.02/((VLOOKUP(G39,'10A61 5" Calcs'!$A$3:$B$8,2,FALSE)-'10A61 3" Gas+liquid Calcs'!$G$3)*'10A61 3" Gas+liquid Calcs'!$G$3))))</f>
        <v>#VALUE!</v>
      </c>
      <c r="K39" t="str">
        <f>IF(AND('VA Sizing'!$C$3="Gas",'VA Sizing'!$C$4=" Other",NOT('VA Sizing'!$C$5="Actual"),'VA Sizing'!$C$6="at Operating Conditions"),J39/$D$3,
IF(AND('VA Sizing'!$C$3="Gas",'VA Sizing'!$C$4=" Other",NOT('VA Sizing'!$C$5="Actual"),'VA Sizing'!$C$6="at Reference Conditions"),J39/'Modified Inputs'!$M$4,
IF('VA Sizing'!$C$5="Standard",J39/VLOOKUP('VA Sizing'!$C$4,'10A61 5" Calcs'!$J$3:$K$29,2,FALSE),
IF('VA Sizing'!$C$5="Normal",J39/VLOOKUP('VA Sizing'!$C$4,'10A61 5" Calcs'!$J$3:$L$29,3,FALSE),
IF('VA Sizing'!$C$5="Actual",J39/$G$3,"")))))</f>
        <v/>
      </c>
      <c r="L39" s="25">
        <f>'Modified Inputs'!$G$2*(SQRT((7.02/((VLOOKUP(G39,'10A61 5" Calcs'!$A$3:$B$8,2,FALSE)-'Modified Inputs'!$M$2)*'Modified Inputs'!$M$2))))</f>
        <v>1.539981007018036</v>
      </c>
      <c r="M39">
        <f t="shared" ref="M39:M42" si="20">IF(L39&lt;$B$41+0.001,$B$40*(L39^4)+$C$40*(L39^3)+$D$40*(L39^2)+$E$40*L39+$F$40,$C$39*(L39^$B$38))</f>
        <v>1501.2025223618314</v>
      </c>
      <c r="N39">
        <f>M39/(SQRT((7.02/((VLOOKUP(G39,'10A61 5" Calcs'!$A$3:$B$8,2,FALSE)-'Modified Inputs'!$M$2)*'Modified Inputs'!$M$2))))</f>
        <v>974.8188552459527</v>
      </c>
      <c r="O39">
        <f>N39/'Modified Inputs'!$M$2</f>
        <v>984.66551034944723</v>
      </c>
      <c r="Q39" s="7">
        <f>IF('VA Sizing'!$C$3="Gas",K39,
IF('VA Sizing'!$C$3="Liquid",O39,""))</f>
        <v>984.66551034944723</v>
      </c>
      <c r="R39" s="7" t="str">
        <f t="shared" ref="R39:R43" si="21">CONCATENATE($A$38,"-",G39)</f>
        <v>1/4-41-P-SA</v>
      </c>
    </row>
    <row r="40" spans="1:18">
      <c r="B40">
        <v>5.6543339749193233E-3</v>
      </c>
      <c r="C40">
        <v>-0.28433599684739286</v>
      </c>
      <c r="D40">
        <v>5.9205898453107562</v>
      </c>
      <c r="E40">
        <v>-101.16140921122313</v>
      </c>
      <c r="F40">
        <v>1643.9548772023693</v>
      </c>
      <c r="G40" t="s">
        <v>23</v>
      </c>
      <c r="H40" t="e">
        <f>$L$3*(SQRT((7.02/((VLOOKUP(G40,'10A61 5" Calcs'!$A$3:$B$8,2,FALSE)-'10A61 3" Gas+liquid Calcs'!$G$3)*'10A61 3" Gas+liquid Calcs'!$G$3))))</f>
        <v>#VALUE!</v>
      </c>
      <c r="I40" t="e">
        <f t="shared" si="19"/>
        <v>#VALUE!</v>
      </c>
      <c r="J40" t="e">
        <f>I40/(SQRT((7.02/((VLOOKUP(G40,'10A61 5" Calcs'!$A$3:$B$8,2,FALSE)-'10A61 3" Gas+liquid Calcs'!$G$3)*'10A61 3" Gas+liquid Calcs'!$G$3))))</f>
        <v>#VALUE!</v>
      </c>
      <c r="K40" t="str">
        <f>IF(AND('VA Sizing'!$C$3="Gas",'VA Sizing'!$C$4=" Other",NOT('VA Sizing'!$C$5="Actual"),'VA Sizing'!$C$6="at Operating Conditions"),J40/$D$3,
IF(AND('VA Sizing'!$C$3="Gas",'VA Sizing'!$C$4=" Other",NOT('VA Sizing'!$C$5="Actual"),'VA Sizing'!$C$6="at Reference Conditions"),J40/'Modified Inputs'!$M$4,
IF('VA Sizing'!$C$5="Standard",J40/VLOOKUP('VA Sizing'!$C$4,'10A61 5" Calcs'!$J$3:$K$29,2,FALSE),
IF('VA Sizing'!$C$5="Normal",J40/VLOOKUP('VA Sizing'!$C$4,'10A61 5" Calcs'!$J$3:$L$29,3,FALSE),
IF('VA Sizing'!$C$5="Actual",J40/$G$3,"")))))</f>
        <v/>
      </c>
      <c r="L40" s="25">
        <f>'Modified Inputs'!$G$2*(SQRT((7.02/((VLOOKUP(G40,'10A61 5" Calcs'!$A$3:$B$8,2,FALSE)-'Modified Inputs'!$M$2)*'Modified Inputs'!$M$2))))</f>
        <v>1.0043227402378698</v>
      </c>
      <c r="M40">
        <f t="shared" si="20"/>
        <v>1548.0457737663457</v>
      </c>
      <c r="N40">
        <f>M40/(SQRT((7.02/((VLOOKUP(G40,'10A61 5" Calcs'!$A$3:$B$8,2,FALSE)-'Modified Inputs'!$M$2)*'Modified Inputs'!$M$2))))</f>
        <v>1541.3827764167695</v>
      </c>
      <c r="O40">
        <f>N40/'Modified Inputs'!$M$2</f>
        <v>1556.9522994108784</v>
      </c>
      <c r="Q40" s="7">
        <f>IF('VA Sizing'!$C$3="Gas",K40,
IF('VA Sizing'!$C$3="Liquid",O40,""))</f>
        <v>1556.9522994108784</v>
      </c>
      <c r="R40" s="7" t="str">
        <f t="shared" si="21"/>
        <v>1/4-41-P-SS</v>
      </c>
    </row>
    <row r="41" spans="1:18">
      <c r="B41">
        <v>22</v>
      </c>
      <c r="G41" t="s">
        <v>26</v>
      </c>
      <c r="H41" t="e">
        <f>$L$3*(SQRT((7.02/((VLOOKUP(G41,'10A61 5" Calcs'!$A$3:$B$8,2,FALSE)-'10A61 3" Gas+liquid Calcs'!$G$3)*'10A61 3" Gas+liquid Calcs'!$G$3))))</f>
        <v>#VALUE!</v>
      </c>
      <c r="I41" t="e">
        <f t="shared" si="19"/>
        <v>#VALUE!</v>
      </c>
      <c r="J41" t="e">
        <f>I41/(SQRT((7.02/((VLOOKUP(G41,'10A61 5" Calcs'!$A$3:$B$8,2,FALSE)-'10A61 3" Gas+liquid Calcs'!$G$3)*'10A61 3" Gas+liquid Calcs'!$G$3))))</f>
        <v>#VALUE!</v>
      </c>
      <c r="K41" t="str">
        <f>IF(AND('VA Sizing'!$C$3="Gas",'VA Sizing'!$C$4=" Other",NOT('VA Sizing'!$C$5="Actual"),'VA Sizing'!$C$6="at Operating Conditions"),J41/$D$3,
IF(AND('VA Sizing'!$C$3="Gas",'VA Sizing'!$C$4=" Other",NOT('VA Sizing'!$C$5="Actual"),'VA Sizing'!$C$6="at Reference Conditions"),J41/'Modified Inputs'!$M$4,
IF('VA Sizing'!$C$5="Standard",J41/VLOOKUP('VA Sizing'!$C$4,'10A61 5" Calcs'!$J$3:$K$29,2,FALSE),
IF('VA Sizing'!$C$5="Normal",J41/VLOOKUP('VA Sizing'!$C$4,'10A61 5" Calcs'!$J$3:$L$29,3,FALSE),
IF('VA Sizing'!$C$5="Actual",J41/$G$3,"")))))</f>
        <v/>
      </c>
      <c r="L41" s="25">
        <f>'Modified Inputs'!$G$2*(SQRT((7.02/((VLOOKUP(G41,'10A61 5" Calcs'!$A$3:$B$8,2,FALSE)-'Modified Inputs'!$M$2)*'Modified Inputs'!$M$2))))</f>
        <v>0.7114295352654707</v>
      </c>
      <c r="M41">
        <f t="shared" si="20"/>
        <v>1574.881328290069</v>
      </c>
      <c r="N41">
        <f>M41/(SQRT((7.02/((VLOOKUP(G41,'10A61 5" Calcs'!$A$3:$B$8,2,FALSE)-'Modified Inputs'!$M$2)*'Modified Inputs'!$M$2))))</f>
        <v>2213.6856149813912</v>
      </c>
      <c r="O41">
        <f>N41/'Modified Inputs'!$M$2</f>
        <v>2236.0460757387791</v>
      </c>
      <c r="Q41" s="7">
        <f>IF('VA Sizing'!$C$3="Gas",K41,
IF('VA Sizing'!$C$3="Liquid",O41,""))</f>
        <v>2236.0460757387791</v>
      </c>
      <c r="R41" s="7" t="str">
        <f t="shared" si="21"/>
        <v>1/4-41-P-CA</v>
      </c>
    </row>
    <row r="42" spans="1:18">
      <c r="G42" t="s">
        <v>126</v>
      </c>
      <c r="H42" t="e">
        <f>$L$3*(SQRT((7.02/((VLOOKUP(G42,'10A61 5" Calcs'!$A$3:$B$8,2,FALSE)-'10A61 3" Gas+liquid Calcs'!$G$3)*'10A61 3" Gas+liquid Calcs'!$G$3))))</f>
        <v>#VALUE!</v>
      </c>
      <c r="I42" t="e">
        <f t="shared" si="19"/>
        <v>#VALUE!</v>
      </c>
      <c r="J42" t="e">
        <f>I42/(SQRT((7.02/((VLOOKUP(G42,'10A61 5" Calcs'!$A$3:$B$8,2,FALSE)-'10A61 3" Gas+liquid Calcs'!$G$3)*'10A61 3" Gas+liquid Calcs'!$G$3))))</f>
        <v>#VALUE!</v>
      </c>
      <c r="K42" t="str">
        <f>IF(AND('VA Sizing'!$C$3="Gas",'VA Sizing'!$C$4=" Other",NOT('VA Sizing'!$C$5="Actual"),'VA Sizing'!$C$6="at Operating Conditions"),J42/$D$3,
IF(AND('VA Sizing'!$C$3="Gas",'VA Sizing'!$C$4=" Other",NOT('VA Sizing'!$C$5="Actual"),'VA Sizing'!$C$6="at Reference Conditions"),J42/'Modified Inputs'!$M$4,
IF('VA Sizing'!$C$5="Standard",J42/VLOOKUP('VA Sizing'!$C$4,'10A61 5" Calcs'!$J$3:$K$29,2,FALSE),
IF('VA Sizing'!$C$5="Normal",J42/VLOOKUP('VA Sizing'!$C$4,'10A61 5" Calcs'!$J$3:$L$29,3,FALSE),
IF('VA Sizing'!$C$5="Actual",J42/$G$3,"")))))</f>
        <v/>
      </c>
      <c r="L42" s="25">
        <f>'Modified Inputs'!$G$2*(SQRT((7.02/((VLOOKUP(G42,'10A61 5" Calcs'!$A$3:$B$8,2,FALSE)-'Modified Inputs'!$M$2)*'Modified Inputs'!$M$2))))</f>
        <v>0.67398387659754788</v>
      </c>
      <c r="M42">
        <f t="shared" si="20"/>
        <v>1578.3772860852525</v>
      </c>
      <c r="N42">
        <f>M42/(SQRT((7.02/((VLOOKUP(G42,'10A61 5" Calcs'!$A$3:$B$8,2,FALSE)-'Modified Inputs'!$M$2)*'Modified Inputs'!$M$2))))</f>
        <v>2341.8620843770418</v>
      </c>
      <c r="O42">
        <f>N42/'Modified Inputs'!$M$2</f>
        <v>2365.5172569465067</v>
      </c>
      <c r="Q42" s="7">
        <f>IF('VA Sizing'!$C$3="Gas",K42,
IF('VA Sizing'!$C$3="Liquid",O42,""))</f>
        <v>2365.5172569465067</v>
      </c>
      <c r="R42" s="7" t="str">
        <f t="shared" si="21"/>
        <v>1/4-41-P-TA</v>
      </c>
    </row>
    <row r="43" spans="1:18" s="87" customFormat="1">
      <c r="G43" s="152" t="s">
        <v>142</v>
      </c>
      <c r="H43" s="153" t="e">
        <f>$L$3*(SQRT((7.02/((VLOOKUP(G43,'10A61 5" Calcs'!$A$3:$B$8,2,FALSE)-'10A61 3" Gas+liquid Calcs'!$G$3)*'10A61 3" Gas+liquid Calcs'!$G$3))))</f>
        <v>#VALUE!</v>
      </c>
      <c r="I43" s="153" t="e">
        <f t="shared" ref="I43" si="22">IF(H43&lt;$B$41+0.001,$B$40*(H43^4)+$C$40*(H43^3)+$D$40*(H43^2)+$E$40*H43+$F$40,$C$39*(H43^$B$38))</f>
        <v>#VALUE!</v>
      </c>
      <c r="J43" s="153" t="e">
        <f>I43/(SQRT((7.02/((VLOOKUP(G43,'10A61 5" Calcs'!$A$3:$B$8,2,FALSE)-'10A61 3" Gas+liquid Calcs'!$G$3)*'10A61 3" Gas+liquid Calcs'!$G$3))))</f>
        <v>#VALUE!</v>
      </c>
      <c r="K43" s="153" t="str">
        <f>IF(AND('VA Sizing'!$C$3="Gas",'VA Sizing'!$C$4=" Other",NOT('VA Sizing'!$C$5="Actual"),'VA Sizing'!$C$6="at Operating Conditions"),J43/$D$3,
IF(AND('VA Sizing'!$C$3="Gas",'VA Sizing'!$C$4=" Other",NOT('VA Sizing'!$C$5="Actual"),'VA Sizing'!$C$6="at Reference Conditions"),J43/'Modified Inputs'!$M$4,
IF('VA Sizing'!$C$5="Standard",J43/VLOOKUP('VA Sizing'!$C$4,'10A61 5" Calcs'!$J$3:$K$29,2,FALSE),
IF('VA Sizing'!$C$5="Normal",J43/VLOOKUP('VA Sizing'!$C$4,'10A61 5" Calcs'!$J$3:$L$29,3,FALSE),
IF('VA Sizing'!$C$5="Actual",J43/$G$3,"")))))</f>
        <v/>
      </c>
      <c r="L43" s="154">
        <f>'Modified Inputs'!$G$2*(SQRT((7.02/((VLOOKUP(G43,'10A61 5" Calcs'!$A$3:$B$8,2,FALSE)-'Modified Inputs'!$M$2)*'Modified Inputs'!$M$2))))</f>
        <v>2.3445316702153347</v>
      </c>
      <c r="M43" s="153">
        <f t="shared" ref="M43" si="23">IF(L43&lt;$B$41+0.001,$B$40*(L43^4)+$C$40*(L43^3)+$D$40*(L43^2)+$E$40*L43+$F$40,$C$39*(L43^$B$38))</f>
        <v>1435.8296873536869</v>
      </c>
      <c r="N43" s="153">
        <f>M43/(SQRT((7.02/((VLOOKUP(G43,'10A61 5" Calcs'!$A$3:$B$8,2,FALSE)-'Modified Inputs'!$M$2)*'Modified Inputs'!$M$2))))</f>
        <v>612.41641799695219</v>
      </c>
      <c r="O43" s="153">
        <f>N43/'Modified Inputs'!$M$2</f>
        <v>618.6024424211638</v>
      </c>
      <c r="P43" s="153"/>
      <c r="Q43" s="63">
        <f>IF('VA Sizing'!$C$3="Gas",K43,
IF('VA Sizing'!$C$3="Liquid",O43,""))</f>
        <v>618.6024424211638</v>
      </c>
      <c r="R43" s="156" t="str">
        <f t="shared" si="21"/>
        <v>1/4-41-P-CD</v>
      </c>
    </row>
  </sheetData>
  <mergeCells count="3">
    <mergeCell ref="J6:K6"/>
    <mergeCell ref="N6:O6"/>
    <mergeCell ref="Q6:R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N46"/>
  <sheetViews>
    <sheetView showGridLines="0" showRowColHeaders="0" workbookViewId="0">
      <selection activeCell="N2" sqref="N2:Q3"/>
    </sheetView>
  </sheetViews>
  <sheetFormatPr defaultRowHeight="15"/>
  <cols>
    <col min="2" max="2" width="20.42578125" bestFit="1" customWidth="1"/>
    <col min="5" max="5" width="13.140625" bestFit="1" customWidth="1"/>
    <col min="7" max="7" width="20.140625" customWidth="1"/>
    <col min="8" max="8" width="22.140625" customWidth="1"/>
  </cols>
  <sheetData>
    <row r="2" spans="1:14">
      <c r="A2" t="s">
        <v>2</v>
      </c>
    </row>
    <row r="3" spans="1:14">
      <c r="E3" s="238" t="s">
        <v>17</v>
      </c>
      <c r="F3" s="238"/>
      <c r="G3" s="238"/>
      <c r="H3" s="238"/>
    </row>
    <row r="4" spans="1:14">
      <c r="A4" s="7" t="s">
        <v>11</v>
      </c>
      <c r="B4" s="7">
        <v>1</v>
      </c>
      <c r="C4" s="7" t="s">
        <v>12</v>
      </c>
      <c r="E4" s="5" t="s">
        <v>15</v>
      </c>
      <c r="F4" s="5" t="s">
        <v>16</v>
      </c>
      <c r="G4" s="5" t="s">
        <v>19</v>
      </c>
      <c r="H4" s="5" t="s">
        <v>20</v>
      </c>
    </row>
    <row r="5" spans="1:14">
      <c r="A5" s="7" t="s">
        <v>13</v>
      </c>
      <c r="B5" s="7">
        <v>1</v>
      </c>
      <c r="C5" s="7" t="s">
        <v>14</v>
      </c>
      <c r="E5" s="6" t="s">
        <v>22</v>
      </c>
      <c r="F5" s="5" t="s">
        <v>18</v>
      </c>
      <c r="G5" s="5">
        <v>0.1</v>
      </c>
      <c r="H5" s="5">
        <v>0.8</v>
      </c>
      <c r="I5" s="6" t="s">
        <v>22</v>
      </c>
    </row>
    <row r="6" spans="1:14">
      <c r="E6" s="6" t="s">
        <v>22</v>
      </c>
      <c r="F6" s="5" t="s">
        <v>21</v>
      </c>
      <c r="G6" s="5">
        <v>0.1</v>
      </c>
      <c r="H6" s="5">
        <v>1</v>
      </c>
      <c r="I6" s="6" t="s">
        <v>22</v>
      </c>
    </row>
    <row r="7" spans="1:14">
      <c r="E7" s="6" t="s">
        <v>22</v>
      </c>
      <c r="F7" s="5" t="s">
        <v>23</v>
      </c>
      <c r="G7" s="5">
        <v>0.4</v>
      </c>
      <c r="H7" s="5">
        <v>4</v>
      </c>
      <c r="I7" s="6" t="s">
        <v>22</v>
      </c>
    </row>
    <row r="8" spans="1:14">
      <c r="E8" s="6" t="s">
        <v>24</v>
      </c>
      <c r="F8" s="5" t="s">
        <v>18</v>
      </c>
      <c r="G8" s="5">
        <v>1</v>
      </c>
      <c r="H8" s="5">
        <v>7</v>
      </c>
      <c r="I8" s="6" t="s">
        <v>24</v>
      </c>
    </row>
    <row r="9" spans="1:14">
      <c r="E9" s="6" t="s">
        <v>24</v>
      </c>
      <c r="F9" s="5" t="s">
        <v>21</v>
      </c>
      <c r="G9" s="5">
        <v>1.5</v>
      </c>
      <c r="H9" s="5">
        <v>13</v>
      </c>
      <c r="I9" s="6" t="s">
        <v>24</v>
      </c>
    </row>
    <row r="10" spans="1:14">
      <c r="E10" s="6" t="s">
        <v>24</v>
      </c>
      <c r="F10" s="5" t="s">
        <v>23</v>
      </c>
      <c r="G10" s="5">
        <v>2</v>
      </c>
      <c r="H10" s="5">
        <v>22</v>
      </c>
      <c r="I10" s="6" t="s">
        <v>24</v>
      </c>
    </row>
    <row r="11" spans="1:14">
      <c r="E11" s="6" t="s">
        <v>25</v>
      </c>
      <c r="F11" s="5" t="s">
        <v>18</v>
      </c>
      <c r="G11" s="5">
        <v>4</v>
      </c>
      <c r="H11" s="5">
        <v>38</v>
      </c>
      <c r="I11" s="6" t="s">
        <v>25</v>
      </c>
    </row>
    <row r="12" spans="1:14">
      <c r="E12" s="6" t="s">
        <v>25</v>
      </c>
      <c r="F12" s="5" t="s">
        <v>21</v>
      </c>
      <c r="G12" s="5">
        <v>8</v>
      </c>
      <c r="H12" s="5">
        <v>60</v>
      </c>
      <c r="I12" s="6" t="s">
        <v>25</v>
      </c>
      <c r="M12" t="str">
        <f>VLOOKUP(N12,$H$5:$I$18,2,TRUE)</f>
        <v>1/16-30</v>
      </c>
      <c r="N12">
        <f t="array" ref="N12">MAX(IF(H5:H18&lt;$K$17,H5:H18))</f>
        <v>7</v>
      </c>
    </row>
    <row r="13" spans="1:14">
      <c r="A13" t="s">
        <v>47</v>
      </c>
      <c r="B13" t="s">
        <v>48</v>
      </c>
      <c r="E13" s="6" t="s">
        <v>25</v>
      </c>
      <c r="F13" s="5" t="s">
        <v>23</v>
      </c>
      <c r="G13" s="5">
        <v>15</v>
      </c>
      <c r="H13" s="5">
        <v>120</v>
      </c>
      <c r="I13" s="6" t="s">
        <v>25</v>
      </c>
      <c r="M13" t="str">
        <f>VLOOKUP(N13,$H$5:$I$18,2,TRUE)</f>
        <v>1/16-30</v>
      </c>
      <c r="N13">
        <f t="array" ref="N13">MIN(IF(H5:H18&gt;$K$17,H5:H18))</f>
        <v>13</v>
      </c>
    </row>
    <row r="14" spans="1:14">
      <c r="E14" s="6" t="s">
        <v>25</v>
      </c>
      <c r="F14" s="5" t="s">
        <v>26</v>
      </c>
      <c r="G14" s="5">
        <v>20</v>
      </c>
      <c r="H14" s="5">
        <v>180</v>
      </c>
      <c r="I14" s="6" t="s">
        <v>25</v>
      </c>
      <c r="J14" t="s">
        <v>51</v>
      </c>
      <c r="K14" s="7">
        <f t="array" ref="K14">MIN(IF(H5:H18&gt;$K$17,H5:H18))</f>
        <v>13</v>
      </c>
      <c r="M14" t="str">
        <f t="shared" ref="M14:M15" si="0">VLOOKUP(N14,$H$5:$I$18,2,TRUE)</f>
        <v>1/16-30</v>
      </c>
      <c r="N14">
        <f t="array" ref="N14">MIN(IF(H5:H18&gt;$N$13,H5:H18))</f>
        <v>22</v>
      </c>
    </row>
    <row r="15" spans="1:14">
      <c r="A15" t="s">
        <v>29</v>
      </c>
      <c r="B15">
        <v>1</v>
      </c>
      <c r="E15" s="6" t="s">
        <v>27</v>
      </c>
      <c r="F15" s="5" t="s">
        <v>21</v>
      </c>
      <c r="G15" s="5">
        <v>80</v>
      </c>
      <c r="H15" s="5">
        <v>580</v>
      </c>
      <c r="I15" s="6" t="s">
        <v>27</v>
      </c>
      <c r="J15" t="s">
        <v>52</v>
      </c>
      <c r="K15" s="7">
        <f t="array" ref="K15">MAX(IF(H5:H18&lt;$K$17,H5:H18))</f>
        <v>7</v>
      </c>
      <c r="M15" t="str">
        <f t="shared" si="0"/>
        <v>1/8-21</v>
      </c>
      <c r="N15">
        <f t="array" ref="N15">MIN(IF(H5:H18&gt;$N$14,H5:H18))</f>
        <v>38</v>
      </c>
    </row>
    <row r="16" spans="1:14">
      <c r="A16" t="s">
        <v>42</v>
      </c>
      <c r="B16">
        <v>60</v>
      </c>
      <c r="E16" s="6" t="s">
        <v>27</v>
      </c>
      <c r="F16" s="5" t="s">
        <v>23</v>
      </c>
      <c r="G16" s="5">
        <v>100</v>
      </c>
      <c r="H16" s="5">
        <v>850</v>
      </c>
      <c r="I16" s="6" t="s">
        <v>27</v>
      </c>
      <c r="K16" s="7"/>
    </row>
    <row r="17" spans="1:11">
      <c r="A17" t="s">
        <v>43</v>
      </c>
      <c r="B17">
        <f>1/60</f>
        <v>1.6666666666666666E-2</v>
      </c>
      <c r="E17" s="6" t="s">
        <v>28</v>
      </c>
      <c r="F17" s="5" t="s">
        <v>23</v>
      </c>
      <c r="G17" s="5">
        <v>200</v>
      </c>
      <c r="H17" s="5">
        <v>1600</v>
      </c>
      <c r="I17" s="6" t="s">
        <v>28</v>
      </c>
      <c r="J17" t="s">
        <v>50</v>
      </c>
      <c r="K17" s="7">
        <v>10</v>
      </c>
    </row>
    <row r="18" spans="1:11">
      <c r="A18" t="s">
        <v>30</v>
      </c>
      <c r="B18">
        <v>0.06</v>
      </c>
      <c r="E18" s="6" t="s">
        <v>28</v>
      </c>
      <c r="F18" s="5" t="s">
        <v>26</v>
      </c>
      <c r="G18" s="5">
        <v>200</v>
      </c>
      <c r="H18" s="5">
        <v>2200</v>
      </c>
      <c r="I18" s="6" t="s">
        <v>28</v>
      </c>
    </row>
    <row r="19" spans="1:11">
      <c r="A19" t="s">
        <v>31</v>
      </c>
      <c r="B19">
        <f>1/1000</f>
        <v>1E-3</v>
      </c>
      <c r="E19" s="2"/>
      <c r="F19" s="1"/>
      <c r="G19" s="1"/>
      <c r="H19" s="1"/>
    </row>
    <row r="20" spans="1:11">
      <c r="A20" t="s">
        <v>32</v>
      </c>
      <c r="B20">
        <f>1/60000</f>
        <v>1.6666666666666667E-5</v>
      </c>
      <c r="E20" s="2"/>
      <c r="F20" s="1"/>
      <c r="G20" s="1"/>
      <c r="H20" s="1"/>
      <c r="K20" t="s">
        <v>49</v>
      </c>
    </row>
    <row r="21" spans="1:11">
      <c r="A21" t="s">
        <v>33</v>
      </c>
      <c r="B21">
        <f>60/(1000*1000)</f>
        <v>6.0000000000000002E-5</v>
      </c>
      <c r="E21" s="2"/>
      <c r="F21" s="1"/>
      <c r="G21" s="1"/>
      <c r="H21" s="1"/>
    </row>
    <row r="22" spans="1:11">
      <c r="A22" t="s">
        <v>34</v>
      </c>
      <c r="B22">
        <f>1/(1000^2)</f>
        <v>9.9999999999999995E-7</v>
      </c>
      <c r="E22" s="10"/>
      <c r="F22" s="11"/>
      <c r="G22" s="11"/>
      <c r="H22" s="11"/>
    </row>
    <row r="23" spans="1:11">
      <c r="A23" t="s">
        <v>35</v>
      </c>
      <c r="B23" s="9"/>
      <c r="E23" s="10"/>
      <c r="F23" s="11"/>
      <c r="G23" s="11"/>
      <c r="H23" s="11"/>
    </row>
    <row r="24" spans="1:11">
      <c r="A24" t="s">
        <v>36</v>
      </c>
      <c r="B24" s="9"/>
      <c r="E24" s="10"/>
      <c r="F24" s="11"/>
      <c r="G24" s="11"/>
      <c r="H24" s="11"/>
    </row>
    <row r="25" spans="1:11">
      <c r="A25" t="s">
        <v>37</v>
      </c>
      <c r="B25" s="9"/>
      <c r="E25" s="10"/>
      <c r="F25" s="11"/>
      <c r="G25" s="11"/>
      <c r="H25" s="11"/>
    </row>
    <row r="26" spans="1:11">
      <c r="A26" t="s">
        <v>38</v>
      </c>
      <c r="B26" s="9"/>
      <c r="E26" s="10"/>
      <c r="F26" s="11"/>
      <c r="G26" s="11"/>
      <c r="H26" s="11"/>
    </row>
    <row r="27" spans="1:11">
      <c r="A27" t="s">
        <v>39</v>
      </c>
      <c r="B27" s="9"/>
      <c r="E27" s="10"/>
      <c r="F27" s="11"/>
      <c r="G27" s="11"/>
      <c r="H27" s="11"/>
    </row>
    <row r="28" spans="1:11">
      <c r="A28" t="s">
        <v>40</v>
      </c>
      <c r="B28" s="9"/>
      <c r="E28" s="10"/>
      <c r="F28" s="11"/>
      <c r="G28" s="11"/>
      <c r="H28" s="11"/>
    </row>
    <row r="29" spans="1:11">
      <c r="A29" t="s">
        <v>41</v>
      </c>
      <c r="B29" s="9"/>
      <c r="E29" s="10"/>
      <c r="F29" s="11"/>
      <c r="G29" s="11"/>
      <c r="H29" s="11"/>
    </row>
    <row r="30" spans="1:11">
      <c r="A30" t="s">
        <v>44</v>
      </c>
      <c r="B30" s="9"/>
      <c r="E30" s="10"/>
      <c r="F30" s="11"/>
      <c r="G30" s="11"/>
      <c r="H30" s="11"/>
    </row>
    <row r="31" spans="1:11">
      <c r="A31" t="s">
        <v>45</v>
      </c>
      <c r="B31" s="9"/>
      <c r="E31" s="10"/>
      <c r="F31" s="11"/>
      <c r="G31" s="11"/>
      <c r="H31" s="11"/>
    </row>
    <row r="32" spans="1:11">
      <c r="A32" t="s">
        <v>46</v>
      </c>
      <c r="B32" s="9"/>
      <c r="E32" s="10"/>
      <c r="F32" s="11"/>
      <c r="G32" s="11"/>
      <c r="H32" s="11"/>
    </row>
    <row r="33" spans="5:8">
      <c r="E33" s="10"/>
      <c r="F33" s="11"/>
      <c r="G33" s="11"/>
      <c r="H33" s="11"/>
    </row>
    <row r="34" spans="5:8">
      <c r="E34" s="10"/>
      <c r="F34" s="11"/>
      <c r="G34" s="11"/>
      <c r="H34" s="11"/>
    </row>
    <row r="35" spans="5:8">
      <c r="E35" s="10"/>
      <c r="F35" s="11"/>
      <c r="G35" s="11"/>
      <c r="H35" s="11"/>
    </row>
    <row r="36" spans="5:8">
      <c r="E36" s="10"/>
      <c r="F36" s="11"/>
      <c r="G36" s="11"/>
      <c r="H36" s="11"/>
    </row>
    <row r="37" spans="5:8">
      <c r="E37" s="10"/>
      <c r="F37" s="11"/>
      <c r="G37" s="11"/>
      <c r="H37" s="11"/>
    </row>
    <row r="38" spans="5:8">
      <c r="E38" s="10"/>
      <c r="F38" s="11"/>
      <c r="G38" s="11"/>
      <c r="H38" s="11"/>
    </row>
    <row r="39" spans="5:8">
      <c r="E39" s="10"/>
      <c r="F39" s="11"/>
      <c r="G39" s="11"/>
      <c r="H39" s="11"/>
    </row>
    <row r="40" spans="5:8">
      <c r="E40" s="10"/>
      <c r="F40" s="11"/>
      <c r="G40" s="11"/>
      <c r="H40" s="11"/>
    </row>
    <row r="41" spans="5:8">
      <c r="E41" s="10"/>
      <c r="F41" s="11"/>
      <c r="G41" s="11"/>
      <c r="H41" s="11"/>
    </row>
    <row r="42" spans="5:8">
      <c r="E42" s="2"/>
      <c r="F42" s="1"/>
      <c r="G42" s="1"/>
      <c r="H42" s="1"/>
    </row>
    <row r="43" spans="5:8">
      <c r="E43" s="2"/>
      <c r="F43" s="1"/>
      <c r="G43" s="1"/>
      <c r="H43" s="1"/>
    </row>
    <row r="44" spans="5:8">
      <c r="E44" s="2"/>
      <c r="F44" s="1"/>
      <c r="G44" s="1"/>
      <c r="H44" s="1"/>
    </row>
    <row r="45" spans="5:8">
      <c r="E45" s="3"/>
    </row>
    <row r="46" spans="5:8">
      <c r="E46" s="3"/>
    </row>
  </sheetData>
  <mergeCells count="1">
    <mergeCell ref="E3:H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R60"/>
  <sheetViews>
    <sheetView workbookViewId="0">
      <selection activeCell="C10" sqref="C10:J11"/>
    </sheetView>
  </sheetViews>
  <sheetFormatPr defaultRowHeight="15"/>
  <cols>
    <col min="1" max="1" width="9.7109375" bestFit="1" customWidth="1"/>
    <col min="3" max="3" width="13.42578125" customWidth="1"/>
    <col min="4" max="5" width="9.28515625" bestFit="1" customWidth="1"/>
    <col min="19" max="19" width="12.7109375" bestFit="1" customWidth="1"/>
    <col min="20" max="21" width="9.28515625" bestFit="1" customWidth="1"/>
  </cols>
  <sheetData>
    <row r="2" spans="1:18">
      <c r="A2" s="3"/>
    </row>
    <row r="3" spans="1:18">
      <c r="A3" s="3" t="s">
        <v>121</v>
      </c>
      <c r="B3" t="s">
        <v>123</v>
      </c>
      <c r="C3">
        <f t="array" ref="C3:Q3">TRANSPOSE('5" Theoretical Test'!$A$3:$A$17)</f>
        <v>30</v>
      </c>
      <c r="D3">
        <v>45</v>
      </c>
      <c r="E3">
        <v>70</v>
      </c>
      <c r="F3">
        <v>100</v>
      </c>
      <c r="G3">
        <v>200</v>
      </c>
      <c r="H3">
        <v>400</v>
      </c>
      <c r="I3">
        <v>700</v>
      </c>
      <c r="J3">
        <v>1000</v>
      </c>
      <c r="K3">
        <v>2000</v>
      </c>
      <c r="L3">
        <v>5000</v>
      </c>
      <c r="M3">
        <v>10000</v>
      </c>
      <c r="N3">
        <v>20000</v>
      </c>
      <c r="O3">
        <v>40000</v>
      </c>
      <c r="P3">
        <v>100000</v>
      </c>
      <c r="Q3">
        <v>200000</v>
      </c>
    </row>
    <row r="4" spans="1:18">
      <c r="B4" t="s">
        <v>124</v>
      </c>
      <c r="C4">
        <f t="array" ref="C4:Q4">TRANSPOSE('5" Theoretical Test'!B3:B17)</f>
        <v>0.08</v>
      </c>
      <c r="D4">
        <v>0.12</v>
      </c>
      <c r="E4">
        <v>0.18</v>
      </c>
      <c r="F4">
        <v>0.23</v>
      </c>
      <c r="G4">
        <v>0.33</v>
      </c>
      <c r="H4">
        <v>0.43</v>
      </c>
      <c r="I4">
        <v>0.5</v>
      </c>
      <c r="J4">
        <v>0.54</v>
      </c>
      <c r="K4">
        <v>0.59299999999999997</v>
      </c>
      <c r="L4">
        <v>0.66</v>
      </c>
      <c r="M4">
        <v>0.7</v>
      </c>
      <c r="N4">
        <v>0.72050000000000003</v>
      </c>
      <c r="O4">
        <v>0.75</v>
      </c>
      <c r="P4">
        <v>0.78</v>
      </c>
      <c r="Q4">
        <v>0.8</v>
      </c>
    </row>
    <row r="10" spans="1:18">
      <c r="A10" s="3" t="s">
        <v>120</v>
      </c>
      <c r="B10" t="s">
        <v>123</v>
      </c>
      <c r="C10">
        <v>30</v>
      </c>
      <c r="D10">
        <v>40</v>
      </c>
      <c r="E10">
        <v>80</v>
      </c>
      <c r="F10">
        <v>95</v>
      </c>
      <c r="G10">
        <v>180</v>
      </c>
      <c r="H10">
        <v>280</v>
      </c>
      <c r="I10">
        <v>300</v>
      </c>
      <c r="J10">
        <v>600</v>
      </c>
      <c r="K10">
        <v>800</v>
      </c>
      <c r="L10">
        <v>2200</v>
      </c>
      <c r="M10">
        <v>3400</v>
      </c>
      <c r="N10">
        <v>8500</v>
      </c>
      <c r="O10">
        <v>14000</v>
      </c>
      <c r="P10">
        <v>28000</v>
      </c>
      <c r="Q10">
        <v>50000</v>
      </c>
      <c r="R10">
        <v>140000</v>
      </c>
    </row>
    <row r="11" spans="1:18">
      <c r="B11" t="s">
        <v>124</v>
      </c>
      <c r="C11">
        <v>4.3999999999999997E-2</v>
      </c>
      <c r="D11">
        <v>0.06</v>
      </c>
      <c r="E11">
        <v>0.123</v>
      </c>
      <c r="F11">
        <v>0.14000000000000001</v>
      </c>
      <c r="G11">
        <v>0.22</v>
      </c>
      <c r="H11">
        <v>0.27</v>
      </c>
      <c r="I11">
        <v>0.28000000000000003</v>
      </c>
      <c r="J11">
        <v>0.35</v>
      </c>
      <c r="K11">
        <v>0.38</v>
      </c>
      <c r="L11">
        <v>0.46</v>
      </c>
      <c r="M11">
        <v>0.49</v>
      </c>
      <c r="N11">
        <v>0.54</v>
      </c>
      <c r="O11">
        <v>0.56000000000000005</v>
      </c>
      <c r="P11">
        <v>0.57999999999999996</v>
      </c>
      <c r="Q11">
        <v>0.59</v>
      </c>
      <c r="R11">
        <v>0.6</v>
      </c>
    </row>
    <row r="17" spans="1:17">
      <c r="A17" s="3" t="s">
        <v>119</v>
      </c>
      <c r="B17" t="s">
        <v>123</v>
      </c>
      <c r="C17">
        <v>30</v>
      </c>
      <c r="D17">
        <v>38</v>
      </c>
      <c r="E17">
        <v>90</v>
      </c>
      <c r="F17">
        <v>120</v>
      </c>
      <c r="G17">
        <v>160</v>
      </c>
      <c r="H17">
        <v>300</v>
      </c>
      <c r="I17">
        <v>600</v>
      </c>
      <c r="J17">
        <v>850</v>
      </c>
      <c r="K17">
        <v>2400</v>
      </c>
      <c r="L17">
        <v>3400</v>
      </c>
      <c r="M17">
        <v>8000</v>
      </c>
      <c r="N17">
        <v>14000</v>
      </c>
      <c r="O17">
        <v>20000</v>
      </c>
      <c r="P17">
        <v>50000</v>
      </c>
      <c r="Q17">
        <v>75000</v>
      </c>
    </row>
    <row r="18" spans="1:17">
      <c r="B18" t="s">
        <v>124</v>
      </c>
      <c r="C18">
        <v>2.5000000000000001E-2</v>
      </c>
      <c r="D18">
        <v>3.1E-2</v>
      </c>
      <c r="E18">
        <v>7.3999999999999996E-2</v>
      </c>
      <c r="F18">
        <v>0.1</v>
      </c>
      <c r="G18">
        <v>0.13</v>
      </c>
      <c r="H18">
        <v>0.19</v>
      </c>
      <c r="I18">
        <v>0.25</v>
      </c>
      <c r="J18">
        <v>0.28000000000000003</v>
      </c>
      <c r="K18">
        <v>0.35</v>
      </c>
      <c r="L18">
        <v>0.37</v>
      </c>
      <c r="M18">
        <v>0.41</v>
      </c>
      <c r="N18">
        <v>0.43</v>
      </c>
      <c r="O18">
        <v>0.44</v>
      </c>
      <c r="P18">
        <v>0.46</v>
      </c>
      <c r="Q18">
        <v>0.47</v>
      </c>
    </row>
    <row r="24" spans="1:17">
      <c r="A24" s="3" t="s">
        <v>118</v>
      </c>
      <c r="B24" t="s">
        <v>123</v>
      </c>
      <c r="C24">
        <v>30</v>
      </c>
      <c r="D24">
        <v>40</v>
      </c>
      <c r="E24">
        <v>90</v>
      </c>
      <c r="F24">
        <v>260</v>
      </c>
      <c r="G24">
        <v>400</v>
      </c>
      <c r="H24">
        <v>650</v>
      </c>
      <c r="I24">
        <v>900</v>
      </c>
      <c r="J24">
        <v>1600</v>
      </c>
      <c r="K24">
        <v>3000</v>
      </c>
      <c r="L24">
        <v>4000</v>
      </c>
      <c r="M24">
        <v>7000</v>
      </c>
      <c r="N24">
        <v>10000</v>
      </c>
      <c r="O24">
        <v>26000</v>
      </c>
      <c r="P24">
        <v>50000</v>
      </c>
      <c r="Q24">
        <v>120000</v>
      </c>
    </row>
    <row r="25" spans="1:17">
      <c r="B25" t="s">
        <v>124</v>
      </c>
      <c r="C25">
        <v>7.0000000000000001E-3</v>
      </c>
      <c r="D25">
        <v>9.1999999999999998E-3</v>
      </c>
      <c r="E25">
        <v>2.1000000000000001E-2</v>
      </c>
      <c r="F25">
        <v>0.06</v>
      </c>
      <c r="G25">
        <v>8.7999999999999995E-2</v>
      </c>
      <c r="H25">
        <v>0.12</v>
      </c>
      <c r="I25">
        <v>0.14000000000000001</v>
      </c>
      <c r="J25">
        <v>0.17</v>
      </c>
      <c r="K25">
        <v>0.2</v>
      </c>
      <c r="L25">
        <v>0.21</v>
      </c>
      <c r="M25">
        <v>0.23</v>
      </c>
      <c r="N25">
        <v>0.24</v>
      </c>
      <c r="O25">
        <v>0.26</v>
      </c>
      <c r="P25">
        <v>0.27</v>
      </c>
      <c r="Q25">
        <v>0.28000000000000003</v>
      </c>
    </row>
    <row r="31" spans="1:17">
      <c r="A31" s="3" t="s">
        <v>215</v>
      </c>
      <c r="B31" t="s">
        <v>123</v>
      </c>
      <c r="C31">
        <v>36</v>
      </c>
      <c r="D31">
        <v>100</v>
      </c>
      <c r="E31">
        <v>160</v>
      </c>
      <c r="F31">
        <v>200</v>
      </c>
      <c r="G31">
        <v>400</v>
      </c>
      <c r="H31">
        <v>1000</v>
      </c>
      <c r="I31">
        <v>1400</v>
      </c>
      <c r="J31">
        <v>2000</v>
      </c>
      <c r="K31">
        <v>3000</v>
      </c>
      <c r="L31">
        <v>6000</v>
      </c>
      <c r="M31">
        <v>8000</v>
      </c>
      <c r="N31">
        <v>16000</v>
      </c>
      <c r="O31">
        <v>36000</v>
      </c>
      <c r="P31">
        <v>60000</v>
      </c>
      <c r="Q31">
        <v>120000</v>
      </c>
    </row>
    <row r="32" spans="1:17">
      <c r="B32" t="s">
        <v>124</v>
      </c>
      <c r="C32">
        <v>1.4E-2</v>
      </c>
      <c r="D32">
        <v>0.04</v>
      </c>
      <c r="E32">
        <v>6.4000000000000001E-2</v>
      </c>
      <c r="F32">
        <v>0.08</v>
      </c>
      <c r="G32">
        <v>0.13</v>
      </c>
      <c r="H32">
        <v>0.19</v>
      </c>
      <c r="I32">
        <v>0.21</v>
      </c>
      <c r="J32">
        <v>0.23</v>
      </c>
      <c r="K32">
        <v>0.25</v>
      </c>
      <c r="L32">
        <v>0.28000000000000003</v>
      </c>
      <c r="M32">
        <v>0.28999999999999998</v>
      </c>
      <c r="N32">
        <v>0.31</v>
      </c>
      <c r="O32">
        <v>0.33</v>
      </c>
      <c r="P32">
        <v>0.34</v>
      </c>
      <c r="Q32">
        <v>0.35</v>
      </c>
    </row>
    <row r="38" spans="1:17">
      <c r="A38" s="3" t="s">
        <v>216</v>
      </c>
      <c r="B38" t="s">
        <v>123</v>
      </c>
      <c r="C38">
        <v>32</v>
      </c>
      <c r="D38">
        <v>70</v>
      </c>
      <c r="E38">
        <v>85</v>
      </c>
      <c r="F38">
        <v>180</v>
      </c>
      <c r="G38">
        <v>220</v>
      </c>
      <c r="H38">
        <v>450</v>
      </c>
      <c r="I38">
        <v>1000</v>
      </c>
      <c r="J38">
        <v>1600</v>
      </c>
      <c r="K38">
        <v>2000</v>
      </c>
      <c r="L38">
        <v>4500</v>
      </c>
      <c r="M38">
        <v>6500</v>
      </c>
      <c r="N38">
        <v>9000</v>
      </c>
      <c r="O38">
        <v>14000</v>
      </c>
      <c r="P38">
        <v>45000</v>
      </c>
      <c r="Q38">
        <v>120000</v>
      </c>
    </row>
    <row r="39" spans="1:17">
      <c r="B39" t="s">
        <v>124</v>
      </c>
      <c r="C39">
        <v>4.1000000000000003E-3</v>
      </c>
      <c r="D39">
        <v>8.9999999999999993E-3</v>
      </c>
      <c r="E39">
        <v>1.0999999999999999E-2</v>
      </c>
      <c r="F39">
        <v>2.1999999999999999E-2</v>
      </c>
      <c r="G39">
        <v>2.8000000000000001E-2</v>
      </c>
      <c r="H39">
        <v>5.8000000000000003E-2</v>
      </c>
      <c r="I39">
        <v>9.8000000000000004E-2</v>
      </c>
      <c r="J39">
        <v>0.12</v>
      </c>
      <c r="K39">
        <v>0.13</v>
      </c>
      <c r="L39">
        <v>0.16</v>
      </c>
      <c r="M39">
        <v>0.17</v>
      </c>
      <c r="N39">
        <v>0.18</v>
      </c>
      <c r="O39">
        <v>0.19</v>
      </c>
      <c r="P39">
        <v>0.21</v>
      </c>
      <c r="Q39">
        <v>0.22</v>
      </c>
    </row>
    <row r="45" spans="1:17">
      <c r="A45" s="3" t="s">
        <v>217</v>
      </c>
      <c r="B45" t="s">
        <v>123</v>
      </c>
      <c r="C45">
        <v>32</v>
      </c>
      <c r="D45">
        <v>55</v>
      </c>
      <c r="E45">
        <v>100</v>
      </c>
      <c r="F45">
        <v>200</v>
      </c>
      <c r="G45">
        <v>260</v>
      </c>
      <c r="H45">
        <v>320</v>
      </c>
      <c r="I45">
        <v>400</v>
      </c>
      <c r="J45">
        <v>600</v>
      </c>
      <c r="K45">
        <v>800</v>
      </c>
      <c r="L45">
        <v>1800</v>
      </c>
      <c r="M45">
        <v>2600</v>
      </c>
      <c r="N45">
        <v>3200</v>
      </c>
      <c r="O45">
        <v>5500</v>
      </c>
      <c r="P45">
        <v>7000</v>
      </c>
      <c r="Q45">
        <v>8500</v>
      </c>
    </row>
    <row r="46" spans="1:17">
      <c r="B46" t="s">
        <v>124</v>
      </c>
      <c r="C46">
        <v>0.01</v>
      </c>
      <c r="D46">
        <v>1.7000000000000001E-2</v>
      </c>
      <c r="E46">
        <v>3.1E-2</v>
      </c>
      <c r="F46">
        <v>6.4000000000000001E-2</v>
      </c>
      <c r="G46">
        <v>8.2000000000000003E-2</v>
      </c>
      <c r="H46">
        <v>0.1</v>
      </c>
      <c r="I46">
        <v>0.12</v>
      </c>
      <c r="J46">
        <v>0.16</v>
      </c>
      <c r="K46">
        <v>0.19</v>
      </c>
      <c r="L46">
        <v>0.24</v>
      </c>
      <c r="M46">
        <v>0.26</v>
      </c>
      <c r="N46">
        <v>0.27</v>
      </c>
      <c r="O46">
        <v>0.3</v>
      </c>
      <c r="P46">
        <v>0.31</v>
      </c>
      <c r="Q46">
        <v>0.32</v>
      </c>
    </row>
    <row r="52" spans="1:17">
      <c r="A52" s="3" t="s">
        <v>218</v>
      </c>
      <c r="B52" t="s">
        <v>123</v>
      </c>
      <c r="C52">
        <v>45</v>
      </c>
      <c r="D52">
        <v>60</v>
      </c>
      <c r="E52">
        <v>80</v>
      </c>
      <c r="F52">
        <v>100</v>
      </c>
      <c r="G52">
        <v>180</v>
      </c>
      <c r="H52">
        <v>300</v>
      </c>
      <c r="I52">
        <v>400</v>
      </c>
      <c r="J52">
        <v>600</v>
      </c>
      <c r="K52">
        <v>700</v>
      </c>
      <c r="L52">
        <v>1000</v>
      </c>
      <c r="M52">
        <v>2000</v>
      </c>
      <c r="N52">
        <v>2400</v>
      </c>
      <c r="O52">
        <v>2800</v>
      </c>
      <c r="P52">
        <v>4000</v>
      </c>
      <c r="Q52">
        <v>6000</v>
      </c>
    </row>
    <row r="53" spans="1:17">
      <c r="B53" t="s">
        <v>124</v>
      </c>
      <c r="C53">
        <v>2.4E-2</v>
      </c>
      <c r="D53">
        <v>3.2000000000000001E-2</v>
      </c>
      <c r="E53">
        <v>4.4999999999999998E-2</v>
      </c>
      <c r="F53">
        <v>5.3999999999999999E-2</v>
      </c>
      <c r="G53">
        <v>9.8000000000000004E-2</v>
      </c>
      <c r="H53">
        <v>0.16</v>
      </c>
      <c r="I53">
        <v>0.2</v>
      </c>
      <c r="J53">
        <v>0.26</v>
      </c>
      <c r="K53">
        <v>0.28000000000000003</v>
      </c>
      <c r="L53">
        <v>0.32</v>
      </c>
      <c r="M53">
        <v>0.37</v>
      </c>
      <c r="N53">
        <v>0.38</v>
      </c>
      <c r="O53">
        <v>0.39</v>
      </c>
      <c r="P53">
        <v>0.41</v>
      </c>
      <c r="Q53">
        <v>0.43</v>
      </c>
    </row>
    <row r="59" spans="1:17">
      <c r="A59" s="3" t="s">
        <v>219</v>
      </c>
      <c r="B59" t="s">
        <v>123</v>
      </c>
      <c r="C59">
        <v>36</v>
      </c>
      <c r="D59">
        <v>45</v>
      </c>
      <c r="E59">
        <v>75</v>
      </c>
      <c r="F59">
        <v>100</v>
      </c>
      <c r="G59">
        <v>180</v>
      </c>
      <c r="H59">
        <v>240</v>
      </c>
      <c r="I59">
        <v>280</v>
      </c>
      <c r="J59">
        <v>360</v>
      </c>
      <c r="K59">
        <v>400</v>
      </c>
      <c r="L59">
        <v>450</v>
      </c>
      <c r="M59">
        <v>500</v>
      </c>
      <c r="N59">
        <v>850</v>
      </c>
      <c r="O59">
        <v>2200</v>
      </c>
      <c r="P59">
        <v>3600</v>
      </c>
      <c r="Q59">
        <v>5000</v>
      </c>
    </row>
    <row r="60" spans="1:17">
      <c r="B60" t="s">
        <v>124</v>
      </c>
      <c r="C60">
        <v>0.03</v>
      </c>
      <c r="D60">
        <v>3.6999999999999998E-2</v>
      </c>
      <c r="E60">
        <v>0.06</v>
      </c>
      <c r="F60">
        <v>8.2000000000000003E-2</v>
      </c>
      <c r="G60">
        <v>0.15</v>
      </c>
      <c r="H60">
        <v>0.2</v>
      </c>
      <c r="I60">
        <v>0.23</v>
      </c>
      <c r="J60">
        <v>0.28000000000000003</v>
      </c>
      <c r="K60">
        <v>0.3</v>
      </c>
      <c r="L60">
        <v>0.32</v>
      </c>
      <c r="M60">
        <v>0.34</v>
      </c>
      <c r="N60">
        <v>0.41</v>
      </c>
      <c r="O60">
        <v>0.49</v>
      </c>
      <c r="P60">
        <v>0.52</v>
      </c>
      <c r="Q60">
        <v>0.54</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S69"/>
  <sheetViews>
    <sheetView topLeftCell="G1" workbookViewId="0">
      <selection activeCell="I28" sqref="I28"/>
    </sheetView>
  </sheetViews>
  <sheetFormatPr defaultRowHeight="15"/>
  <cols>
    <col min="2" max="2" width="12" style="51" bestFit="1" customWidth="1"/>
    <col min="3" max="3" width="17" style="51" bestFit="1" customWidth="1"/>
    <col min="4" max="4" width="16.7109375" style="51" bestFit="1" customWidth="1"/>
    <col min="5" max="5" width="11.7109375" bestFit="1" customWidth="1"/>
    <col min="6" max="6" width="23.85546875" bestFit="1" customWidth="1"/>
    <col min="7" max="7" width="13.42578125" bestFit="1" customWidth="1"/>
    <col min="8" max="8" width="11.7109375" bestFit="1" customWidth="1"/>
    <col min="9" max="9" width="22.7109375" bestFit="1" customWidth="1"/>
    <col min="10" max="10" width="22.42578125" bestFit="1" customWidth="1"/>
    <col min="11" max="11" width="23.5703125" bestFit="1" customWidth="1"/>
    <col min="12" max="12" width="23.28515625" bestFit="1" customWidth="1"/>
    <col min="13" max="13" width="13.28515625" bestFit="1" customWidth="1"/>
    <col min="14" max="14" width="12.85546875" bestFit="1" customWidth="1"/>
    <col min="15" max="15" width="13.42578125" bestFit="1" customWidth="1"/>
    <col min="16" max="17" width="13.28515625" bestFit="1" customWidth="1"/>
    <col min="18" max="19" width="13.140625" bestFit="1" customWidth="1"/>
  </cols>
  <sheetData>
    <row r="2" spans="2:16">
      <c r="B2" s="240" t="s">
        <v>200</v>
      </c>
      <c r="C2" s="240"/>
      <c r="D2" s="240"/>
    </row>
    <row r="3" spans="2:16">
      <c r="B3" s="58" t="s">
        <v>58</v>
      </c>
      <c r="C3" s="65" t="s">
        <v>77</v>
      </c>
      <c r="D3" s="65" t="s">
        <v>80</v>
      </c>
      <c r="E3" s="61" t="s">
        <v>58</v>
      </c>
      <c r="F3" s="46" t="s">
        <v>346</v>
      </c>
      <c r="G3" s="46" t="s">
        <v>348</v>
      </c>
    </row>
    <row r="4" spans="2:16">
      <c r="B4" s="50" t="s">
        <v>75</v>
      </c>
      <c r="C4" s="50">
        <f>'10A61 3" Gas+liquid Calcs'!Q8</f>
        <v>4.3821008136454651</v>
      </c>
      <c r="D4" s="50">
        <f>C4/10</f>
        <v>0.43821008136454653</v>
      </c>
      <c r="E4" s="60" t="str">
        <f>IF('VA Sizing'!$C$3="Gas",B4,
IF(AND('VA Sizing'!$C$3="Liquid",'10A61 3" Gas+liquid Calcs'!L8&gt;10),CONCATENATE(" ",B4),B4))</f>
        <v>1/8-08-BG</v>
      </c>
      <c r="F4" s="7">
        <f>C4*VLOOKUP('VA Sizing'!$D$12,'Modified Inputs'!$I$8:$J$32,2,FALSE)</f>
        <v>2.6292604881872789E-4</v>
      </c>
      <c r="G4" s="137">
        <f>IF(F4&lt;0.99999,ROUND(F4,2),
IF(F4&lt;9.999,ROUND(F4,2),
IF(F4&lt;99.99,ROUND(F4,1),
IF(F4&lt;999.99,ROUND(F4,0),
IF(F4&lt;9999.99,ROUND(F4,-1),
IF(F4&lt;99999,ROUND(F4,-2),ROUND(F4,2)))))))</f>
        <v>0</v>
      </c>
    </row>
    <row r="5" spans="2:16">
      <c r="B5" s="50" t="s">
        <v>78</v>
      </c>
      <c r="C5" s="50">
        <f>'10A61 3" Gas+liquid Calcs'!Q9</f>
        <v>8.3809730144917314</v>
      </c>
      <c r="D5" s="50">
        <f t="shared" ref="D5:D33" si="0">C5/10</f>
        <v>0.83809730144917316</v>
      </c>
      <c r="E5" s="74" t="str">
        <f>IF('VA Sizing'!$C$3="Gas",B5,
IF(AND('VA Sizing'!$C$3="Liquid",'10A61 3" Gas+liquid Calcs'!L9&gt;10),CONCATENATE(" ",B5),B5))</f>
        <v>1/8-08-SA</v>
      </c>
      <c r="F5" s="7">
        <f>C5*VLOOKUP('VA Sizing'!$D$12,'Modified Inputs'!$I$8:$J$32,2,FALSE)</f>
        <v>5.0285838086950392E-4</v>
      </c>
      <c r="G5" s="137">
        <f t="shared" ref="G5:G33" si="1">IF(F5&lt;0.99999,ROUND(F5,2),
IF(F5&lt;9.999,ROUND(F5,2),
IF(F5&lt;99.99,ROUND(F5,1),
IF(F5&lt;999.99,ROUND(F5,0),
IF(F5&lt;9999.99,ROUND(F5,-1),
IF(F5&lt;99999,ROUND(F5,-2),ROUND(F5,2)))))))</f>
        <v>0</v>
      </c>
    </row>
    <row r="6" spans="2:16">
      <c r="B6" s="50" t="s">
        <v>79</v>
      </c>
      <c r="C6" s="50">
        <f>'10A61 3" Gas+liquid Calcs'!Q10</f>
        <v>17.98332487873666</v>
      </c>
      <c r="D6" s="50">
        <f t="shared" si="0"/>
        <v>1.798332487873666</v>
      </c>
      <c r="E6" s="74" t="str">
        <f>IF('VA Sizing'!$C$3="Gas",B6,
IF(AND('VA Sizing'!$C$3="Liquid",'10A61 3" Gas+liquid Calcs'!L10&gt;10),CONCATENATE(" ",B6),B6))</f>
        <v>1/8-08-SS</v>
      </c>
      <c r="F6" s="7">
        <f>C6*VLOOKUP('VA Sizing'!$D$12,'Modified Inputs'!$I$8:$J$32,2,FALSE)</f>
        <v>1.0789994927241995E-3</v>
      </c>
      <c r="G6" s="137">
        <f t="shared" si="1"/>
        <v>0</v>
      </c>
      <c r="H6" t="s">
        <v>58</v>
      </c>
      <c r="I6" t="s">
        <v>344</v>
      </c>
      <c r="J6" t="s">
        <v>345</v>
      </c>
      <c r="K6" t="s">
        <v>346</v>
      </c>
      <c r="L6" t="s">
        <v>347</v>
      </c>
      <c r="M6" t="s">
        <v>348</v>
      </c>
      <c r="N6" t="s">
        <v>349</v>
      </c>
      <c r="O6" t="s">
        <v>350</v>
      </c>
      <c r="P6" s="141" t="s">
        <v>814</v>
      </c>
    </row>
    <row r="7" spans="2:16">
      <c r="B7" s="50" t="s">
        <v>82</v>
      </c>
      <c r="C7" s="50">
        <f>'10A61 3" Gas+liquid Calcs'!Q11</f>
        <v>33.340642730188989</v>
      </c>
      <c r="D7" s="50">
        <f t="shared" si="0"/>
        <v>3.3340642730188987</v>
      </c>
      <c r="E7" s="74" t="str">
        <f>IF('VA Sizing'!$C$3="Gas",B7,
IF(AND('VA Sizing'!$C$3="Liquid",'10A61 3" Gas+liquid Calcs'!L11&gt;10),CONCATENATE(" ",B7),B7))</f>
        <v>1/8-08-CA</v>
      </c>
      <c r="F7" s="7">
        <f>C7*VLOOKUP('VA Sizing'!$D$12,'Modified Inputs'!$I$8:$J$32,2,FALSE)</f>
        <v>2.0004385638113394E-3</v>
      </c>
      <c r="G7" s="137">
        <f t="shared" si="1"/>
        <v>0</v>
      </c>
      <c r="H7" t="str">
        <f>VLOOKUP(I7,$C$4:$E$37,3,FALSE)</f>
        <v>1/4-41-G-SA</v>
      </c>
      <c r="I7" s="30">
        <f t="array" ref="I7">MAX(IF($C$4:$C$37&lt;'Modified Inputs'!$O$2,C4:C37))</f>
        <v>765.54880618093705</v>
      </c>
      <c r="J7">
        <f>VLOOKUP(I7,$C$4:$D$37,2,FALSE)</f>
        <v>76.554880618093705</v>
      </c>
      <c r="K7">
        <f>I7*VLOOKUP('VA Sizing'!$D$12,'Modified Inputs'!$I$8:$J$32,2,FALSE)</f>
        <v>4.5932928370856226E-2</v>
      </c>
      <c r="L7">
        <f>J7*VLOOKUP('VA Sizing'!$D$12,'Modified Inputs'!$I$8:$J$32,2,FALSE)</f>
        <v>4.5932928370856227E-3</v>
      </c>
      <c r="M7" s="141">
        <f>R22</f>
        <v>4.5999999999999999E-2</v>
      </c>
      <c r="N7">
        <f>ROUND(L7,2)</f>
        <v>0</v>
      </c>
      <c r="O7" s="59" t="str">
        <f>CONCATENATE(N7," ","-"," ",M7)</f>
        <v>0 - 0.046</v>
      </c>
      <c r="P7" s="141" t="str">
        <f>IFERROR(IF('VA Sizing'!$N$2="10A61",S22,""),"")</f>
        <v>ED-3-460</v>
      </c>
    </row>
    <row r="8" spans="2:16">
      <c r="B8" s="50" t="s">
        <v>83</v>
      </c>
      <c r="C8" s="50">
        <f>'10A61 3" Gas+liquid Calcs'!Q12</f>
        <v>36.521425715839726</v>
      </c>
      <c r="D8" s="50">
        <f t="shared" si="0"/>
        <v>3.6521425715839726</v>
      </c>
      <c r="E8" s="74" t="str">
        <f>IF('VA Sizing'!$C$3="Gas",B8,
IF(AND('VA Sizing'!$C$3="Liquid",'10A61 3" Gas+liquid Calcs'!L12&gt;10),CONCATENATE(" ",B8),B8))</f>
        <v>1/8-08-TA</v>
      </c>
      <c r="F8" s="7">
        <f>C8*VLOOKUP('VA Sizing'!$D$12,'Modified Inputs'!$I$8:$J$32,2,FALSE)</f>
        <v>2.1912855429503837E-3</v>
      </c>
      <c r="G8" s="137">
        <f t="shared" si="1"/>
        <v>0</v>
      </c>
      <c r="H8" t="str">
        <f>VLOOKUP(I8,$C$4:$E$37,3,FALSE)</f>
        <v>1/4-20-CA</v>
      </c>
      <c r="I8">
        <f t="array" ref="I8">MIN(IF($C$4:$C$37&gt;'Modified Inputs'!$O$2,$C$4:$C$37))</f>
        <v>849.49918104236224</v>
      </c>
      <c r="J8">
        <f>VLOOKUP(I8,$C$4:$D$37,2,FALSE)</f>
        <v>84.949918104236218</v>
      </c>
      <c r="K8">
        <f>I8*VLOOKUP('VA Sizing'!$D$12,'Modified Inputs'!$I$8:$J$32,2,FALSE)</f>
        <v>5.0969950862541732E-2</v>
      </c>
      <c r="L8">
        <f>J8*VLOOKUP('VA Sizing'!$D$12,'Modified Inputs'!$I$8:$J$32,2,FALSE)</f>
        <v>5.0969950862541731E-3</v>
      </c>
      <c r="M8" s="141">
        <f t="shared" ref="M8:M10" si="2">R23</f>
        <v>0.05</v>
      </c>
      <c r="N8">
        <f>ROUND(L8,1)</f>
        <v>0</v>
      </c>
      <c r="O8" s="59" t="str">
        <f t="shared" ref="O8:O10" si="3">CONCATENATE(N8," ","-"," ",M8)</f>
        <v>0 - 0.05</v>
      </c>
      <c r="P8" s="141" t="str">
        <f>IFERROR(IF('VA Sizing'!$N$2="10A61",S23,""),"")</f>
        <v>ED-3-500</v>
      </c>
    </row>
    <row r="9" spans="2:16">
      <c r="B9" s="50" t="s">
        <v>81</v>
      </c>
      <c r="C9" s="50">
        <f>'10A61 3" Gas+liquid Calcs'!Q14</f>
        <v>28.28878830578196</v>
      </c>
      <c r="D9" s="50">
        <f t="shared" si="0"/>
        <v>2.828878830578196</v>
      </c>
      <c r="E9" s="60" t="str">
        <f>IF('VA Sizing'!$C$3="Gas",B9,
IF(AND('VA Sizing'!$C$3="Liquid",'10A61 3" Gas+liquid Calcs'!L14&gt;60),CONCATENATE(" ",B9),B9))</f>
        <v>1/8-20-BG</v>
      </c>
      <c r="F9" s="7">
        <f>C9*VLOOKUP('VA Sizing'!$D$12,'Modified Inputs'!$I$8:$J$32,2,FALSE)</f>
        <v>1.6973272983469177E-3</v>
      </c>
      <c r="G9" s="137">
        <f t="shared" si="1"/>
        <v>0</v>
      </c>
      <c r="H9" t="str">
        <f>VLOOKUP(I9,$C$4:$E$37,3,FALSE)</f>
        <v>1/4-20-TA</v>
      </c>
      <c r="I9">
        <f t="array" ref="I9">MIN(IF($C$4:$C$37&gt;I8,$C$4:$C$37))</f>
        <v>899.08406419190442</v>
      </c>
      <c r="J9">
        <f>VLOOKUP(I9,$C$4:$D$37,2,FALSE)</f>
        <v>89.908406419190442</v>
      </c>
      <c r="K9">
        <f>I9*VLOOKUP('VA Sizing'!$D$12,'Modified Inputs'!$I$8:$J$32,2,FALSE)</f>
        <v>5.3945043851514267E-2</v>
      </c>
      <c r="L9">
        <f>J9*VLOOKUP('VA Sizing'!$D$12,'Modified Inputs'!$I$8:$J$32,2,FALSE)</f>
        <v>5.3945043851514269E-3</v>
      </c>
      <c r="M9" s="141">
        <f t="shared" si="2"/>
        <v>5.3999999999999999E-2</v>
      </c>
      <c r="N9">
        <f t="shared" ref="N9:N10" si="4">ROUND(L9,1)</f>
        <v>0</v>
      </c>
      <c r="O9" s="59" t="str">
        <f t="shared" si="3"/>
        <v>0 - 0.054</v>
      </c>
      <c r="P9" s="141" t="str">
        <f>IFERROR(IF('VA Sizing'!$N$2="10A61",S24,""),"")</f>
        <v>ED-3-540</v>
      </c>
    </row>
    <row r="10" spans="2:16">
      <c r="B10" s="50" t="s">
        <v>84</v>
      </c>
      <c r="C10" s="50">
        <f>'10A61 3" Gas+liquid Calcs'!Q15</f>
        <v>49.102401974933208</v>
      </c>
      <c r="D10" s="50">
        <f t="shared" si="0"/>
        <v>4.9102401974933212</v>
      </c>
      <c r="E10" s="74" t="str">
        <f>IF('VA Sizing'!$C$3="Gas",B10,
IF(AND('VA Sizing'!$C$3="Liquid",'10A61 3" Gas+liquid Calcs'!L15&gt;60),CONCATENATE(" ",B10),B10))</f>
        <v>1/8-20-SA</v>
      </c>
      <c r="F10" s="7">
        <f>C10*VLOOKUP('VA Sizing'!$D$12,'Modified Inputs'!$I$8:$J$32,2,FALSE)</f>
        <v>2.9461441184959925E-3</v>
      </c>
      <c r="G10" s="137">
        <f t="shared" si="1"/>
        <v>0</v>
      </c>
      <c r="H10" t="str">
        <f>VLOOKUP(I10,$C$4:$E$37,3,FALSE)</f>
        <v>1/4-41-P-SA</v>
      </c>
      <c r="I10">
        <f t="array" ref="I10">MIN(IF($C$4:$C$37&gt;I9,$C$4:$C$37))</f>
        <v>984.66551034944723</v>
      </c>
      <c r="J10">
        <f>VLOOKUP(I10,$C$4:$D$37,2,FALSE)</f>
        <v>98.466551034944729</v>
      </c>
      <c r="K10">
        <f>I10*VLOOKUP('VA Sizing'!$D$12,'Modified Inputs'!$I$8:$J$32,2,FALSE)</f>
        <v>5.9079930620966836E-2</v>
      </c>
      <c r="L10">
        <f>J10*VLOOKUP('VA Sizing'!$D$12,'Modified Inputs'!$I$8:$J$32,2,FALSE)</f>
        <v>5.907993062096684E-3</v>
      </c>
      <c r="M10" s="141">
        <f t="shared" si="2"/>
        <v>6.0000000000000005E-2</v>
      </c>
      <c r="N10">
        <f t="shared" si="4"/>
        <v>0</v>
      </c>
      <c r="O10" s="59" t="str">
        <f t="shared" si="3"/>
        <v>0 - 0.06</v>
      </c>
      <c r="P10" s="141" t="str">
        <f>IFERROR(IF('VA Sizing'!$N$2="10A61",S25,""),"")</f>
        <v>ED-3-600</v>
      </c>
    </row>
    <row r="11" spans="2:16">
      <c r="B11" s="50" t="s">
        <v>85</v>
      </c>
      <c r="C11" s="50">
        <f>'10A61 3" Gas+liquid Calcs'!Q16</f>
        <v>90.111361813440581</v>
      </c>
      <c r="D11" s="50">
        <f t="shared" si="0"/>
        <v>9.0111361813440585</v>
      </c>
      <c r="E11" s="74" t="str">
        <f>IF('VA Sizing'!$C$3="Gas",B11,
IF(AND('VA Sizing'!$C$3="Liquid",'10A61 3" Gas+liquid Calcs'!L16&gt;60),CONCATENATE(" ",B11),B11))</f>
        <v>1/8-20-SS</v>
      </c>
      <c r="F11" s="7">
        <f>C11*VLOOKUP('VA Sizing'!$D$12,'Modified Inputs'!$I$8:$J$32,2,FALSE)</f>
        <v>5.4066817088064354E-3</v>
      </c>
      <c r="G11" s="137">
        <f t="shared" si="1"/>
        <v>0.01</v>
      </c>
    </row>
    <row r="12" spans="2:16">
      <c r="B12" s="50" t="s">
        <v>86</v>
      </c>
      <c r="C12" s="50">
        <f>'10A61 3" Gas+liquid Calcs'!Q17</f>
        <v>138.24557048949612</v>
      </c>
      <c r="D12" s="50">
        <f t="shared" si="0"/>
        <v>13.824557048949611</v>
      </c>
      <c r="E12" s="74" t="str">
        <f>IF('VA Sizing'!$C$3="Gas",B12,
IF(AND('VA Sizing'!$C$3="Liquid",'10A61 3" Gas+liquid Calcs'!L17&gt;60),CONCATENATE(" ",B12),B12))</f>
        <v>1/8-20-CA</v>
      </c>
      <c r="F12" s="7">
        <f>C12*VLOOKUP('VA Sizing'!$D$12,'Modified Inputs'!$I$8:$J$32,2,FALSE)</f>
        <v>8.2947342293697678E-3</v>
      </c>
      <c r="G12" s="137">
        <f t="shared" si="1"/>
        <v>0.01</v>
      </c>
    </row>
    <row r="13" spans="2:16">
      <c r="B13" s="50" t="s">
        <v>87</v>
      </c>
      <c r="C13" s="50">
        <f>'10A61 3" Gas+liquid Calcs'!Q18</f>
        <v>147.34446030827132</v>
      </c>
      <c r="D13" s="50">
        <f t="shared" si="0"/>
        <v>14.734446030827133</v>
      </c>
      <c r="E13" s="74" t="str">
        <f>IF('VA Sizing'!$C$3="Gas",B13,
IF(AND('VA Sizing'!$C$3="Liquid",'10A61 3" Gas+liquid Calcs'!L18&gt;60),CONCATENATE(" ",B13),B13))</f>
        <v>1/8-20-TA</v>
      </c>
      <c r="F13" s="7">
        <f>C13*VLOOKUP('VA Sizing'!$D$12,'Modified Inputs'!$I$8:$J$32,2,FALSE)</f>
        <v>8.8406676184962802E-3</v>
      </c>
      <c r="G13" s="137">
        <f t="shared" si="1"/>
        <v>0.01</v>
      </c>
    </row>
    <row r="14" spans="2:16">
      <c r="B14" s="50" t="s">
        <v>272</v>
      </c>
      <c r="C14" s="50">
        <f>'10A61 3" Gas+liquid Calcs'!Q20</f>
        <v>146.55573632564349</v>
      </c>
      <c r="D14" s="50">
        <f t="shared" si="0"/>
        <v>14.65557363256435</v>
      </c>
      <c r="E14" s="74" t="str">
        <f>IF('VA Sizing'!$C$3="Gas",B14,
IF(AND('VA Sizing'!$C$3="Liquid",'10A61 3" Gas+liquid Calcs'!L20&gt;60),CONCATENATE(" ",B14),B14))</f>
        <v>1/4-15-BG</v>
      </c>
      <c r="F14" s="7">
        <f>C14*VLOOKUP('VA Sizing'!$D$12,'Modified Inputs'!$I$8:$J$32,2,FALSE)</f>
        <v>8.7933441795386095E-3</v>
      </c>
      <c r="G14" s="137">
        <f t="shared" si="1"/>
        <v>0.01</v>
      </c>
      <c r="H14" s="241" t="s">
        <v>351</v>
      </c>
      <c r="I14" s="240"/>
    </row>
    <row r="15" spans="2:16">
      <c r="B15" s="50" t="s">
        <v>89</v>
      </c>
      <c r="C15" s="50">
        <f>'10A61 3" Gas+liquid Calcs'!Q21</f>
        <v>227.87507994808104</v>
      </c>
      <c r="D15" s="50">
        <f t="shared" si="0"/>
        <v>22.787507994808102</v>
      </c>
      <c r="E15" s="74" t="str">
        <f>IF('VA Sizing'!$C$3="Gas",B15,
IF(AND('VA Sizing'!$C$3="Liquid",'10A61 3" Gas+liquid Calcs'!L21&gt;60),CONCATENATE(" ",B15),B15))</f>
        <v>1/4-15-SA</v>
      </c>
      <c r="F15" s="7">
        <f>C15*VLOOKUP('VA Sizing'!$D$12,'Modified Inputs'!$I$8:$J$32,2,FALSE)</f>
        <v>1.3672504796884862E-2</v>
      </c>
      <c r="G15" s="137">
        <f t="shared" si="1"/>
        <v>0.01</v>
      </c>
      <c r="H15" s="136" t="s">
        <v>58</v>
      </c>
      <c r="I15" s="61" t="s">
        <v>343</v>
      </c>
    </row>
    <row r="16" spans="2:16" ht="30" customHeight="1">
      <c r="B16" s="50" t="s">
        <v>92</v>
      </c>
      <c r="C16" s="50">
        <f>'10A61 3" Gas+liquid Calcs'!Q22</f>
        <v>385.79899083421202</v>
      </c>
      <c r="D16" s="50">
        <f t="shared" si="0"/>
        <v>38.579899083421203</v>
      </c>
      <c r="E16" s="74" t="str">
        <f>IF('VA Sizing'!$C$3="Gas",B16,
IF(AND('VA Sizing'!$C$3="Liquid",'10A61 3" Gas+liquid Calcs'!L22&gt;60),CONCATENATE(" ",B16),B16))</f>
        <v>1/4-15-SS</v>
      </c>
      <c r="F16" s="7">
        <f>C16*VLOOKUP('VA Sizing'!$D$12,'Modified Inputs'!$I$8:$J$32,2,FALSE)</f>
        <v>2.314793945005272E-2</v>
      </c>
      <c r="G16" s="137">
        <f t="shared" si="1"/>
        <v>0.02</v>
      </c>
      <c r="H16" s="131" t="str">
        <f>IFERROR(H7,"")</f>
        <v>1/4-41-G-SA</v>
      </c>
      <c r="I16" s="60" t="str">
        <f>IF(H16="","",O7)</f>
        <v>0 - 0.046</v>
      </c>
    </row>
    <row r="17" spans="2:19" ht="30" customHeight="1">
      <c r="B17" s="50" t="s">
        <v>93</v>
      </c>
      <c r="C17" s="50">
        <f>'10A61 3" Gas+liquid Calcs'!Q23</f>
        <v>574.42582803479604</v>
      </c>
      <c r="D17" s="50">
        <f t="shared" si="0"/>
        <v>57.442582803479603</v>
      </c>
      <c r="E17" s="74" t="str">
        <f>IF('VA Sizing'!$C$3="Gas",B17,
IF(AND('VA Sizing'!$C$3="Liquid",'10A61 3" Gas+liquid Calcs'!L23&gt;60),CONCATENATE(" ",B17),B17))</f>
        <v>1/4-15-CA</v>
      </c>
      <c r="F17" s="7">
        <f>C17*VLOOKUP('VA Sizing'!$D$12,'Modified Inputs'!$I$8:$J$32,2,FALSE)</f>
        <v>3.4465549682087766E-2</v>
      </c>
      <c r="G17" s="137">
        <f t="shared" si="1"/>
        <v>0.03</v>
      </c>
      <c r="H17" s="131" t="str">
        <f>IFERROR(H8,"")</f>
        <v>1/4-20-CA</v>
      </c>
      <c r="I17" s="60" t="str">
        <f t="shared" ref="I17:I19" si="5">IF(H17="","",O8)</f>
        <v>0 - 0.05</v>
      </c>
    </row>
    <row r="18" spans="2:19" ht="30" customHeight="1">
      <c r="B18" s="50" t="s">
        <v>95</v>
      </c>
      <c r="C18" s="50">
        <f>'10A61 3" Gas+liquid Calcs'!Q24</f>
        <v>610.45272194128154</v>
      </c>
      <c r="D18" s="50">
        <f t="shared" si="0"/>
        <v>61.045272194128152</v>
      </c>
      <c r="E18" s="74" t="str">
        <f>IF('VA Sizing'!$C$3="Gas",B18,
IF(AND('VA Sizing'!$C$3="Liquid",'10A61 3" Gas+liquid Calcs'!L24&gt;60),CONCATENATE(" ",B18),B18))</f>
        <v>1/4-15-TA</v>
      </c>
      <c r="F18" s="7">
        <f>C18*VLOOKUP('VA Sizing'!$D$12,'Modified Inputs'!$I$8:$J$32,2,FALSE)</f>
        <v>3.6627163316476891E-2</v>
      </c>
      <c r="G18" s="137">
        <f t="shared" si="1"/>
        <v>0.04</v>
      </c>
      <c r="H18" s="131" t="str">
        <f>IFERROR(IF(H17="","",H9),"")</f>
        <v>1/4-20-TA</v>
      </c>
      <c r="I18" s="60" t="str">
        <f t="shared" si="5"/>
        <v>0 - 0.054</v>
      </c>
    </row>
    <row r="19" spans="2:19" ht="30" customHeight="1">
      <c r="B19" s="50" t="s">
        <v>226</v>
      </c>
      <c r="C19" s="50">
        <f>'10A61 3" Gas+liquid Calcs'!Q26</f>
        <v>249.01537778809373</v>
      </c>
      <c r="D19" s="50">
        <f t="shared" si="0"/>
        <v>24.901537778809374</v>
      </c>
      <c r="E19" s="74" t="str">
        <f>IF('VA Sizing'!$C$3="Gas",B19,
IF(AND('VA Sizing'!$C$3="Liquid",'10A61 3" Gas+liquid Calcs'!L26&gt;60),CONCATENATE(" ",B19),B19))</f>
        <v>1/4-20-BG</v>
      </c>
      <c r="F19" s="7">
        <f>C19*VLOOKUP('VA Sizing'!$D$12,'Modified Inputs'!$I$8:$J$32,2,FALSE)</f>
        <v>1.4940922667285625E-2</v>
      </c>
      <c r="G19" s="137">
        <f t="shared" si="1"/>
        <v>0.01</v>
      </c>
      <c r="H19" s="131" t="str">
        <f>IFERROR(IF(OR(H17="",H18=""),"",H10),"")</f>
        <v>1/4-41-P-SA</v>
      </c>
      <c r="I19" s="60" t="str">
        <f t="shared" si="5"/>
        <v>0 - 0.06</v>
      </c>
    </row>
    <row r="20" spans="2:19">
      <c r="B20" s="50" t="s">
        <v>91</v>
      </c>
      <c r="C20" s="50">
        <f>'10A61 3" Gas+liquid Calcs'!Q27</f>
        <v>366.59265323186003</v>
      </c>
      <c r="D20" s="50">
        <f t="shared" si="0"/>
        <v>36.659265323186006</v>
      </c>
      <c r="E20" s="74" t="str">
        <f>IF('VA Sizing'!$C$3="Gas",B20,
IF(AND('VA Sizing'!$C$3="Liquid",'10A61 3" Gas+liquid Calcs'!L27&gt;60),CONCATENATE(" ",B20),B20))</f>
        <v>1/4-20-SA</v>
      </c>
      <c r="F20" s="7">
        <f>C20*VLOOKUP('VA Sizing'!$D$12,'Modified Inputs'!$I$8:$J$32,2,FALSE)</f>
        <v>2.1995559193911603E-2</v>
      </c>
      <c r="G20" s="137">
        <f t="shared" si="1"/>
        <v>0.02</v>
      </c>
    </row>
    <row r="21" spans="2:19">
      <c r="B21" s="50" t="s">
        <v>94</v>
      </c>
      <c r="C21" s="50">
        <f>'10A61 3" Gas+liquid Calcs'!Q28</f>
        <v>588.57655003977823</v>
      </c>
      <c r="D21" s="50">
        <f t="shared" si="0"/>
        <v>58.857655003977825</v>
      </c>
      <c r="E21" s="74" t="str">
        <f>IF('VA Sizing'!$C$3="Gas",B21,
IF(AND('VA Sizing'!$C$3="Liquid",'10A61 3" Gas+liquid Calcs'!L28&gt;60),CONCATENATE(" ",B21),B21))</f>
        <v>1/4-20-SS</v>
      </c>
      <c r="F21" s="7">
        <f>C21*VLOOKUP('VA Sizing'!$D$12,'Modified Inputs'!$I$8:$J$32,2,FALSE)</f>
        <v>3.5314593002386693E-2</v>
      </c>
      <c r="G21" s="137">
        <f t="shared" si="1"/>
        <v>0.04</v>
      </c>
      <c r="K21" s="143" t="s">
        <v>343</v>
      </c>
      <c r="L21" s="143" t="s">
        <v>564</v>
      </c>
      <c r="N21" s="145" t="s">
        <v>815</v>
      </c>
      <c r="O21" s="145" t="s">
        <v>809</v>
      </c>
      <c r="P21" s="145" t="s">
        <v>810</v>
      </c>
      <c r="Q21" s="145" t="s">
        <v>811</v>
      </c>
      <c r="R21" s="145" t="s">
        <v>812</v>
      </c>
      <c r="S21" s="145" t="s">
        <v>813</v>
      </c>
    </row>
    <row r="22" spans="2:19">
      <c r="B22" s="50" t="s">
        <v>97</v>
      </c>
      <c r="C22" s="50">
        <f>'10A61 3" Gas+liquid Calcs'!Q29</f>
        <v>849.49918104236224</v>
      </c>
      <c r="D22" s="50">
        <f t="shared" si="0"/>
        <v>84.949918104236218</v>
      </c>
      <c r="E22" s="74" t="str">
        <f>IF('VA Sizing'!$C$3="Gas",B22,
IF(AND('VA Sizing'!$C$3="Liquid",'10A61 3" Gas+liquid Calcs'!L29&gt;60),CONCATENATE(" ",B22),B22))</f>
        <v>1/4-20-CA</v>
      </c>
      <c r="F22" s="7">
        <f>C22*VLOOKUP('VA Sizing'!$D$12,'Modified Inputs'!$I$8:$J$32,2,FALSE)</f>
        <v>5.0969950862541732E-2</v>
      </c>
      <c r="G22" s="137">
        <f t="shared" si="1"/>
        <v>0.05</v>
      </c>
      <c r="K22" s="142">
        <v>100</v>
      </c>
      <c r="L22" s="144" t="s">
        <v>761</v>
      </c>
      <c r="N22" s="5">
        <f>K7</f>
        <v>4.5932928370856226E-2</v>
      </c>
      <c r="O22" s="5">
        <f>N22+0.00000000001</f>
        <v>4.5932928380856226E-2</v>
      </c>
      <c r="P22" s="5">
        <f>IF(AND(O22&gt;0.000975,O22&lt;0.00974999),O22*10^5,
IF(AND(O22&gt;0.00975,O22&lt;0.0974999),O22*10^4,
IF(AND(O22&gt;0.0975,O22&lt;0.974999),O22*10^3,
IF(AND(O22&gt;0.975,O22&lt;9.74999),O22*10^2,
IF(AND(O22&gt;9.75,O22&lt;97.4999),O22*10^1,
IF(AND(O22&gt;97.5,O22&lt;974.999),O22*10^0,
IF(AND(O22&gt;975,O22&lt;9749.99),O22*10^-1,
IF(AND(O22&gt;9750,O22&lt;97499.9),O22*10^-2,
IF(AND(O22&gt;97500,O22&lt;974999),O22*10^-3,"error")))))))))</f>
        <v>459.32928380856225</v>
      </c>
      <c r="Q22" s="5">
        <f t="array" ref="Q22">INDEX($K$22:$K$69,MATCH(MIN(ABS($K$22:$K$69-P22)),ABS($K$22:$K$69-P22),0))</f>
        <v>460</v>
      </c>
      <c r="R22" s="5">
        <f>IF(AND(O22&gt;0.000975,O22&lt;0.00974999),Q22*10^-5,
IF(AND(O22&gt;0.00975,O22&lt;0.0974999),Q22*10^-4,
IF(AND(O22&gt;0.0975,O22&lt;0.974999),Q22*10^-3,
IF(AND(O22&gt;0.975,O22&lt;9.74999),Q22*10^-2,
IF(AND(O22&gt;9.75,O22&lt;97.4999),Q22*10^-1,
IF(AND(O22&gt;97.5,O22&lt;974.999),Q22*10^0,
IF(AND(O22&gt;975,O22&lt;9749.99),Q22*10^1,
IF(AND(O22&gt;9750,O22&lt;97499.9),Q22*10^2,
IF(AND(O22&gt;97500,O22&lt;974999),Q22*10^3,"error")))))))))</f>
        <v>4.5999999999999999E-2</v>
      </c>
      <c r="S22" s="142" t="str">
        <f>VLOOKUP(Q22,$K$22:$L$69,2,FALSE)</f>
        <v>ED-3-460</v>
      </c>
    </row>
    <row r="23" spans="2:19">
      <c r="B23" s="50" t="s">
        <v>98</v>
      </c>
      <c r="C23" s="50">
        <f>'10A61 3" Gas+liquid Calcs'!Q30</f>
        <v>899.08406419190442</v>
      </c>
      <c r="D23" s="50">
        <f t="shared" si="0"/>
        <v>89.908406419190442</v>
      </c>
      <c r="E23" s="74" t="str">
        <f>IF('VA Sizing'!$C$3="Gas",B23,
IF(AND('VA Sizing'!$C$3="Liquid",'10A61 3" Gas+liquid Calcs'!L30&gt;60),CONCATENATE(" ",B23),B23))</f>
        <v>1/4-20-TA</v>
      </c>
      <c r="F23" s="7">
        <f>C23*VLOOKUP('VA Sizing'!$D$12,'Modified Inputs'!$I$8:$J$32,2,FALSE)</f>
        <v>5.3945043851514267E-2</v>
      </c>
      <c r="G23" s="137">
        <f t="shared" si="1"/>
        <v>0.05</v>
      </c>
      <c r="K23" s="142">
        <v>105</v>
      </c>
      <c r="L23" s="144" t="s">
        <v>762</v>
      </c>
      <c r="N23" s="5">
        <f t="shared" ref="N23:N25" si="6">K8</f>
        <v>5.0969950862541732E-2</v>
      </c>
      <c r="O23" s="5">
        <f t="shared" ref="O23:O25" si="7">N23+0.00000000001</f>
        <v>5.0969950872541733E-2</v>
      </c>
      <c r="P23" s="5">
        <f t="shared" ref="P23:P25" si="8">IF(AND(O23&gt;0.000975,O23&lt;0.00974999),O23*10^5,
IF(AND(O23&gt;0.00975,O23&lt;0.0974999),O23*10^4,
IF(AND(O23&gt;0.0975,O23&lt;0.974999),O23*10^3,
IF(AND(O23&gt;0.975,O23&lt;9.74999),O23*10^2,
IF(AND(O23&gt;9.75,O23&lt;97.4999),O23*10^1,
IF(AND(O23&gt;97.5,O23&lt;974.999),O23*10^0,
IF(AND(O23&gt;975,O23&lt;9749.99),O23*10^-1,
IF(AND(O23&gt;9750,O23&lt;97499.9),O23*10^-2,
IF(AND(O23&gt;97500,O23&lt;974999),O23*10^-3,"error")))))))))</f>
        <v>509.69950872541733</v>
      </c>
      <c r="Q23" s="5">
        <f t="array" ref="Q23">INDEX($K$22:$K$69,MATCH(MIN(ABS($K$22:$K$69-P23)),ABS($K$22:$K$69-P23),0))</f>
        <v>500</v>
      </c>
      <c r="R23" s="5">
        <f t="shared" ref="R23:R25" si="9">IF(AND(O23&gt;0.000975,O23&lt;0.00974999),Q23*10^-5,
IF(AND(O23&gt;0.00975,O23&lt;0.0974999),Q23*10^-4,
IF(AND(O23&gt;0.0975,O23&lt;0.974999),Q23*10^-3,
IF(AND(O23&gt;0.975,O23&lt;9.74999),Q23*10^-2,
IF(AND(O23&gt;9.75,O23&lt;97.4999),Q23*10^-1,
IF(AND(O23&gt;97.5,O23&lt;974.999),Q23*10^0,
IF(AND(O23&gt;975,O23&lt;9749.99),Q23*10^1,
IF(AND(O23&gt;9750,O23&lt;97499.9),Q23*10^2,
IF(AND(O23&gt;97500,O23&lt;974999),Q23*10^3,"error")))))))))</f>
        <v>0.05</v>
      </c>
      <c r="S23" s="142" t="str">
        <f t="shared" ref="S23:S25" si="10">VLOOKUP(Q23,$K$22:$L$69,2,FALSE)</f>
        <v>ED-3-500</v>
      </c>
    </row>
    <row r="24" spans="2:19">
      <c r="B24" s="50" t="s">
        <v>273</v>
      </c>
      <c r="C24" s="50">
        <f>'10A61 3" Gas+liquid Calcs'!Q32</f>
        <v>520.74644933004947</v>
      </c>
      <c r="D24" s="50">
        <f t="shared" si="0"/>
        <v>52.074644933004947</v>
      </c>
      <c r="E24" s="74" t="str">
        <f>IF('VA Sizing'!$C$3="Gas",B24,
IF(AND('VA Sizing'!$C$3="Liquid",'10A61 3" Gas+liquid Calcs'!L32&gt;60),CONCATENATE(" ",B24),B24))</f>
        <v>1/4-41-G-BG</v>
      </c>
      <c r="F24" s="7">
        <f>C24*VLOOKUP('VA Sizing'!$D$12,'Modified Inputs'!$I$8:$J$32,2,FALSE)</f>
        <v>3.124478695980297E-2</v>
      </c>
      <c r="G24" s="137">
        <f t="shared" si="1"/>
        <v>0.03</v>
      </c>
      <c r="K24" s="142">
        <v>110</v>
      </c>
      <c r="L24" s="144" t="s">
        <v>763</v>
      </c>
      <c r="N24" s="5">
        <f t="shared" si="6"/>
        <v>5.3945043851514267E-2</v>
      </c>
      <c r="O24" s="5">
        <f t="shared" si="7"/>
        <v>5.3945043861514268E-2</v>
      </c>
      <c r="P24" s="5">
        <f t="shared" si="8"/>
        <v>539.45043861514273</v>
      </c>
      <c r="Q24" s="5">
        <f t="array" ref="Q24">INDEX($K$22:$K$69,MATCH(MIN(ABS($K$22:$K$69-P24)),ABS($K$22:$K$69-P24),0))</f>
        <v>540</v>
      </c>
      <c r="R24" s="5">
        <f t="shared" si="9"/>
        <v>5.3999999999999999E-2</v>
      </c>
      <c r="S24" s="142" t="str">
        <f t="shared" si="10"/>
        <v>ED-3-540</v>
      </c>
    </row>
    <row r="25" spans="2:19">
      <c r="B25" s="50" t="s">
        <v>96</v>
      </c>
      <c r="C25" s="50">
        <f>'10A61 3" Gas+liquid Calcs'!Q33</f>
        <v>765.54880618093705</v>
      </c>
      <c r="D25" s="50">
        <f t="shared" si="0"/>
        <v>76.554880618093705</v>
      </c>
      <c r="E25" s="74" t="str">
        <f>IF('VA Sizing'!$C$3="Gas",B25,
IF(AND('VA Sizing'!$C$3="Liquid",'10A61 3" Gas+liquid Calcs'!L33&gt;60),CONCATENATE(" ",B25),B25))</f>
        <v>1/4-41-G-SA</v>
      </c>
      <c r="F25" s="7">
        <f>C25*VLOOKUP('VA Sizing'!$D$12,'Modified Inputs'!$I$8:$J$32,2,FALSE)</f>
        <v>4.5932928370856226E-2</v>
      </c>
      <c r="G25" s="137">
        <f t="shared" si="1"/>
        <v>0.05</v>
      </c>
      <c r="K25" s="142">
        <v>115</v>
      </c>
      <c r="L25" s="144" t="s">
        <v>764</v>
      </c>
      <c r="N25" s="5">
        <f t="shared" si="6"/>
        <v>5.9079930620966836E-2</v>
      </c>
      <c r="O25" s="5">
        <f t="shared" si="7"/>
        <v>5.9079930630966837E-2</v>
      </c>
      <c r="P25" s="5">
        <f t="shared" si="8"/>
        <v>590.7993063096684</v>
      </c>
      <c r="Q25" s="5">
        <f t="array" ref="Q25">INDEX($K$22:$K$69,MATCH(MIN(ABS($K$22:$K$69-P25)),ABS($K$22:$K$69-P25),0))</f>
        <v>600</v>
      </c>
      <c r="R25" s="5">
        <f t="shared" si="9"/>
        <v>6.0000000000000005E-2</v>
      </c>
      <c r="S25" s="142" t="str">
        <f t="shared" si="10"/>
        <v>ED-3-600</v>
      </c>
    </row>
    <row r="26" spans="2:19">
      <c r="B26" s="50" t="s">
        <v>100</v>
      </c>
      <c r="C26" s="50">
        <f>'10A61 3" Gas+liquid Calcs'!Q34</f>
        <v>1238.1365942436535</v>
      </c>
      <c r="D26" s="50">
        <f t="shared" si="0"/>
        <v>123.81365942436534</v>
      </c>
      <c r="E26" s="74" t="str">
        <f>IF('VA Sizing'!$C$3="Gas",B26,
IF(AND('VA Sizing'!$C$3="Liquid",'10A61 3" Gas+liquid Calcs'!L34&gt;60),CONCATENATE(" ",B26),B26))</f>
        <v>1/4-41-G-SS</v>
      </c>
      <c r="F26" s="7">
        <f>C26*VLOOKUP('VA Sizing'!$D$12,'Modified Inputs'!$I$8:$J$32,2,FALSE)</f>
        <v>7.4288195654619207E-2</v>
      </c>
      <c r="G26" s="137">
        <f t="shared" si="1"/>
        <v>7.0000000000000007E-2</v>
      </c>
      <c r="K26" s="142">
        <v>120</v>
      </c>
      <c r="L26" s="144" t="s">
        <v>765</v>
      </c>
    </row>
    <row r="27" spans="2:19">
      <c r="B27" s="50" t="s">
        <v>102</v>
      </c>
      <c r="C27" s="50">
        <f>'10A61 3" Gas+liquid Calcs'!Q35</f>
        <v>1801.2964990603314</v>
      </c>
      <c r="D27" s="50">
        <f t="shared" si="0"/>
        <v>180.12964990603314</v>
      </c>
      <c r="E27" s="74" t="str">
        <f>IF('VA Sizing'!$C$3="Gas",B27,
IF(AND('VA Sizing'!$C$3="Liquid",'10A61 3" Gas+liquid Calcs'!L35&gt;60),CONCATENATE(" ",B27),B27))</f>
        <v>1/4-41-G-CA</v>
      </c>
      <c r="F27" s="7">
        <f>C27*VLOOKUP('VA Sizing'!$D$12,'Modified Inputs'!$I$8:$J$32,2,FALSE)</f>
        <v>0.10807778994361988</v>
      </c>
      <c r="G27" s="137">
        <f t="shared" si="1"/>
        <v>0.11</v>
      </c>
      <c r="K27" s="142">
        <v>125</v>
      </c>
      <c r="L27" s="144" t="s">
        <v>766</v>
      </c>
    </row>
    <row r="28" spans="2:19">
      <c r="B28" s="50" t="s">
        <v>103</v>
      </c>
      <c r="C28" s="50">
        <f>'10A61 3" Gas+liquid Calcs'!Q36</f>
        <v>1908.7971185081112</v>
      </c>
      <c r="D28" s="50">
        <f t="shared" si="0"/>
        <v>190.87971185081113</v>
      </c>
      <c r="E28" s="74" t="str">
        <f>IF('VA Sizing'!$C$3="Gas",B28,
IF(AND('VA Sizing'!$C$3="Liquid",'10A61 3" Gas+liquid Calcs'!L36&gt;60),CONCATENATE(" ",B28),B28))</f>
        <v>1/4-41-G-TA</v>
      </c>
      <c r="F28" s="7">
        <f>C28*VLOOKUP('VA Sizing'!$D$12,'Modified Inputs'!$I$8:$J$32,2,FALSE)</f>
        <v>0.11452782711048667</v>
      </c>
      <c r="G28" s="137">
        <f t="shared" si="1"/>
        <v>0.11</v>
      </c>
      <c r="K28" s="142">
        <v>130</v>
      </c>
      <c r="L28" s="144" t="s">
        <v>767</v>
      </c>
    </row>
    <row r="29" spans="2:19">
      <c r="B29" s="50" t="s">
        <v>342</v>
      </c>
      <c r="C29" s="50">
        <f>'10A61 3" Gas+liquid Calcs'!Q38</f>
        <v>685.72154417642196</v>
      </c>
      <c r="D29" s="50">
        <f t="shared" si="0"/>
        <v>68.572154417642196</v>
      </c>
      <c r="E29" s="74" t="str">
        <f>IF('VA Sizing'!$C$3="Gas",B29,
IF(AND('VA Sizing'!$C$3="Liquid",'10A61 3" Gas+liquid Calcs'!L38&gt;60),CONCATENATE(" ",B29),B29))</f>
        <v>1/4-41-P-BG</v>
      </c>
      <c r="F29" s="7">
        <f>C29*VLOOKUP('VA Sizing'!$D$12,'Modified Inputs'!$I$8:$J$32,2,FALSE)</f>
        <v>4.114329265058532E-2</v>
      </c>
      <c r="G29" s="137">
        <f t="shared" si="1"/>
        <v>0.04</v>
      </c>
      <c r="K29" s="142">
        <v>135</v>
      </c>
      <c r="L29" s="144" t="s">
        <v>768</v>
      </c>
    </row>
    <row r="30" spans="2:19">
      <c r="B30" s="50" t="s">
        <v>99</v>
      </c>
      <c r="C30" s="50">
        <f>'10A61 3" Gas+liquid Calcs'!Q39</f>
        <v>984.66551034944723</v>
      </c>
      <c r="D30" s="50">
        <f t="shared" si="0"/>
        <v>98.466551034944729</v>
      </c>
      <c r="E30" s="74" t="str">
        <f>IF('VA Sizing'!$C$3="Gas",B30,
IF(AND('VA Sizing'!$C$3="Liquid",'10A61 3" Gas+liquid Calcs'!L39&gt;60),CONCATENATE(" ",B30),B30))</f>
        <v>1/4-41-P-SA</v>
      </c>
      <c r="F30" s="7">
        <f>C30*VLOOKUP('VA Sizing'!$D$12,'Modified Inputs'!$I$8:$J$32,2,FALSE)</f>
        <v>5.9079930620966836E-2</v>
      </c>
      <c r="G30" s="137">
        <f t="shared" si="1"/>
        <v>0.06</v>
      </c>
      <c r="K30" s="142">
        <v>140</v>
      </c>
      <c r="L30" s="144" t="s">
        <v>769</v>
      </c>
    </row>
    <row r="31" spans="2:19">
      <c r="B31" s="50" t="s">
        <v>101</v>
      </c>
      <c r="C31" s="50">
        <f>'10A61 3" Gas+liquid Calcs'!Q40</f>
        <v>1556.9522994108784</v>
      </c>
      <c r="D31" s="50">
        <f t="shared" si="0"/>
        <v>155.69522994108783</v>
      </c>
      <c r="E31" s="74" t="str">
        <f>IF('VA Sizing'!$C$3="Gas",B31,
IF(AND('VA Sizing'!$C$3="Liquid",'10A61 3" Gas+liquid Calcs'!L40&gt;60),CONCATENATE(" ",B31),B31))</f>
        <v>1/4-41-P-SS</v>
      </c>
      <c r="F31" s="7">
        <f>C31*VLOOKUP('VA Sizing'!$D$12,'Modified Inputs'!$I$8:$J$32,2,FALSE)</f>
        <v>9.3417137964652702E-2</v>
      </c>
      <c r="G31" s="137">
        <f t="shared" si="1"/>
        <v>0.09</v>
      </c>
      <c r="K31" s="142">
        <v>145</v>
      </c>
      <c r="L31" s="144" t="s">
        <v>770</v>
      </c>
    </row>
    <row r="32" spans="2:19">
      <c r="B32" s="50" t="s">
        <v>104</v>
      </c>
      <c r="C32" s="50">
        <f>'10A61 3" Gas+liquid Calcs'!Q41</f>
        <v>2236.0460757387791</v>
      </c>
      <c r="D32" s="50">
        <f t="shared" si="0"/>
        <v>223.6046075738779</v>
      </c>
      <c r="E32" s="74" t="str">
        <f>IF('VA Sizing'!$C$3="Gas",B32,
IF(AND('VA Sizing'!$C$3="Liquid",'10A61 3" Gas+liquid Calcs'!L41&gt;60),CONCATENATE(" ",B32),B32))</f>
        <v>1/4-41-P-CA</v>
      </c>
      <c r="F32" s="7">
        <f>C32*VLOOKUP('VA Sizing'!$D$12,'Modified Inputs'!$I$8:$J$32,2,FALSE)</f>
        <v>0.13416276454432674</v>
      </c>
      <c r="G32" s="137">
        <f t="shared" si="1"/>
        <v>0.13</v>
      </c>
      <c r="K32" s="142">
        <v>150</v>
      </c>
      <c r="L32" s="144" t="s">
        <v>771</v>
      </c>
    </row>
    <row r="33" spans="2:12">
      <c r="B33" s="50" t="s">
        <v>105</v>
      </c>
      <c r="C33" s="50">
        <f>'10A61 3" Gas+liquid Calcs'!Q42</f>
        <v>2365.5172569465067</v>
      </c>
      <c r="D33" s="50">
        <f t="shared" si="0"/>
        <v>236.55172569465066</v>
      </c>
      <c r="E33" s="74" t="str">
        <f>IF('VA Sizing'!$C$3="Gas",B33,
IF(AND('VA Sizing'!$C$3="Liquid",'10A61 3" Gas+liquid Calcs'!L42&gt;60),CONCATENATE(" ",B33),B33))</f>
        <v>1/4-41-P-TA</v>
      </c>
      <c r="F33" s="7">
        <f>C33*VLOOKUP('VA Sizing'!$D$12,'Modified Inputs'!$I$8:$J$32,2,FALSE)</f>
        <v>0.14193103541679039</v>
      </c>
      <c r="G33" s="137">
        <f t="shared" si="1"/>
        <v>0.14000000000000001</v>
      </c>
      <c r="K33" s="142">
        <v>160</v>
      </c>
      <c r="L33" s="144" t="s">
        <v>772</v>
      </c>
    </row>
    <row r="34" spans="2:12">
      <c r="B34" s="149" t="s">
        <v>88</v>
      </c>
      <c r="C34" s="149">
        <f>'10A61 3" Gas+liquid Calcs'!Q25</f>
        <v>128.56464284407591</v>
      </c>
      <c r="D34" s="149">
        <f t="shared" ref="D34:D37" si="11">C34/10</f>
        <v>12.85646428440759</v>
      </c>
      <c r="E34" s="149" t="str">
        <f>IF('VA Sizing'!$C$3="Gas",B34,
IF(AND('VA Sizing'!$C$3="Liquid",'10A61 3" Gas+liquid Calcs'!L43&gt;60),CONCATENATE(" ",B34),B34))</f>
        <v>1/4-15-CD</v>
      </c>
      <c r="F34" s="7">
        <f>C34*VLOOKUP('VA Sizing'!$D$12,'Modified Inputs'!$I$8:$J$32,2,FALSE)</f>
        <v>7.7138785706445546E-3</v>
      </c>
      <c r="G34" s="137">
        <f t="shared" ref="G34:G37" si="12">IF(F34&lt;0.99999,ROUND(F34,2),
IF(F34&lt;9.999,ROUND(F34,2),
IF(F34&lt;99.99,ROUND(F34,1),
IF(F34&lt;999.99,ROUND(F34,0),
IF(F34&lt;9999.99,ROUND(F34,-1),
IF(F34&lt;99999,ROUND(F34,-2),ROUND(F34,2)))))))</f>
        <v>0.01</v>
      </c>
      <c r="K34" s="142">
        <v>170</v>
      </c>
      <c r="L34" s="144" t="s">
        <v>773</v>
      </c>
    </row>
    <row r="35" spans="2:12">
      <c r="B35" s="149" t="s">
        <v>90</v>
      </c>
      <c r="C35" s="149">
        <f>'10A61 3" Gas+liquid Calcs'!Q31</f>
        <v>222.38378919954883</v>
      </c>
      <c r="D35" s="149">
        <f t="shared" si="11"/>
        <v>22.238378919954883</v>
      </c>
      <c r="E35" s="149" t="str">
        <f>IF('VA Sizing'!$C$3="Gas",B35,
IF(AND('VA Sizing'!$C$3="Liquid",'10A61 3" Gas+liquid Calcs'!L44&gt;60),CONCATENATE(" ",B35),B35))</f>
        <v>1/4-20-CD</v>
      </c>
      <c r="F35" s="7">
        <f>C35*VLOOKUP('VA Sizing'!$D$12,'Modified Inputs'!$I$8:$J$32,2,FALSE)</f>
        <v>1.334302735197293E-2</v>
      </c>
      <c r="G35" s="137">
        <f t="shared" si="12"/>
        <v>0.01</v>
      </c>
      <c r="K35" s="142">
        <v>180</v>
      </c>
      <c r="L35" s="144" t="s">
        <v>774</v>
      </c>
    </row>
    <row r="36" spans="2:12">
      <c r="B36" s="149" t="s">
        <v>912</v>
      </c>
      <c r="C36" s="149">
        <f>'10A61 3" Gas+liquid Calcs'!Q37</f>
        <v>466.21360944603197</v>
      </c>
      <c r="D36" s="149">
        <f t="shared" si="11"/>
        <v>46.621360944603197</v>
      </c>
      <c r="E36" s="149" t="str">
        <f>IF('VA Sizing'!$C$3="Gas",B36,
IF(AND('VA Sizing'!$C$3="Liquid",'10A61 3" Gas+liquid Calcs'!L45&gt;60),CONCATENATE(" ",B36),B36))</f>
        <v>1/4-41-G-CD</v>
      </c>
      <c r="F36" s="7">
        <f>C36*VLOOKUP('VA Sizing'!$D$12,'Modified Inputs'!$I$8:$J$32,2,FALSE)</f>
        <v>2.797281656676192E-2</v>
      </c>
      <c r="G36" s="137">
        <f t="shared" si="12"/>
        <v>0.03</v>
      </c>
      <c r="K36" s="142">
        <v>190</v>
      </c>
      <c r="L36" s="144" t="s">
        <v>775</v>
      </c>
    </row>
    <row r="37" spans="2:12">
      <c r="B37" s="149" t="s">
        <v>913</v>
      </c>
      <c r="C37" s="149">
        <f>'10A61 3" Gas+liquid Calcs'!Q43</f>
        <v>618.6024424211638</v>
      </c>
      <c r="D37" s="149">
        <f t="shared" si="11"/>
        <v>61.86024424211638</v>
      </c>
      <c r="E37" s="149" t="str">
        <f>IF('VA Sizing'!$C$3="Gas",B37,
IF(AND('VA Sizing'!$C$3="Liquid",'10A61 3" Gas+liquid Calcs'!L46&gt;60),CONCATENATE(" ",B37),B37))</f>
        <v>1/4-41-P-CD</v>
      </c>
      <c r="F37" s="7">
        <f>C37*VLOOKUP('VA Sizing'!$D$12,'Modified Inputs'!$I$8:$J$32,2,FALSE)</f>
        <v>3.7116146545269832E-2</v>
      </c>
      <c r="G37" s="137">
        <f t="shared" si="12"/>
        <v>0.04</v>
      </c>
      <c r="K37" s="142">
        <v>200</v>
      </c>
      <c r="L37" s="144" t="s">
        <v>776</v>
      </c>
    </row>
    <row r="38" spans="2:12">
      <c r="K38" s="142">
        <v>210</v>
      </c>
      <c r="L38" s="144" t="s">
        <v>777</v>
      </c>
    </row>
    <row r="39" spans="2:12">
      <c r="K39" s="142">
        <v>220</v>
      </c>
      <c r="L39" s="144" t="s">
        <v>778</v>
      </c>
    </row>
    <row r="40" spans="2:12">
      <c r="K40" s="142">
        <v>230</v>
      </c>
      <c r="L40" s="144" t="s">
        <v>779</v>
      </c>
    </row>
    <row r="41" spans="2:12">
      <c r="K41" s="142">
        <v>240</v>
      </c>
      <c r="L41" s="144" t="s">
        <v>780</v>
      </c>
    </row>
    <row r="42" spans="2:12">
      <c r="K42" s="142">
        <v>250</v>
      </c>
      <c r="L42" s="144" t="s">
        <v>781</v>
      </c>
    </row>
    <row r="43" spans="2:12">
      <c r="K43" s="142">
        <v>260</v>
      </c>
      <c r="L43" s="144" t="s">
        <v>782</v>
      </c>
    </row>
    <row r="44" spans="2:12">
      <c r="K44" s="142">
        <v>270</v>
      </c>
      <c r="L44" s="144" t="s">
        <v>783</v>
      </c>
    </row>
    <row r="45" spans="2:12">
      <c r="K45" s="142">
        <v>280</v>
      </c>
      <c r="L45" s="144" t="s">
        <v>784</v>
      </c>
    </row>
    <row r="46" spans="2:12">
      <c r="K46" s="142">
        <v>290</v>
      </c>
      <c r="L46" s="144" t="s">
        <v>785</v>
      </c>
    </row>
    <row r="47" spans="2:12">
      <c r="K47" s="142">
        <v>300</v>
      </c>
      <c r="L47" s="144" t="s">
        <v>786</v>
      </c>
    </row>
    <row r="48" spans="2:12">
      <c r="K48" s="142">
        <v>320</v>
      </c>
      <c r="L48" s="144" t="s">
        <v>787</v>
      </c>
    </row>
    <row r="49" spans="11:12">
      <c r="K49" s="142">
        <v>240</v>
      </c>
      <c r="L49" s="144" t="s">
        <v>788</v>
      </c>
    </row>
    <row r="50" spans="11:12">
      <c r="K50" s="142">
        <v>360</v>
      </c>
      <c r="L50" s="144" t="s">
        <v>789</v>
      </c>
    </row>
    <row r="51" spans="11:12">
      <c r="K51" s="142">
        <v>380</v>
      </c>
      <c r="L51" s="144" t="s">
        <v>790</v>
      </c>
    </row>
    <row r="52" spans="11:12">
      <c r="K52" s="142">
        <v>400</v>
      </c>
      <c r="L52" s="144" t="s">
        <v>791</v>
      </c>
    </row>
    <row r="53" spans="11:12">
      <c r="K53" s="142">
        <v>420</v>
      </c>
      <c r="L53" s="144" t="s">
        <v>792</v>
      </c>
    </row>
    <row r="54" spans="11:12">
      <c r="K54" s="142">
        <v>440</v>
      </c>
      <c r="L54" s="144" t="s">
        <v>793</v>
      </c>
    </row>
    <row r="55" spans="11:12">
      <c r="K55" s="142">
        <v>460</v>
      </c>
      <c r="L55" s="144" t="s">
        <v>794</v>
      </c>
    </row>
    <row r="56" spans="11:12">
      <c r="K56" s="142">
        <v>480</v>
      </c>
      <c r="L56" s="144" t="s">
        <v>795</v>
      </c>
    </row>
    <row r="57" spans="11:12">
      <c r="K57" s="142">
        <v>500</v>
      </c>
      <c r="L57" s="144" t="s">
        <v>796</v>
      </c>
    </row>
    <row r="58" spans="11:12">
      <c r="K58" s="142">
        <v>520</v>
      </c>
      <c r="L58" s="144" t="s">
        <v>797</v>
      </c>
    </row>
    <row r="59" spans="11:12">
      <c r="K59" s="142">
        <v>540</v>
      </c>
      <c r="L59" s="144" t="s">
        <v>798</v>
      </c>
    </row>
    <row r="60" spans="11:12">
      <c r="K60" s="142">
        <v>560</v>
      </c>
      <c r="L60" s="144" t="s">
        <v>799</v>
      </c>
    </row>
    <row r="61" spans="11:12">
      <c r="K61" s="142">
        <v>580</v>
      </c>
      <c r="L61" s="144" t="s">
        <v>800</v>
      </c>
    </row>
    <row r="62" spans="11:12">
      <c r="K62" s="142">
        <v>600</v>
      </c>
      <c r="L62" s="144" t="s">
        <v>801</v>
      </c>
    </row>
    <row r="63" spans="11:12">
      <c r="K63" s="142">
        <v>650</v>
      </c>
      <c r="L63" s="144" t="s">
        <v>802</v>
      </c>
    </row>
    <row r="64" spans="11:12">
      <c r="K64" s="142">
        <v>700</v>
      </c>
      <c r="L64" s="144" t="s">
        <v>803</v>
      </c>
    </row>
    <row r="65" spans="11:12">
      <c r="K65" s="142">
        <v>750</v>
      </c>
      <c r="L65" s="144" t="s">
        <v>804</v>
      </c>
    </row>
    <row r="66" spans="11:12">
      <c r="K66" s="142">
        <v>800</v>
      </c>
      <c r="L66" s="144" t="s">
        <v>805</v>
      </c>
    </row>
    <row r="67" spans="11:12">
      <c r="K67" s="142">
        <v>850</v>
      </c>
      <c r="L67" s="144" t="s">
        <v>806</v>
      </c>
    </row>
    <row r="68" spans="11:12">
      <c r="K68" s="142">
        <v>900</v>
      </c>
      <c r="L68" s="144" t="s">
        <v>807</v>
      </c>
    </row>
    <row r="69" spans="11:12">
      <c r="K69" s="142">
        <v>950</v>
      </c>
      <c r="L69" s="144" t="s">
        <v>808</v>
      </c>
    </row>
  </sheetData>
  <mergeCells count="2">
    <mergeCell ref="B2:D2"/>
    <mergeCell ref="H14:I14"/>
  </mergeCells>
  <conditionalFormatting sqref="H16">
    <cfRule type="expression" dxfId="34" priority="4">
      <formula>LEFT($H$16,1)=" "</formula>
    </cfRule>
  </conditionalFormatting>
  <conditionalFormatting sqref="H17">
    <cfRule type="expression" dxfId="33" priority="3">
      <formula>LEFT($H$17,1)=" "</formula>
    </cfRule>
  </conditionalFormatting>
  <conditionalFormatting sqref="H18">
    <cfRule type="expression" dxfId="32" priority="2">
      <formula>LEFT($H$18,1)=" "</formula>
    </cfRule>
  </conditionalFormatting>
  <conditionalFormatting sqref="H19">
    <cfRule type="expression" dxfId="31" priority="1">
      <formula>LEFT($H$19,1)=" "</formula>
    </cfRule>
  </conditionalFormatting>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B2:S69"/>
  <sheetViews>
    <sheetView topLeftCell="A7" workbookViewId="0">
      <selection activeCell="H7" sqref="H7"/>
    </sheetView>
  </sheetViews>
  <sheetFormatPr defaultRowHeight="15"/>
  <cols>
    <col min="2" max="2" width="12" style="132" bestFit="1" customWidth="1"/>
    <col min="3" max="3" width="17" style="132" bestFit="1" customWidth="1"/>
    <col min="4" max="4" width="16.7109375" style="132" bestFit="1" customWidth="1"/>
    <col min="5" max="5" width="11.7109375" bestFit="1" customWidth="1"/>
    <col min="6" max="6" width="23.85546875" bestFit="1" customWidth="1"/>
    <col min="7" max="7" width="13.42578125" bestFit="1" customWidth="1"/>
    <col min="8" max="8" width="11.7109375" bestFit="1" customWidth="1"/>
    <col min="9" max="9" width="22.7109375" bestFit="1" customWidth="1"/>
    <col min="10" max="10" width="22.42578125" bestFit="1" customWidth="1"/>
    <col min="11" max="11" width="23.5703125" bestFit="1" customWidth="1"/>
    <col min="12" max="12" width="23.28515625" bestFit="1" customWidth="1"/>
    <col min="13" max="13" width="13.28515625" bestFit="1" customWidth="1"/>
    <col min="14" max="14" width="12.85546875" bestFit="1" customWidth="1"/>
    <col min="15" max="15" width="13.42578125" bestFit="1" customWidth="1"/>
  </cols>
  <sheetData>
    <row r="2" spans="2:16">
      <c r="B2" s="240" t="s">
        <v>200</v>
      </c>
      <c r="C2" s="240"/>
      <c r="D2" s="240"/>
    </row>
    <row r="3" spans="2:16">
      <c r="B3" s="134" t="s">
        <v>58</v>
      </c>
      <c r="C3" s="135" t="s">
        <v>77</v>
      </c>
      <c r="D3" s="135" t="s">
        <v>80</v>
      </c>
      <c r="E3" s="134" t="s">
        <v>58</v>
      </c>
      <c r="F3" s="46" t="s">
        <v>346</v>
      </c>
      <c r="G3" s="46" t="s">
        <v>348</v>
      </c>
    </row>
    <row r="4" spans="2:16">
      <c r="B4" s="133" t="s">
        <v>75</v>
      </c>
      <c r="C4" s="133">
        <f>'10A61 3" Gas+liquid Calcs'!Q8</f>
        <v>4.3821008136454651</v>
      </c>
      <c r="D4" s="133">
        <f>C4/10</f>
        <v>0.43821008136454653</v>
      </c>
      <c r="E4" s="133" t="str">
        <f>IF('VA Sizing'!$C$3="Gas",B4,
IF(AND('VA Sizing'!$C$3="Liquid",'10A61 3" Gas+liquid Calcs'!L8&gt;10),CONCATENATE(" ",B4),B4))</f>
        <v>1/8-08-BG</v>
      </c>
      <c r="F4" s="7">
        <f>C4*VLOOKUP('VA Sizing'!$D$12,'Modified Inputs'!$I$8:$J$32,2,FALSE)</f>
        <v>2.6292604881872789E-4</v>
      </c>
      <c r="G4" s="137">
        <f>IF(F4&lt;0.99999,ROUND(F4,2),
IF(F4&lt;9.999,ROUND(F4,2),
IF(F4&lt;99.99,ROUND(F4,1),
IF(F4&lt;999.99,ROUND(F4,0),
IF(F4&lt;9999.99,ROUND(F4,-1),
IF(F4&lt;99999,ROUND(F4,-2),ROUND(F4,2)))))))</f>
        <v>0</v>
      </c>
    </row>
    <row r="5" spans="2:16">
      <c r="B5" s="133" t="s">
        <v>78</v>
      </c>
      <c r="C5" s="133">
        <f>'10A61 3" Gas+liquid Calcs'!Q9</f>
        <v>8.3809730144917314</v>
      </c>
      <c r="D5" s="133">
        <f t="shared" ref="D5:D33" si="0">C5/10</f>
        <v>0.83809730144917316</v>
      </c>
      <c r="E5" s="133" t="str">
        <f>IF('VA Sizing'!$C$3="Gas",B5,
IF(AND('VA Sizing'!$C$3="Liquid",'10A61 3" Gas+liquid Calcs'!L9&gt;10),CONCATENATE(" ",B5),B5))</f>
        <v>1/8-08-SA</v>
      </c>
      <c r="F5" s="7">
        <f>C5*VLOOKUP('VA Sizing'!$D$12,'Modified Inputs'!$I$8:$J$32,2,FALSE)</f>
        <v>5.0285838086950392E-4</v>
      </c>
      <c r="G5" s="137">
        <f t="shared" ref="G5:G33" si="1">IF(F5&lt;0.99999,ROUND(F5,2),
IF(F5&lt;9.999,ROUND(F5,2),
IF(F5&lt;99.99,ROUND(F5,1),
IF(F5&lt;999.99,ROUND(F5,0),
IF(F5&lt;9999.99,ROUND(F5,-1),
IF(F5&lt;99999,ROUND(F5,-2),ROUND(F5,2)))))))</f>
        <v>0</v>
      </c>
    </row>
    <row r="6" spans="2:16">
      <c r="B6" s="133" t="s">
        <v>79</v>
      </c>
      <c r="C6" s="133">
        <f>'10A61 3" Gas+liquid Calcs'!Q10</f>
        <v>17.98332487873666</v>
      </c>
      <c r="D6" s="133">
        <f t="shared" si="0"/>
        <v>1.798332487873666</v>
      </c>
      <c r="E6" s="133" t="str">
        <f>IF('VA Sizing'!$C$3="Gas",B6,
IF(AND('VA Sizing'!$C$3="Liquid",'10A61 3" Gas+liquid Calcs'!L10&gt;10),CONCATENATE(" ",B6),B6))</f>
        <v>1/8-08-SS</v>
      </c>
      <c r="F6" s="7">
        <f>C6*VLOOKUP('VA Sizing'!$D$12,'Modified Inputs'!$I$8:$J$32,2,FALSE)</f>
        <v>1.0789994927241995E-3</v>
      </c>
      <c r="G6" s="137">
        <f t="shared" si="1"/>
        <v>0</v>
      </c>
      <c r="H6" t="s">
        <v>58</v>
      </c>
      <c r="I6" t="s">
        <v>344</v>
      </c>
      <c r="J6" t="s">
        <v>345</v>
      </c>
      <c r="K6" t="s">
        <v>346</v>
      </c>
      <c r="L6" t="s">
        <v>347</v>
      </c>
      <c r="M6" t="s">
        <v>348</v>
      </c>
      <c r="N6" t="s">
        <v>349</v>
      </c>
      <c r="O6" t="s">
        <v>350</v>
      </c>
      <c r="P6" t="s">
        <v>814</v>
      </c>
    </row>
    <row r="7" spans="2:16">
      <c r="B7" s="133" t="s">
        <v>82</v>
      </c>
      <c r="C7" s="133">
        <f>'10A61 3" Gas+liquid Calcs'!Q11</f>
        <v>33.340642730188989</v>
      </c>
      <c r="D7" s="133">
        <f t="shared" si="0"/>
        <v>3.3340642730188987</v>
      </c>
      <c r="E7" s="133" t="str">
        <f>IF('VA Sizing'!$C$3="Gas",B7,
IF(AND('VA Sizing'!$C$3="Liquid",'10A61 3" Gas+liquid Calcs'!L11&gt;10),CONCATENATE(" ",B7),B7))</f>
        <v>1/8-08-CA</v>
      </c>
      <c r="F7" s="7">
        <f>C7*VLOOKUP('VA Sizing'!$D$12,'Modified Inputs'!$I$8:$J$32,2,FALSE)</f>
        <v>2.0004385638113394E-3</v>
      </c>
      <c r="G7" s="137">
        <f t="shared" si="1"/>
        <v>0</v>
      </c>
      <c r="H7" t="str">
        <f>VLOOKUP(I7,$C$4:$E$37,3,FALSE)</f>
        <v>1/4-41-G-SA</v>
      </c>
      <c r="I7" s="30">
        <f t="array" ref="I7">MAX(IF($C$4:$C$37&lt;'Modified Inputs'!$O$2,C4:C37))</f>
        <v>765.54880618093705</v>
      </c>
      <c r="J7">
        <f>VLOOKUP(I7,$C$4:$D$37,2,FALSE)</f>
        <v>76.554880618093705</v>
      </c>
      <c r="K7">
        <f>I7*VLOOKUP('VA Sizing'!$D$12,'Modified Inputs'!$I$8:$J$32,2,FALSE)</f>
        <v>4.5932928370856226E-2</v>
      </c>
      <c r="L7">
        <f>J7*VLOOKUP('VA Sizing'!$D$12,'Modified Inputs'!$I$8:$J$32,2,FALSE)</f>
        <v>4.5932928370856227E-3</v>
      </c>
      <c r="M7">
        <f>IF(K7&lt;0.99999,ROUND(K7,2),
IF(K7&lt;9.999,ROUND(K7,2),
IF(K7&lt;99.99,ROUND(K7,1),
IF(K7&lt;999.99,ROUND(K7,0),
IF(K7&lt;9999.99,ROUND(K7,-1),
IF(K7&lt;99999,ROUND(K7,-2),ROUND(K7,2)))))))</f>
        <v>0.05</v>
      </c>
      <c r="N7">
        <f>ROUND(L7,2)</f>
        <v>0</v>
      </c>
      <c r="O7" s="132" t="str">
        <f>CONCATENATE(N7," ","-"," ",M7)</f>
        <v>0 - 0.05</v>
      </c>
      <c r="P7" t="str">
        <f>'10A61 3" Gas+liquid Results'!P7</f>
        <v>ED-3-460</v>
      </c>
    </row>
    <row r="8" spans="2:16">
      <c r="B8" s="133" t="s">
        <v>83</v>
      </c>
      <c r="C8" s="133">
        <f>'10A61 3" Gas+liquid Calcs'!Q12</f>
        <v>36.521425715839726</v>
      </c>
      <c r="D8" s="133">
        <f t="shared" si="0"/>
        <v>3.6521425715839726</v>
      </c>
      <c r="E8" s="133" t="str">
        <f>IF('VA Sizing'!$C$3="Gas",B8,
IF(AND('VA Sizing'!$C$3="Liquid",'10A61 3" Gas+liquid Calcs'!L12&gt;10),CONCATENATE(" ",B8),B8))</f>
        <v>1/8-08-TA</v>
      </c>
      <c r="F8" s="7">
        <f>C8*VLOOKUP('VA Sizing'!$D$12,'Modified Inputs'!$I$8:$J$32,2,FALSE)</f>
        <v>2.1912855429503837E-3</v>
      </c>
      <c r="G8" s="137">
        <f t="shared" si="1"/>
        <v>0</v>
      </c>
      <c r="H8" t="str">
        <f>VLOOKUP(I8,$C$4:$E$37,3,FALSE)</f>
        <v>1/4-20-CA</v>
      </c>
      <c r="I8">
        <f t="array" ref="I8">MIN(IF($C$4:$C$37&gt;'Modified Inputs'!$O$2,$C$4:$C$37))</f>
        <v>849.49918104236224</v>
      </c>
      <c r="J8">
        <f>VLOOKUP(I8,$C$4:$D$37,2,FALSE)</f>
        <v>84.949918104236218</v>
      </c>
      <c r="K8">
        <f>I8*VLOOKUP('VA Sizing'!$D$12,'Modified Inputs'!$I$8:$J$32,2,FALSE)</f>
        <v>5.0969950862541732E-2</v>
      </c>
      <c r="L8">
        <f>J8*VLOOKUP('VA Sizing'!$D$12,'Modified Inputs'!$I$8:$J$32,2,FALSE)</f>
        <v>5.0969950862541731E-3</v>
      </c>
      <c r="M8">
        <f t="shared" ref="M8:M10" si="2">IF(K8&lt;0.99999,ROUND(K8,2),
IF(K8&lt;9.999,ROUND(K8,2),
IF(K8&lt;99.99,ROUND(K8,1),
IF(K8&lt;999.99,ROUND(K8,0),
IF(K8&lt;9999.99,ROUND(K8,-1),
IF(K8&lt;99999,ROUND(K8,-2),ROUND(K8,2)))))))</f>
        <v>0.05</v>
      </c>
      <c r="N8">
        <f>ROUND(L8,1)</f>
        <v>0</v>
      </c>
      <c r="O8" s="132" t="str">
        <f t="shared" ref="O8:O10" si="3">CONCATENATE(N8," ","-"," ",M8)</f>
        <v>0 - 0.05</v>
      </c>
      <c r="P8" t="str">
        <f>'10A61 3" Gas+liquid Results'!P8</f>
        <v>ED-3-500</v>
      </c>
    </row>
    <row r="9" spans="2:16">
      <c r="B9" s="133" t="s">
        <v>81</v>
      </c>
      <c r="C9" s="133">
        <f>'10A61 3" Gas+liquid Calcs'!Q14</f>
        <v>28.28878830578196</v>
      </c>
      <c r="D9" s="133">
        <f t="shared" si="0"/>
        <v>2.828878830578196</v>
      </c>
      <c r="E9" s="133" t="str">
        <f>IF('VA Sizing'!$C$3="Gas",B9,
IF(AND('VA Sizing'!$C$3="Liquid",'10A61 3" Gas+liquid Calcs'!L14&gt;60),CONCATENATE(" ",B9),B9))</f>
        <v>1/8-20-BG</v>
      </c>
      <c r="F9" s="7">
        <f>C9*VLOOKUP('VA Sizing'!$D$12,'Modified Inputs'!$I$8:$J$32,2,FALSE)</f>
        <v>1.6973272983469177E-3</v>
      </c>
      <c r="G9" s="137">
        <f t="shared" si="1"/>
        <v>0</v>
      </c>
      <c r="H9" t="str">
        <f>VLOOKUP(I9,$C$4:$E$37,3,FALSE)</f>
        <v>1/4-20-TA</v>
      </c>
      <c r="I9">
        <f t="array" ref="I9">MIN(IF($C$4:$C$37&gt;I8,$C$4:$C$37))</f>
        <v>899.08406419190442</v>
      </c>
      <c r="J9">
        <f>VLOOKUP(I9,$C$4:$D$37,2,FALSE)</f>
        <v>89.908406419190442</v>
      </c>
      <c r="K9">
        <f>I9*VLOOKUP('VA Sizing'!$D$12,'Modified Inputs'!$I$8:$J$32,2,FALSE)</f>
        <v>5.3945043851514267E-2</v>
      </c>
      <c r="L9">
        <f>J9*VLOOKUP('VA Sizing'!$D$12,'Modified Inputs'!$I$8:$J$32,2,FALSE)</f>
        <v>5.3945043851514269E-3</v>
      </c>
      <c r="M9">
        <f t="shared" si="2"/>
        <v>0.05</v>
      </c>
      <c r="N9">
        <f t="shared" ref="N9:N10" si="4">ROUND(L9,1)</f>
        <v>0</v>
      </c>
      <c r="O9" s="132" t="str">
        <f t="shared" si="3"/>
        <v>0 - 0.05</v>
      </c>
      <c r="P9" t="str">
        <f>'10A61 3" Gas+liquid Results'!P9</f>
        <v>ED-3-540</v>
      </c>
    </row>
    <row r="10" spans="2:16">
      <c r="B10" s="133" t="s">
        <v>84</v>
      </c>
      <c r="C10" s="133">
        <f>'10A61 3" Gas+liquid Calcs'!Q15</f>
        <v>49.102401974933208</v>
      </c>
      <c r="D10" s="133">
        <f t="shared" si="0"/>
        <v>4.9102401974933212</v>
      </c>
      <c r="E10" s="133" t="str">
        <f>IF('VA Sizing'!$C$3="Gas",B10,
IF(AND('VA Sizing'!$C$3="Liquid",'10A61 3" Gas+liquid Calcs'!L15&gt;60),CONCATENATE(" ",B10),B10))</f>
        <v>1/8-20-SA</v>
      </c>
      <c r="F10" s="7">
        <f>C10*VLOOKUP('VA Sizing'!$D$12,'Modified Inputs'!$I$8:$J$32,2,FALSE)</f>
        <v>2.9461441184959925E-3</v>
      </c>
      <c r="G10" s="137">
        <f t="shared" si="1"/>
        <v>0</v>
      </c>
      <c r="H10" t="str">
        <f>VLOOKUP(I10,$C$4:$E$37,3,FALSE)</f>
        <v>1/4-41-P-SA</v>
      </c>
      <c r="I10">
        <f t="array" ref="I10">MIN(IF($C$4:$C$37&gt;I9,$C$4:$C$37))</f>
        <v>984.66551034944723</v>
      </c>
      <c r="J10">
        <f>VLOOKUP(I10,$C$4:$D$37,2,FALSE)</f>
        <v>98.466551034944729</v>
      </c>
      <c r="K10">
        <f>I10*VLOOKUP('VA Sizing'!$D$12,'Modified Inputs'!$I$8:$J$32,2,FALSE)</f>
        <v>5.9079930620966836E-2</v>
      </c>
      <c r="L10">
        <f>J10*VLOOKUP('VA Sizing'!$D$12,'Modified Inputs'!$I$8:$J$32,2,FALSE)</f>
        <v>5.907993062096684E-3</v>
      </c>
      <c r="M10">
        <f t="shared" si="2"/>
        <v>0.06</v>
      </c>
      <c r="N10">
        <f t="shared" si="4"/>
        <v>0</v>
      </c>
      <c r="O10" s="132" t="str">
        <f t="shared" si="3"/>
        <v>0 - 0.06</v>
      </c>
      <c r="P10" t="str">
        <f>'10A61 3" Gas+liquid Results'!P10</f>
        <v>ED-3-600</v>
      </c>
    </row>
    <row r="11" spans="2:16">
      <c r="B11" s="133" t="s">
        <v>85</v>
      </c>
      <c r="C11" s="133">
        <f>'10A61 3" Gas+liquid Calcs'!Q16</f>
        <v>90.111361813440581</v>
      </c>
      <c r="D11" s="133">
        <f t="shared" si="0"/>
        <v>9.0111361813440585</v>
      </c>
      <c r="E11" s="133" t="str">
        <f>IF('VA Sizing'!$C$3="Gas",B11,
IF(AND('VA Sizing'!$C$3="Liquid",'10A61 3" Gas+liquid Calcs'!L16&gt;60),CONCATENATE(" ",B11),B11))</f>
        <v>1/8-20-SS</v>
      </c>
      <c r="F11" s="7">
        <f>C11*VLOOKUP('VA Sizing'!$D$12,'Modified Inputs'!$I$8:$J$32,2,FALSE)</f>
        <v>5.4066817088064354E-3</v>
      </c>
      <c r="G11" s="137">
        <f t="shared" si="1"/>
        <v>0.01</v>
      </c>
    </row>
    <row r="12" spans="2:16">
      <c r="B12" s="133" t="s">
        <v>86</v>
      </c>
      <c r="C12" s="133">
        <f>'10A61 3" Gas+liquid Calcs'!Q17</f>
        <v>138.24557048949612</v>
      </c>
      <c r="D12" s="133">
        <f t="shared" si="0"/>
        <v>13.824557048949611</v>
      </c>
      <c r="E12" s="133" t="str">
        <f>IF('VA Sizing'!$C$3="Gas",B12,
IF(AND('VA Sizing'!$C$3="Liquid",'10A61 3" Gas+liquid Calcs'!L17&gt;60),CONCATENATE(" ",B12),B12))</f>
        <v>1/8-20-CA</v>
      </c>
      <c r="F12" s="7">
        <f>C12*VLOOKUP('VA Sizing'!$D$12,'Modified Inputs'!$I$8:$J$32,2,FALSE)</f>
        <v>8.2947342293697678E-3</v>
      </c>
      <c r="G12" s="137">
        <f t="shared" si="1"/>
        <v>0.01</v>
      </c>
    </row>
    <row r="13" spans="2:16">
      <c r="B13" s="133" t="s">
        <v>87</v>
      </c>
      <c r="C13" s="133">
        <f>'10A61 3" Gas+liquid Calcs'!Q18</f>
        <v>147.34446030827132</v>
      </c>
      <c r="D13" s="133">
        <f t="shared" si="0"/>
        <v>14.734446030827133</v>
      </c>
      <c r="E13" s="133" t="str">
        <f>IF('VA Sizing'!$C$3="Gas",B13,
IF(AND('VA Sizing'!$C$3="Liquid",'10A61 3" Gas+liquid Calcs'!L18&gt;60),CONCATENATE(" ",B13),B13))</f>
        <v>1/8-20-TA</v>
      </c>
      <c r="F13" s="7">
        <f>C13*VLOOKUP('VA Sizing'!$D$12,'Modified Inputs'!$I$8:$J$32,2,FALSE)</f>
        <v>8.8406676184962802E-3</v>
      </c>
      <c r="G13" s="137">
        <f t="shared" si="1"/>
        <v>0.01</v>
      </c>
    </row>
    <row r="14" spans="2:16">
      <c r="B14" s="133" t="s">
        <v>272</v>
      </c>
      <c r="C14" s="133">
        <f>'10A61 3" Gas+liquid Calcs'!Q20</f>
        <v>146.55573632564349</v>
      </c>
      <c r="D14" s="133">
        <f t="shared" si="0"/>
        <v>14.65557363256435</v>
      </c>
      <c r="E14" s="133" t="str">
        <f>IF('VA Sizing'!$C$3="Gas",B14,
IF(AND('VA Sizing'!$C$3="Liquid",'10A61 3" Gas+liquid Calcs'!L20&gt;60),CONCATENATE(" ",B14),B14))</f>
        <v>1/4-15-BG</v>
      </c>
      <c r="F14" s="7">
        <f>C14*VLOOKUP('VA Sizing'!$D$12,'Modified Inputs'!$I$8:$J$32,2,FALSE)</f>
        <v>8.7933441795386095E-3</v>
      </c>
      <c r="G14" s="137">
        <f t="shared" si="1"/>
        <v>0.01</v>
      </c>
      <c r="H14" s="241" t="s">
        <v>351</v>
      </c>
      <c r="I14" s="240"/>
    </row>
    <row r="15" spans="2:16">
      <c r="B15" s="133" t="s">
        <v>89</v>
      </c>
      <c r="C15" s="133">
        <f>'10A61 3" Gas+liquid Calcs'!Q21</f>
        <v>227.87507994808104</v>
      </c>
      <c r="D15" s="133">
        <f t="shared" si="0"/>
        <v>22.787507994808102</v>
      </c>
      <c r="E15" s="133" t="str">
        <f>IF('VA Sizing'!$C$3="Gas",B15,
IF(AND('VA Sizing'!$C$3="Liquid",'10A61 3" Gas+liquid Calcs'!L21&gt;60),CONCATENATE(" ",B15),B15))</f>
        <v>1/4-15-SA</v>
      </c>
      <c r="F15" s="7">
        <f>C15*VLOOKUP('VA Sizing'!$D$12,'Modified Inputs'!$I$8:$J$32,2,FALSE)</f>
        <v>1.3672504796884862E-2</v>
      </c>
      <c r="G15" s="137">
        <f t="shared" si="1"/>
        <v>0.01</v>
      </c>
      <c r="H15" s="136" t="s">
        <v>58</v>
      </c>
      <c r="I15" s="134" t="s">
        <v>343</v>
      </c>
    </row>
    <row r="16" spans="2:16" ht="30" customHeight="1">
      <c r="B16" s="133" t="s">
        <v>92</v>
      </c>
      <c r="C16" s="133">
        <f>'10A61 3" Gas+liquid Calcs'!Q22</f>
        <v>385.79899083421202</v>
      </c>
      <c r="D16" s="133">
        <f t="shared" si="0"/>
        <v>38.579899083421203</v>
      </c>
      <c r="E16" s="133" t="str">
        <f>IF('VA Sizing'!$C$3="Gas",B16,
IF(AND('VA Sizing'!$C$3="Liquid",'10A61 3" Gas+liquid Calcs'!L22&gt;60),CONCATENATE(" ",B16),B16))</f>
        <v>1/4-15-SS</v>
      </c>
      <c r="F16" s="7">
        <f>C16*VLOOKUP('VA Sizing'!$D$12,'Modified Inputs'!$I$8:$J$32,2,FALSE)</f>
        <v>2.314793945005272E-2</v>
      </c>
      <c r="G16" s="137">
        <f t="shared" si="1"/>
        <v>0.02</v>
      </c>
      <c r="H16" s="131" t="str">
        <f>IFERROR(H7,"")</f>
        <v>1/4-41-G-SA</v>
      </c>
      <c r="I16" s="133" t="str">
        <f>IF(H16="","",O7)</f>
        <v>0 - 0.05</v>
      </c>
    </row>
    <row r="17" spans="2:19" ht="30" customHeight="1">
      <c r="B17" s="133" t="s">
        <v>93</v>
      </c>
      <c r="C17" s="133">
        <f>'10A61 3" Gas+liquid Calcs'!Q23</f>
        <v>574.42582803479604</v>
      </c>
      <c r="D17" s="133">
        <f t="shared" si="0"/>
        <v>57.442582803479603</v>
      </c>
      <c r="E17" s="133" t="str">
        <f>IF('VA Sizing'!$C$3="Gas",B17,
IF(AND('VA Sizing'!$C$3="Liquid",'10A61 3" Gas+liquid Calcs'!L23&gt;60),CONCATENATE(" ",B17),B17))</f>
        <v>1/4-15-CA</v>
      </c>
      <c r="F17" s="7">
        <f>C17*VLOOKUP('VA Sizing'!$D$12,'Modified Inputs'!$I$8:$J$32,2,FALSE)</f>
        <v>3.4465549682087766E-2</v>
      </c>
      <c r="G17" s="137">
        <f t="shared" si="1"/>
        <v>0.03</v>
      </c>
      <c r="H17" s="131" t="str">
        <f>IFERROR(H8,"")</f>
        <v>1/4-20-CA</v>
      </c>
      <c r="I17" s="133" t="str">
        <f t="shared" ref="I17:I19" si="5">IF(H17="","",O8)</f>
        <v>0 - 0.05</v>
      </c>
    </row>
    <row r="18" spans="2:19" ht="30" customHeight="1">
      <c r="B18" s="133" t="s">
        <v>95</v>
      </c>
      <c r="C18" s="133">
        <f>'10A61 3" Gas+liquid Calcs'!Q24</f>
        <v>610.45272194128154</v>
      </c>
      <c r="D18" s="133">
        <f t="shared" si="0"/>
        <v>61.045272194128152</v>
      </c>
      <c r="E18" s="133" t="str">
        <f>IF('VA Sizing'!$C$3="Gas",B18,
IF(AND('VA Sizing'!$C$3="Liquid",'10A61 3" Gas+liquid Calcs'!L24&gt;60),CONCATENATE(" ",B18),B18))</f>
        <v>1/4-15-TA</v>
      </c>
      <c r="F18" s="7">
        <f>C18*VLOOKUP('VA Sizing'!$D$12,'Modified Inputs'!$I$8:$J$32,2,FALSE)</f>
        <v>3.6627163316476891E-2</v>
      </c>
      <c r="G18" s="137">
        <f t="shared" si="1"/>
        <v>0.04</v>
      </c>
      <c r="H18" s="131" t="str">
        <f>IFERROR(IF(H17="","",H9),"")</f>
        <v>1/4-20-TA</v>
      </c>
      <c r="I18" s="133" t="str">
        <f t="shared" si="5"/>
        <v>0 - 0.05</v>
      </c>
    </row>
    <row r="19" spans="2:19" ht="30" customHeight="1">
      <c r="B19" s="133" t="s">
        <v>226</v>
      </c>
      <c r="C19" s="133">
        <f>'10A61 3" Gas+liquid Calcs'!Q26</f>
        <v>249.01537778809373</v>
      </c>
      <c r="D19" s="133">
        <f t="shared" si="0"/>
        <v>24.901537778809374</v>
      </c>
      <c r="E19" s="133" t="str">
        <f>IF('VA Sizing'!$C$3="Gas",B19,
IF(AND('VA Sizing'!$C$3="Liquid",'10A61 3" Gas+liquid Calcs'!L26&gt;60),CONCATENATE(" ",B19),B19))</f>
        <v>1/4-20-BG</v>
      </c>
      <c r="F19" s="7">
        <f>C19*VLOOKUP('VA Sizing'!$D$12,'Modified Inputs'!$I$8:$J$32,2,FALSE)</f>
        <v>1.4940922667285625E-2</v>
      </c>
      <c r="G19" s="137">
        <f t="shared" si="1"/>
        <v>0.01</v>
      </c>
      <c r="H19" s="131" t="str">
        <f>IFERROR(IF(OR(H17="",H18=""),"",H10),"")</f>
        <v>1/4-41-P-SA</v>
      </c>
      <c r="I19" s="133" t="str">
        <f t="shared" si="5"/>
        <v>0 - 0.06</v>
      </c>
    </row>
    <row r="20" spans="2:19">
      <c r="B20" s="133" t="s">
        <v>91</v>
      </c>
      <c r="C20" s="133">
        <f>'10A61 3" Gas+liquid Calcs'!Q27</f>
        <v>366.59265323186003</v>
      </c>
      <c r="D20" s="133">
        <f t="shared" si="0"/>
        <v>36.659265323186006</v>
      </c>
      <c r="E20" s="133" t="str">
        <f>IF('VA Sizing'!$C$3="Gas",B20,
IF(AND('VA Sizing'!$C$3="Liquid",'10A61 3" Gas+liquid Calcs'!L27&gt;60),CONCATENATE(" ",B20),B20))</f>
        <v>1/4-20-SA</v>
      </c>
      <c r="F20" s="7">
        <f>C20*VLOOKUP('VA Sizing'!$D$12,'Modified Inputs'!$I$8:$J$32,2,FALSE)</f>
        <v>2.1995559193911603E-2</v>
      </c>
      <c r="G20" s="137">
        <f t="shared" si="1"/>
        <v>0.02</v>
      </c>
    </row>
    <row r="21" spans="2:19">
      <c r="B21" s="133" t="s">
        <v>94</v>
      </c>
      <c r="C21" s="133">
        <f>'10A61 3" Gas+liquid Calcs'!Q28</f>
        <v>588.57655003977823</v>
      </c>
      <c r="D21" s="133">
        <f t="shared" si="0"/>
        <v>58.857655003977825</v>
      </c>
      <c r="E21" s="133" t="str">
        <f>IF('VA Sizing'!$C$3="Gas",B21,
IF(AND('VA Sizing'!$C$3="Liquid",'10A61 3" Gas+liquid Calcs'!L28&gt;60),CONCATENATE(" ",B21),B21))</f>
        <v>1/4-20-SS</v>
      </c>
      <c r="F21" s="7">
        <f>C21*VLOOKUP('VA Sizing'!$D$12,'Modified Inputs'!$I$8:$J$32,2,FALSE)</f>
        <v>3.5314593002386693E-2</v>
      </c>
      <c r="G21" s="137">
        <f t="shared" si="1"/>
        <v>0.04</v>
      </c>
      <c r="K21" s="147" t="s">
        <v>343</v>
      </c>
      <c r="L21" s="147" t="s">
        <v>564</v>
      </c>
      <c r="N21" s="145" t="s">
        <v>815</v>
      </c>
      <c r="O21" s="145" t="s">
        <v>809</v>
      </c>
      <c r="P21" s="145" t="s">
        <v>810</v>
      </c>
      <c r="Q21" s="145" t="s">
        <v>811</v>
      </c>
      <c r="R21" s="145" t="s">
        <v>812</v>
      </c>
      <c r="S21" s="145" t="s">
        <v>813</v>
      </c>
    </row>
    <row r="22" spans="2:19">
      <c r="B22" s="133" t="s">
        <v>97</v>
      </c>
      <c r="C22" s="133">
        <f>'10A61 3" Gas+liquid Calcs'!Q29</f>
        <v>849.49918104236224</v>
      </c>
      <c r="D22" s="133">
        <f t="shared" si="0"/>
        <v>84.949918104236218</v>
      </c>
      <c r="E22" s="133" t="str">
        <f>IF('VA Sizing'!$C$3="Gas",B22,
IF(AND('VA Sizing'!$C$3="Liquid",'10A61 3" Gas+liquid Calcs'!L29&gt;60),CONCATENATE(" ",B22),B22))</f>
        <v>1/4-20-CA</v>
      </c>
      <c r="F22" s="7">
        <f>C22*VLOOKUP('VA Sizing'!$D$12,'Modified Inputs'!$I$8:$J$32,2,FALSE)</f>
        <v>5.0969950862541732E-2</v>
      </c>
      <c r="G22" s="137">
        <f t="shared" si="1"/>
        <v>0.05</v>
      </c>
      <c r="K22" s="146">
        <v>100</v>
      </c>
      <c r="L22" s="144" t="s">
        <v>761</v>
      </c>
      <c r="N22" s="5">
        <f>K7</f>
        <v>4.5932928370856226E-2</v>
      </c>
      <c r="O22" s="5">
        <f>N22+0.00000000001</f>
        <v>4.5932928380856226E-2</v>
      </c>
      <c r="P22" s="5">
        <f>IF(AND(O22&gt;0.000975,O22&lt;0.00974999),O22*10^5,
IF(AND(O22&gt;0.00975,O22&lt;0.0974999),O22*10^4,
IF(AND(O22&gt;0.0975,O22&lt;0.974999),O22*10^3,
IF(AND(O22&gt;0.975,O22&lt;9.74999),O22*10^2,
IF(AND(O22&gt;9.75,O22&lt;97.4999),O22*10^1,
IF(AND(O22&gt;97.5,O22&lt;974.999),O22*10^0,
IF(AND(O22&gt;975,O22&lt;9749.99),O22*10^-1,
IF(AND(O22&gt;9750,O22&lt;97499.9),O22*10^-2,
IF(AND(O22&gt;97500,O22&lt;974999),O22*10^-3,"error")))))))))</f>
        <v>459.32928380856225</v>
      </c>
      <c r="Q22" s="5">
        <f t="array" ref="Q22">INDEX($K$22:$K$69,MATCH(MIN(ABS($K$22:$K$69-P22)),ABS($K$22:$K$69-P22),0))</f>
        <v>460</v>
      </c>
      <c r="R22" s="5">
        <f>IF(AND(O22&gt;0.000975,O22&lt;0.00974999),Q22*10^-5,
IF(AND(O22&gt;0.00975,O22&lt;0.0974999),Q22*10^-4,
IF(AND(O22&gt;0.0975,O22&lt;0.974999),Q22*10^-3,
IF(AND(O22&gt;0.975,O22&lt;9.74999),Q22*10^-2,
IF(AND(O22&gt;9.75,O22&lt;97.4999),Q22*10^-1,
IF(AND(O22&gt;97.5,O22&lt;974.999),Q22*10^0,
IF(AND(O22&gt;975,O22&lt;9749.99),Q22*10^1,
IF(AND(O22&gt;9750,O22&lt;97499.9),Q22*10^2,
IF(AND(O22&gt;97500,O22&lt;974999),Q22*10^3,"error")))))))))</f>
        <v>4.5999999999999999E-2</v>
      </c>
      <c r="S22" s="146" t="str">
        <f>VLOOKUP(Q22,$K$22:$L$69,2,FALSE)</f>
        <v>ED-3-460</v>
      </c>
    </row>
    <row r="23" spans="2:19">
      <c r="B23" s="133" t="s">
        <v>98</v>
      </c>
      <c r="C23" s="133">
        <f>'10A61 3" Gas+liquid Calcs'!Q30</f>
        <v>899.08406419190442</v>
      </c>
      <c r="D23" s="133">
        <f t="shared" si="0"/>
        <v>89.908406419190442</v>
      </c>
      <c r="E23" s="133" t="str">
        <f>IF('VA Sizing'!$C$3="Gas",B23,
IF(AND('VA Sizing'!$C$3="Liquid",'10A61 3" Gas+liquid Calcs'!L30&gt;60),CONCATENATE(" ",B23),B23))</f>
        <v>1/4-20-TA</v>
      </c>
      <c r="F23" s="7">
        <f>C23*VLOOKUP('VA Sizing'!$D$12,'Modified Inputs'!$I$8:$J$32,2,FALSE)</f>
        <v>5.3945043851514267E-2</v>
      </c>
      <c r="G23" s="137">
        <f t="shared" si="1"/>
        <v>0.05</v>
      </c>
      <c r="K23" s="146">
        <v>105</v>
      </c>
      <c r="L23" s="144" t="s">
        <v>762</v>
      </c>
      <c r="N23" s="5">
        <f t="shared" ref="N23:N25" si="6">K8</f>
        <v>5.0969950862541732E-2</v>
      </c>
      <c r="O23" s="5">
        <f t="shared" ref="O23:O25" si="7">N23+0.00000000001</f>
        <v>5.0969950872541733E-2</v>
      </c>
      <c r="P23" s="5">
        <f t="shared" ref="P23:P25" si="8">IF(AND(O23&gt;0.000975,O23&lt;0.00974999),O23*10^5,
IF(AND(O23&gt;0.00975,O23&lt;0.0974999),O23*10^4,
IF(AND(O23&gt;0.0975,O23&lt;0.974999),O23*10^3,
IF(AND(O23&gt;0.975,O23&lt;9.74999),O23*10^2,
IF(AND(O23&gt;9.75,O23&lt;97.4999),O23*10^1,
IF(AND(O23&gt;97.5,O23&lt;974.999),O23*10^0,
IF(AND(O23&gt;975,O23&lt;9749.99),O23*10^-1,
IF(AND(O23&gt;9750,O23&lt;97499.9),O23*10^-2,
IF(AND(O23&gt;97500,O23&lt;974999),O23*10^-3,"error")))))))))</f>
        <v>509.69950872541733</v>
      </c>
      <c r="Q23" s="5">
        <f t="array" ref="Q23">INDEX($K$22:$K$69,MATCH(MIN(ABS($K$22:$K$69-P23)),ABS($K$22:$K$69-P23),0))</f>
        <v>500</v>
      </c>
      <c r="R23" s="5">
        <f t="shared" ref="R23:R25" si="9">IF(AND(O23&gt;0.000975,O23&lt;0.00974999),Q23*10^-5,
IF(AND(O23&gt;0.00975,O23&lt;0.0974999),Q23*10^-4,
IF(AND(O23&gt;0.0975,O23&lt;0.974999),Q23*10^-3,
IF(AND(O23&gt;0.975,O23&lt;9.74999),Q23*10^-2,
IF(AND(O23&gt;9.75,O23&lt;97.4999),Q23*10^-1,
IF(AND(O23&gt;97.5,O23&lt;974.999),Q23*10^0,
IF(AND(O23&gt;975,O23&lt;9749.99),Q23*10^1,
IF(AND(O23&gt;9750,O23&lt;97499.9),Q23*10^2,
IF(AND(O23&gt;97500,O23&lt;974999),Q23*10^3,"error")))))))))</f>
        <v>0.05</v>
      </c>
      <c r="S23" s="146" t="str">
        <f t="shared" ref="S23:S25" si="10">VLOOKUP(Q23,$K$22:$L$69,2,FALSE)</f>
        <v>ED-3-500</v>
      </c>
    </row>
    <row r="24" spans="2:19">
      <c r="B24" s="133" t="s">
        <v>273</v>
      </c>
      <c r="C24" s="133">
        <f>'10A61 3" Gas+liquid Calcs'!Q32</f>
        <v>520.74644933004947</v>
      </c>
      <c r="D24" s="133">
        <f t="shared" si="0"/>
        <v>52.074644933004947</v>
      </c>
      <c r="E24" s="133" t="str">
        <f>IF('VA Sizing'!$C$3="Gas",B24,
IF(AND('VA Sizing'!$C$3="Liquid",'10A61 3" Gas+liquid Calcs'!L32&gt;60),CONCATENATE(" ",B24),B24))</f>
        <v>1/4-41-G-BG</v>
      </c>
      <c r="F24" s="7">
        <f>C24*VLOOKUP('VA Sizing'!$D$12,'Modified Inputs'!$I$8:$J$32,2,FALSE)</f>
        <v>3.124478695980297E-2</v>
      </c>
      <c r="G24" s="137">
        <f t="shared" si="1"/>
        <v>0.03</v>
      </c>
      <c r="K24" s="146">
        <v>110</v>
      </c>
      <c r="L24" s="144" t="s">
        <v>763</v>
      </c>
      <c r="N24" s="5">
        <f t="shared" si="6"/>
        <v>5.3945043851514267E-2</v>
      </c>
      <c r="O24" s="5">
        <f t="shared" si="7"/>
        <v>5.3945043861514268E-2</v>
      </c>
      <c r="P24" s="5">
        <f t="shared" si="8"/>
        <v>539.45043861514273</v>
      </c>
      <c r="Q24" s="5">
        <f t="array" ref="Q24">INDEX($K$22:$K$69,MATCH(MIN(ABS($K$22:$K$69-P24)),ABS($K$22:$K$69-P24),0))</f>
        <v>540</v>
      </c>
      <c r="R24" s="5">
        <f t="shared" si="9"/>
        <v>5.3999999999999999E-2</v>
      </c>
      <c r="S24" s="146" t="str">
        <f t="shared" si="10"/>
        <v>ED-3-540</v>
      </c>
    </row>
    <row r="25" spans="2:19">
      <c r="B25" s="133" t="s">
        <v>96</v>
      </c>
      <c r="C25" s="133">
        <f>'10A61 3" Gas+liquid Calcs'!Q33</f>
        <v>765.54880618093705</v>
      </c>
      <c r="D25" s="133">
        <f t="shared" si="0"/>
        <v>76.554880618093705</v>
      </c>
      <c r="E25" s="133" t="str">
        <f>IF('VA Sizing'!$C$3="Gas",B25,
IF(AND('VA Sizing'!$C$3="Liquid",'10A61 3" Gas+liquid Calcs'!L33&gt;60),CONCATENATE(" ",B25),B25))</f>
        <v>1/4-41-G-SA</v>
      </c>
      <c r="F25" s="7">
        <f>C25*VLOOKUP('VA Sizing'!$D$12,'Modified Inputs'!$I$8:$J$32,2,FALSE)</f>
        <v>4.5932928370856226E-2</v>
      </c>
      <c r="G25" s="137">
        <f t="shared" si="1"/>
        <v>0.05</v>
      </c>
      <c r="K25" s="146">
        <v>115</v>
      </c>
      <c r="L25" s="144" t="s">
        <v>764</v>
      </c>
      <c r="N25" s="5">
        <f t="shared" si="6"/>
        <v>5.9079930620966836E-2</v>
      </c>
      <c r="O25" s="5">
        <f t="shared" si="7"/>
        <v>5.9079930630966837E-2</v>
      </c>
      <c r="P25" s="5">
        <f t="shared" si="8"/>
        <v>590.7993063096684</v>
      </c>
      <c r="Q25" s="5">
        <f t="array" ref="Q25">INDEX($K$22:$K$69,MATCH(MIN(ABS($K$22:$K$69-P25)),ABS($K$22:$K$69-P25),0))</f>
        <v>600</v>
      </c>
      <c r="R25" s="5">
        <f t="shared" si="9"/>
        <v>6.0000000000000005E-2</v>
      </c>
      <c r="S25" s="146" t="str">
        <f t="shared" si="10"/>
        <v>ED-3-600</v>
      </c>
    </row>
    <row r="26" spans="2:19">
      <c r="B26" s="133" t="s">
        <v>100</v>
      </c>
      <c r="C26" s="133">
        <f>'10A61 3" Gas+liquid Calcs'!Q34</f>
        <v>1238.1365942436535</v>
      </c>
      <c r="D26" s="133">
        <f t="shared" si="0"/>
        <v>123.81365942436534</v>
      </c>
      <c r="E26" s="133" t="str">
        <f>IF('VA Sizing'!$C$3="Gas",B26,
IF(AND('VA Sizing'!$C$3="Liquid",'10A61 3" Gas+liquid Calcs'!L34&gt;60),CONCATENATE(" ",B26),B26))</f>
        <v>1/4-41-G-SS</v>
      </c>
      <c r="F26" s="7">
        <f>C26*VLOOKUP('VA Sizing'!$D$12,'Modified Inputs'!$I$8:$J$32,2,FALSE)</f>
        <v>7.4288195654619207E-2</v>
      </c>
      <c r="G26" s="137">
        <f t="shared" si="1"/>
        <v>7.0000000000000007E-2</v>
      </c>
      <c r="K26" s="146">
        <v>120</v>
      </c>
      <c r="L26" s="144" t="s">
        <v>765</v>
      </c>
    </row>
    <row r="27" spans="2:19">
      <c r="B27" s="133" t="s">
        <v>102</v>
      </c>
      <c r="C27" s="133">
        <f>'10A61 3" Gas+liquid Calcs'!Q35</f>
        <v>1801.2964990603314</v>
      </c>
      <c r="D27" s="133">
        <f t="shared" si="0"/>
        <v>180.12964990603314</v>
      </c>
      <c r="E27" s="133" t="str">
        <f>IF('VA Sizing'!$C$3="Gas",B27,
IF(AND('VA Sizing'!$C$3="Liquid",'10A61 3" Gas+liquid Calcs'!L35&gt;60),CONCATENATE(" ",B27),B27))</f>
        <v>1/4-41-G-CA</v>
      </c>
      <c r="F27" s="7">
        <f>C27*VLOOKUP('VA Sizing'!$D$12,'Modified Inputs'!$I$8:$J$32,2,FALSE)</f>
        <v>0.10807778994361988</v>
      </c>
      <c r="G27" s="137">
        <f t="shared" si="1"/>
        <v>0.11</v>
      </c>
      <c r="K27" s="146">
        <v>125</v>
      </c>
      <c r="L27" s="144" t="s">
        <v>766</v>
      </c>
    </row>
    <row r="28" spans="2:19">
      <c r="B28" s="133" t="s">
        <v>103</v>
      </c>
      <c r="C28" s="133">
        <f>'10A61 3" Gas+liquid Calcs'!Q36</f>
        <v>1908.7971185081112</v>
      </c>
      <c r="D28" s="133">
        <f t="shared" si="0"/>
        <v>190.87971185081113</v>
      </c>
      <c r="E28" s="133" t="str">
        <f>IF('VA Sizing'!$C$3="Gas",B28,
IF(AND('VA Sizing'!$C$3="Liquid",'10A61 3" Gas+liquid Calcs'!L36&gt;60),CONCATENATE(" ",B28),B28))</f>
        <v>1/4-41-G-TA</v>
      </c>
      <c r="F28" s="7">
        <f>C28*VLOOKUP('VA Sizing'!$D$12,'Modified Inputs'!$I$8:$J$32,2,FALSE)</f>
        <v>0.11452782711048667</v>
      </c>
      <c r="G28" s="137">
        <f t="shared" si="1"/>
        <v>0.11</v>
      </c>
      <c r="K28" s="146">
        <v>130</v>
      </c>
      <c r="L28" s="144" t="s">
        <v>767</v>
      </c>
    </row>
    <row r="29" spans="2:19">
      <c r="B29" s="133" t="s">
        <v>342</v>
      </c>
      <c r="C29" s="133">
        <f>'10A61 3" Gas+liquid Calcs'!Q38</f>
        <v>685.72154417642196</v>
      </c>
      <c r="D29" s="133">
        <f t="shared" si="0"/>
        <v>68.572154417642196</v>
      </c>
      <c r="E29" s="133" t="str">
        <f>IF('VA Sizing'!$C$3="Gas",B29,
IF(AND('VA Sizing'!$C$3="Liquid",'10A61 3" Gas+liquid Calcs'!L38&gt;60),CONCATENATE(" ",B29),B29))</f>
        <v>1/4-41-P-BG</v>
      </c>
      <c r="F29" s="7">
        <f>C29*VLOOKUP('VA Sizing'!$D$12,'Modified Inputs'!$I$8:$J$32,2,FALSE)</f>
        <v>4.114329265058532E-2</v>
      </c>
      <c r="G29" s="137">
        <f t="shared" si="1"/>
        <v>0.04</v>
      </c>
      <c r="K29" s="146">
        <v>135</v>
      </c>
      <c r="L29" s="144" t="s">
        <v>768</v>
      </c>
    </row>
    <row r="30" spans="2:19">
      <c r="B30" s="133" t="s">
        <v>99</v>
      </c>
      <c r="C30" s="133">
        <f>'10A61 3" Gas+liquid Calcs'!Q39</f>
        <v>984.66551034944723</v>
      </c>
      <c r="D30" s="133">
        <f t="shared" si="0"/>
        <v>98.466551034944729</v>
      </c>
      <c r="E30" s="133" t="str">
        <f>IF('VA Sizing'!$C$3="Gas",B30,
IF(AND('VA Sizing'!$C$3="Liquid",'10A61 3" Gas+liquid Calcs'!L39&gt;60),CONCATENATE(" ",B30),B30))</f>
        <v>1/4-41-P-SA</v>
      </c>
      <c r="F30" s="7">
        <f>C30*VLOOKUP('VA Sizing'!$D$12,'Modified Inputs'!$I$8:$J$32,2,FALSE)</f>
        <v>5.9079930620966836E-2</v>
      </c>
      <c r="G30" s="137">
        <f t="shared" si="1"/>
        <v>0.06</v>
      </c>
      <c r="K30" s="146">
        <v>140</v>
      </c>
      <c r="L30" s="144" t="s">
        <v>769</v>
      </c>
    </row>
    <row r="31" spans="2:19">
      <c r="B31" s="133" t="s">
        <v>101</v>
      </c>
      <c r="C31" s="133">
        <f>'10A61 3" Gas+liquid Calcs'!Q40</f>
        <v>1556.9522994108784</v>
      </c>
      <c r="D31" s="133">
        <f t="shared" si="0"/>
        <v>155.69522994108783</v>
      </c>
      <c r="E31" s="133" t="str">
        <f>IF('VA Sizing'!$C$3="Gas",B31,
IF(AND('VA Sizing'!$C$3="Liquid",'10A61 3" Gas+liquid Calcs'!L40&gt;60),CONCATENATE(" ",B31),B31))</f>
        <v>1/4-41-P-SS</v>
      </c>
      <c r="F31" s="7">
        <f>C31*VLOOKUP('VA Sizing'!$D$12,'Modified Inputs'!$I$8:$J$32,2,FALSE)</f>
        <v>9.3417137964652702E-2</v>
      </c>
      <c r="G31" s="137">
        <f t="shared" si="1"/>
        <v>0.09</v>
      </c>
      <c r="K31" s="146">
        <v>145</v>
      </c>
      <c r="L31" s="144" t="s">
        <v>770</v>
      </c>
    </row>
    <row r="32" spans="2:19">
      <c r="B32" s="133" t="s">
        <v>104</v>
      </c>
      <c r="C32" s="133">
        <f>'10A61 3" Gas+liquid Calcs'!Q41</f>
        <v>2236.0460757387791</v>
      </c>
      <c r="D32" s="133">
        <f t="shared" si="0"/>
        <v>223.6046075738779</v>
      </c>
      <c r="E32" s="133" t="str">
        <f>IF('VA Sizing'!$C$3="Gas",B32,
IF(AND('VA Sizing'!$C$3="Liquid",'10A61 3" Gas+liquid Calcs'!L41&gt;60),CONCATENATE(" ",B32),B32))</f>
        <v>1/4-41-P-CA</v>
      </c>
      <c r="F32" s="7">
        <f>C32*VLOOKUP('VA Sizing'!$D$12,'Modified Inputs'!$I$8:$J$32,2,FALSE)</f>
        <v>0.13416276454432674</v>
      </c>
      <c r="G32" s="137">
        <f t="shared" si="1"/>
        <v>0.13</v>
      </c>
      <c r="K32" s="146">
        <v>150</v>
      </c>
      <c r="L32" s="144" t="s">
        <v>771</v>
      </c>
    </row>
    <row r="33" spans="2:12">
      <c r="B33" s="133" t="s">
        <v>105</v>
      </c>
      <c r="C33" s="133">
        <f>'10A61 3" Gas+liquid Calcs'!Q42</f>
        <v>2365.5172569465067</v>
      </c>
      <c r="D33" s="133">
        <f t="shared" si="0"/>
        <v>236.55172569465066</v>
      </c>
      <c r="E33" s="133" t="str">
        <f>IF('VA Sizing'!$C$3="Gas",B33,
IF(AND('VA Sizing'!$C$3="Liquid",'10A61 3" Gas+liquid Calcs'!L42&gt;60),CONCATENATE(" ",B33),B33))</f>
        <v>1/4-41-P-TA</v>
      </c>
      <c r="F33" s="7">
        <f>C33*VLOOKUP('VA Sizing'!$D$12,'Modified Inputs'!$I$8:$J$32,2,FALSE)</f>
        <v>0.14193103541679039</v>
      </c>
      <c r="G33" s="137">
        <f t="shared" si="1"/>
        <v>0.14000000000000001</v>
      </c>
      <c r="K33" s="146">
        <v>160</v>
      </c>
      <c r="L33" s="144" t="s">
        <v>772</v>
      </c>
    </row>
    <row r="34" spans="2:12">
      <c r="B34" s="149" t="s">
        <v>88</v>
      </c>
      <c r="C34" s="149">
        <f>'10A61 3" Gas+liquid Calcs'!Q25</f>
        <v>128.56464284407591</v>
      </c>
      <c r="D34" s="149">
        <f t="shared" ref="D34:D37" si="11">C34/10</f>
        <v>12.85646428440759</v>
      </c>
      <c r="E34" s="149" t="str">
        <f>IF('VA Sizing'!$C$3="Gas",B34,
IF(AND('VA Sizing'!$C$3="Liquid",'10A61 3" Gas+liquid Calcs'!L43&gt;60),CONCATENATE(" ",B34),B34))</f>
        <v>1/4-15-CD</v>
      </c>
      <c r="F34" s="7">
        <f>C34*VLOOKUP('VA Sizing'!$D$12,'Modified Inputs'!$I$8:$J$32,2,FALSE)</f>
        <v>7.7138785706445546E-3</v>
      </c>
      <c r="G34" s="137">
        <f t="shared" ref="G34:G37" si="12">IF(F34&lt;0.99999,ROUND(F34,2),
IF(F34&lt;9.999,ROUND(F34,2),
IF(F34&lt;99.99,ROUND(F34,1),
IF(F34&lt;999.99,ROUND(F34,0),
IF(F34&lt;9999.99,ROUND(F34,-1),
IF(F34&lt;99999,ROUND(F34,-2),ROUND(F34,2)))))))</f>
        <v>0.01</v>
      </c>
      <c r="K34" s="146">
        <v>170</v>
      </c>
      <c r="L34" s="144" t="s">
        <v>773</v>
      </c>
    </row>
    <row r="35" spans="2:12">
      <c r="B35" s="149" t="s">
        <v>90</v>
      </c>
      <c r="C35" s="149">
        <f>'10A61 3" Gas+liquid Calcs'!Q31</f>
        <v>222.38378919954883</v>
      </c>
      <c r="D35" s="149">
        <f t="shared" si="11"/>
        <v>22.238378919954883</v>
      </c>
      <c r="E35" s="149" t="str">
        <f>IF('VA Sizing'!$C$3="Gas",B35,
IF(AND('VA Sizing'!$C$3="Liquid",'10A61 3" Gas+liquid Calcs'!L44&gt;60),CONCATENATE(" ",B35),B35))</f>
        <v>1/4-20-CD</v>
      </c>
      <c r="F35" s="7">
        <f>C35*VLOOKUP('VA Sizing'!$D$12,'Modified Inputs'!$I$8:$J$32,2,FALSE)</f>
        <v>1.334302735197293E-2</v>
      </c>
      <c r="G35" s="137">
        <f t="shared" si="12"/>
        <v>0.01</v>
      </c>
      <c r="K35" s="146">
        <v>180</v>
      </c>
      <c r="L35" s="144" t="s">
        <v>774</v>
      </c>
    </row>
    <row r="36" spans="2:12">
      <c r="B36" s="149" t="s">
        <v>912</v>
      </c>
      <c r="C36" s="149">
        <f>'10A61 3" Gas+liquid Calcs'!Q37</f>
        <v>466.21360944603197</v>
      </c>
      <c r="D36" s="149">
        <f t="shared" si="11"/>
        <v>46.621360944603197</v>
      </c>
      <c r="E36" s="149" t="str">
        <f>IF('VA Sizing'!$C$3="Gas",B36,
IF(AND('VA Sizing'!$C$3="Liquid",'10A61 3" Gas+liquid Calcs'!L45&gt;60),CONCATENATE(" ",B36),B36))</f>
        <v>1/4-41-G-CD</v>
      </c>
      <c r="F36" s="7">
        <f>C36*VLOOKUP('VA Sizing'!$D$12,'Modified Inputs'!$I$8:$J$32,2,FALSE)</f>
        <v>2.797281656676192E-2</v>
      </c>
      <c r="G36" s="137">
        <f t="shared" si="12"/>
        <v>0.03</v>
      </c>
      <c r="K36" s="146">
        <v>190</v>
      </c>
      <c r="L36" s="144" t="s">
        <v>775</v>
      </c>
    </row>
    <row r="37" spans="2:12">
      <c r="B37" s="149" t="s">
        <v>913</v>
      </c>
      <c r="C37" s="149">
        <f>'10A61 3" Gas+liquid Calcs'!Q43</f>
        <v>618.6024424211638</v>
      </c>
      <c r="D37" s="149">
        <f t="shared" si="11"/>
        <v>61.86024424211638</v>
      </c>
      <c r="E37" s="149" t="str">
        <f>IF('VA Sizing'!$C$3="Gas",B37,
IF(AND('VA Sizing'!$C$3="Liquid",'10A61 3" Gas+liquid Calcs'!L46&gt;60),CONCATENATE(" ",B37),B37))</f>
        <v>1/4-41-P-CD</v>
      </c>
      <c r="F37" s="7">
        <f>C37*VLOOKUP('VA Sizing'!$D$12,'Modified Inputs'!$I$8:$J$32,2,FALSE)</f>
        <v>3.7116146545269832E-2</v>
      </c>
      <c r="G37" s="137">
        <f t="shared" si="12"/>
        <v>0.04</v>
      </c>
      <c r="K37" s="146">
        <v>200</v>
      </c>
      <c r="L37" s="144" t="s">
        <v>776</v>
      </c>
    </row>
    <row r="38" spans="2:12">
      <c r="K38" s="146">
        <v>210</v>
      </c>
      <c r="L38" s="144" t="s">
        <v>777</v>
      </c>
    </row>
    <row r="39" spans="2:12">
      <c r="K39" s="146">
        <v>220</v>
      </c>
      <c r="L39" s="144" t="s">
        <v>778</v>
      </c>
    </row>
    <row r="40" spans="2:12">
      <c r="K40" s="146">
        <v>230</v>
      </c>
      <c r="L40" s="144" t="s">
        <v>779</v>
      </c>
    </row>
    <row r="41" spans="2:12">
      <c r="K41" s="146">
        <v>240</v>
      </c>
      <c r="L41" s="144" t="s">
        <v>780</v>
      </c>
    </row>
    <row r="42" spans="2:12">
      <c r="K42" s="146">
        <v>250</v>
      </c>
      <c r="L42" s="144" t="s">
        <v>781</v>
      </c>
    </row>
    <row r="43" spans="2:12">
      <c r="K43" s="146">
        <v>260</v>
      </c>
      <c r="L43" s="144" t="s">
        <v>782</v>
      </c>
    </row>
    <row r="44" spans="2:12">
      <c r="K44" s="146">
        <v>270</v>
      </c>
      <c r="L44" s="144" t="s">
        <v>783</v>
      </c>
    </row>
    <row r="45" spans="2:12">
      <c r="K45" s="146">
        <v>280</v>
      </c>
      <c r="L45" s="144" t="s">
        <v>784</v>
      </c>
    </row>
    <row r="46" spans="2:12">
      <c r="K46" s="146">
        <v>290</v>
      </c>
      <c r="L46" s="144" t="s">
        <v>785</v>
      </c>
    </row>
    <row r="47" spans="2:12">
      <c r="K47" s="146">
        <v>300</v>
      </c>
      <c r="L47" s="144" t="s">
        <v>786</v>
      </c>
    </row>
    <row r="48" spans="2:12">
      <c r="K48" s="146">
        <v>320</v>
      </c>
      <c r="L48" s="144" t="s">
        <v>787</v>
      </c>
    </row>
    <row r="49" spans="11:12">
      <c r="K49" s="146">
        <v>240</v>
      </c>
      <c r="L49" s="144" t="s">
        <v>788</v>
      </c>
    </row>
    <row r="50" spans="11:12">
      <c r="K50" s="146">
        <v>360</v>
      </c>
      <c r="L50" s="144" t="s">
        <v>789</v>
      </c>
    </row>
    <row r="51" spans="11:12">
      <c r="K51" s="146">
        <v>380</v>
      </c>
      <c r="L51" s="144" t="s">
        <v>790</v>
      </c>
    </row>
    <row r="52" spans="11:12">
      <c r="K52" s="146">
        <v>400</v>
      </c>
      <c r="L52" s="144" t="s">
        <v>791</v>
      </c>
    </row>
    <row r="53" spans="11:12">
      <c r="K53" s="146">
        <v>420</v>
      </c>
      <c r="L53" s="144" t="s">
        <v>792</v>
      </c>
    </row>
    <row r="54" spans="11:12">
      <c r="K54" s="146">
        <v>440</v>
      </c>
      <c r="L54" s="144" t="s">
        <v>793</v>
      </c>
    </row>
    <row r="55" spans="11:12">
      <c r="K55" s="146">
        <v>460</v>
      </c>
      <c r="L55" s="144" t="s">
        <v>794</v>
      </c>
    </row>
    <row r="56" spans="11:12">
      <c r="K56" s="146">
        <v>480</v>
      </c>
      <c r="L56" s="144" t="s">
        <v>795</v>
      </c>
    </row>
    <row r="57" spans="11:12">
      <c r="K57" s="146">
        <v>500</v>
      </c>
      <c r="L57" s="144" t="s">
        <v>796</v>
      </c>
    </row>
    <row r="58" spans="11:12">
      <c r="K58" s="146">
        <v>520</v>
      </c>
      <c r="L58" s="144" t="s">
        <v>797</v>
      </c>
    </row>
    <row r="59" spans="11:12">
      <c r="K59" s="146">
        <v>540</v>
      </c>
      <c r="L59" s="144" t="s">
        <v>798</v>
      </c>
    </row>
    <row r="60" spans="11:12">
      <c r="K60" s="146">
        <v>560</v>
      </c>
      <c r="L60" s="144" t="s">
        <v>799</v>
      </c>
    </row>
    <row r="61" spans="11:12">
      <c r="K61" s="146">
        <v>580</v>
      </c>
      <c r="L61" s="144" t="s">
        <v>800</v>
      </c>
    </row>
    <row r="62" spans="11:12">
      <c r="K62" s="146">
        <v>600</v>
      </c>
      <c r="L62" s="144" t="s">
        <v>801</v>
      </c>
    </row>
    <row r="63" spans="11:12">
      <c r="K63" s="146">
        <v>650</v>
      </c>
      <c r="L63" s="144" t="s">
        <v>802</v>
      </c>
    </row>
    <row r="64" spans="11:12">
      <c r="K64" s="146">
        <v>700</v>
      </c>
      <c r="L64" s="144" t="s">
        <v>803</v>
      </c>
    </row>
    <row r="65" spans="11:12">
      <c r="K65" s="146">
        <v>750</v>
      </c>
      <c r="L65" s="144" t="s">
        <v>804</v>
      </c>
    </row>
    <row r="66" spans="11:12">
      <c r="K66" s="146">
        <v>800</v>
      </c>
      <c r="L66" s="144" t="s">
        <v>805</v>
      </c>
    </row>
    <row r="67" spans="11:12">
      <c r="K67" s="146">
        <v>850</v>
      </c>
      <c r="L67" s="144" t="s">
        <v>806</v>
      </c>
    </row>
    <row r="68" spans="11:12">
      <c r="K68" s="146">
        <v>900</v>
      </c>
      <c r="L68" s="144" t="s">
        <v>807</v>
      </c>
    </row>
    <row r="69" spans="11:12">
      <c r="K69" s="146">
        <v>950</v>
      </c>
      <c r="L69" s="144" t="s">
        <v>808</v>
      </c>
    </row>
  </sheetData>
  <mergeCells count="2">
    <mergeCell ref="B2:D2"/>
    <mergeCell ref="H14:I14"/>
  </mergeCells>
  <conditionalFormatting sqref="H16">
    <cfRule type="expression" dxfId="30" priority="4">
      <formula>LEFT($H$16,1)=" "</formula>
    </cfRule>
  </conditionalFormatting>
  <conditionalFormatting sqref="H17">
    <cfRule type="expression" dxfId="29" priority="3">
      <formula>LEFT($H$17,1)=" "</formula>
    </cfRule>
  </conditionalFormatting>
  <conditionalFormatting sqref="H18">
    <cfRule type="expression" dxfId="28" priority="2">
      <formula>LEFT($H$18,1)=" "</formula>
    </cfRule>
  </conditionalFormatting>
  <conditionalFormatting sqref="H19">
    <cfRule type="expression" dxfId="27" priority="1">
      <formula>LEFT($H$19,1)=" "</formula>
    </cfRule>
  </conditionalFormatting>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P72"/>
  <sheetViews>
    <sheetView workbookViewId="0">
      <selection activeCell="Q14" sqref="Q14"/>
    </sheetView>
  </sheetViews>
  <sheetFormatPr defaultRowHeight="15"/>
  <cols>
    <col min="2" max="2" width="13.5703125" bestFit="1" customWidth="1"/>
    <col min="3" max="3" width="18.42578125" bestFit="1" customWidth="1"/>
    <col min="4" max="4" width="18.140625" bestFit="1" customWidth="1"/>
    <col min="5" max="5" width="13.5703125" bestFit="1" customWidth="1"/>
    <col min="8" max="8" width="13.5703125" bestFit="1" customWidth="1"/>
    <col min="9" max="9" width="22.7109375" bestFit="1" customWidth="1"/>
    <col min="12" max="12" width="14.42578125" customWidth="1"/>
    <col min="13" max="13" width="13.28515625" bestFit="1" customWidth="1"/>
    <col min="15" max="15" width="13.42578125" bestFit="1" customWidth="1"/>
  </cols>
  <sheetData>
    <row r="2" spans="2:16">
      <c r="B2" s="58" t="s">
        <v>58</v>
      </c>
      <c r="C2" s="58" t="s">
        <v>55</v>
      </c>
      <c r="D2" s="58" t="s">
        <v>57</v>
      </c>
      <c r="E2" s="61" t="s">
        <v>58</v>
      </c>
    </row>
    <row r="3" spans="2:16">
      <c r="B3" s="50" t="s">
        <v>220</v>
      </c>
      <c r="C3" s="50">
        <f>'10A61 5" Calcs'!AD46</f>
        <v>274.65030294971172</v>
      </c>
      <c r="D3" s="50">
        <f>C3/10</f>
        <v>27.465030294971172</v>
      </c>
      <c r="E3" s="60" t="str">
        <f>IF('VA Sizing'!$C$3="Gas",'10A61 5" + 6" Results'!B3,
IF(AND('VA Sizing'!$C$3="Liquid",'10A61 5" Calcs'!Y46&lt;30),CONCATENATE(" ",'10A61 5" + 6" Results'!B3),'10A61 5" + 6" Results'!B3))</f>
        <v>1/4-25-CD</v>
      </c>
    </row>
    <row r="4" spans="2:16">
      <c r="B4" s="50" t="s">
        <v>221</v>
      </c>
      <c r="C4" s="50">
        <f>'10A61 5" Calcs'!AD47</f>
        <v>441.71087289288772</v>
      </c>
      <c r="D4" s="50">
        <f t="shared" ref="D4:D52" si="0">C4/10</f>
        <v>44.171087289288771</v>
      </c>
      <c r="E4" s="74" t="str">
        <f>IF('VA Sizing'!$C$3="Gas",'10A61 5" + 6" Results'!B4,
IF(AND('VA Sizing'!$C$3="Liquid",'10A61 5" Calcs'!Y47&lt;30),CONCATENATE(" ",'10A61 5" + 6" Results'!B4),'10A61 5" + 6" Results'!B4))</f>
        <v>1/4-25-SA</v>
      </c>
      <c r="H4" t="s">
        <v>58</v>
      </c>
      <c r="I4" t="s">
        <v>344</v>
      </c>
      <c r="J4" t="s">
        <v>345</v>
      </c>
      <c r="K4" t="s">
        <v>346</v>
      </c>
      <c r="L4" t="s">
        <v>347</v>
      </c>
      <c r="M4" t="s">
        <v>348</v>
      </c>
      <c r="N4" t="s">
        <v>349</v>
      </c>
      <c r="O4" t="s">
        <v>350</v>
      </c>
      <c r="P4" t="s">
        <v>924</v>
      </c>
    </row>
    <row r="5" spans="2:16">
      <c r="B5" s="50" t="s">
        <v>222</v>
      </c>
      <c r="C5" s="50">
        <f>'10A61 5" Calcs'!AD48</f>
        <v>714.05642559563307</v>
      </c>
      <c r="D5" s="50">
        <f t="shared" si="0"/>
        <v>71.405642559563304</v>
      </c>
      <c r="E5" s="74" t="str">
        <f>IF('VA Sizing'!$C$3="Gas",'10A61 5" + 6" Results'!B5,
IF(AND('VA Sizing'!$C$3="Liquid",'10A61 5" Calcs'!Y48&lt;30),CONCATENATE(" ",'10A61 5" + 6" Results'!B5),'10A61 5" + 6" Results'!B5))</f>
        <v>1/4-25-SS</v>
      </c>
      <c r="H5" t="str">
        <f>VLOOKUP(I5,$C$3:$E$66,3,FALSE)</f>
        <v>1/4-20-CA</v>
      </c>
      <c r="I5">
        <f t="array" ref="I5">MAX(IF($C$3:$C$66&lt;'Modified Inputs'!$O$2,C3:C66))</f>
        <v>814.75352660187036</v>
      </c>
      <c r="J5">
        <f>VLOOKUP(I5,$C$3:$E$66,2,FALSE)</f>
        <v>81.475352660187042</v>
      </c>
      <c r="K5">
        <f>I5*VLOOKUP('VA Sizing'!$D$12,'Modified Inputs'!$I$8:$J$32,2,FALSE)</f>
        <v>4.888521159611222E-2</v>
      </c>
      <c r="L5">
        <f>J5*VLOOKUP('VA Sizing'!$D$12,'Modified Inputs'!$I$8:$J$32,2,FALSE)</f>
        <v>4.8885211596112225E-3</v>
      </c>
      <c r="M5">
        <f>IF(K5&lt;0.99999,ROUND(K5,2),
IF(K5&lt;9.999,ROUND(K5,2),
IF(K5&lt;99.99,ROUND(K5,1),
IF(K5&lt;999.99,ROUND(K5,0),
IF(K5&lt;9999.99,ROUND(K5,-1),
IF(K5&lt;99999,ROUND(K5,-2),ROUND(K5,2)))))))</f>
        <v>0.05</v>
      </c>
      <c r="N5">
        <f>ROUND(L5,1)</f>
        <v>0</v>
      </c>
      <c r="O5" s="59" t="str">
        <f>CONCATENATE(N5," ","-"," ",M5)</f>
        <v>0 - 0.05</v>
      </c>
      <c r="P5">
        <f>VLOOKUP(H5,'10A61 N Number'!$B$2:$D$217,3,FALSE)</f>
        <v>4254</v>
      </c>
    </row>
    <row r="6" spans="2:16">
      <c r="B6" s="50" t="s">
        <v>223</v>
      </c>
      <c r="C6" s="50">
        <f>'10A61 5" Calcs'!AD49</f>
        <v>1049.8870516610612</v>
      </c>
      <c r="D6" s="50">
        <f t="shared" si="0"/>
        <v>104.98870516610612</v>
      </c>
      <c r="E6" s="74" t="str">
        <f>IF('VA Sizing'!$C$3="Gas",'10A61 5" + 6" Results'!B6,
IF(AND('VA Sizing'!$C$3="Liquid",'10A61 5" Calcs'!Y49&lt;30),CONCATENATE(" ",'10A61 5" + 6" Results'!B6),'10A61 5" + 6" Results'!B6))</f>
        <v>1/4-25-CA</v>
      </c>
      <c r="H6" t="str">
        <f>VLOOKUP(I6,$C$3:$E$66,3,FALSE)</f>
        <v>1/4-20-TA</v>
      </c>
      <c r="I6">
        <f t="array" ref="I6">MIN(IF($C$3:$C$66&gt;'Modified Inputs'!$O$2,$C$3:$C$66))</f>
        <v>866.73333074624964</v>
      </c>
      <c r="J6">
        <f>VLOOKUP(I6,$C$3:$E$66,2,FALSE)</f>
        <v>86.673333074624964</v>
      </c>
      <c r="K6">
        <f>I6*VLOOKUP('VA Sizing'!$D$12,'Modified Inputs'!$I$8:$J$32,2,FALSE)</f>
        <v>5.2003999844774981E-2</v>
      </c>
      <c r="L6">
        <f>J6*VLOOKUP('VA Sizing'!$D$12,'Modified Inputs'!$I$8:$J$32,2,FALSE)</f>
        <v>5.2003999844774983E-3</v>
      </c>
      <c r="M6">
        <f t="shared" ref="M6:M8" si="1">IF(K6&lt;0.99999,ROUND(K6,2),
IF(K6&lt;9.999,ROUND(K6,2),
IF(K6&lt;99.99,ROUND(K6,1),
IF(K6&lt;999.99,ROUND(K6,0),
IF(K6&lt;9999.99,ROUND(K6,-1),
IF(K6&lt;99999,ROUND(K6,-2),ROUND(K6,2)))))))</f>
        <v>0.05</v>
      </c>
      <c r="N6">
        <f t="shared" ref="N6:N8" si="2">ROUND(L6,1)</f>
        <v>0</v>
      </c>
      <c r="O6" s="59" t="str">
        <f>CONCATENATE(N6," ","-"," ",M6)</f>
        <v>0 - 0.05</v>
      </c>
      <c r="P6">
        <f>VLOOKUP(H6,'10A61 N Number'!$B$2:$D$217,3,FALSE)</f>
        <v>4490</v>
      </c>
    </row>
    <row r="7" spans="2:16">
      <c r="B7" s="50" t="s">
        <v>224</v>
      </c>
      <c r="C7" s="50">
        <f>'10A61 5" Calcs'!AD50</f>
        <v>1115.1459053263909</v>
      </c>
      <c r="D7" s="50">
        <f t="shared" si="0"/>
        <v>111.51459053263909</v>
      </c>
      <c r="E7" s="74" t="str">
        <f>IF('VA Sizing'!$C$3="Gas",'10A61 5" + 6" Results'!B7,
IF(AND('VA Sizing'!$C$3="Liquid",'10A61 5" Calcs'!Y50&lt;30),CONCATENATE(" ",'10A61 5" + 6" Results'!B7),'10A61 5" + 6" Results'!B7))</f>
        <v>1/4-25-TA</v>
      </c>
      <c r="H7" t="str">
        <f>VLOOKUP(I7,$C$3:$E$66,3,FALSE)</f>
        <v>1/4-25-CA</v>
      </c>
      <c r="I7">
        <f t="array" ref="I7">MIN(IF($C$3:$C$66&gt;I6,$C$3:$C$66))</f>
        <v>1049.8870516610612</v>
      </c>
      <c r="J7">
        <f>VLOOKUP(I7,$C$3:$E$66,2,FALSE)</f>
        <v>104.98870516610612</v>
      </c>
      <c r="K7">
        <f>I7*VLOOKUP('VA Sizing'!$D$12,'Modified Inputs'!$I$8:$J$32,2,FALSE)</f>
        <v>6.2993223099663667E-2</v>
      </c>
      <c r="L7">
        <f>J7*VLOOKUP('VA Sizing'!$D$12,'Modified Inputs'!$I$8:$J$32,2,FALSE)</f>
        <v>6.2993223099663672E-3</v>
      </c>
      <c r="M7">
        <f t="shared" si="1"/>
        <v>0.06</v>
      </c>
      <c r="N7">
        <f t="shared" si="2"/>
        <v>0</v>
      </c>
      <c r="O7" s="59" t="str">
        <f>CONCATENATE(N7," ","-"," ",M7)</f>
        <v>0 - 0.06</v>
      </c>
      <c r="P7">
        <f>VLOOKUP(H7,'10A61 N Number'!$B$2:$D$217,3,FALSE)</f>
        <v>4254</v>
      </c>
    </row>
    <row r="8" spans="2:16">
      <c r="B8" s="50" t="s">
        <v>225</v>
      </c>
      <c r="C8" s="50">
        <f>'10A61 5" Calcs'!AD51</f>
        <v>304.76559640500892</v>
      </c>
      <c r="D8" s="50">
        <f t="shared" si="0"/>
        <v>30.476559640500891</v>
      </c>
      <c r="E8" s="74" t="str">
        <f>IF('VA Sizing'!$C$3="Gas",'10A61 5" + 6" Results'!B8,
IF(AND('VA Sizing'!$C$3="Liquid",'10A61 5" Calcs'!Y51&lt;30),CONCATENATE(" ",'10A61 5" + 6" Results'!B8),'10A61 5" + 6" Results'!B8))</f>
        <v>1/4-25-BG</v>
      </c>
      <c r="H8" t="str">
        <f>VLOOKUP(I8,$C$3:$E$66,3,FALSE)</f>
        <v>1/4-25-TA</v>
      </c>
      <c r="I8">
        <f t="array" ref="I8">MIN(IF($C$3:$C$66&gt;I7,$C$3:$C$66))</f>
        <v>1115.1459053263909</v>
      </c>
      <c r="J8">
        <f>VLOOKUP(I8,$C$3:$E$71,2,FALSE)</f>
        <v>111.51459053263909</v>
      </c>
      <c r="K8">
        <f>I8*VLOOKUP('VA Sizing'!$D$12,'Modified Inputs'!$I$8:$J$32,2,FALSE)</f>
        <v>6.6908754319583458E-2</v>
      </c>
      <c r="L8">
        <f>J8*VLOOKUP('VA Sizing'!$D$12,'Modified Inputs'!$I$8:$J$32,2,FALSE)</f>
        <v>6.6908754319583456E-3</v>
      </c>
      <c r="M8">
        <f t="shared" si="1"/>
        <v>7.0000000000000007E-2</v>
      </c>
      <c r="N8">
        <f t="shared" si="2"/>
        <v>0</v>
      </c>
      <c r="O8" s="59" t="str">
        <f>CONCATENATE(N8," ","-"," ",M8)</f>
        <v>0 - 0.07</v>
      </c>
      <c r="P8">
        <f>VLOOKUP(H8,'10A61 N Number'!$B$2:$D$217,3,FALSE)</f>
        <v>4490</v>
      </c>
    </row>
    <row r="9" spans="2:16">
      <c r="B9" s="50" t="s">
        <v>90</v>
      </c>
      <c r="C9" s="50">
        <f>'10A61 5" Calcs'!AD53</f>
        <v>204.66624308251585</v>
      </c>
      <c r="D9" s="50">
        <f t="shared" si="0"/>
        <v>20.466624308251586</v>
      </c>
      <c r="E9" s="74" t="str">
        <f>IF('VA Sizing'!$C$3="Gas",'10A61 5" + 6" Results'!B9,
IF(AND('VA Sizing'!$C$3="Liquid",'10A61 5" Calcs'!Y53&lt;30),CONCATENATE(" ",'10A61 5" + 6" Results'!B9),'10A61 5" + 6" Results'!B9))</f>
        <v>1/4-20-CD</v>
      </c>
    </row>
    <row r="10" spans="2:16">
      <c r="B10" s="50" t="s">
        <v>91</v>
      </c>
      <c r="C10" s="50">
        <f>'10A61 5" Calcs'!AD54</f>
        <v>334.43158965435879</v>
      </c>
      <c r="D10" s="50">
        <f t="shared" si="0"/>
        <v>33.443158965435877</v>
      </c>
      <c r="E10" s="74" t="str">
        <f>IF('VA Sizing'!$C$3="Gas",'10A61 5" + 6" Results'!B10,
IF(AND('VA Sizing'!$C$3="Liquid",'10A61 5" Calcs'!Y54&lt;30),CONCATENATE(" ",'10A61 5" + 6" Results'!B10),'10A61 5" + 6" Results'!B10))</f>
        <v>1/4-20-SA</v>
      </c>
    </row>
    <row r="11" spans="2:16">
      <c r="B11" s="50" t="s">
        <v>94</v>
      </c>
      <c r="C11" s="50">
        <f>'10A61 5" Calcs'!AD55</f>
        <v>548.41700118191477</v>
      </c>
      <c r="D11" s="50">
        <f t="shared" si="0"/>
        <v>54.841700118191476</v>
      </c>
      <c r="E11" s="74" t="str">
        <f>IF('VA Sizing'!$C$3="Gas",'10A61 5" + 6" Results'!B11,
IF(AND('VA Sizing'!$C$3="Liquid",'10A61 5" Calcs'!Y55&lt;30),CONCATENATE(" ",'10A61 5" + 6" Results'!B11),'10A61 5" + 6" Results'!B11))</f>
        <v>1/4-20-SS</v>
      </c>
      <c r="H11" s="240" t="s">
        <v>351</v>
      </c>
      <c r="I11" s="240"/>
    </row>
    <row r="12" spans="2:16">
      <c r="B12" s="50" t="s">
        <v>97</v>
      </c>
      <c r="C12" s="50">
        <f>'10A61 5" Calcs'!AD56</f>
        <v>814.75352660187036</v>
      </c>
      <c r="D12" s="50">
        <f t="shared" si="0"/>
        <v>81.475352660187042</v>
      </c>
      <c r="E12" s="74" t="str">
        <f>IF('VA Sizing'!$C$3="Gas",'10A61 5" + 6" Results'!B12,
IF(AND('VA Sizing'!$C$3="Liquid",'10A61 5" Calcs'!Y56&lt;30),CONCATENATE(" ",'10A61 5" + 6" Results'!B12),'10A61 5" + 6" Results'!B12))</f>
        <v>1/4-20-CA</v>
      </c>
      <c r="H12" s="61" t="s">
        <v>58</v>
      </c>
      <c r="I12" s="61" t="s">
        <v>343</v>
      </c>
    </row>
    <row r="13" spans="2:16">
      <c r="B13" s="50" t="s">
        <v>98</v>
      </c>
      <c r="C13" s="50">
        <f>'10A61 5" Calcs'!AD57</f>
        <v>866.73333074624964</v>
      </c>
      <c r="D13" s="50">
        <f t="shared" si="0"/>
        <v>86.673333074624964</v>
      </c>
      <c r="E13" s="74" t="str">
        <f>IF('VA Sizing'!$C$3="Gas",'10A61 5" + 6" Results'!B13,
IF(AND('VA Sizing'!$C$3="Liquid",'10A61 5" Calcs'!Y57&lt;30),CONCATENATE(" ",'10A61 5" + 6" Results'!B13),'10A61 5" + 6" Results'!B13))</f>
        <v>1/4-20-TA</v>
      </c>
      <c r="H13" s="60" t="str">
        <f>IFERROR(H5,"")</f>
        <v>1/4-20-CA</v>
      </c>
      <c r="I13" s="60" t="str">
        <f>IF(H13="","",O5)</f>
        <v>0 - 0.05</v>
      </c>
    </row>
    <row r="14" spans="2:16">
      <c r="B14" s="50" t="s">
        <v>226</v>
      </c>
      <c r="C14" s="50">
        <f>'10A61 5" Calcs'!AD58</f>
        <v>227.93717797315671</v>
      </c>
      <c r="D14" s="50">
        <f t="shared" si="0"/>
        <v>22.793717797315672</v>
      </c>
      <c r="E14" s="74" t="str">
        <f>IF('VA Sizing'!$C$3="Gas",'10A61 5" + 6" Results'!B14,
IF(AND('VA Sizing'!$C$3="Liquid",'10A61 5" Calcs'!Y58&lt;30),CONCATENATE(" ",'10A61 5" + 6" Results'!B14),'10A61 5" + 6" Results'!B14))</f>
        <v>1/4-20-BG</v>
      </c>
      <c r="H14" s="60" t="str">
        <f>IFERROR(H6,"")</f>
        <v>1/4-20-TA</v>
      </c>
      <c r="I14" s="60" t="str">
        <f>IF(H14="","",O6)</f>
        <v>0 - 0.05</v>
      </c>
    </row>
    <row r="15" spans="2:16">
      <c r="B15" s="50" t="s">
        <v>227</v>
      </c>
      <c r="C15" s="50">
        <f>'10A61 5" Calcs'!AD60</f>
        <v>148.47386202329875</v>
      </c>
      <c r="D15" s="50">
        <f t="shared" si="0"/>
        <v>14.847386202329876</v>
      </c>
      <c r="E15" s="74" t="str">
        <f>IF('VA Sizing'!$C$3="Gas",'10A61 5" + 6" Results'!B15,
IF(AND('VA Sizing'!$C$3="Liquid",'10A61 5" Calcs'!Y60&lt;30),CONCATENATE(" ",'10A61 5" + 6" Results'!B15),'10A61 5" + 6" Results'!B15))</f>
        <v>1/4-16-CD</v>
      </c>
      <c r="H15" s="60" t="str">
        <f>IFERROR(IF(H14="","",H7),"")</f>
        <v>1/4-25-CA</v>
      </c>
      <c r="I15" s="60" t="str">
        <f>IF(H15="","",O7)</f>
        <v>0 - 0.06</v>
      </c>
    </row>
    <row r="16" spans="2:16">
      <c r="B16" s="50" t="s">
        <v>228</v>
      </c>
      <c r="C16" s="50">
        <f>'10A61 5" Calcs'!AD61</f>
        <v>247.35074285135798</v>
      </c>
      <c r="D16" s="50">
        <f t="shared" si="0"/>
        <v>24.735074285135799</v>
      </c>
      <c r="E16" s="74" t="str">
        <f>IF('VA Sizing'!$C$3="Gas",'10A61 5" + 6" Results'!B16,
IF(AND('VA Sizing'!$C$3="Liquid",'10A61 5" Calcs'!Y61&lt;30),CONCATENATE(" ",'10A61 5" + 6" Results'!B16),'10A61 5" + 6" Results'!B16))</f>
        <v>1/4-16-SA</v>
      </c>
      <c r="H16" s="60" t="str">
        <f>IFERROR(IF(OR(H14="",H15=""),"",H8),"")</f>
        <v>1/4-25-TA</v>
      </c>
      <c r="I16" s="60" t="str">
        <f>IF(H16="","",O8)</f>
        <v>0 - 0.07</v>
      </c>
    </row>
    <row r="17" spans="2:5">
      <c r="B17" s="50" t="s">
        <v>229</v>
      </c>
      <c r="C17" s="50">
        <f>'10A61 5" Calcs'!AD62</f>
        <v>412.50357384356641</v>
      </c>
      <c r="D17" s="50">
        <f t="shared" si="0"/>
        <v>41.25035738435664</v>
      </c>
      <c r="E17" s="74" t="str">
        <f>IF('VA Sizing'!$C$3="Gas",'10A61 5" + 6" Results'!B17,
IF(AND('VA Sizing'!$C$3="Liquid",'10A61 5" Calcs'!Y62&lt;30),CONCATENATE(" ",'10A61 5" + 6" Results'!B17),'10A61 5" + 6" Results'!B17))</f>
        <v>1/4-16-SS</v>
      </c>
    </row>
    <row r="18" spans="2:5">
      <c r="B18" s="50" t="s">
        <v>230</v>
      </c>
      <c r="C18" s="50">
        <f>'10A61 5" Calcs'!AD63</f>
        <v>620.16604420083354</v>
      </c>
      <c r="D18" s="50">
        <f t="shared" si="0"/>
        <v>62.016604420083354</v>
      </c>
      <c r="E18" s="74" t="str">
        <f>IF('VA Sizing'!$C$3="Gas",'10A61 5" + 6" Results'!B18,
IF(AND('VA Sizing'!$C$3="Liquid",'10A61 5" Calcs'!Y63&lt;30),CONCATENATE(" ",'10A61 5" + 6" Results'!B18),'10A61 5" + 6" Results'!B18))</f>
        <v>1/4-16-CA</v>
      </c>
    </row>
    <row r="19" spans="2:5">
      <c r="B19" s="50" t="s">
        <v>231</v>
      </c>
      <c r="C19" s="50">
        <f>'10A61 5" Calcs'!AD64</f>
        <v>660.88475067424611</v>
      </c>
      <c r="D19" s="50">
        <f t="shared" si="0"/>
        <v>66.088475067424611</v>
      </c>
      <c r="E19" s="74" t="str">
        <f>IF('VA Sizing'!$C$3="Gas",'10A61 5" + 6" Results'!B19,
IF(AND('VA Sizing'!$C$3="Liquid",'10A61 5" Calcs'!Y64&lt;30),CONCATENATE(" ",'10A61 5" + 6" Results'!B19),'10A61 5" + 6" Results'!B19))</f>
        <v>1/4-16-TA</v>
      </c>
    </row>
    <row r="20" spans="2:5">
      <c r="B20" s="50" t="s">
        <v>232</v>
      </c>
      <c r="C20" s="50">
        <f>'10A61 5" Calcs'!AD65</f>
        <v>166.10095374466744</v>
      </c>
      <c r="D20" s="50">
        <f t="shared" si="0"/>
        <v>16.610095374466745</v>
      </c>
      <c r="E20" s="74" t="str">
        <f>IF('VA Sizing'!$C$3="Gas",'10A61 5" + 6" Results'!B20,
IF(AND('VA Sizing'!$C$3="Liquid",'10A61 5" Calcs'!Y65&lt;30),CONCATENATE(" ",'10A61 5" + 6" Results'!B20),'10A61 5" + 6" Results'!B20))</f>
        <v>1/4-16-BG</v>
      </c>
    </row>
    <row r="21" spans="2:5">
      <c r="B21" s="50" t="s">
        <v>233</v>
      </c>
      <c r="C21" s="50">
        <f>'10A61 5" Calcs'!AD67</f>
        <v>77.45814260870695</v>
      </c>
      <c r="D21" s="50">
        <f t="shared" si="0"/>
        <v>7.745814260870695</v>
      </c>
      <c r="E21" s="74" t="str">
        <f>IF('VA Sizing'!$C$3="Gas",'10A61 5" + 6" Results'!B21,
IF(AND('VA Sizing'!$C$3="Liquid",'10A61 5" Calcs'!Y67&lt;30),CONCATENATE(" ",'10A61 5" + 6" Results'!B21),'10A61 5" + 6" Results'!B21))</f>
        <v>1/4-10-CD</v>
      </c>
    </row>
    <row r="22" spans="2:5">
      <c r="B22" s="50" t="s">
        <v>234</v>
      </c>
      <c r="C22" s="50">
        <f>'10A61 5" Calcs'!AD68</f>
        <v>132.67849903901586</v>
      </c>
      <c r="D22" s="50">
        <f t="shared" si="0"/>
        <v>13.267849903901586</v>
      </c>
      <c r="E22" s="74" t="str">
        <f>IF('VA Sizing'!$C$3="Gas",'10A61 5" + 6" Results'!B22,
IF(AND('VA Sizing'!$C$3="Liquid",'10A61 5" Calcs'!Y68&lt;30),CONCATENATE(" ",'10A61 5" + 6" Results'!B22),'10A61 5" + 6" Results'!B22))</f>
        <v>1/4-10-SA</v>
      </c>
    </row>
    <row r="23" spans="2:5">
      <c r="B23" s="50" t="s">
        <v>235</v>
      </c>
      <c r="C23" s="50">
        <f>'10A61 5" Calcs'!AD69</f>
        <v>226.44878558150458</v>
      </c>
      <c r="D23" s="50">
        <f t="shared" si="0"/>
        <v>22.644878558150459</v>
      </c>
      <c r="E23" s="74" t="str">
        <f>IF('VA Sizing'!$C$3="Gas",'10A61 5" + 6" Results'!B23,
IF(AND('VA Sizing'!$C$3="Liquid",'10A61 5" Calcs'!Y69&lt;30),CONCATENATE(" ",'10A61 5" + 6" Results'!B23),'10A61 5" + 6" Results'!B23))</f>
        <v>1/4-10-SS</v>
      </c>
    </row>
    <row r="24" spans="2:5">
      <c r="B24" s="50" t="s">
        <v>236</v>
      </c>
      <c r="C24" s="50">
        <f>'10A61 5" Calcs'!AD70</f>
        <v>345.87362121410655</v>
      </c>
      <c r="D24" s="50">
        <f t="shared" si="0"/>
        <v>34.587362121410656</v>
      </c>
      <c r="E24" s="74" t="str">
        <f>IF('VA Sizing'!$C$3="Gas",'10A61 5" + 6" Results'!B24,
IF(AND('VA Sizing'!$C$3="Liquid",'10A61 5" Calcs'!Y70&lt;30),CONCATENATE(" ",'10A61 5" + 6" Results'!B24),'10A61 5" + 6" Results'!B24))</f>
        <v>1/4-10-CA</v>
      </c>
    </row>
    <row r="25" spans="2:5">
      <c r="B25" s="50" t="s">
        <v>237</v>
      </c>
      <c r="C25" s="50">
        <f>'10A61 5" Calcs'!AD71</f>
        <v>369.42629004769174</v>
      </c>
      <c r="D25" s="50">
        <f t="shared" si="0"/>
        <v>36.942629004769174</v>
      </c>
      <c r="E25" s="74" t="str">
        <f>IF('VA Sizing'!$C$3="Gas",'10A61 5" + 6" Results'!B25,
IF(AND('VA Sizing'!$C$3="Liquid",'10A61 5" Calcs'!Y71&lt;30),CONCATENATE(" ",'10A61 5" + 6" Results'!B25),'10A61 5" + 6" Results'!B25))</f>
        <v>1/4-10-TA</v>
      </c>
    </row>
    <row r="26" spans="2:5">
      <c r="B26" s="50" t="s">
        <v>238</v>
      </c>
      <c r="C26" s="50">
        <f>'10A61 5" Calcs'!AD72</f>
        <v>87.22604174096783</v>
      </c>
      <c r="D26" s="50">
        <f t="shared" si="0"/>
        <v>8.7226041740967837</v>
      </c>
      <c r="E26" s="74" t="str">
        <f>IF('VA Sizing'!$C$3="Gas",'10A61 5" + 6" Results'!B26,
IF(AND('VA Sizing'!$C$3="Liquid",'10A61 5" Calcs'!Y72&lt;30),CONCATENATE(" ",'10A61 5" + 6" Results'!B26),'10A61 5" + 6" Results'!B26))</f>
        <v>1/4-10-BG</v>
      </c>
    </row>
    <row r="27" spans="2:5">
      <c r="B27" s="50" t="s">
        <v>239</v>
      </c>
      <c r="C27" s="50">
        <f>'10A61 5" Calcs'!AD75</f>
        <v>22.286149480865067</v>
      </c>
      <c r="D27" s="50">
        <f t="shared" si="0"/>
        <v>2.2286149480865065</v>
      </c>
      <c r="E27" s="74" t="str">
        <f>IF('VA Sizing'!$C$3="Gas",'10A61 5" + 6" Results'!B27,
IF(AND('VA Sizing'!$C$3="Liquid",'10A61 5" Calcs'!Y75&lt;30),CONCATENATE(" ",'10A61 5" + 6" Results'!B27),'10A61 5" + 6" Results'!B27))</f>
        <v>1/8-12-SA</v>
      </c>
    </row>
    <row r="28" spans="2:5">
      <c r="B28" s="50" t="s">
        <v>240</v>
      </c>
      <c r="C28" s="50">
        <f>'10A61 5" Calcs'!AD76</f>
        <v>39.032996291714468</v>
      </c>
      <c r="D28" s="50">
        <f t="shared" si="0"/>
        <v>3.903299629171447</v>
      </c>
      <c r="E28" s="74" t="str">
        <f>IF('VA Sizing'!$C$3="Gas",'10A61 5" + 6" Results'!B28,
IF(AND('VA Sizing'!$C$3="Liquid",'10A61 5" Calcs'!Y76&lt;30),CONCATENATE(" ",'10A61 5" + 6" Results'!B28),'10A61 5" + 6" Results'!B28))</f>
        <v>1/8-12-SS</v>
      </c>
    </row>
    <row r="29" spans="2:5">
      <c r="B29" s="50" t="s">
        <v>241</v>
      </c>
      <c r="C29" s="50">
        <f>'10A61 5" Calcs'!AD77</f>
        <v>60.637337350011038</v>
      </c>
      <c r="D29" s="50">
        <f t="shared" si="0"/>
        <v>6.0637337350011036</v>
      </c>
      <c r="E29" s="74" t="str">
        <f>IF('VA Sizing'!$C$3="Gas",'10A61 5" + 6" Results'!B29,
IF(AND('VA Sizing'!$C$3="Liquid",'10A61 5" Calcs'!Y77&lt;30),CONCATENATE(" ",'10A61 5" + 6" Results'!B29),'10A61 5" + 6" Results'!B29))</f>
        <v>1/8-12-CA</v>
      </c>
    </row>
    <row r="30" spans="2:5">
      <c r="B30" s="50" t="s">
        <v>242</v>
      </c>
      <c r="C30" s="50">
        <f>'10A61 5" Calcs'!AD78</f>
        <v>64.922420478049133</v>
      </c>
      <c r="D30" s="50">
        <f t="shared" si="0"/>
        <v>6.492242047804913</v>
      </c>
      <c r="E30" s="74" t="str">
        <f>IF('VA Sizing'!$C$3="Gas",'10A61 5" + 6" Results'!B30,
IF(AND('VA Sizing'!$C$3="Liquid",'10A61 5" Calcs'!Y78&lt;30),CONCATENATE(" ",'10A61 5" + 6" Results'!B30),'10A61 5" + 6" Results'!B30))</f>
        <v>1/8-12-TA</v>
      </c>
    </row>
    <row r="31" spans="2:5">
      <c r="B31" s="50" t="s">
        <v>243</v>
      </c>
      <c r="C31" s="50">
        <f>'10A61 5" Calcs'!AD79</f>
        <v>14.291976301373513</v>
      </c>
      <c r="D31" s="50">
        <f t="shared" si="0"/>
        <v>1.4291976301373512</v>
      </c>
      <c r="E31" s="74" t="str">
        <f>IF('VA Sizing'!$C$3="Gas",'10A61 5" + 6" Results'!B31,
IF(AND('VA Sizing'!$C$3="Liquid",'10A61 5" Calcs'!Y79&lt;30),CONCATENATE(" ",'10A61 5" + 6" Results'!B31),'10A61 5" + 6" Results'!B31))</f>
        <v>1/8-12-BG</v>
      </c>
    </row>
    <row r="32" spans="2:5">
      <c r="B32" s="50" t="s">
        <v>78</v>
      </c>
      <c r="C32" s="50">
        <f>'10A61 5" Calcs'!AD82</f>
        <v>10.540209224018097</v>
      </c>
      <c r="D32" s="50">
        <f t="shared" si="0"/>
        <v>1.0540209224018098</v>
      </c>
      <c r="E32" s="74" t="str">
        <f>IF('VA Sizing'!$C$3="Gas",'10A61 5" + 6" Results'!B32,
IF(AND('VA Sizing'!$C$3="Liquid",'10A61 5" Calcs'!Y82&lt;30),CONCATENATE(" ",'10A61 5" + 6" Results'!B32),'10A61 5" + 6" Results'!B32))</f>
        <v>1/8-08-SA</v>
      </c>
    </row>
    <row r="33" spans="2:5">
      <c r="B33" s="50" t="s">
        <v>79</v>
      </c>
      <c r="C33" s="50">
        <f>'10A61 5" Calcs'!AD83</f>
        <v>21.276181314236279</v>
      </c>
      <c r="D33" s="50">
        <f t="shared" si="0"/>
        <v>2.127618131423628</v>
      </c>
      <c r="E33" s="74" t="str">
        <f>IF('VA Sizing'!$C$3="Gas",'10A61 5" + 6" Results'!B33,
IF(AND('VA Sizing'!$C$3="Liquid",'10A61 5" Calcs'!Y83&lt;30),CONCATENATE(" ",'10A61 5" + 6" Results'!B33),'10A61 5" + 6" Results'!B33))</f>
        <v>1/8-08-SS</v>
      </c>
    </row>
    <row r="34" spans="2:5">
      <c r="B34" s="50" t="s">
        <v>82</v>
      </c>
      <c r="C34" s="50">
        <f>'10A61 5" Calcs'!AD84</f>
        <v>33.707707969611988</v>
      </c>
      <c r="D34" s="50">
        <f t="shared" si="0"/>
        <v>3.3707707969611986</v>
      </c>
      <c r="E34" s="74" t="str">
        <f>IF('VA Sizing'!$C$3="Gas",'10A61 5" + 6" Results'!B34,
IF(AND('VA Sizing'!$C$3="Liquid",'10A61 5" Calcs'!Y84&lt;30),CONCATENATE(" ",'10A61 5" + 6" Results'!B34),'10A61 5" + 6" Results'!B34))</f>
        <v>1/8-08-CA</v>
      </c>
    </row>
    <row r="35" spans="2:5">
      <c r="B35" s="50" t="s">
        <v>83</v>
      </c>
      <c r="C35" s="50">
        <f>'10A61 5" Calcs'!AD85</f>
        <v>36.188330309097509</v>
      </c>
      <c r="D35" s="50">
        <f t="shared" si="0"/>
        <v>3.6188330309097507</v>
      </c>
      <c r="E35" s="74" t="str">
        <f>IF('VA Sizing'!$C$3="Gas",'10A61 5" + 6" Results'!B35,
IF(AND('VA Sizing'!$C$3="Liquid",'10A61 5" Calcs'!Y85&lt;30),CONCATENATE(" ",'10A61 5" + 6" Results'!B35),'10A61 5" + 6" Results'!B35))</f>
        <v>1/8-08-TA</v>
      </c>
    </row>
    <row r="36" spans="2:5">
      <c r="B36" s="50" t="s">
        <v>75</v>
      </c>
      <c r="C36" s="50">
        <f>'10A61 5" Calcs'!AD86</f>
        <v>5.9091899198431976</v>
      </c>
      <c r="D36" s="50">
        <f t="shared" si="0"/>
        <v>0.59091899198431974</v>
      </c>
      <c r="E36" s="74" t="str">
        <f>IF('VA Sizing'!$C$3="Gas",'10A61 5" + 6" Results'!B36,
IF(AND('VA Sizing'!$C$3="Liquid",'10A61 5" Calcs'!Y86&lt;30),CONCATENATE(" ",'10A61 5" + 6" Results'!B36),'10A61 5" + 6" Results'!B36))</f>
        <v>1/8-08-BG</v>
      </c>
    </row>
    <row r="37" spans="2:5">
      <c r="B37" s="64" t="s">
        <v>244</v>
      </c>
      <c r="C37" s="50">
        <f>'10A61 5" Calcs'!AD89</f>
        <v>1.854667812103888</v>
      </c>
      <c r="D37" s="50">
        <f t="shared" si="0"/>
        <v>0.18546678121038879</v>
      </c>
      <c r="E37" s="74" t="str">
        <f>IF('VA Sizing'!$C$3="Gas",'10A61 5" + 6" Results'!B37,
IF(AND('VA Sizing'!$C$3="Liquid",'10A61 5" Calcs'!Y89&lt;30),CONCATENATE(" ",'10A61 5" + 6" Results'!B37),'10A61 5" + 6" Results'!B37))</f>
        <v>1/16-12-SA</v>
      </c>
    </row>
    <row r="38" spans="2:5">
      <c r="B38" s="64" t="s">
        <v>245</v>
      </c>
      <c r="C38" s="50">
        <f>'10A61 5" Calcs'!AD90</f>
        <v>4.1206904003941398</v>
      </c>
      <c r="D38" s="50">
        <f t="shared" si="0"/>
        <v>0.41206904003941397</v>
      </c>
      <c r="E38" s="74" t="str">
        <f>IF('VA Sizing'!$C$3="Gas",'10A61 5" + 6" Results'!B38,
IF(AND('VA Sizing'!$C$3="Liquid",'10A61 5" Calcs'!Y90&lt;30),CONCATENATE(" ",'10A61 5" + 6" Results'!B38),'10A61 5" + 6" Results'!B38))</f>
        <v>1/16-12-SS</v>
      </c>
    </row>
    <row r="39" spans="2:5">
      <c r="B39" s="64" t="s">
        <v>246</v>
      </c>
      <c r="C39" s="50">
        <f>'10A61 5" Calcs'!AD91</f>
        <v>7.5724919436264342</v>
      </c>
      <c r="D39" s="50">
        <f t="shared" si="0"/>
        <v>0.75724919436264337</v>
      </c>
      <c r="E39" s="74" t="str">
        <f>IF('VA Sizing'!$C$3="Gas",'10A61 5" + 6" Results'!B39,
IF(AND('VA Sizing'!$C$3="Liquid",'10A61 5" Calcs'!Y91&lt;30),CONCATENATE(" ",'10A61 5" + 6" Results'!B39),'10A61 5" + 6" Results'!B39))</f>
        <v>1/16-12-CA</v>
      </c>
    </row>
    <row r="40" spans="2:5">
      <c r="B40" s="64" t="s">
        <v>247</v>
      </c>
      <c r="C40" s="50">
        <f>'10A61 5" Calcs'!AD92</f>
        <v>8.2971287858319673</v>
      </c>
      <c r="D40" s="50">
        <f t="shared" si="0"/>
        <v>0.82971287858319676</v>
      </c>
      <c r="E40" s="74" t="str">
        <f>IF('VA Sizing'!$C$3="Gas",'10A61 5" + 6" Results'!B40,
IF(AND('VA Sizing'!$C$3="Liquid",'10A61 5" Calcs'!Y92&lt;30),CONCATENATE(" ",'10A61 5" + 6" Results'!B40),'10A61 5" + 6" Results'!B40))</f>
        <v>1/16-12-TA</v>
      </c>
    </row>
    <row r="41" spans="2:5">
      <c r="B41" s="64" t="s">
        <v>248</v>
      </c>
      <c r="C41" s="50">
        <f>'10A61 5" Calcs'!AD93</f>
        <v>0.98164190010940477</v>
      </c>
      <c r="D41" s="50">
        <f t="shared" si="0"/>
        <v>9.8164190010940483E-2</v>
      </c>
      <c r="E41" s="74" t="str">
        <f>IF('VA Sizing'!$C$3="Gas",'10A61 5" + 6" Results'!B41,
IF(AND('VA Sizing'!$C$3="Liquid",'10A61 5" Calcs'!Y93&lt;30),CONCATENATE(" ",'10A61 5" + 6" Results'!B41),'10A61 5" + 6" Results'!B41))</f>
        <v>1/16-12-BG</v>
      </c>
    </row>
    <row r="42" spans="2:5">
      <c r="B42" s="64" t="s">
        <v>249</v>
      </c>
      <c r="C42" s="50">
        <f>'10A61 5" Calcs'!AD96</f>
        <v>3.1546182985262772</v>
      </c>
      <c r="D42" s="50">
        <f t="shared" si="0"/>
        <v>0.31546182985262772</v>
      </c>
      <c r="E42" s="74" t="str">
        <f>IF('VA Sizing'!$C$3="Gas",'10A61 5" + 6" Results'!B42,
IF(AND('VA Sizing'!$C$3="Liquid",'10A61 5" Calcs'!Y96&lt;30),CONCATENATE(" ",'10A61 5" + 6" Results'!B42),'10A61 5" + 6" Results'!B42))</f>
        <v>1/16-16-SA</v>
      </c>
    </row>
    <row r="43" spans="2:5">
      <c r="B43" s="64" t="s">
        <v>250</v>
      </c>
      <c r="C43" s="50">
        <f>'10A61 5" Calcs'!AD97</f>
        <v>6.9065666036889137</v>
      </c>
      <c r="D43" s="50">
        <f t="shared" si="0"/>
        <v>0.6906566603688914</v>
      </c>
      <c r="E43" s="74" t="str">
        <f>IF('VA Sizing'!$C$3="Gas",'10A61 5" + 6" Results'!B43,
IF(AND('VA Sizing'!$C$3="Liquid",'10A61 5" Calcs'!Y97&lt;30),CONCATENATE(" ",'10A61 5" + 6" Results'!B43),'10A61 5" + 6" Results'!B43))</f>
        <v>1/16-16-SS</v>
      </c>
    </row>
    <row r="44" spans="2:5">
      <c r="B44" s="64" t="s">
        <v>251</v>
      </c>
      <c r="C44" s="50">
        <f>'10A61 5" Calcs'!AD98</f>
        <v>12.411983743981107</v>
      </c>
      <c r="D44" s="50">
        <f t="shared" si="0"/>
        <v>1.2411983743981108</v>
      </c>
      <c r="E44" s="74" t="str">
        <f>IF('VA Sizing'!$C$3="Gas",'10A61 5" + 6" Results'!B44,
IF(AND('VA Sizing'!$C$3="Liquid",'10A61 5" Calcs'!Y98&lt;30),CONCATENATE(" ",'10A61 5" + 6" Results'!B44),'10A61 5" + 6" Results'!B44))</f>
        <v>1/16-16-CA</v>
      </c>
    </row>
    <row r="45" spans="2:5">
      <c r="B45" s="64" t="s">
        <v>252</v>
      </c>
      <c r="C45" s="50">
        <f>'10A61 5" Calcs'!AD99</f>
        <v>13.533626512649448</v>
      </c>
      <c r="D45" s="50">
        <f t="shared" si="0"/>
        <v>1.3533626512649448</v>
      </c>
      <c r="E45" s="74" t="str">
        <f>IF('VA Sizing'!$C$3="Gas",'10A61 5" + 6" Results'!B45,
IF(AND('VA Sizing'!$C$3="Liquid",'10A61 5" Calcs'!Y99&lt;30),CONCATENATE(" ",'10A61 5" + 6" Results'!B45),'10A61 5" + 6" Results'!B45))</f>
        <v>1/16-16-TA</v>
      </c>
    </row>
    <row r="46" spans="2:5">
      <c r="B46" s="64" t="s">
        <v>253</v>
      </c>
      <c r="C46" s="50">
        <f>'10A61 5" Calcs'!AD100</f>
        <v>1.6791850564104349</v>
      </c>
      <c r="D46" s="50">
        <f t="shared" si="0"/>
        <v>0.16791850564104349</v>
      </c>
      <c r="E46" s="74" t="str">
        <f>IF('VA Sizing'!$C$3="Gas",'10A61 5" + 6" Results'!B46,
IF(AND('VA Sizing'!$C$3="Liquid",'10A61 5" Calcs'!Y100&lt;30),CONCATENATE(" ",'10A61 5" + 6" Results'!B46),'10A61 5" + 6" Results'!B46))</f>
        <v>1/16-16-BG</v>
      </c>
    </row>
    <row r="47" spans="2:5">
      <c r="B47" s="64" t="s">
        <v>254</v>
      </c>
      <c r="C47" s="50">
        <f>'10A61 5" Calcs'!AD103</f>
        <v>4.8217572167454827</v>
      </c>
      <c r="D47" s="50">
        <f t="shared" si="0"/>
        <v>0.48217572167454825</v>
      </c>
      <c r="E47" s="74" t="str">
        <f>IF('VA Sizing'!$C$3="Gas",'10A61 5" + 6" Results'!B47,
IF(AND('VA Sizing'!$C$3="Liquid",'10A61 5" Calcs'!Y103&lt;30),CONCATENATE(" ",'10A61 5" + 6" Results'!B47),'10A61 5" + 6" Results'!B47))</f>
        <v>1/16-20-SA</v>
      </c>
    </row>
    <row r="48" spans="2:5">
      <c r="B48" s="64" t="s">
        <v>255</v>
      </c>
      <c r="C48" s="50">
        <f>'10A61 5" Calcs'!AD104</f>
        <v>10.359112844299908</v>
      </c>
      <c r="D48" s="50">
        <f t="shared" si="0"/>
        <v>1.0359112844299907</v>
      </c>
      <c r="E48" s="74" t="str">
        <f>IF('VA Sizing'!$C$3="Gas",'10A61 5" + 6" Results'!B48,
IF(AND('VA Sizing'!$C$3="Liquid",'10A61 5" Calcs'!Y104&lt;30),CONCATENATE(" ",'10A61 5" + 6" Results'!B48),'10A61 5" + 6" Results'!B48))</f>
        <v>1/16-20-SS</v>
      </c>
    </row>
    <row r="49" spans="2:5">
      <c r="B49" s="64" t="s">
        <v>256</v>
      </c>
      <c r="C49" s="50">
        <f>'10A61 5" Calcs'!AD105</f>
        <v>18.330774128789326</v>
      </c>
      <c r="D49" s="50">
        <f t="shared" si="0"/>
        <v>1.8330774128789327</v>
      </c>
      <c r="E49" s="74" t="str">
        <f>IF('VA Sizing'!$C$3="Gas",'10A61 5" + 6" Results'!B49,
IF(AND('VA Sizing'!$C$3="Liquid",'10A61 5" Calcs'!Y105&lt;30),CONCATENATE(" ",'10A61 5" + 6" Results'!B49),'10A61 5" + 6" Results'!B49))</f>
        <v>1/16-20-CA</v>
      </c>
    </row>
    <row r="50" spans="2:5">
      <c r="B50" s="64" t="s">
        <v>257</v>
      </c>
      <c r="C50" s="50">
        <f>'10A61 5" Calcs'!AD106</f>
        <v>19.597790886172689</v>
      </c>
      <c r="D50" s="50">
        <f t="shared" si="0"/>
        <v>1.9597790886172688</v>
      </c>
      <c r="E50" s="74" t="str">
        <f>IF('VA Sizing'!$C$3="Gas",'10A61 5" + 6" Results'!B50,
IF(AND('VA Sizing'!$C$3="Liquid",'10A61 5" Calcs'!Y106&lt;30),CONCATENATE(" ",'10A61 5" + 6" Results'!B50),'10A61 5" + 6" Results'!B50))</f>
        <v>1/16-20-TA</v>
      </c>
    </row>
    <row r="51" spans="2:5">
      <c r="B51" s="64" t="s">
        <v>258</v>
      </c>
      <c r="C51" s="50">
        <f>'10A61 5" Calcs'!AD107</f>
        <v>2.58536585191416</v>
      </c>
      <c r="D51" s="50">
        <f t="shared" si="0"/>
        <v>0.25853658519141598</v>
      </c>
      <c r="E51" s="74" t="str">
        <f>IF('VA Sizing'!$C$3="Gas",'10A61 5" + 6" Results'!B51,
IF(AND('VA Sizing'!$C$3="Liquid",'10A61 5" Calcs'!Y107&lt;30),CONCATENATE(" ",'10A61 5" + 6" Results'!B51),'10A61 5" + 6" Results'!B51))</f>
        <v>1/16-20-BG</v>
      </c>
    </row>
    <row r="52" spans="2:5">
      <c r="B52" s="50" t="s">
        <v>203</v>
      </c>
      <c r="C52" s="50">
        <f>'10A61 5" Calcs'!AP47</f>
        <v>66.739351799670231</v>
      </c>
      <c r="D52" s="50">
        <f t="shared" si="0"/>
        <v>6.6739351799670228</v>
      </c>
      <c r="E52" s="74" t="str">
        <f>IF('VA Sizing'!$C$3="Gas",'10A61 5" + 6" Results'!B52,
IF(AND('VA Sizing'!$C$3="Liquid",'10A61 5" Calcs'!AK47&lt;30),CONCATENATE(" ",'10A61 5" + 6" Results'!B52),'10A61 5" + 6" Results'!B52))</f>
        <v>1/8-25-SA</v>
      </c>
    </row>
    <row r="53" spans="2:5">
      <c r="B53" s="50" t="s">
        <v>204</v>
      </c>
      <c r="C53" s="50">
        <f>'10A61 5" Calcs'!AP48</f>
        <v>110.54604033879055</v>
      </c>
      <c r="D53" s="50">
        <f t="shared" ref="D53:D72" si="3">C53/10</f>
        <v>11.054604033879055</v>
      </c>
      <c r="E53" s="74" t="str">
        <f>IF('VA Sizing'!$C$3="Gas",'10A61 5" + 6" Results'!B53,
IF(AND('VA Sizing'!$C$3="Liquid",'10A61 5" Calcs'!AK48&lt;30),CONCATENATE(" ",'10A61 5" + 6" Results'!B53),'10A61 5" + 6" Results'!B53))</f>
        <v>1/8-25-SS</v>
      </c>
    </row>
    <row r="54" spans="2:5">
      <c r="B54" s="50" t="s">
        <v>205</v>
      </c>
      <c r="C54" s="50">
        <f>'10A61 5" Calcs'!AP49</f>
        <v>163.46424760378716</v>
      </c>
      <c r="D54" s="50">
        <f t="shared" si="3"/>
        <v>16.346424760378717</v>
      </c>
      <c r="E54" s="74" t="str">
        <f>IF('VA Sizing'!$C$3="Gas",'10A61 5" + 6" Results'!B54,
IF(AND('VA Sizing'!$C$3="Liquid",'10A61 5" Calcs'!AK49&lt;30),CONCATENATE(" ",'10A61 5" + 6" Results'!B54),'10A61 5" + 6" Results'!B54))</f>
        <v>1/8-25-CA</v>
      </c>
    </row>
    <row r="55" spans="2:5">
      <c r="B55" s="50" t="s">
        <v>206</v>
      </c>
      <c r="C55" s="50">
        <f>'10A61 5" Calcs'!AP50</f>
        <v>173.77216507476652</v>
      </c>
      <c r="D55" s="50">
        <f t="shared" si="3"/>
        <v>17.377216507476653</v>
      </c>
      <c r="E55" s="74" t="str">
        <f>IF('VA Sizing'!$C$3="Gas",'10A61 5" + 6" Results'!B55,
IF(AND('VA Sizing'!$C$3="Liquid",'10A61 5" Calcs'!AK50&lt;30),CONCATENATE(" ",'10A61 5" + 6" Results'!B55),'10A61 5" + 6" Results'!B55))</f>
        <v>1/8-25-TA</v>
      </c>
    </row>
    <row r="56" spans="2:5">
      <c r="B56" s="50" t="s">
        <v>207</v>
      </c>
      <c r="C56" s="50">
        <f>'10A61 5" Calcs'!AP51</f>
        <v>43.729371174726758</v>
      </c>
      <c r="D56" s="50">
        <f t="shared" si="3"/>
        <v>4.3729371174726754</v>
      </c>
      <c r="E56" s="74" t="str">
        <f>IF('VA Sizing'!$C$3="Gas",'10A61 5" + 6" Results'!B56,
IF(AND('VA Sizing'!$C$3="Liquid",'10A61 5" Calcs'!AK51&lt;30),CONCATENATE(" ",'10A61 5" + 6" Results'!B56),'10A61 5" + 6" Results'!B56))</f>
        <v>1/8-25-BG</v>
      </c>
    </row>
    <row r="57" spans="2:5">
      <c r="B57" s="50" t="s">
        <v>84</v>
      </c>
      <c r="C57" s="50">
        <f>'10A61 5" Calcs'!AP54</f>
        <v>49.188768707643014</v>
      </c>
      <c r="D57" s="50">
        <f t="shared" si="3"/>
        <v>4.9188768707643016</v>
      </c>
      <c r="E57" s="74" t="str">
        <f>IF('VA Sizing'!$C$3="Gas",'10A61 5" + 6" Results'!B57,
IF(AND('VA Sizing'!$C$3="Liquid",'10A61 5" Calcs'!AK54&lt;30),CONCATENATE(" ",'10A61 5" + 6" Results'!B57),'10A61 5" + 6" Results'!B57))</f>
        <v>1/8-20-SA</v>
      </c>
    </row>
    <row r="58" spans="2:5">
      <c r="B58" s="50" t="s">
        <v>85</v>
      </c>
      <c r="C58" s="50">
        <f>'10A61 5" Calcs'!AP55</f>
        <v>81.726183334333783</v>
      </c>
      <c r="D58" s="50">
        <f t="shared" si="3"/>
        <v>8.1726183334333786</v>
      </c>
      <c r="E58" s="74" t="str">
        <f>IF('VA Sizing'!$C$3="Gas",'10A61 5" + 6" Results'!B58,
IF(AND('VA Sizing'!$C$3="Liquid",'10A61 5" Calcs'!AK55&lt;30),CONCATENATE(" ",'10A61 5" + 6" Results'!B58),'10A61 5" + 6" Results'!B58))</f>
        <v>1/8-20-SS</v>
      </c>
    </row>
    <row r="59" spans="2:5">
      <c r="B59" s="50" t="s">
        <v>86</v>
      </c>
      <c r="C59" s="50">
        <f>'10A61 5" Calcs'!AP56</f>
        <v>122.54914590761311</v>
      </c>
      <c r="D59" s="50">
        <f t="shared" si="3"/>
        <v>12.254914590761311</v>
      </c>
      <c r="E59" s="74" t="str">
        <f>IF('VA Sizing'!$C$3="Gas",'10A61 5" + 6" Results'!B59,
IF(AND('VA Sizing'!$C$3="Liquid",'10A61 5" Calcs'!AK56&lt;30),CONCATENATE(" ",'10A61 5" + 6" Results'!B59),'10A61 5" + 6" Results'!B59))</f>
        <v>1/8-20-CA</v>
      </c>
    </row>
    <row r="60" spans="2:5">
      <c r="B60" s="50" t="s">
        <v>87</v>
      </c>
      <c r="C60" s="50">
        <f>'10A61 5" Calcs'!AP57</f>
        <v>130.54576787140556</v>
      </c>
      <c r="D60" s="50">
        <f t="shared" si="3"/>
        <v>13.054576787140556</v>
      </c>
      <c r="E60" s="74" t="str">
        <f>IF('VA Sizing'!$C$3="Gas",'10A61 5" + 6" Results'!B60,
IF(AND('VA Sizing'!$C$3="Liquid",'10A61 5" Calcs'!AK57&lt;30),CONCATENATE(" ",'10A61 5" + 6" Results'!B60),'10A61 5" + 6" Results'!B60))</f>
        <v>1/8-20-TA</v>
      </c>
    </row>
    <row r="61" spans="2:5">
      <c r="B61" s="50" t="s">
        <v>81</v>
      </c>
      <c r="C61" s="50">
        <f>'10A61 5" Calcs'!AP58</f>
        <v>31.581915291593891</v>
      </c>
      <c r="D61" s="50">
        <f t="shared" si="3"/>
        <v>3.1581915291593892</v>
      </c>
      <c r="E61" s="74" t="str">
        <f>IF('VA Sizing'!$C$3="Gas",'10A61 5" + 6" Results'!B61,
IF(AND('VA Sizing'!$C$3="Liquid",'10A61 5" Calcs'!AK58&lt;30),CONCATENATE(" ",'10A61 5" + 6" Results'!B61),'10A61 5" + 6" Results'!B61))</f>
        <v>1/8-20-BG</v>
      </c>
    </row>
    <row r="62" spans="2:5">
      <c r="B62" s="50" t="s">
        <v>210</v>
      </c>
      <c r="C62" s="50">
        <f>'10A61 5" Calcs'!AP61</f>
        <v>34.44895025588432</v>
      </c>
      <c r="D62" s="50">
        <f t="shared" si="3"/>
        <v>3.4448950255884321</v>
      </c>
      <c r="E62" s="74" t="str">
        <f>IF('VA Sizing'!$C$3="Gas",'10A61 5" + 6" Results'!B62,
IF(AND('VA Sizing'!$C$3="Liquid",'10A61 5" Calcs'!AK61&lt;30),CONCATENATE(" ",'10A61 5" + 6" Results'!B62),'10A61 5" + 6" Results'!B62))</f>
        <v>1/8-16-SA</v>
      </c>
    </row>
    <row r="63" spans="2:5">
      <c r="B63" s="50" t="s">
        <v>211</v>
      </c>
      <c r="C63" s="50">
        <f>'10A61 5" Calcs'!AP62</f>
        <v>58.702305648285346</v>
      </c>
      <c r="D63" s="50">
        <f t="shared" si="3"/>
        <v>5.8702305648285344</v>
      </c>
      <c r="E63" s="74" t="str">
        <f>IF('VA Sizing'!$C$3="Gas",'10A61 5" + 6" Results'!B63,
IF(AND('VA Sizing'!$C$3="Liquid",'10A61 5" Calcs'!AK62&lt;30),CONCATENATE(" ",'10A61 5" + 6" Results'!B63),'10A61 5" + 6" Results'!B63))</f>
        <v>1/8-16-SS</v>
      </c>
    </row>
    <row r="64" spans="2:5">
      <c r="B64" s="50" t="s">
        <v>212</v>
      </c>
      <c r="C64" s="50">
        <f>'10A61 5" Calcs'!AP63</f>
        <v>89.565273182242592</v>
      </c>
      <c r="D64" s="50">
        <f t="shared" si="3"/>
        <v>8.9565273182242588</v>
      </c>
      <c r="E64" s="74" t="str">
        <f>IF('VA Sizing'!$C$3="Gas",'10A61 5" + 6" Results'!B64,
IF(AND('VA Sizing'!$C$3="Liquid",'10A61 5" Calcs'!AK63&lt;30),CONCATENATE(" ",'10A61 5" + 6" Results'!B64),'10A61 5" + 6" Results'!B64))</f>
        <v>1/8-16-CA</v>
      </c>
    </row>
    <row r="65" spans="2:7">
      <c r="B65" s="50" t="s">
        <v>213</v>
      </c>
      <c r="C65" s="50">
        <f>'10A61 5" Calcs'!AP64</f>
        <v>95.649710292951596</v>
      </c>
      <c r="D65" s="50">
        <f t="shared" si="3"/>
        <v>9.56497102929516</v>
      </c>
      <c r="E65" s="74" t="str">
        <f>IF('VA Sizing'!$C$3="Gas",'10A61 5" + 6" Results'!B65,
IF(AND('VA Sizing'!$C$3="Liquid",'10A61 5" Calcs'!AK64&lt;30),CONCATENATE(" ",'10A61 5" + 6" Results'!B65),'10A61 5" + 6" Results'!B65))</f>
        <v>1/8-16-TA</v>
      </c>
    </row>
    <row r="66" spans="2:7">
      <c r="B66" s="50" t="s">
        <v>214</v>
      </c>
      <c r="C66" s="50">
        <f>'10A61 5" Calcs'!AP65</f>
        <v>22.681266315760325</v>
      </c>
      <c r="D66" s="50">
        <f t="shared" si="3"/>
        <v>2.2681266315760324</v>
      </c>
      <c r="E66" s="74" t="str">
        <f>IF('VA Sizing'!$C$3="Gas",'10A61 5" + 6" Results'!B66,
IF(AND('VA Sizing'!$C$3="Liquid",'10A61 5" Calcs'!AK65&lt;30),CONCATENATE(" ",'10A61 5" + 6" Results'!B66),'10A61 5" + 6" Results'!B66))</f>
        <v>1/8-16-BG</v>
      </c>
    </row>
    <row r="67" spans="2:7">
      <c r="B67" s="60" t="s">
        <v>301</v>
      </c>
      <c r="C67" s="60">
        <f>'10A61 10"+6" Calcs'!T38</f>
        <v>584.51977200265299</v>
      </c>
      <c r="D67" s="60">
        <f t="shared" si="3"/>
        <v>58.451977200265297</v>
      </c>
      <c r="E67" s="74" t="str">
        <f>IF('VA Sizing'!$C$3="Gas",'10A61 5" + 6" Results'!B67,
IF(AND('VA Sizing'!$C$3="Liquid",'10A61 10"+6" Calcs'!$L$8&gt;60),CONCATENATE(" ",'10A61 5" + 6" Results'!B67),'10A61 5" + 6" Results'!B67))</f>
        <v>1/4-40-G-6-BG</v>
      </c>
    </row>
    <row r="68" spans="2:7">
      <c r="B68" s="60" t="s">
        <v>302</v>
      </c>
      <c r="C68" s="60">
        <f>'10A61 10"+6" Calcs'!T39</f>
        <v>851.94885216100147</v>
      </c>
      <c r="D68" s="60">
        <f t="shared" si="3"/>
        <v>85.194885216100147</v>
      </c>
      <c r="E68" s="74" t="str">
        <f>IF('VA Sizing'!$C$3="Gas",'10A61 5" + 6" Results'!B68,
IF(AND('VA Sizing'!$C$3="Liquid",'10A61 10"+6" Calcs'!$L$8&gt;60),CONCATENATE(" ",'10A61 5" + 6" Results'!B68),'10A61 5" + 6" Results'!B68))</f>
        <v>1/4-40-G-6-SA</v>
      </c>
    </row>
    <row r="69" spans="2:7">
      <c r="B69" s="60" t="s">
        <v>303</v>
      </c>
      <c r="C69" s="60">
        <f>'10A61 10"+6" Calcs'!T40</f>
        <v>1367.5097634425938</v>
      </c>
      <c r="D69" s="60">
        <f t="shared" si="3"/>
        <v>136.75097634425939</v>
      </c>
      <c r="E69" s="74" t="str">
        <f>IF('VA Sizing'!$C$3="Gas",'10A61 5" + 6" Results'!B69,
IF(AND('VA Sizing'!$C$3="Liquid",'10A61 10"+6" Calcs'!$L$8&gt;60),CONCATENATE(" ",'10A61 5" + 6" Results'!B69),'10A61 5" + 6" Results'!B69))</f>
        <v>1/4-40-G-6-SS</v>
      </c>
    </row>
    <row r="70" spans="2:7">
      <c r="B70" s="60" t="s">
        <v>304</v>
      </c>
      <c r="C70" s="60">
        <f>'10A61 10"+6" Calcs'!T41</f>
        <v>1981.4364981126805</v>
      </c>
      <c r="D70" s="60">
        <f t="shared" si="3"/>
        <v>198.14364981126806</v>
      </c>
      <c r="E70" s="74" t="str">
        <f>IF('VA Sizing'!$C$3="Gas",'10A61 5" + 6" Results'!B70,
IF(AND('VA Sizing'!$C$3="Liquid",'10A61 10"+6" Calcs'!$L$8&gt;60),CONCATENATE(" ",'10A61 5" + 6" Results'!B70),'10A61 5" + 6" Results'!B70))</f>
        <v>1/4-40-G-6-CA</v>
      </c>
    </row>
    <row r="71" spans="2:7">
      <c r="B71" s="60" t="s">
        <v>305</v>
      </c>
      <c r="C71" s="60">
        <f>'10A61 10"+6" Calcs'!T42</f>
        <v>2098.6026329148735</v>
      </c>
      <c r="D71" s="60">
        <f t="shared" si="3"/>
        <v>209.86026329148734</v>
      </c>
      <c r="E71" s="74" t="str">
        <f>IF('VA Sizing'!$C$3="Gas",'10A61 5" + 6" Results'!B71,
IF(AND('VA Sizing'!$C$3="Liquid",'10A61 10"+6" Calcs'!$L$8&gt;60),CONCATENATE(" ",'10A61 5" + 6" Results'!B71),'10A61 5" + 6" Results'!B71))</f>
        <v>1/4-40-G-6-TA</v>
      </c>
    </row>
    <row r="72" spans="2:7">
      <c r="B72" s="149" t="s">
        <v>911</v>
      </c>
      <c r="C72" s="1">
        <f>'10A61 10"+6" Calcs'!T43</f>
        <v>524.87310836099834</v>
      </c>
      <c r="D72" s="149">
        <f t="shared" si="3"/>
        <v>52.487310836099837</v>
      </c>
      <c r="E72" s="149" t="str">
        <f>IF('VA Sizing'!$C$3="Gas",'10A61 5'!B72,
IF(AND('VA Sizing'!$C$3="Liquid",'10A61 10"+6" Calcs'!$L$8&gt;60),CONCATENATE(" ",'10A61 5'!B72),'10A61 5'!B72))</f>
        <v>1/4-40-G-6-CD</v>
      </c>
      <c r="F72">
        <f>C72*VLOOKUP('VA Sizing'!$D$12,'Modified Inputs'!$I$8:$J$32,2,FALSE)</f>
        <v>3.1492386501659898E-2</v>
      </c>
      <c r="G72">
        <f t="shared" ref="G72" si="4">IF(F72&lt;0.99999,ROUND(F72,2),
IF(F72&lt;9.999,ROUND(F72,2),
IF(F72&lt;99.99,ROUND(F72,1),
IF(F72&lt;999.99,ROUND(F72,0),
IF(F72&lt;9999.99,ROUND(F72,-1),
IF(F72&lt;99999,ROUND(F72,-2),ROUND(F72,2)))))))</f>
        <v>0.03</v>
      </c>
    </row>
  </sheetData>
  <mergeCells count="1">
    <mergeCell ref="H11:I11"/>
  </mergeCells>
  <conditionalFormatting sqref="H13">
    <cfRule type="expression" dxfId="26" priority="4">
      <formula>LEFT($H$13,1)=" "</formula>
    </cfRule>
  </conditionalFormatting>
  <conditionalFormatting sqref="H14">
    <cfRule type="expression" dxfId="25" priority="3">
      <formula>LEFT($H$14,1)=" "</formula>
    </cfRule>
  </conditionalFormatting>
  <conditionalFormatting sqref="H15">
    <cfRule type="expression" dxfId="24" priority="2">
      <formula>LEFT($H$15,1)=" "</formula>
    </cfRule>
  </conditionalFormatting>
  <conditionalFormatting sqref="H16">
    <cfRule type="expression" dxfId="23" priority="1">
      <formula>LEFT($H$16,1)=" "</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138"/>
  <sheetViews>
    <sheetView showGridLines="0" showRowColHeaders="0" topLeftCell="A115" workbookViewId="0">
      <selection activeCell="A115" sqref="A1:XFD1048576"/>
    </sheetView>
  </sheetViews>
  <sheetFormatPr defaultRowHeight="15"/>
  <cols>
    <col min="1" max="1" width="10.140625" bestFit="1" customWidth="1"/>
    <col min="12" max="12" width="11" bestFit="1" customWidth="1"/>
    <col min="13" max="16" width="9.28515625" bestFit="1" customWidth="1"/>
  </cols>
  <sheetData>
    <row r="1" spans="1:20">
      <c r="A1" t="s">
        <v>271</v>
      </c>
    </row>
    <row r="2" spans="1:20">
      <c r="B2" t="s">
        <v>260</v>
      </c>
      <c r="C2">
        <v>28</v>
      </c>
      <c r="D2">
        <v>26</v>
      </c>
      <c r="E2">
        <v>19</v>
      </c>
      <c r="F2">
        <v>16</v>
      </c>
      <c r="G2">
        <v>13</v>
      </c>
      <c r="H2">
        <v>9.4</v>
      </c>
      <c r="I2">
        <v>6.8</v>
      </c>
      <c r="J2">
        <v>5</v>
      </c>
      <c r="K2">
        <v>4</v>
      </c>
      <c r="L2">
        <v>3</v>
      </c>
      <c r="M2">
        <v>1.9</v>
      </c>
      <c r="N2">
        <v>1.2</v>
      </c>
      <c r="O2">
        <v>1</v>
      </c>
      <c r="P2">
        <v>0.6</v>
      </c>
      <c r="Q2">
        <v>0.37</v>
      </c>
      <c r="R2">
        <v>0.2</v>
      </c>
      <c r="S2">
        <v>0.15</v>
      </c>
      <c r="T2">
        <v>0.11</v>
      </c>
    </row>
    <row r="3" spans="1:20">
      <c r="B3" t="s">
        <v>261</v>
      </c>
      <c r="C3">
        <v>1</v>
      </c>
      <c r="D3">
        <v>1.1000000000000001</v>
      </c>
      <c r="E3">
        <v>1.5</v>
      </c>
      <c r="F3">
        <v>1.8</v>
      </c>
      <c r="G3">
        <v>2.2000000000000002</v>
      </c>
      <c r="H3">
        <v>3.1</v>
      </c>
      <c r="I3">
        <v>4.2</v>
      </c>
      <c r="J3">
        <v>5.6</v>
      </c>
      <c r="K3">
        <v>7</v>
      </c>
      <c r="L3">
        <v>9</v>
      </c>
      <c r="M3">
        <v>13</v>
      </c>
      <c r="N3">
        <v>18</v>
      </c>
      <c r="O3">
        <v>20</v>
      </c>
      <c r="P3">
        <v>25</v>
      </c>
      <c r="Q3">
        <v>29</v>
      </c>
      <c r="R3">
        <v>33</v>
      </c>
      <c r="S3">
        <v>35</v>
      </c>
      <c r="T3">
        <v>36</v>
      </c>
    </row>
    <row r="6" spans="1:20">
      <c r="C6">
        <f t="array" ref="C6:D6">LINEST(LN(C3:K3),LN(C2:K2))</f>
        <v>-0.99522564718323192</v>
      </c>
      <c r="D6">
        <v>3.3369630210724299</v>
      </c>
    </row>
    <row r="7" spans="1:20">
      <c r="D7">
        <f>EXP(D6)</f>
        <v>28.13355581651312</v>
      </c>
      <c r="K7">
        <f t="array" ref="K7:O7">LINEST(K3:T3,K2:T2^{1;2;3;4})</f>
        <v>0.36615392147128045</v>
      </c>
      <c r="L7">
        <v>-3.7930708761556633</v>
      </c>
      <c r="M7">
        <v>15.040874901139189</v>
      </c>
      <c r="N7">
        <v>-30.898133717856396</v>
      </c>
      <c r="O7">
        <v>38.978566107375613</v>
      </c>
    </row>
    <row r="26" spans="1:26">
      <c r="A26" t="s">
        <v>274</v>
      </c>
    </row>
    <row r="27" spans="1:26">
      <c r="B27" t="s">
        <v>260</v>
      </c>
      <c r="C27">
        <v>90</v>
      </c>
      <c r="D27">
        <v>84</v>
      </c>
      <c r="E27">
        <v>62</v>
      </c>
      <c r="F27">
        <v>56</v>
      </c>
      <c r="G27">
        <v>42</v>
      </c>
      <c r="H27">
        <v>32</v>
      </c>
      <c r="I27">
        <v>22</v>
      </c>
      <c r="J27">
        <v>16</v>
      </c>
      <c r="K27">
        <v>13</v>
      </c>
      <c r="L27">
        <v>11</v>
      </c>
      <c r="M27">
        <v>9</v>
      </c>
      <c r="N27">
        <v>7</v>
      </c>
      <c r="O27">
        <v>5.6</v>
      </c>
      <c r="P27">
        <v>5</v>
      </c>
      <c r="Q27">
        <v>4.2</v>
      </c>
      <c r="R27">
        <v>3</v>
      </c>
      <c r="S27">
        <v>2.2000000000000002</v>
      </c>
      <c r="T27">
        <v>1.3</v>
      </c>
      <c r="U27">
        <v>0.9</v>
      </c>
      <c r="V27">
        <v>0.64</v>
      </c>
      <c r="W27">
        <v>0.44</v>
      </c>
      <c r="X27">
        <v>0.28000000000000003</v>
      </c>
      <c r="Y27">
        <v>0.15</v>
      </c>
      <c r="Z27">
        <v>0.11</v>
      </c>
    </row>
    <row r="28" spans="1:26">
      <c r="B28" t="s">
        <v>261</v>
      </c>
      <c r="C28">
        <v>1.3</v>
      </c>
      <c r="D28">
        <v>1.4</v>
      </c>
      <c r="E28">
        <v>1.9</v>
      </c>
      <c r="F28">
        <v>2.1</v>
      </c>
      <c r="G28">
        <v>2.8</v>
      </c>
      <c r="H28">
        <v>3.7</v>
      </c>
      <c r="I28">
        <v>5.4</v>
      </c>
      <c r="J28">
        <v>7.4</v>
      </c>
      <c r="K28">
        <v>9</v>
      </c>
      <c r="L28">
        <v>10.6</v>
      </c>
      <c r="M28">
        <v>12.7</v>
      </c>
      <c r="N28">
        <v>16</v>
      </c>
      <c r="O28">
        <v>19</v>
      </c>
      <c r="P28">
        <v>21</v>
      </c>
      <c r="Q28">
        <v>24</v>
      </c>
      <c r="R28">
        <v>30</v>
      </c>
      <c r="S28">
        <v>35</v>
      </c>
      <c r="T28">
        <v>44</v>
      </c>
      <c r="U28">
        <v>50</v>
      </c>
      <c r="V28">
        <v>54</v>
      </c>
      <c r="W28">
        <v>58</v>
      </c>
      <c r="X28">
        <v>62</v>
      </c>
      <c r="Y28">
        <v>66</v>
      </c>
      <c r="Z28">
        <v>68</v>
      </c>
    </row>
    <row r="31" spans="1:26">
      <c r="C31">
        <f t="array" ref="C31:D31">LINEST(LN(C28:K28),LN(C27:K27))</f>
        <v>-1.0026579886860623</v>
      </c>
      <c r="D31">
        <v>4.7786376067749714</v>
      </c>
      <c r="N31">
        <f t="array" ref="N31:R31">LINEST(K28:Z28,K27:Z27^{1;2;3;4})</f>
        <v>1.0879156784224131E-2</v>
      </c>
      <c r="O31">
        <v>-0.35112730055377034</v>
      </c>
      <c r="P31">
        <v>4.126765430230579</v>
      </c>
      <c r="Q31">
        <v>-22.743810491851104</v>
      </c>
      <c r="R31">
        <v>68.335782309462374</v>
      </c>
    </row>
    <row r="32" spans="1:26">
      <c r="D32">
        <f>EXP(D31)</f>
        <v>118.94219357076393</v>
      </c>
    </row>
    <row r="54" spans="1:25">
      <c r="A54" t="s">
        <v>277</v>
      </c>
    </row>
    <row r="55" spans="1:25">
      <c r="B55" t="s">
        <v>260</v>
      </c>
      <c r="C55">
        <v>100</v>
      </c>
      <c r="D55">
        <v>90</v>
      </c>
      <c r="E55">
        <v>80</v>
      </c>
      <c r="F55">
        <v>62</v>
      </c>
      <c r="G55">
        <v>50</v>
      </c>
      <c r="H55">
        <v>44</v>
      </c>
      <c r="I55">
        <v>38</v>
      </c>
      <c r="J55">
        <v>30</v>
      </c>
      <c r="K55">
        <v>24</v>
      </c>
      <c r="L55">
        <v>22</v>
      </c>
      <c r="M55">
        <v>20</v>
      </c>
      <c r="N55">
        <v>16</v>
      </c>
      <c r="O55">
        <v>13</v>
      </c>
      <c r="P55">
        <v>10</v>
      </c>
      <c r="Q55">
        <v>7.4</v>
      </c>
      <c r="R55">
        <v>5.8</v>
      </c>
      <c r="S55">
        <v>4.5999999999999996</v>
      </c>
      <c r="T55">
        <v>3.5</v>
      </c>
      <c r="U55">
        <v>2.5</v>
      </c>
      <c r="V55">
        <v>1.6</v>
      </c>
      <c r="W55">
        <v>0.9</v>
      </c>
      <c r="X55">
        <v>0.3</v>
      </c>
      <c r="Y55">
        <v>0.1</v>
      </c>
    </row>
    <row r="56" spans="1:25">
      <c r="B56" t="s">
        <v>261</v>
      </c>
      <c r="C56">
        <v>8</v>
      </c>
      <c r="D56">
        <v>9</v>
      </c>
      <c r="E56">
        <v>10</v>
      </c>
      <c r="F56">
        <v>13</v>
      </c>
      <c r="G56">
        <v>16</v>
      </c>
      <c r="H56">
        <v>18</v>
      </c>
      <c r="I56">
        <v>21</v>
      </c>
      <c r="J56">
        <v>26</v>
      </c>
      <c r="K56">
        <v>32</v>
      </c>
      <c r="L56">
        <v>34</v>
      </c>
      <c r="M56">
        <v>37</v>
      </c>
      <c r="N56">
        <v>44</v>
      </c>
      <c r="O56">
        <v>52</v>
      </c>
      <c r="P56">
        <v>62</v>
      </c>
      <c r="Q56">
        <v>74</v>
      </c>
      <c r="R56">
        <v>84</v>
      </c>
      <c r="S56">
        <v>92</v>
      </c>
      <c r="T56">
        <v>100</v>
      </c>
      <c r="U56">
        <v>110</v>
      </c>
      <c r="V56">
        <v>120</v>
      </c>
      <c r="W56">
        <v>130</v>
      </c>
      <c r="X56">
        <v>150</v>
      </c>
      <c r="Y56">
        <v>160</v>
      </c>
    </row>
    <row r="59" spans="1:25">
      <c r="D59">
        <f t="array" ref="D59:E59">LINEST(LN(C56:K56),LN(C55:K55))</f>
        <v>-0.97168967369697867</v>
      </c>
      <c r="E59">
        <v>6.5663244942920382</v>
      </c>
      <c r="P59">
        <f t="array" ref="P59:T59">LINEST(K56:Y56,K55:Y55^{1;2;3;4})</f>
        <v>1.6367296666517745E-3</v>
      </c>
      <c r="Q59">
        <v>-9.5076277697651229E-2</v>
      </c>
      <c r="R59">
        <v>2.0320922839349831</v>
      </c>
      <c r="S59">
        <v>-21.688067994504209</v>
      </c>
      <c r="T59">
        <v>154.85911490071709</v>
      </c>
    </row>
    <row r="60" spans="1:25">
      <c r="E60">
        <f>EXP(E59)</f>
        <v>710.75266088306114</v>
      </c>
    </row>
    <row r="80" spans="1:1">
      <c r="A80" t="s">
        <v>279</v>
      </c>
    </row>
    <row r="81" spans="2:22">
      <c r="B81" t="s">
        <v>260</v>
      </c>
      <c r="C81">
        <v>92</v>
      </c>
      <c r="D81">
        <v>78</v>
      </c>
      <c r="E81">
        <v>56</v>
      </c>
      <c r="F81">
        <v>38</v>
      </c>
      <c r="G81">
        <v>34</v>
      </c>
      <c r="H81">
        <v>24</v>
      </c>
      <c r="I81">
        <v>21</v>
      </c>
      <c r="J81">
        <v>17</v>
      </c>
      <c r="K81">
        <v>14</v>
      </c>
      <c r="L81">
        <v>12</v>
      </c>
      <c r="M81">
        <v>11</v>
      </c>
      <c r="N81">
        <v>8.6</v>
      </c>
      <c r="O81">
        <v>5.6</v>
      </c>
      <c r="P81">
        <v>3.7</v>
      </c>
      <c r="Q81">
        <v>2.4</v>
      </c>
      <c r="R81">
        <v>1.5</v>
      </c>
      <c r="S81">
        <v>0.8</v>
      </c>
      <c r="T81">
        <v>0.4</v>
      </c>
      <c r="U81">
        <v>0.2</v>
      </c>
      <c r="V81">
        <v>0.1</v>
      </c>
    </row>
    <row r="82" spans="2:22">
      <c r="B82" t="s">
        <v>261</v>
      </c>
      <c r="C82">
        <v>10</v>
      </c>
      <c r="D82">
        <v>12</v>
      </c>
      <c r="E82">
        <v>17</v>
      </c>
      <c r="F82">
        <v>25</v>
      </c>
      <c r="G82">
        <v>28</v>
      </c>
      <c r="H82">
        <v>39</v>
      </c>
      <c r="I82">
        <v>44</v>
      </c>
      <c r="J82">
        <v>54</v>
      </c>
      <c r="K82">
        <v>64</v>
      </c>
      <c r="L82">
        <v>74</v>
      </c>
      <c r="M82">
        <v>80</v>
      </c>
      <c r="N82">
        <v>90</v>
      </c>
      <c r="O82">
        <v>130</v>
      </c>
      <c r="P82">
        <v>160</v>
      </c>
      <c r="Q82">
        <v>190</v>
      </c>
      <c r="R82">
        <v>220</v>
      </c>
      <c r="S82">
        <v>250</v>
      </c>
      <c r="T82">
        <v>280</v>
      </c>
      <c r="U82">
        <v>300</v>
      </c>
      <c r="V82">
        <v>320</v>
      </c>
    </row>
    <row r="86" spans="2:22">
      <c r="C86">
        <f t="array" ref="C86:D86">LINEST(LN(C82:K82),LN(C81:K81))</f>
        <v>-0.9855450197853951</v>
      </c>
      <c r="D86">
        <v>6.7856575755914932</v>
      </c>
      <c r="M86">
        <f t="array" ref="M86:Q86">LINEST(K82:V82,K81:V81^{1;2;3;4})</f>
        <v>2.7760136668528338E-2</v>
      </c>
      <c r="N86">
        <v>-0.96500710273022983</v>
      </c>
      <c r="O86">
        <v>12.31473006042196</v>
      </c>
      <c r="P86">
        <v>-77.207495050386669</v>
      </c>
      <c r="Q86">
        <v>314.76278879456891</v>
      </c>
    </row>
    <row r="87" spans="2:22">
      <c r="D87">
        <f>EXP(D86)</f>
        <v>885.06189073045607</v>
      </c>
    </row>
    <row r="107" spans="1:20">
      <c r="A107" t="s">
        <v>281</v>
      </c>
    </row>
    <row r="108" spans="1:20">
      <c r="B108" t="s">
        <v>260</v>
      </c>
      <c r="C108">
        <v>80</v>
      </c>
      <c r="D108">
        <v>66</v>
      </c>
      <c r="E108">
        <v>50</v>
      </c>
      <c r="F108">
        <v>31</v>
      </c>
      <c r="G108">
        <v>25</v>
      </c>
      <c r="H108">
        <v>22</v>
      </c>
      <c r="I108">
        <v>18</v>
      </c>
      <c r="J108">
        <v>13</v>
      </c>
      <c r="K108">
        <v>11</v>
      </c>
      <c r="L108">
        <v>8.1999999999999993</v>
      </c>
      <c r="M108">
        <v>6</v>
      </c>
      <c r="N108">
        <v>4</v>
      </c>
      <c r="O108">
        <v>2.8</v>
      </c>
      <c r="P108">
        <v>1.3</v>
      </c>
      <c r="Q108">
        <v>0.6</v>
      </c>
      <c r="R108">
        <v>0.3</v>
      </c>
      <c r="S108">
        <v>0.2</v>
      </c>
      <c r="T108">
        <v>0.1</v>
      </c>
    </row>
    <row r="109" spans="1:20">
      <c r="B109" t="s">
        <v>261</v>
      </c>
      <c r="C109">
        <v>64</v>
      </c>
      <c r="D109">
        <v>76</v>
      </c>
      <c r="E109">
        <v>100</v>
      </c>
      <c r="F109">
        <v>150</v>
      </c>
      <c r="G109">
        <v>180</v>
      </c>
      <c r="H109">
        <v>200</v>
      </c>
      <c r="I109">
        <v>230</v>
      </c>
      <c r="J109">
        <v>280</v>
      </c>
      <c r="K109">
        <v>300</v>
      </c>
      <c r="L109">
        <v>340</v>
      </c>
      <c r="M109">
        <v>380</v>
      </c>
      <c r="N109">
        <v>420</v>
      </c>
      <c r="O109">
        <v>460</v>
      </c>
      <c r="P109">
        <v>520</v>
      </c>
      <c r="Q109">
        <v>560</v>
      </c>
      <c r="R109">
        <v>600</v>
      </c>
      <c r="S109">
        <v>620</v>
      </c>
      <c r="T109">
        <v>660</v>
      </c>
    </row>
    <row r="112" spans="1:20">
      <c r="D112">
        <f t="array" ref="D112:E112">LINEST(LN(C109:G109),LN(C108:G108))</f>
        <v>-0.88985122785688997</v>
      </c>
      <c r="E112">
        <v>8.0654153525387571</v>
      </c>
      <c r="M112">
        <f t="array" ref="M112:Q112">LINEST(G109:T109,G108:T108^{1;2;3;4})</f>
        <v>6.0302239920945163E-3</v>
      </c>
      <c r="N112">
        <v>-0.36054223071254216</v>
      </c>
      <c r="O112">
        <v>7.6624439382943921</v>
      </c>
      <c r="P112">
        <v>-78.274475467196837</v>
      </c>
      <c r="Q112">
        <v>629.99822294518913</v>
      </c>
    </row>
    <row r="113" spans="5:5">
      <c r="E113">
        <f>EXP(E112)</f>
        <v>3182.4777929336292</v>
      </c>
    </row>
    <row r="133" spans="1:19">
      <c r="A133" t="s">
        <v>283</v>
      </c>
      <c r="B133" t="s">
        <v>123</v>
      </c>
      <c r="C133">
        <v>88</v>
      </c>
      <c r="D133">
        <v>70</v>
      </c>
      <c r="E133">
        <v>60</v>
      </c>
      <c r="F133">
        <v>40</v>
      </c>
      <c r="G133">
        <v>29</v>
      </c>
      <c r="H133">
        <v>24.5</v>
      </c>
      <c r="I133">
        <v>18</v>
      </c>
      <c r="J133">
        <v>11.5</v>
      </c>
      <c r="K133">
        <v>9</v>
      </c>
      <c r="L133">
        <v>7</v>
      </c>
      <c r="M133">
        <v>4.7</v>
      </c>
      <c r="N133">
        <v>3</v>
      </c>
      <c r="O133">
        <v>2.35</v>
      </c>
      <c r="P133">
        <v>1.1499999999999999</v>
      </c>
      <c r="Q133">
        <v>0.35</v>
      </c>
      <c r="R133">
        <v>0.15</v>
      </c>
      <c r="S133">
        <v>0.1</v>
      </c>
    </row>
    <row r="134" spans="1:19">
      <c r="B134" t="s">
        <v>284</v>
      </c>
      <c r="C134">
        <v>2</v>
      </c>
      <c r="D134">
        <v>2.4</v>
      </c>
      <c r="E134">
        <v>2.7</v>
      </c>
      <c r="F134">
        <v>3.7</v>
      </c>
      <c r="G134">
        <v>4.8</v>
      </c>
      <c r="H134">
        <v>5.4</v>
      </c>
      <c r="I134">
        <v>6.4</v>
      </c>
      <c r="J134">
        <v>7.6</v>
      </c>
      <c r="K134">
        <v>8.1999999999999993</v>
      </c>
      <c r="L134">
        <v>8.8000000000000007</v>
      </c>
      <c r="M134">
        <v>9.6</v>
      </c>
      <c r="N134">
        <v>10.5</v>
      </c>
      <c r="O134">
        <v>11</v>
      </c>
      <c r="P134">
        <v>12</v>
      </c>
      <c r="Q134">
        <v>13</v>
      </c>
      <c r="R134">
        <v>13.5</v>
      </c>
      <c r="S134">
        <v>13.7</v>
      </c>
    </row>
    <row r="136" spans="1:19">
      <c r="L136">
        <f t="array" ref="L136:P136">LINEST(G134:S134,G133:S133^{1;2;3;4})</f>
        <v>6.2412961452429293E-5</v>
      </c>
      <c r="M136">
        <v>-4.3314681918760834E-3</v>
      </c>
      <c r="N136">
        <v>0.10614317719263495</v>
      </c>
      <c r="O136">
        <v>-1.2575928005198056</v>
      </c>
      <c r="P136">
        <v>13.55252243907665</v>
      </c>
    </row>
    <row r="137" spans="1:19">
      <c r="C137">
        <f t="array" ref="C137:D137">LINEST(LN(C134:G134),LN(C133:G133))</f>
        <v>-0.78593610175687545</v>
      </c>
      <c r="D137">
        <v>4.2120717920323996</v>
      </c>
    </row>
    <row r="138" spans="1:19">
      <c r="D138">
        <f>EXP(D137)</f>
        <v>67.496233210494708</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W51"/>
  <sheetViews>
    <sheetView topLeftCell="F22" workbookViewId="0">
      <selection activeCell="G54" sqref="G54"/>
    </sheetView>
  </sheetViews>
  <sheetFormatPr defaultRowHeight="15"/>
  <cols>
    <col min="1" max="1" width="12.85546875" bestFit="1" customWidth="1"/>
    <col min="2" max="2" width="20.85546875" bestFit="1" customWidth="1"/>
    <col min="3" max="3" width="22.42578125" bestFit="1" customWidth="1"/>
    <col min="4" max="4" width="16.140625" bestFit="1" customWidth="1"/>
    <col min="5" max="5" width="10.7109375" customWidth="1"/>
    <col min="6" max="6" width="15.7109375" bestFit="1" customWidth="1"/>
    <col min="7" max="7" width="17.28515625" bestFit="1" customWidth="1"/>
    <col min="8" max="8" width="17.42578125" bestFit="1" customWidth="1"/>
    <col min="9" max="9" width="15.5703125" bestFit="1" customWidth="1"/>
    <col min="10" max="10" width="12.85546875" bestFit="1" customWidth="1"/>
    <col min="11" max="11" width="11" bestFit="1" customWidth="1"/>
    <col min="12" max="12" width="18.42578125" bestFit="1" customWidth="1"/>
    <col min="14" max="14" width="12.85546875" bestFit="1" customWidth="1"/>
    <col min="15" max="15" width="10.140625" bestFit="1" customWidth="1"/>
    <col min="17" max="17" width="12" bestFit="1" customWidth="1"/>
    <col min="18" max="18" width="16.140625" bestFit="1" customWidth="1"/>
    <col min="21" max="21" width="14.5703125" bestFit="1" customWidth="1"/>
  </cols>
  <sheetData>
    <row r="2" spans="1:18">
      <c r="B2" s="62" t="s">
        <v>150</v>
      </c>
      <c r="C2" s="62" t="s">
        <v>151</v>
      </c>
      <c r="D2" s="62" t="s">
        <v>152</v>
      </c>
      <c r="E2" s="62" t="s">
        <v>165</v>
      </c>
      <c r="F2" s="62" t="s">
        <v>166</v>
      </c>
      <c r="G2" s="62" t="s">
        <v>153</v>
      </c>
      <c r="H2" s="62" t="s">
        <v>154</v>
      </c>
      <c r="I2" s="62" t="s">
        <v>155</v>
      </c>
      <c r="J2" s="62" t="s">
        <v>167</v>
      </c>
      <c r="K2" s="62" t="s">
        <v>135</v>
      </c>
      <c r="L2" s="62" t="s">
        <v>156</v>
      </c>
    </row>
    <row r="3" spans="1:18">
      <c r="B3">
        <f>'Modified Inputs'!$K$2</f>
        <v>140</v>
      </c>
      <c r="C3">
        <f>'Modified Inputs'!$I$2</f>
        <v>145</v>
      </c>
      <c r="D3" t="str">
        <f>IF(AND('VA Sizing'!$C$4=" Other",'VA Sizing'!$C$6="at Operating Conditions",'VA Sizing'!$C$5="Standard"),G3/E3,
IF(AND('VA Sizing'!$C$4=" Other",'VA Sizing'!$C$6="at Operating Conditions",OR('VA Sizing'!$C$5="Normal",'VA Sizing'!$C$5="Actual")),G3/F3,
IF(AND('VA Sizing'!$C$4=" Other",'VA Sizing'!$C$6="at Reference Conditions"),'Modified Inputs'!$M$4,
IF(AND('VA Sizing'!$C$3="Gas",'VA Sizing'!$C$5="Standard"),VLOOKUP('VA Sizing'!$C$4,'10A61 5" Calcs'!$J$3:$K$29,2,FALSE),
IF(AND('VA Sizing'!$C$3="Gas",OR('VA Sizing'!$C$5="Actual",'VA Sizing'!$C$5="Normal")),VLOOKUP('VA Sizing'!$C$4,'10A61 5" Calcs'!$J$3:$L$29,3,FALSE),"")))))</f>
        <v/>
      </c>
      <c r="E3">
        <f>(C3/14.7)*(530/(460+B3))</f>
        <v>8.7131519274376412</v>
      </c>
      <c r="F3">
        <f>(C3/14.7)*(492/(460+B3))</f>
        <v>8.0884353741496593</v>
      </c>
      <c r="G3" t="str">
        <f>IF(AND('VA Sizing'!$C$3="Gas",'VA Sizing'!$C$6="at Operating Conditions"),'Modified Inputs'!$M$2,
IF(OR(AND('VA Sizing'!$C$4="Carbon Dioxide",'Modified Inputs'!$I$2&gt;70),'VA Sizing'!$C$4="Ammonia",'VA Sizing'!$C$4="Chlorine",'VA Sizing'!$C$4="Sulfur Dioxide"),'10A61 5" Calcs'!$G$27,
IF('VA Sizing'!$C$5="Standard",'10A61 5" Calcs'!M46*'10A61 5" Calcs'!L46,
IF(OR('VA Sizing'!$C$5="Normal",'VA Sizing'!$C$5="Actual"),'10A61 5" Calcs'!N46*'10A61 5" Calcs'!L46,""))))</f>
        <v/>
      </c>
      <c r="H3" t="e">
        <f>VLOOKUP('VA Sizing'!$C$4,'10A61 5" Calcs'!$J$3:$M$29,4,FALSE)</f>
        <v>#N/A</v>
      </c>
      <c r="I3" t="e">
        <f>VLOOKUP('VA Sizing'!$C$4,'10A61 5" Calcs'!$J$3:$N$28,5,FALSE)</f>
        <v>#N/A</v>
      </c>
      <c r="J3">
        <f>B3-32</f>
        <v>108</v>
      </c>
      <c r="K3">
        <f>B3-70</f>
        <v>70</v>
      </c>
      <c r="L3" t="str">
        <f>IF(AND('VA Sizing'!$C$3="Gas",'VA Sizing'!$C$4=" Other"),'Modified Inputs'!$G$2,
IF('VA Sizing'!$C$5="Standard",'10A61 5" Calcs'!P46+'10A61 5" Calcs'!Q46*'10A61 5" Calcs'!S46,
IF(OR('VA Sizing'!$C$5="Normal",'VA Sizing'!$C$5="Actual"),'10A61 5" Calcs'!P46+'10A61 5" Calcs'!Q46*'10A61 5" Calcs'!R46,"")))</f>
        <v/>
      </c>
    </row>
    <row r="6" spans="1:18">
      <c r="J6" s="240" t="s">
        <v>110</v>
      </c>
      <c r="K6" s="240"/>
      <c r="N6" s="240" t="s">
        <v>109</v>
      </c>
      <c r="O6" s="240"/>
      <c r="Q6" s="240" t="s">
        <v>200</v>
      </c>
      <c r="R6" s="240"/>
    </row>
    <row r="7" spans="1:18">
      <c r="A7" t="s">
        <v>15</v>
      </c>
      <c r="G7" t="s">
        <v>16</v>
      </c>
      <c r="H7" t="s">
        <v>262</v>
      </c>
      <c r="I7" t="s">
        <v>263</v>
      </c>
      <c r="J7" t="s">
        <v>264</v>
      </c>
      <c r="K7" t="s">
        <v>29</v>
      </c>
      <c r="L7" t="s">
        <v>265</v>
      </c>
      <c r="M7" t="s">
        <v>266</v>
      </c>
      <c r="N7" t="s">
        <v>264</v>
      </c>
      <c r="O7" t="s">
        <v>29</v>
      </c>
      <c r="Q7" s="58" t="s">
        <v>158</v>
      </c>
      <c r="R7" s="58" t="s">
        <v>58</v>
      </c>
    </row>
    <row r="8" spans="1:18">
      <c r="A8" t="s">
        <v>275</v>
      </c>
      <c r="B8">
        <v>-0.99522564718323192</v>
      </c>
      <c r="C8">
        <v>3.3369630210724299</v>
      </c>
      <c r="G8" t="s">
        <v>18</v>
      </c>
      <c r="H8" t="e">
        <f>$L$3*(SQRT((7.02/((VLOOKUP(G8,'10A61 5" Calcs'!$A$3:$B$8,2,FALSE)-'10A61 10"+6" Calcs'!$G$3)*'10A61 10"+6" Calcs'!$G$3))))</f>
        <v>#VALUE!</v>
      </c>
      <c r="I8" t="e">
        <f>IF(H8&lt;$B$11+0.001,$B$10*(H8^4)+$C$10*(H8^3)+$D$10*(H8^2)+$E$10*H8+$F$10,$C$9*(H8^$B$8))</f>
        <v>#VALUE!</v>
      </c>
      <c r="J8" t="e">
        <f>I8/(SQRT((7.02/((VLOOKUP(G8,'10A61 5" Calcs'!$A$3:$B$8,2,FALSE)-'10A61 10"+6" Calcs'!$G$3)*'10A61 10"+6" Calcs'!$G$3))))</f>
        <v>#VALUE!</v>
      </c>
      <c r="K8" t="str">
        <f>IF(AND('VA Sizing'!$C$3="Gas",'VA Sizing'!$C$4=" Other",NOT('VA Sizing'!$C$5="Actual"),'VA Sizing'!$C$6="at Operating Conditions"),J8/$D$3,
IF(AND('VA Sizing'!$C$3="Gas",'VA Sizing'!$C$4=" Other",NOT('VA Sizing'!$C$5="Actual"),'VA Sizing'!$C$6="at Reference Conditions"),J8/'Modified Inputs'!$M$4,
IF('VA Sizing'!$C$5="Standard",J8/VLOOKUP('VA Sizing'!$C$4,'10A61 5" Calcs'!$J$3:$K$29,2,FALSE),
IF('VA Sizing'!$C$5="Normal",J8/VLOOKUP('VA Sizing'!$C$4,'10A61 5" Calcs'!$J$3:$L$29,3,FALSE),
IF('VA Sizing'!$C$5="Actual",J8/$G$3,"")))))</f>
        <v/>
      </c>
      <c r="L8">
        <f>'Modified Inputs'!$G$2*(SQRT((7.02/((VLOOKUP(G8,'10A61 5" Calcs'!$A$3:$B$8,2,FALSE)-'Modified Inputs'!$M$2)*'Modified Inputs'!$M$2))))</f>
        <v>2.1388735490091566</v>
      </c>
      <c r="M8">
        <f>IF(L8&lt;$B$11+0.001,$B$10*(L8^4)+$C$10*(L8^3)+$D$10*(L8^2)+$E$10*L8+$F$10,$C$9*(L8^$B$8))</f>
        <v>12.248424905948028</v>
      </c>
      <c r="N8">
        <f>M8/(SQRT((7.02/((VLOOKUP(G8,'10A61 5" Calcs'!$A$3:$B$8,2,FALSE)-'Modified Inputs'!$M$2)*'Modified Inputs'!$M$2))))</f>
        <v>5.72657739005757</v>
      </c>
      <c r="O8">
        <f>N8/'Modified Inputs'!$M$2</f>
        <v>5.7844216061187579</v>
      </c>
      <c r="Q8" s="7">
        <f>IF('VA Sizing'!$C$3="Gas",K8,
IF('VA Sizing'!$C$3="Liquid",O8,""))</f>
        <v>5.7844216061187579</v>
      </c>
      <c r="R8" s="7" t="str">
        <f>CONCATENATE($A$8,"-",G8)</f>
        <v>1/8-077-G-10-BG</v>
      </c>
    </row>
    <row r="9" spans="1:18">
      <c r="C9">
        <v>28.13355581651312</v>
      </c>
      <c r="G9" t="s">
        <v>21</v>
      </c>
      <c r="H9" t="e">
        <f>$L$3*(SQRT((7.02/((VLOOKUP(G9,'10A61 5" Calcs'!$A$3:$B$8,2,FALSE)-'10A61 10"+6" Calcs'!$G$3)*'10A61 10"+6" Calcs'!$G$3))))</f>
        <v>#VALUE!</v>
      </c>
      <c r="I9" t="e">
        <f t="shared" ref="I9:I12" si="0">IF(H9&lt;$B$11+0.001,$B$10*(H9^4)+$C$10*(H9^3)+$D$10*(H9^2)+$E$10*H9+$F$10,$C$9*(H9^$B$8))</f>
        <v>#VALUE!</v>
      </c>
      <c r="J9" t="e">
        <f>I9/(SQRT((7.02/((VLOOKUP(G9,'10A61 5" Calcs'!$A$3:$B$8,2,FALSE)-'10A61 10"+6" Calcs'!$G$3)*'10A61 10"+6" Calcs'!$G$3))))</f>
        <v>#VALUE!</v>
      </c>
      <c r="K9" t="str">
        <f>IF(AND('VA Sizing'!$C$3="Gas",'VA Sizing'!$C$4=" Other",NOT('VA Sizing'!$C$5="Actual"),'VA Sizing'!$C$6="at Operating Conditions"),J9/$D$3,
IF(AND('VA Sizing'!$C$3="Gas",'VA Sizing'!$C$4=" Other",NOT('VA Sizing'!$C$5="Actual"),'VA Sizing'!$C$6="at Reference Conditions"),J9/'Modified Inputs'!$M$4,
IF('VA Sizing'!$C$5="Standard",J9/VLOOKUP('VA Sizing'!$C$4,'10A61 5" Calcs'!$J$3:$K$29,2,FALSE),
IF('VA Sizing'!$C$5="Normal",J9/VLOOKUP('VA Sizing'!$C$4,'10A61 5" Calcs'!$J$3:$L$29,3,FALSE),
IF('VA Sizing'!$C$5="Actual",J9/$G$3,"")))))</f>
        <v/>
      </c>
      <c r="L9">
        <f>'Modified Inputs'!$G$2*(SQRT((7.02/((VLOOKUP(G9,'10A61 5" Calcs'!$A$3:$B$8,2,FALSE)-'Modified Inputs'!$M$2)*'Modified Inputs'!$M$2))))</f>
        <v>1.539981007018036</v>
      </c>
      <c r="M9">
        <f t="shared" ref="M9:M12" si="1">IF(L9&lt;$B$11+0.001,$B$10*(L9^4)+$C$10*(L9^3)+$D$10*(L9^2)+$E$10*L9+$F$10,$C$9*(L9^$B$8))</f>
        <v>15.272628644909268</v>
      </c>
      <c r="N9">
        <f>M9/(SQRT((7.02/((VLOOKUP(G9,'10A61 5" Calcs'!$A$3:$B$8,2,FALSE)-'Modified Inputs'!$M$2)*'Modified Inputs'!$M$2))))</f>
        <v>9.9174136403686166</v>
      </c>
      <c r="O9">
        <f>N9/'Modified Inputs'!$M$2</f>
        <v>10.017589535725875</v>
      </c>
      <c r="Q9" s="7">
        <f>IF('VA Sizing'!$C$3="Gas",K9,
IF('VA Sizing'!$C$3="Liquid",O9,""))</f>
        <v>10.017589535725875</v>
      </c>
      <c r="R9" s="7" t="str">
        <f>CONCATENATE($A$8,"-",G9)</f>
        <v>1/8-077-G-10-SA</v>
      </c>
    </row>
    <row r="10" spans="1:18">
      <c r="B10">
        <v>0.36615392147128045</v>
      </c>
      <c r="C10">
        <v>-3.7930708761556633</v>
      </c>
      <c r="D10">
        <v>15.040874901139189</v>
      </c>
      <c r="E10">
        <v>-30.898133717856396</v>
      </c>
      <c r="F10">
        <v>38.978566107375613</v>
      </c>
      <c r="G10" t="s">
        <v>23</v>
      </c>
      <c r="H10" t="e">
        <f>$L$3*(SQRT((7.02/((VLOOKUP(G10,'10A61 5" Calcs'!$A$3:$B$8,2,FALSE)-'10A61 10"+6" Calcs'!$G$3)*'10A61 10"+6" Calcs'!$G$3))))</f>
        <v>#VALUE!</v>
      </c>
      <c r="I10" t="e">
        <f t="shared" si="0"/>
        <v>#VALUE!</v>
      </c>
      <c r="J10" t="e">
        <f>I10/(SQRT((7.02/((VLOOKUP(G10,'10A61 5" Calcs'!$A$3:$B$8,2,FALSE)-'10A61 10"+6" Calcs'!$G$3)*'10A61 10"+6" Calcs'!$G$3))))</f>
        <v>#VALUE!</v>
      </c>
      <c r="K10" t="str">
        <f>IF(AND('VA Sizing'!$C$3="Gas",'VA Sizing'!$C$4=" Other",NOT('VA Sizing'!$C$5="Actual"),'VA Sizing'!$C$6="at Operating Conditions"),J10/$D$3,
IF(AND('VA Sizing'!$C$3="Gas",'VA Sizing'!$C$4=" Other",NOT('VA Sizing'!$C$5="Actual"),'VA Sizing'!$C$6="at Reference Conditions"),J10/'Modified Inputs'!$M$4,
IF('VA Sizing'!$C$5="Standard",J10/VLOOKUP('VA Sizing'!$C$4,'10A61 5" Calcs'!$J$3:$K$29,2,FALSE),
IF('VA Sizing'!$C$5="Normal",J10/VLOOKUP('VA Sizing'!$C$4,'10A61 5" Calcs'!$J$3:$L$29,3,FALSE),
IF('VA Sizing'!$C$5="Actual",J10/$G$3,"")))))</f>
        <v/>
      </c>
      <c r="L10">
        <f>'Modified Inputs'!$G$2*(SQRT((7.02/((VLOOKUP(G10,'10A61 5" Calcs'!$A$3:$B$8,2,FALSE)-'Modified Inputs'!$M$2)*'Modified Inputs'!$M$2))))</f>
        <v>1.0043227402378698</v>
      </c>
      <c r="M10">
        <f t="shared" si="1"/>
        <v>19.648112379294844</v>
      </c>
      <c r="N10">
        <f>M10/(SQRT((7.02/((VLOOKUP(G10,'10A61 5" Calcs'!$A$3:$B$8,2,FALSE)-'Modified Inputs'!$M$2)*'Modified Inputs'!$M$2))))</f>
        <v>19.563544259329692</v>
      </c>
      <c r="O10">
        <f>N10/'Modified Inputs'!$M$2</f>
        <v>19.76115581750474</v>
      </c>
      <c r="Q10" s="7">
        <f>IF('VA Sizing'!$C$3="Gas",K10,
IF('VA Sizing'!$C$3="Liquid",O10,""))</f>
        <v>19.76115581750474</v>
      </c>
      <c r="R10" s="7" t="str">
        <f>CONCATENATE($A$8,"-",G10)</f>
        <v>1/8-077-G-10-SS</v>
      </c>
    </row>
    <row r="11" spans="1:18">
      <c r="B11">
        <v>4</v>
      </c>
      <c r="G11" t="s">
        <v>26</v>
      </c>
      <c r="H11" t="e">
        <f>$L$3*(SQRT((7.02/((VLOOKUP(G11,'10A61 5" Calcs'!$A$3:$B$8,2,FALSE)-'10A61 10"+6" Calcs'!$G$3)*'10A61 10"+6" Calcs'!$G$3))))</f>
        <v>#VALUE!</v>
      </c>
      <c r="I11" t="e">
        <f t="shared" si="0"/>
        <v>#VALUE!</v>
      </c>
      <c r="J11" t="e">
        <f>I11/(SQRT((7.02/((VLOOKUP(G11,'10A61 5" Calcs'!$A$3:$B$8,2,FALSE)-'10A61 10"+6" Calcs'!$G$3)*'10A61 10"+6" Calcs'!$G$3))))</f>
        <v>#VALUE!</v>
      </c>
      <c r="K11" t="str">
        <f>IF(AND('VA Sizing'!$C$3="Gas",'VA Sizing'!$C$4=" Other",NOT('VA Sizing'!$C$5="Actual"),'VA Sizing'!$C$6="at Operating Conditions"),J11/$D$3,
IF(AND('VA Sizing'!$C$3="Gas",'VA Sizing'!$C$4=" Other",NOT('VA Sizing'!$C$5="Actual"),'VA Sizing'!$C$6="at Reference Conditions"),J11/'Modified Inputs'!$M$4,
IF('VA Sizing'!$C$5="Standard",J11/VLOOKUP('VA Sizing'!$C$4,'10A61 5" Calcs'!$J$3:$K$29,2,FALSE),
IF('VA Sizing'!$C$5="Normal",J11/VLOOKUP('VA Sizing'!$C$4,'10A61 5" Calcs'!$J$3:$L$29,3,FALSE),
IF('VA Sizing'!$C$5="Actual",J11/$G$3,"")))))</f>
        <v/>
      </c>
      <c r="L11">
        <f>'Modified Inputs'!$G$2*(SQRT((7.02/((VLOOKUP(G11,'10A61 5" Calcs'!$A$3:$B$8,2,FALSE)-'Modified Inputs'!$M$2)*'Modified Inputs'!$M$2))))</f>
        <v>0.7114295352654707</v>
      </c>
      <c r="M11">
        <f t="shared" si="1"/>
        <v>23.337388044034476</v>
      </c>
      <c r="N11">
        <f>M11/(SQRT((7.02/((VLOOKUP(G11,'10A61 5" Calcs'!$A$3:$B$8,2,FALSE)-'Modified Inputs'!$M$2)*'Modified Inputs'!$M$2))))</f>
        <v>32.803513049716308</v>
      </c>
      <c r="O11">
        <f>N11/'Modified Inputs'!$M$2</f>
        <v>33.134861666380111</v>
      </c>
      <c r="Q11" s="7">
        <f>IF('VA Sizing'!$C$3="Gas",K11,
IF('VA Sizing'!$C$3="Liquid",O11,""))</f>
        <v>33.134861666380111</v>
      </c>
      <c r="R11" s="7" t="str">
        <f>CONCATENATE($A$8,"-",G11)</f>
        <v>1/8-077-G-10-CA</v>
      </c>
    </row>
    <row r="12" spans="1:18">
      <c r="G12" t="s">
        <v>126</v>
      </c>
      <c r="H12" t="e">
        <f>$L$3*(SQRT((7.02/((VLOOKUP(G12,'10A61 5" Calcs'!$A$3:$B$8,2,FALSE)-'10A61 10"+6" Calcs'!$G$3)*'10A61 10"+6" Calcs'!$G$3))))</f>
        <v>#VALUE!</v>
      </c>
      <c r="I12" t="e">
        <f t="shared" si="0"/>
        <v>#VALUE!</v>
      </c>
      <c r="J12" t="e">
        <f>I12/(SQRT((7.02/((VLOOKUP(G12,'10A61 5" Calcs'!$A$3:$B$8,2,FALSE)-'10A61 10"+6" Calcs'!$G$3)*'10A61 10"+6" Calcs'!$G$3))))</f>
        <v>#VALUE!</v>
      </c>
      <c r="K12" t="str">
        <f>IF(AND('VA Sizing'!$C$3="Gas",'VA Sizing'!$C$4=" Other",NOT('VA Sizing'!$C$5="Actual"),'VA Sizing'!$C$6="at Operating Conditions"),J12/$D$3,
IF(AND('VA Sizing'!$C$3="Gas",'VA Sizing'!$C$4=" Other",NOT('VA Sizing'!$C$5="Actual"),'VA Sizing'!$C$6="at Reference Conditions"),J12/'Modified Inputs'!$M$4,
IF('VA Sizing'!$C$5="Standard",J12/VLOOKUP('VA Sizing'!$C$4,'10A61 5" Calcs'!$J$3:$K$29,2,FALSE),
IF('VA Sizing'!$C$5="Normal",J12/VLOOKUP('VA Sizing'!$C$4,'10A61 5" Calcs'!$J$3:$L$29,3,FALSE),
IF('VA Sizing'!$C$5="Actual",J12/$G$3,"")))))</f>
        <v/>
      </c>
      <c r="L12">
        <f>'Modified Inputs'!$G$2*(SQRT((7.02/((VLOOKUP(G12,'10A61 5" Calcs'!$A$3:$B$8,2,FALSE)-'Modified Inputs'!$M$2)*'Modified Inputs'!$M$2))))</f>
        <v>0.67398387659754788</v>
      </c>
      <c r="M12">
        <f t="shared" si="1"/>
        <v>23.900371718792847</v>
      </c>
      <c r="N12">
        <f>M12/(SQRT((7.02/((VLOOKUP(G12,'10A61 5" Calcs'!$A$3:$B$8,2,FALSE)-'Modified Inputs'!$M$2)*'Modified Inputs'!$M$2))))</f>
        <v>35.461340469223629</v>
      </c>
      <c r="O12">
        <f>N12/'Modified Inputs'!$M$2</f>
        <v>35.819535827498612</v>
      </c>
      <c r="Q12" s="7">
        <f>IF('VA Sizing'!$C$3="Gas",K12,
IF('VA Sizing'!$C$3="Liquid",O12,""))</f>
        <v>35.819535827498612</v>
      </c>
      <c r="R12" s="7" t="str">
        <f>CONCATENATE($A$8,"-",G12)</f>
        <v>1/8-077-G-10-TA</v>
      </c>
    </row>
    <row r="13" spans="1:18">
      <c r="Q13" s="7"/>
      <c r="R13" s="7"/>
    </row>
    <row r="14" spans="1:18">
      <c r="A14" s="3" t="s">
        <v>276</v>
      </c>
      <c r="B14">
        <v>-1.0026579886860623</v>
      </c>
      <c r="C14">
        <v>4.7786376067749714</v>
      </c>
      <c r="G14" t="s">
        <v>18</v>
      </c>
      <c r="H14" t="e">
        <f>$L$3*(SQRT((7.02/((VLOOKUP(G14,'10A61 5" Calcs'!$A$3:$B$8,2,FALSE)-'10A61 10"+6" Calcs'!$G$3)*'10A61 10"+6" Calcs'!$G$3))))</f>
        <v>#VALUE!</v>
      </c>
      <c r="I14" t="e">
        <f>IF(H14&lt;$B$17+0.001,$B$16*(H14^4)+$C$16*(H14^3)+$D$16*(H14^2)+$E$16*H14+$F$16,$C$15*(H14^$B$14))</f>
        <v>#VALUE!</v>
      </c>
      <c r="J14" t="e">
        <f>I14/(SQRT((7.02/((VLOOKUP(G14,'10A61 5" Calcs'!$A$3:$B$8,2,FALSE)-'10A61 10"+6" Calcs'!$G$3)*'10A61 10"+6" Calcs'!$G$3))))</f>
        <v>#VALUE!</v>
      </c>
      <c r="K14" t="str">
        <f>IF(AND('VA Sizing'!$C$3="Gas",'VA Sizing'!$C$4=" Other",NOT('VA Sizing'!$C$5="Actual"),'VA Sizing'!$C$6="at Operating Conditions"),J14/$D$3,
IF(AND('VA Sizing'!$C$3="Gas",'VA Sizing'!$C$4=" Other",NOT('VA Sizing'!$C$5="Actual"),'VA Sizing'!$C$6="at Reference Conditions"),J14/'Modified Inputs'!$M$4,
IF('VA Sizing'!$C$5="Standard",J14/VLOOKUP('VA Sizing'!$C$4,'10A61 5" Calcs'!$J$3:$K$29,2,FALSE),
IF('VA Sizing'!$C$5="Normal",J14/VLOOKUP('VA Sizing'!$C$4,'10A61 5" Calcs'!$J$3:$L$29,3,FALSE),
IF('VA Sizing'!$C$5="Actual",J14/$G$3,"")))))</f>
        <v/>
      </c>
      <c r="L14">
        <f>'Modified Inputs'!$G$2*(SQRT((7.02/((VLOOKUP(G14,'10A61 5" Calcs'!$A$3:$B$8,2,FALSE)-'Modified Inputs'!$M$2)*'Modified Inputs'!$M$2))))</f>
        <v>2.1388735490091566</v>
      </c>
      <c r="M14">
        <f>IF(L14&lt;$B$17+0.001,$B$16*(L14^4)+$C$16*(L14^3)+$D$16*(L14^2)+$E$16*L14+$F$16,$C$15*(L14^$B$14))</f>
        <v>35.360640382108095</v>
      </c>
      <c r="N14">
        <f>M14/(SQRT((7.02/((VLOOKUP(G14,'10A61 5" Calcs'!$A$3:$B$8,2,FALSE)-'Modified Inputs'!$M$2)*'Modified Inputs'!$M$2))))</f>
        <v>16.532366019715884</v>
      </c>
      <c r="O14">
        <f>N14/'Modified Inputs'!$M$2</f>
        <v>16.699359615874631</v>
      </c>
      <c r="Q14" s="7">
        <f>IF('VA Sizing'!$C$3="Gas",K14,
IF('VA Sizing'!$C$3="Liquid",O14,""))</f>
        <v>16.699359615874631</v>
      </c>
      <c r="R14" s="7" t="str">
        <f>CONCATENATE($A$14,"-",G14)</f>
        <v>1/8-13.3-G-10-BG</v>
      </c>
    </row>
    <row r="15" spans="1:18">
      <c r="C15">
        <v>118.94219357076393</v>
      </c>
      <c r="G15" t="s">
        <v>21</v>
      </c>
      <c r="H15" t="e">
        <f>$L$3*(SQRT((7.02/((VLOOKUP(G15,'10A61 5" Calcs'!$A$3:$B$8,2,FALSE)-'10A61 10"+6" Calcs'!$G$3)*'10A61 10"+6" Calcs'!$G$3))))</f>
        <v>#VALUE!</v>
      </c>
      <c r="I15" t="e">
        <f t="shared" ref="I15:I18" si="2">IF(H15&lt;$B$17+0.001,$B$16*(H15^4)+$C$16*(H15^3)+$D$16*(H15^2)+$E$16*H15+$F$16,$C$15*(H15^$B$14))</f>
        <v>#VALUE!</v>
      </c>
      <c r="J15" t="e">
        <f>I15/(SQRT((7.02/((VLOOKUP(G15,'10A61 5" Calcs'!$A$3:$B$8,2,FALSE)-'10A61 10"+6" Calcs'!$G$3)*'10A61 10"+6" Calcs'!$G$3))))</f>
        <v>#VALUE!</v>
      </c>
      <c r="K15" t="str">
        <f>IF(AND('VA Sizing'!$C$3="Gas",'VA Sizing'!$C$4=" Other",NOT('VA Sizing'!$C$5="Actual"),'VA Sizing'!$C$6="at Operating Conditions"),J15/$D$3,
IF(AND('VA Sizing'!$C$3="Gas",'VA Sizing'!$C$4=" Other",NOT('VA Sizing'!$C$5="Actual"),'VA Sizing'!$C$6="at Reference Conditions"),J15/'Modified Inputs'!$M$4,
IF('VA Sizing'!$C$5="Standard",J15/VLOOKUP('VA Sizing'!$C$4,'10A61 5" Calcs'!$J$3:$K$29,2,FALSE),
IF('VA Sizing'!$C$5="Normal",J15/VLOOKUP('VA Sizing'!$C$4,'10A61 5" Calcs'!$J$3:$L$29,3,FALSE),
IF('VA Sizing'!$C$5="Actual",J15/$G$3,"")))))</f>
        <v/>
      </c>
      <c r="L15">
        <f>'Modified Inputs'!$G$2*(SQRT((7.02/((VLOOKUP(G15,'10A61 5" Calcs'!$A$3:$B$8,2,FALSE)-'Modified Inputs'!$M$2)*'Modified Inputs'!$M$2))))</f>
        <v>1.539981007018036</v>
      </c>
      <c r="M15">
        <f t="shared" ref="M15:M18" si="3">IF(L15&lt;$B$17+0.001,$B$16*(L15^4)+$C$16*(L15^3)+$D$16*(L15^2)+$E$16*L15+$F$16,$C$15*(L15^$B$14))</f>
        <v>41.876366112507696</v>
      </c>
      <c r="N15">
        <f>M15/(SQRT((7.02/((VLOOKUP(G15,'10A61 5" Calcs'!$A$3:$B$8,2,FALSE)-'Modified Inputs'!$M$2)*'Modified Inputs'!$M$2))))</f>
        <v>27.192780899029131</v>
      </c>
      <c r="O15">
        <f>N15/'Modified Inputs'!$M$2</f>
        <v>27.467455453564778</v>
      </c>
      <c r="Q15" s="7">
        <f>IF('VA Sizing'!$C$3="Gas",K15,
IF('VA Sizing'!$C$3="Liquid",O15,""))</f>
        <v>27.467455453564778</v>
      </c>
      <c r="R15" s="7" t="str">
        <f t="shared" ref="R15:R18" si="4">CONCATENATE($A$14,"-",G15)</f>
        <v>1/8-13.3-G-10-SA</v>
      </c>
    </row>
    <row r="16" spans="1:18">
      <c r="B16">
        <v>1.0879156784224131E-2</v>
      </c>
      <c r="C16">
        <v>-0.35112730055377034</v>
      </c>
      <c r="D16">
        <v>4.126765430230579</v>
      </c>
      <c r="E16">
        <v>-22.743810491851104</v>
      </c>
      <c r="F16">
        <v>68.335782309462374</v>
      </c>
      <c r="G16" t="s">
        <v>23</v>
      </c>
      <c r="H16" t="e">
        <f>$L$3*(SQRT((7.02/((VLOOKUP(G16,'10A61 5" Calcs'!$A$3:$B$8,2,FALSE)-'10A61 10"+6" Calcs'!$G$3)*'10A61 10"+6" Calcs'!$G$3))))</f>
        <v>#VALUE!</v>
      </c>
      <c r="I16" t="e">
        <f t="shared" si="2"/>
        <v>#VALUE!</v>
      </c>
      <c r="J16" t="e">
        <f>I16/(SQRT((7.02/((VLOOKUP(G16,'10A61 5" Calcs'!$A$3:$B$8,2,FALSE)-'10A61 10"+6" Calcs'!$G$3)*'10A61 10"+6" Calcs'!$G$3))))</f>
        <v>#VALUE!</v>
      </c>
      <c r="K16" t="str">
        <f>IF(AND('VA Sizing'!$C$3="Gas",'VA Sizing'!$C$4=" Other",NOT('VA Sizing'!$C$5="Actual"),'VA Sizing'!$C$6="at Operating Conditions"),J16/$D$3,
IF(AND('VA Sizing'!$C$3="Gas",'VA Sizing'!$C$4=" Other",NOT('VA Sizing'!$C$5="Actual"),'VA Sizing'!$C$6="at Reference Conditions"),J16/'Modified Inputs'!$M$4,
IF('VA Sizing'!$C$5="Standard",J16/VLOOKUP('VA Sizing'!$C$4,'10A61 5" Calcs'!$J$3:$K$29,2,FALSE),
IF('VA Sizing'!$C$5="Normal",J16/VLOOKUP('VA Sizing'!$C$4,'10A61 5" Calcs'!$J$3:$L$29,3,FALSE),
IF('VA Sizing'!$C$5="Actual",J16/$G$3,"")))))</f>
        <v/>
      </c>
      <c r="L16">
        <f>'Modified Inputs'!$G$2*(SQRT((7.02/((VLOOKUP(G16,'10A61 5" Calcs'!$A$3:$B$8,2,FALSE)-'Modified Inputs'!$M$2)*'Modified Inputs'!$M$2))))</f>
        <v>1.0043227402378698</v>
      </c>
      <c r="M16">
        <f t="shared" si="3"/>
        <v>49.311544628384397</v>
      </c>
      <c r="N16">
        <f>M16/(SQRT((7.02/((VLOOKUP(G16,'10A61 5" Calcs'!$A$3:$B$8,2,FALSE)-'Modified Inputs'!$M$2)*'Modified Inputs'!$M$2))))</f>
        <v>49.099301103851488</v>
      </c>
      <c r="O16">
        <f>N16/'Modified Inputs'!$M$2</f>
        <v>49.595253640254029</v>
      </c>
      <c r="Q16" s="7">
        <f>IF('VA Sizing'!$C$3="Gas",K16,
IF('VA Sizing'!$C$3="Liquid",O16,""))</f>
        <v>49.595253640254029</v>
      </c>
      <c r="R16" s="7" t="str">
        <f t="shared" si="4"/>
        <v>1/8-13.3-G-10-SS</v>
      </c>
    </row>
    <row r="17" spans="1:18">
      <c r="B17">
        <v>13</v>
      </c>
      <c r="G17" t="s">
        <v>26</v>
      </c>
      <c r="H17" t="e">
        <f>$L$3*(SQRT((7.02/((VLOOKUP(G17,'10A61 5" Calcs'!$A$3:$B$8,2,FALSE)-'10A61 10"+6" Calcs'!$G$3)*'10A61 10"+6" Calcs'!$G$3))))</f>
        <v>#VALUE!</v>
      </c>
      <c r="I17" t="e">
        <f t="shared" si="2"/>
        <v>#VALUE!</v>
      </c>
      <c r="J17" t="e">
        <f>I17/(SQRT((7.02/((VLOOKUP(G17,'10A61 5" Calcs'!$A$3:$B$8,2,FALSE)-'10A61 10"+6" Calcs'!$G$3)*'10A61 10"+6" Calcs'!$G$3))))</f>
        <v>#VALUE!</v>
      </c>
      <c r="K17" t="str">
        <f>IF(AND('VA Sizing'!$C$3="Gas",'VA Sizing'!$C$4=" Other",NOT('VA Sizing'!$C$5="Actual"),'VA Sizing'!$C$6="at Operating Conditions"),J17/$D$3,
IF(AND('VA Sizing'!$C$3="Gas",'VA Sizing'!$C$4=" Other",NOT('VA Sizing'!$C$5="Actual"),'VA Sizing'!$C$6="at Reference Conditions"),J17/'Modified Inputs'!$M$4,
IF('VA Sizing'!$C$5="Standard",J17/VLOOKUP('VA Sizing'!$C$4,'10A61 5" Calcs'!$J$3:$K$29,2,FALSE),
IF('VA Sizing'!$C$5="Normal",J17/VLOOKUP('VA Sizing'!$C$4,'10A61 5" Calcs'!$J$3:$L$29,3,FALSE),
IF('VA Sizing'!$C$5="Actual",J17/$G$3,"")))))</f>
        <v/>
      </c>
      <c r="L17">
        <f>'Modified Inputs'!$G$2*(SQRT((7.02/((VLOOKUP(G17,'10A61 5" Calcs'!$A$3:$B$8,2,FALSE)-'Modified Inputs'!$M$2)*'Modified Inputs'!$M$2))))</f>
        <v>0.7114295352654707</v>
      </c>
      <c r="M17">
        <f t="shared" si="3"/>
        <v>54.120205713466142</v>
      </c>
      <c r="N17">
        <f>M17/(SQRT((7.02/((VLOOKUP(G17,'10A61 5" Calcs'!$A$3:$B$8,2,FALSE)-'Modified Inputs'!$M$2)*'Modified Inputs'!$M$2))))</f>
        <v>76.072475249809713</v>
      </c>
      <c r="O17">
        <f>N17/'Modified Inputs'!$M$2</f>
        <v>76.840884090716884</v>
      </c>
      <c r="Q17" s="7">
        <f>IF('VA Sizing'!$C$3="Gas",K17,
IF('VA Sizing'!$C$3="Liquid",O17,""))</f>
        <v>76.840884090716884</v>
      </c>
      <c r="R17" s="7" t="str">
        <f t="shared" si="4"/>
        <v>1/8-13.3-G-10-CA</v>
      </c>
    </row>
    <row r="18" spans="1:18">
      <c r="G18" t="s">
        <v>126</v>
      </c>
      <c r="H18" t="e">
        <f>$L$3*(SQRT((7.02/((VLOOKUP(G18,'10A61 5" Calcs'!$A$3:$B$8,2,FALSE)-'10A61 10"+6" Calcs'!$G$3)*'10A61 10"+6" Calcs'!$G$3))))</f>
        <v>#VALUE!</v>
      </c>
      <c r="I18" t="e">
        <f t="shared" si="2"/>
        <v>#VALUE!</v>
      </c>
      <c r="J18" t="e">
        <f>I18/(SQRT((7.02/((VLOOKUP(G18,'10A61 5" Calcs'!$A$3:$B$8,2,FALSE)-'10A61 10"+6" Calcs'!$G$3)*'10A61 10"+6" Calcs'!$G$3))))</f>
        <v>#VALUE!</v>
      </c>
      <c r="K18" t="str">
        <f>IF(AND('VA Sizing'!$C$3="Gas",'VA Sizing'!$C$4=" Other",NOT('VA Sizing'!$C$5="Actual"),'VA Sizing'!$C$6="at Operating Conditions"),J18/$D$3,
IF(AND('VA Sizing'!$C$3="Gas",'VA Sizing'!$C$4=" Other",NOT('VA Sizing'!$C$5="Actual"),'VA Sizing'!$C$6="at Reference Conditions"),J18/'Modified Inputs'!$M$4,
IF('VA Sizing'!$C$5="Standard",J18/VLOOKUP('VA Sizing'!$C$4,'10A61 5" Calcs'!$J$3:$K$29,2,FALSE),
IF('VA Sizing'!$C$5="Normal",J18/VLOOKUP('VA Sizing'!$C$4,'10A61 5" Calcs'!$J$3:$L$29,3,FALSE),
IF('VA Sizing'!$C$5="Actual",J18/$G$3,"")))))</f>
        <v/>
      </c>
      <c r="L18">
        <f>'Modified Inputs'!$G$2*(SQRT((7.02/((VLOOKUP(G18,'10A61 5" Calcs'!$A$3:$B$8,2,FALSE)-'Modified Inputs'!$M$2)*'Modified Inputs'!$M$2))))</f>
        <v>0.67398387659754788</v>
      </c>
      <c r="M18">
        <f t="shared" si="3"/>
        <v>54.776165275081944</v>
      </c>
      <c r="N18">
        <f>M18/(SQRT((7.02/((VLOOKUP(G18,'10A61 5" Calcs'!$A$3:$B$8,2,FALSE)-'Modified Inputs'!$M$2)*'Modified Inputs'!$M$2))))</f>
        <v>81.272219079789821</v>
      </c>
      <c r="O18">
        <f>N18/'Modified Inputs'!$M$2</f>
        <v>82.093150585646285</v>
      </c>
      <c r="Q18" s="7">
        <f>IF('VA Sizing'!$C$3="Gas",K18,
IF('VA Sizing'!$C$3="Liquid",O18,""))</f>
        <v>82.093150585646285</v>
      </c>
      <c r="R18" s="7" t="str">
        <f t="shared" si="4"/>
        <v>1/8-13.3-G-10-TA</v>
      </c>
    </row>
    <row r="19" spans="1:18">
      <c r="Q19" s="7"/>
      <c r="R19" s="7"/>
    </row>
    <row r="20" spans="1:18">
      <c r="A20" s="3" t="s">
        <v>278</v>
      </c>
      <c r="B20">
        <v>-0.97168967369697867</v>
      </c>
      <c r="C20">
        <v>6.5663244942920382</v>
      </c>
      <c r="G20" t="s">
        <v>18</v>
      </c>
      <c r="H20" t="e">
        <f>$L$3*(SQRT((7.02/((VLOOKUP(G20,'10A61 5" Calcs'!$A$3:$B$8,2,FALSE)-'10A61 10"+6" Calcs'!$G$3)*'10A61 10"+6" Calcs'!$G$3))))</f>
        <v>#VALUE!</v>
      </c>
      <c r="I20" t="e">
        <f>IF(H20&lt;$B$23+0.001,$B$22*(H20^4)+$C$22*(H20^3)+$D$22*(H20^2)+$E$22*H20+$F$22,$C$21*(H20^$B$20))</f>
        <v>#VALUE!</v>
      </c>
      <c r="J20" t="e">
        <f>I20/(SQRT((7.02/((VLOOKUP(G20,'10A61 5" Calcs'!$A$3:$B$8,2,FALSE)-'10A61 10"+6" Calcs'!$G$3)*'10A61 10"+6" Calcs'!$G$3))))</f>
        <v>#VALUE!</v>
      </c>
      <c r="K20" t="str">
        <f>IF(AND('VA Sizing'!$C$3="Gas",'VA Sizing'!$C$4=" Other",NOT('VA Sizing'!$C$5="Actual"),'VA Sizing'!$C$6="at Operating Conditions"),J20/$D$3,
IF(AND('VA Sizing'!$C$3="Gas",'VA Sizing'!$C$4=" Other",NOT('VA Sizing'!$C$5="Actual"),'VA Sizing'!$C$6="at Reference Conditions"),J20/'Modified Inputs'!$M$4,
IF('VA Sizing'!$C$5="Standard",J20/VLOOKUP('VA Sizing'!$C$4,'10A61 5" Calcs'!$J$3:$K$29,2,FALSE),
IF('VA Sizing'!$C$5="Normal",J20/VLOOKUP('VA Sizing'!$C$4,'10A61 5" Calcs'!$J$3:$L$29,3,FALSE),
IF('VA Sizing'!$C$5="Actual",J20/$G$3,"")))))</f>
        <v/>
      </c>
      <c r="L20">
        <f>'Modified Inputs'!$G$2*(SQRT((7.02/((VLOOKUP(G20,'10A61 5" Calcs'!$A$3:$B$8,2,FALSE)-'Modified Inputs'!$M$2)*'Modified Inputs'!$M$2))))</f>
        <v>2.1388735490091566</v>
      </c>
      <c r="M20">
        <f>IF(L20&lt;$B$23+0.001,$B$22*(L20^4)+$C$22*(L20^3)+$D$22*(L20^2)+$E$22*L20+$F$22,$C$21*(L20^$B$20))</f>
        <v>116.87140008362806</v>
      </c>
      <c r="N20">
        <f>M20/(SQRT((7.02/((VLOOKUP(G20,'10A61 5" Calcs'!$A$3:$B$8,2,FALSE)-'Modified Inputs'!$M$2)*'Modified Inputs'!$M$2))))</f>
        <v>54.641565948472874</v>
      </c>
      <c r="O20">
        <f>N20/'Modified Inputs'!$M$2</f>
        <v>55.193500958053406</v>
      </c>
      <c r="Q20" s="7">
        <f>IF('VA Sizing'!$C$3="Gas",K20,
IF('VA Sizing'!$C$3="Liquid",O20,""))</f>
        <v>55.193500958053406</v>
      </c>
      <c r="R20" s="7" t="str">
        <f>CONCATENATE($A$20,"-",G20)</f>
        <v>1/8-32-G-10-BG</v>
      </c>
    </row>
    <row r="21" spans="1:18">
      <c r="C21">
        <v>710.75266088306114</v>
      </c>
      <c r="G21" t="s">
        <v>21</v>
      </c>
      <c r="H21" t="e">
        <f>$L$3*(SQRT((7.02/((VLOOKUP(G21,'10A61 5" Calcs'!$A$3:$B$8,2,FALSE)-'10A61 10"+6" Calcs'!$G$3)*'10A61 10"+6" Calcs'!$G$3))))</f>
        <v>#VALUE!</v>
      </c>
      <c r="I21" t="e">
        <f t="shared" ref="I21:I24" si="5">IF(H21&lt;$B$23+0.001,$B$22*(H21^4)+$C$22*(H21^3)+$D$22*(H21^2)+$E$22*H21+$F$22,$C$21*(H21^$B$20))</f>
        <v>#VALUE!</v>
      </c>
      <c r="J21" t="e">
        <f>I21/(SQRT((7.02/((VLOOKUP(G21,'10A61 5" Calcs'!$A$3:$B$8,2,FALSE)-'10A61 10"+6" Calcs'!$G$3)*'10A61 10"+6" Calcs'!$G$3))))</f>
        <v>#VALUE!</v>
      </c>
      <c r="K21" t="str">
        <f>IF(AND('VA Sizing'!$C$3="Gas",'VA Sizing'!$C$4=" Other",NOT('VA Sizing'!$C$5="Actual"),'VA Sizing'!$C$6="at Operating Conditions"),J21/$D$3,
IF(AND('VA Sizing'!$C$3="Gas",'VA Sizing'!$C$4=" Other",NOT('VA Sizing'!$C$5="Actual"),'VA Sizing'!$C$6="at Reference Conditions"),J21/'Modified Inputs'!$M$4,
IF('VA Sizing'!$C$5="Standard",J21/VLOOKUP('VA Sizing'!$C$4,'10A61 5" Calcs'!$J$3:$K$29,2,FALSE),
IF('VA Sizing'!$C$5="Normal",J21/VLOOKUP('VA Sizing'!$C$4,'10A61 5" Calcs'!$J$3:$L$29,3,FALSE),
IF('VA Sizing'!$C$5="Actual",J21/$G$3,"")))))</f>
        <v/>
      </c>
      <c r="L21">
        <f>'Modified Inputs'!$G$2*(SQRT((7.02/((VLOOKUP(G21,'10A61 5" Calcs'!$A$3:$B$8,2,FALSE)-'Modified Inputs'!$M$2)*'Modified Inputs'!$M$2))))</f>
        <v>1.539981007018036</v>
      </c>
      <c r="M21">
        <f t="shared" ref="M21:M24" si="6">IF(L21&lt;$B$23+0.001,$B$22*(L21^4)+$C$22*(L21^3)+$D$22*(L21^2)+$E$22*L21+$F$22,$C$21*(L21^$B$20))</f>
        <v>125.94106778867105</v>
      </c>
      <c r="N21">
        <f>M21/(SQRT((7.02/((VLOOKUP(G21,'10A61 5" Calcs'!$A$3:$B$8,2,FALSE)-'Modified Inputs'!$M$2)*'Modified Inputs'!$M$2))))</f>
        <v>81.780922761209126</v>
      </c>
      <c r="O21">
        <f>N21/'Modified Inputs'!$M$2</f>
        <v>82.606992688090031</v>
      </c>
      <c r="Q21" s="7">
        <f>IF('VA Sizing'!$C$3="Gas",K21,
IF('VA Sizing'!$C$3="Liquid",O21,""))</f>
        <v>82.606992688090031</v>
      </c>
      <c r="R21" s="7" t="str">
        <f t="shared" ref="R21:R24" si="7">CONCATENATE($A$20,"-",G21)</f>
        <v>1/8-32-G-10-SA</v>
      </c>
    </row>
    <row r="22" spans="1:18">
      <c r="B22">
        <v>1.6367296666517745E-3</v>
      </c>
      <c r="C22">
        <v>-9.5076277697651229E-2</v>
      </c>
      <c r="D22">
        <v>2.0320922839349831</v>
      </c>
      <c r="E22">
        <v>-21.688067994504209</v>
      </c>
      <c r="F22">
        <v>154.85911490071709</v>
      </c>
      <c r="G22" t="s">
        <v>23</v>
      </c>
      <c r="H22" t="e">
        <f>$L$3*(SQRT((7.02/((VLOOKUP(G22,'10A61 5" Calcs'!$A$3:$B$8,2,FALSE)-'10A61 10"+6" Calcs'!$G$3)*'10A61 10"+6" Calcs'!$G$3))))</f>
        <v>#VALUE!</v>
      </c>
      <c r="I22" t="e">
        <f t="shared" si="5"/>
        <v>#VALUE!</v>
      </c>
      <c r="J22" t="e">
        <f>I22/(SQRT((7.02/((VLOOKUP(G22,'10A61 5" Calcs'!$A$3:$B$8,2,FALSE)-'10A61 10"+6" Calcs'!$G$3)*'10A61 10"+6" Calcs'!$G$3))))</f>
        <v>#VALUE!</v>
      </c>
      <c r="K22" t="str">
        <f>IF(AND('VA Sizing'!$C$3="Gas",'VA Sizing'!$C$4=" Other",NOT('VA Sizing'!$C$5="Actual"),'VA Sizing'!$C$6="at Operating Conditions"),J22/$D$3,
IF(AND('VA Sizing'!$C$3="Gas",'VA Sizing'!$C$4=" Other",NOT('VA Sizing'!$C$5="Actual"),'VA Sizing'!$C$6="at Reference Conditions"),J22/'Modified Inputs'!$M$4,
IF('VA Sizing'!$C$5="Standard",J22/VLOOKUP('VA Sizing'!$C$4,'10A61 5" Calcs'!$J$3:$K$29,2,FALSE),
IF('VA Sizing'!$C$5="Normal",J22/VLOOKUP('VA Sizing'!$C$4,'10A61 5" Calcs'!$J$3:$L$29,3,FALSE),
IF('VA Sizing'!$C$5="Actual",J22/$G$3,"")))))</f>
        <v/>
      </c>
      <c r="L22">
        <f>'Modified Inputs'!$G$2*(SQRT((7.02/((VLOOKUP(G22,'10A61 5" Calcs'!$A$3:$B$8,2,FALSE)-'Modified Inputs'!$M$2)*'Modified Inputs'!$M$2))))</f>
        <v>1.0043227402378698</v>
      </c>
      <c r="M22">
        <f t="shared" si="6"/>
        <v>135.0323443209457</v>
      </c>
      <c r="N22">
        <f>M22/(SQRT((7.02/((VLOOKUP(G22,'10A61 5" Calcs'!$A$3:$B$8,2,FALSE)-'Modified Inputs'!$M$2)*'Modified Inputs'!$M$2))))</f>
        <v>134.45114693804885</v>
      </c>
      <c r="O22">
        <f>N22/'Modified Inputs'!$M$2</f>
        <v>135.80923933136248</v>
      </c>
      <c r="Q22" s="7">
        <f>IF('VA Sizing'!$C$3="Gas",K22,
IF('VA Sizing'!$C$3="Liquid",O22,""))</f>
        <v>135.80923933136248</v>
      </c>
      <c r="R22" s="7" t="str">
        <f t="shared" si="7"/>
        <v>1/8-32-G-10-SS</v>
      </c>
    </row>
    <row r="23" spans="1:18">
      <c r="B23">
        <v>24</v>
      </c>
      <c r="G23" t="s">
        <v>26</v>
      </c>
      <c r="H23" t="e">
        <f>$L$3*(SQRT((7.02/((VLOOKUP(G23,'10A61 5" Calcs'!$A$3:$B$8,2,FALSE)-'10A61 10"+6" Calcs'!$G$3)*'10A61 10"+6" Calcs'!$G$3))))</f>
        <v>#VALUE!</v>
      </c>
      <c r="I23" t="e">
        <f t="shared" si="5"/>
        <v>#VALUE!</v>
      </c>
      <c r="J23" t="e">
        <f>I23/(SQRT((7.02/((VLOOKUP(G23,'10A61 5" Calcs'!$A$3:$B$8,2,FALSE)-'10A61 10"+6" Calcs'!$G$3)*'10A61 10"+6" Calcs'!$G$3))))</f>
        <v>#VALUE!</v>
      </c>
      <c r="K23" t="str">
        <f>IF(AND('VA Sizing'!$C$3="Gas",'VA Sizing'!$C$4=" Other",NOT('VA Sizing'!$C$5="Actual"),'VA Sizing'!$C$6="at Operating Conditions"),J23/$D$3,
IF(AND('VA Sizing'!$C$3="Gas",'VA Sizing'!$C$4=" Other",NOT('VA Sizing'!$C$5="Actual"),'VA Sizing'!$C$6="at Reference Conditions"),J23/'Modified Inputs'!$M$4,
IF('VA Sizing'!$C$5="Standard",J23/VLOOKUP('VA Sizing'!$C$4,'10A61 5" Calcs'!$J$3:$K$29,2,FALSE),
IF('VA Sizing'!$C$5="Normal",J23/VLOOKUP('VA Sizing'!$C$4,'10A61 5" Calcs'!$J$3:$L$29,3,FALSE),
IF('VA Sizing'!$C$5="Actual",J23/$G$3,"")))))</f>
        <v/>
      </c>
      <c r="L23">
        <f>'Modified Inputs'!$G$2*(SQRT((7.02/((VLOOKUP(G23,'10A61 5" Calcs'!$A$3:$B$8,2,FALSE)-'Modified Inputs'!$M$2)*'Modified Inputs'!$M$2))))</f>
        <v>0.7114295352654707</v>
      </c>
      <c r="M23">
        <f t="shared" si="6"/>
        <v>140.42427414171976</v>
      </c>
      <c r="N23">
        <f>M23/(SQRT((7.02/((VLOOKUP(G23,'10A61 5" Calcs'!$A$3:$B$8,2,FALSE)-'Modified Inputs'!$M$2)*'Modified Inputs'!$M$2))))</f>
        <v>197.38325045687102</v>
      </c>
      <c r="O23">
        <f>N23/'Modified Inputs'!$M$2</f>
        <v>199.3770206635061</v>
      </c>
      <c r="Q23" s="7">
        <f>IF('VA Sizing'!$C$3="Gas",K23,
IF('VA Sizing'!$C$3="Liquid",O23,""))</f>
        <v>199.3770206635061</v>
      </c>
      <c r="R23" s="7" t="str">
        <f t="shared" si="7"/>
        <v>1/8-32-G-10-CA</v>
      </c>
    </row>
    <row r="24" spans="1:18">
      <c r="G24" t="s">
        <v>126</v>
      </c>
      <c r="H24" t="e">
        <f>$L$3*(SQRT((7.02/((VLOOKUP(G24,'10A61 5" Calcs'!$A$3:$B$8,2,FALSE)-'10A61 10"+6" Calcs'!$G$3)*'10A61 10"+6" Calcs'!$G$3))))</f>
        <v>#VALUE!</v>
      </c>
      <c r="I24" t="e">
        <f t="shared" si="5"/>
        <v>#VALUE!</v>
      </c>
      <c r="J24" t="e">
        <f>I24/(SQRT((7.02/((VLOOKUP(G24,'10A61 5" Calcs'!$A$3:$B$8,2,FALSE)-'10A61 10"+6" Calcs'!$G$3)*'10A61 10"+6" Calcs'!$G$3))))</f>
        <v>#VALUE!</v>
      </c>
      <c r="K24" t="str">
        <f>IF(AND('VA Sizing'!$C$3="Gas",'VA Sizing'!$C$4=" Other",NOT('VA Sizing'!$C$5="Actual"),'VA Sizing'!$C$6="at Operating Conditions"),J24/$D$3,
IF(AND('VA Sizing'!$C$3="Gas",'VA Sizing'!$C$4=" Other",NOT('VA Sizing'!$C$5="Actual"),'VA Sizing'!$C$6="at Reference Conditions"),J24/'Modified Inputs'!$M$4,
IF('VA Sizing'!$C$5="Standard",J24/VLOOKUP('VA Sizing'!$C$4,'10A61 5" Calcs'!$J$3:$K$29,2,FALSE),
IF('VA Sizing'!$C$5="Normal",J24/VLOOKUP('VA Sizing'!$C$4,'10A61 5" Calcs'!$J$3:$L$29,3,FALSE),
IF('VA Sizing'!$C$5="Actual",J24/$G$3,"")))))</f>
        <v/>
      </c>
      <c r="L24">
        <f>'Modified Inputs'!$G$2*(SQRT((7.02/((VLOOKUP(G24,'10A61 5" Calcs'!$A$3:$B$8,2,FALSE)-'Modified Inputs'!$M$2)*'Modified Inputs'!$M$2))))</f>
        <v>0.67398387659754788</v>
      </c>
      <c r="M24">
        <f t="shared" si="6"/>
        <v>141.13602252269399</v>
      </c>
      <c r="N24">
        <f>M24/(SQRT((7.02/((VLOOKUP(G24,'10A61 5" Calcs'!$A$3:$B$8,2,FALSE)-'Modified Inputs'!$M$2)*'Modified Inputs'!$M$2))))</f>
        <v>209.40563628196367</v>
      </c>
      <c r="O24">
        <f>N24/'Modified Inputs'!$M$2</f>
        <v>211.52084472925623</v>
      </c>
      <c r="Q24" s="7">
        <f>IF('VA Sizing'!$C$3="Gas",K24,
IF('VA Sizing'!$C$3="Liquid",O24,""))</f>
        <v>211.52084472925623</v>
      </c>
      <c r="R24" s="7" t="str">
        <f t="shared" si="7"/>
        <v>1/8-32-G-10-TA</v>
      </c>
    </row>
    <row r="25" spans="1:18">
      <c r="Q25" s="7"/>
      <c r="R25" s="7"/>
    </row>
    <row r="26" spans="1:18">
      <c r="A26" s="3" t="s">
        <v>280</v>
      </c>
      <c r="B26">
        <v>-0.9855450197853951</v>
      </c>
      <c r="C26">
        <v>6.7856575755914932</v>
      </c>
      <c r="G26" t="s">
        <v>18</v>
      </c>
      <c r="H26" t="e">
        <f>$L$3*(SQRT((7.02/((VLOOKUP(G26,'10A61 5" Calcs'!$A$3:$B$8,2,FALSE)-'10A61 10"+6" Calcs'!$G$3)*'10A61 10"+6" Calcs'!$G$3))))</f>
        <v>#VALUE!</v>
      </c>
      <c r="I26" t="e">
        <f>IF(H26&lt;$B$29+0.001,$B$28*(H26^4)+$C$28*(H26^3)+$D$28*(H26^2)+$E$28*H26+$F$28,$C$27*(H26^$B$26))</f>
        <v>#VALUE!</v>
      </c>
      <c r="J26" t="e">
        <f>I26/(SQRT((7.02/((VLOOKUP(G26,'10A61 5" Calcs'!$A$3:$B$8,2,FALSE)-'10A61 10"+6" Calcs'!$G$3)*'10A61 10"+6" Calcs'!$G$3))))</f>
        <v>#VALUE!</v>
      </c>
      <c r="K26" t="str">
        <f>IF(AND('VA Sizing'!$C$3="Gas",'VA Sizing'!$C$4=" Other",NOT('VA Sizing'!$C$5="Actual"),'VA Sizing'!$C$6="at Operating Conditions"),J26/$D$3,
IF(AND('VA Sizing'!$C$3="Gas",'VA Sizing'!$C$4=" Other",NOT('VA Sizing'!$C$5="Actual"),'VA Sizing'!$C$6="at Reference Conditions"),J26/'Modified Inputs'!$M$4,
IF('VA Sizing'!$C$5="Standard",J26/VLOOKUP('VA Sizing'!$C$4,'10A61 5" Calcs'!$J$3:$K$29,2,FALSE),
IF('VA Sizing'!$C$5="Normal",J26/VLOOKUP('VA Sizing'!$C$4,'10A61 5" Calcs'!$J$3:$L$29,3,FALSE),
IF('VA Sizing'!$C$5="Actual",J26/$G$3,"")))))</f>
        <v/>
      </c>
      <c r="L26">
        <f>'Modified Inputs'!$G$2*(SQRT((7.02/((VLOOKUP(G26,'10A61 5" Calcs'!$A$3:$B$8,2,FALSE)-'Modified Inputs'!$M$2)*'Modified Inputs'!$M$2))))</f>
        <v>2.1388735490091566</v>
      </c>
      <c r="M26">
        <f>IF(L26&lt;$B$29+0.001,$B$28*(L26^4)+$C$28*(L26^3)+$D$28*(L26^2)+$E$28*L26+$F$28,$C$27*(L26^$B$26))</f>
        <v>197.10140760255453</v>
      </c>
      <c r="N26">
        <f>M26/(SQRT((7.02/((VLOOKUP(G26,'10A61 5" Calcs'!$A$3:$B$8,2,FALSE)-'Modified Inputs'!$M$2)*'Modified Inputs'!$M$2))))</f>
        <v>92.151968354493278</v>
      </c>
      <c r="O26">
        <f>N26/'Modified Inputs'!$M$2</f>
        <v>93.082796317669974</v>
      </c>
      <c r="Q26" s="7">
        <f>IF('VA Sizing'!$C$3="Gas",K26,
IF('VA Sizing'!$C$3="Liquid",O26,""))</f>
        <v>93.082796317669974</v>
      </c>
      <c r="R26" s="7" t="str">
        <f>CONCATENATE($A$26,"-",G26)</f>
        <v>1/4-10-G-10-BG</v>
      </c>
    </row>
    <row r="27" spans="1:18">
      <c r="C27">
        <v>885.06189073045607</v>
      </c>
      <c r="G27" t="s">
        <v>21</v>
      </c>
      <c r="H27" t="e">
        <f>$L$3*(SQRT((7.02/((VLOOKUP(G27,'10A61 5" Calcs'!$A$3:$B$8,2,FALSE)-'10A61 10"+6" Calcs'!$G$3)*'10A61 10"+6" Calcs'!$G$3))))</f>
        <v>#VALUE!</v>
      </c>
      <c r="I27" t="e">
        <f t="shared" ref="I27:I30" si="8">IF(H27&lt;$B$29+0.001,$B$28*(H27^4)+$C$28*(H27^3)+$D$28*(H27^2)+$E$28*H27+$F$28,$C$27*(H27^$B$26))</f>
        <v>#VALUE!</v>
      </c>
      <c r="J27" t="e">
        <f>I27/(SQRT((7.02/((VLOOKUP(G27,'10A61 5" Calcs'!$A$3:$B$8,2,FALSE)-'10A61 10"+6" Calcs'!$G$3)*'10A61 10"+6" Calcs'!$G$3))))</f>
        <v>#VALUE!</v>
      </c>
      <c r="K27" t="str">
        <f>IF(AND('VA Sizing'!$C$3="Gas",'VA Sizing'!$C$4=" Other",NOT('VA Sizing'!$C$5="Actual"),'VA Sizing'!$C$6="at Operating Conditions"),J27/$D$3,
IF(AND('VA Sizing'!$C$3="Gas",'VA Sizing'!$C$4=" Other",NOT('VA Sizing'!$C$5="Actual"),'VA Sizing'!$C$6="at Reference Conditions"),J27/'Modified Inputs'!$M$4,
IF('VA Sizing'!$C$5="Standard",J27/VLOOKUP('VA Sizing'!$C$4,'10A61 5" Calcs'!$J$3:$K$29,2,FALSE),
IF('VA Sizing'!$C$5="Normal",J27/VLOOKUP('VA Sizing'!$C$4,'10A61 5" Calcs'!$J$3:$L$29,3,FALSE),
IF('VA Sizing'!$C$5="Actual",J27/$G$3,"")))))</f>
        <v/>
      </c>
      <c r="L27">
        <f>'Modified Inputs'!$G$2*(SQRT((7.02/((VLOOKUP(G27,'10A61 5" Calcs'!$A$3:$B$8,2,FALSE)-'Modified Inputs'!$M$2)*'Modified Inputs'!$M$2))))</f>
        <v>1.539981007018036</v>
      </c>
      <c r="M27">
        <f t="shared" ref="M27:M30" si="9">IF(L27&lt;$B$29+0.001,$B$28*(L27^4)+$C$28*(L27^3)+$D$28*(L27^2)+$E$28*L27+$F$28,$C$27*(L27^$B$26))</f>
        <v>221.70140475458544</v>
      </c>
      <c r="N27">
        <f>M27/(SQRT((7.02/((VLOOKUP(G27,'10A61 5" Calcs'!$A$3:$B$8,2,FALSE)-'Modified Inputs'!$M$2)*'Modified Inputs'!$M$2))))</f>
        <v>143.96372665912295</v>
      </c>
      <c r="O27">
        <f>N27/'Modified Inputs'!$M$2</f>
        <v>145.41790571628582</v>
      </c>
      <c r="Q27" s="7">
        <f>IF('VA Sizing'!$C$3="Gas",K27,
IF('VA Sizing'!$C$3="Liquid",O27,""))</f>
        <v>145.41790571628582</v>
      </c>
      <c r="R27" s="7" t="str">
        <f t="shared" ref="R27:R30" si="10">CONCATENATE($A$26,"-",G27)</f>
        <v>1/4-10-G-10-SA</v>
      </c>
    </row>
    <row r="28" spans="1:18">
      <c r="B28">
        <v>2.7760136668528338E-2</v>
      </c>
      <c r="C28">
        <v>-0.96500710273022983</v>
      </c>
      <c r="D28">
        <v>12.31473006042196</v>
      </c>
      <c r="E28">
        <v>-77.207495050386669</v>
      </c>
      <c r="F28">
        <v>314.76278879456891</v>
      </c>
      <c r="G28" t="s">
        <v>23</v>
      </c>
      <c r="H28" t="e">
        <f>$L$3*(SQRT((7.02/((VLOOKUP(G28,'10A61 5" Calcs'!$A$3:$B$8,2,FALSE)-'10A61 10"+6" Calcs'!$G$3)*'10A61 10"+6" Calcs'!$G$3))))</f>
        <v>#VALUE!</v>
      </c>
      <c r="I28" t="e">
        <f t="shared" si="8"/>
        <v>#VALUE!</v>
      </c>
      <c r="J28" t="e">
        <f>I28/(SQRT((7.02/((VLOOKUP(G28,'10A61 5" Calcs'!$A$3:$B$8,2,FALSE)-'10A61 10"+6" Calcs'!$G$3)*'10A61 10"+6" Calcs'!$G$3))))</f>
        <v>#VALUE!</v>
      </c>
      <c r="K28" t="str">
        <f>IF(AND('VA Sizing'!$C$3="Gas",'VA Sizing'!$C$4=" Other",NOT('VA Sizing'!$C$5="Actual"),'VA Sizing'!$C$6="at Operating Conditions"),J28/$D$3,
IF(AND('VA Sizing'!$C$3="Gas",'VA Sizing'!$C$4=" Other",NOT('VA Sizing'!$C$5="Actual"),'VA Sizing'!$C$6="at Reference Conditions"),J28/'Modified Inputs'!$M$4,
IF('VA Sizing'!$C$5="Standard",J28/VLOOKUP('VA Sizing'!$C$4,'10A61 5" Calcs'!$J$3:$K$29,2,FALSE),
IF('VA Sizing'!$C$5="Normal",J28/VLOOKUP('VA Sizing'!$C$4,'10A61 5" Calcs'!$J$3:$L$29,3,FALSE),
IF('VA Sizing'!$C$5="Actual",J28/$G$3,"")))))</f>
        <v/>
      </c>
      <c r="L28">
        <f>'Modified Inputs'!$G$2*(SQRT((7.02/((VLOOKUP(G28,'10A61 5" Calcs'!$A$3:$B$8,2,FALSE)-'Modified Inputs'!$M$2)*'Modified Inputs'!$M$2))))</f>
        <v>1.0043227402378698</v>
      </c>
      <c r="M28">
        <f t="shared" si="9"/>
        <v>248.69364028652609</v>
      </c>
      <c r="N28">
        <f>M28/(SQRT((7.02/((VLOOKUP(G28,'10A61 5" Calcs'!$A$3:$B$8,2,FALSE)-'Modified Inputs'!$M$2)*'Modified Inputs'!$M$2))))</f>
        <v>247.62322938901494</v>
      </c>
      <c r="O28">
        <f>N28/'Modified Inputs'!$M$2</f>
        <v>250.12447413031813</v>
      </c>
      <c r="Q28" s="7">
        <f>IF('VA Sizing'!$C$3="Gas",K28,
IF('VA Sizing'!$C$3="Liquid",O28,""))</f>
        <v>250.12447413031813</v>
      </c>
      <c r="R28" s="7" t="str">
        <f t="shared" si="10"/>
        <v>1/4-10-G-10-SS</v>
      </c>
    </row>
    <row r="29" spans="1:18">
      <c r="B29">
        <v>14</v>
      </c>
      <c r="G29" t="s">
        <v>26</v>
      </c>
      <c r="H29" t="e">
        <f>$L$3*(SQRT((7.02/((VLOOKUP(G29,'10A61 5" Calcs'!$A$3:$B$8,2,FALSE)-'10A61 10"+6" Calcs'!$G$3)*'10A61 10"+6" Calcs'!$G$3))))</f>
        <v>#VALUE!</v>
      </c>
      <c r="I29" t="e">
        <f t="shared" si="8"/>
        <v>#VALUE!</v>
      </c>
      <c r="J29" t="e">
        <f>I29/(SQRT((7.02/((VLOOKUP(G29,'10A61 5" Calcs'!$A$3:$B$8,2,FALSE)-'10A61 10"+6" Calcs'!$G$3)*'10A61 10"+6" Calcs'!$G$3))))</f>
        <v>#VALUE!</v>
      </c>
      <c r="K29" t="str">
        <f>IF(AND('VA Sizing'!$C$3="Gas",'VA Sizing'!$C$4=" Other",NOT('VA Sizing'!$C$5="Actual"),'VA Sizing'!$C$6="at Operating Conditions"),J29/$D$3,
IF(AND('VA Sizing'!$C$3="Gas",'VA Sizing'!$C$4=" Other",NOT('VA Sizing'!$C$5="Actual"),'VA Sizing'!$C$6="at Reference Conditions"),J29/'Modified Inputs'!$M$4,
IF('VA Sizing'!$C$5="Standard",J29/VLOOKUP('VA Sizing'!$C$4,'10A61 5" Calcs'!$J$3:$K$29,2,FALSE),
IF('VA Sizing'!$C$5="Normal",J29/VLOOKUP('VA Sizing'!$C$4,'10A61 5" Calcs'!$J$3:$L$29,3,FALSE),
IF('VA Sizing'!$C$5="Actual",J29/$G$3,"")))))</f>
        <v/>
      </c>
      <c r="L29">
        <f>'Modified Inputs'!$G$2*(SQRT((7.02/((VLOOKUP(G29,'10A61 5" Calcs'!$A$3:$B$8,2,FALSE)-'Modified Inputs'!$M$2)*'Modified Inputs'!$M$2))))</f>
        <v>0.7114295352654707</v>
      </c>
      <c r="M29">
        <f t="shared" si="9"/>
        <v>265.72760943214473</v>
      </c>
      <c r="N29">
        <f>M29/(SQRT((7.02/((VLOOKUP(G29,'10A61 5" Calcs'!$A$3:$B$8,2,FALSE)-'Modified Inputs'!$M$2)*'Modified Inputs'!$M$2))))</f>
        <v>373.51219799018912</v>
      </c>
      <c r="O29">
        <f>N29/'Modified Inputs'!$M$2</f>
        <v>377.28504847493849</v>
      </c>
      <c r="Q29" s="7">
        <f>IF('VA Sizing'!$C$3="Gas",K29,
IF('VA Sizing'!$C$3="Liquid",O29,""))</f>
        <v>377.28504847493849</v>
      </c>
      <c r="R29" s="7" t="str">
        <f t="shared" si="10"/>
        <v>1/4-10-G-10-CA</v>
      </c>
    </row>
    <row r="30" spans="1:18">
      <c r="G30" t="s">
        <v>126</v>
      </c>
      <c r="H30" t="e">
        <f>$L$3*(SQRT((7.02/((VLOOKUP(G30,'10A61 5" Calcs'!$A$3:$B$8,2,FALSE)-'10A61 10"+6" Calcs'!$G$3)*'10A61 10"+6" Calcs'!$G$3))))</f>
        <v>#VALUE!</v>
      </c>
      <c r="I30" t="e">
        <f t="shared" si="8"/>
        <v>#VALUE!</v>
      </c>
      <c r="J30" t="e">
        <f>I30/(SQRT((7.02/((VLOOKUP(G30,'10A61 5" Calcs'!$A$3:$B$8,2,FALSE)-'10A61 10"+6" Calcs'!$G$3)*'10A61 10"+6" Calcs'!$G$3))))</f>
        <v>#VALUE!</v>
      </c>
      <c r="K30" t="str">
        <f>IF(AND('VA Sizing'!$C$3="Gas",'VA Sizing'!$C$4=" Other",NOT('VA Sizing'!$C$5="Actual"),'VA Sizing'!$C$6="at Operating Conditions"),J30/$D$3,
IF(AND('VA Sizing'!$C$3="Gas",'VA Sizing'!$C$4=" Other",NOT('VA Sizing'!$C$5="Actual"),'VA Sizing'!$C$6="at Reference Conditions"),J30/'Modified Inputs'!$M$4,
IF('VA Sizing'!$C$5="Standard",J30/VLOOKUP('VA Sizing'!$C$4,'10A61 5" Calcs'!$J$3:$K$29,2,FALSE),
IF('VA Sizing'!$C$5="Normal",J30/VLOOKUP('VA Sizing'!$C$4,'10A61 5" Calcs'!$J$3:$L$29,3,FALSE),
IF('VA Sizing'!$C$5="Actual",J30/$G$3,"")))))</f>
        <v/>
      </c>
      <c r="L30">
        <f>'Modified Inputs'!$G$2*(SQRT((7.02/((VLOOKUP(G30,'10A61 5" Calcs'!$A$3:$B$8,2,FALSE)-'Modified Inputs'!$M$2)*'Modified Inputs'!$M$2))))</f>
        <v>0.67398387659754788</v>
      </c>
      <c r="M30">
        <f t="shared" si="9"/>
        <v>268.03048223696044</v>
      </c>
      <c r="N30">
        <f>M30/(SQRT((7.02/((VLOOKUP(G30,'10A61 5" Calcs'!$A$3:$B$8,2,FALSE)-'Modified Inputs'!$M$2)*'Modified Inputs'!$M$2))))</f>
        <v>397.68085193677109</v>
      </c>
      <c r="O30">
        <f>N30/'Modified Inputs'!$M$2</f>
        <v>401.69783023916273</v>
      </c>
      <c r="Q30" s="7">
        <f>IF('VA Sizing'!$C$3="Gas",K30,
IF('VA Sizing'!$C$3="Liquid",O30,""))</f>
        <v>401.69783023916273</v>
      </c>
      <c r="R30" s="7" t="str">
        <f t="shared" si="10"/>
        <v>1/4-10-G-10-TA</v>
      </c>
    </row>
    <row r="31" spans="1:18">
      <c r="Q31" s="7"/>
      <c r="R31" s="7"/>
    </row>
    <row r="32" spans="1:18">
      <c r="A32" s="3" t="s">
        <v>282</v>
      </c>
      <c r="B32">
        <v>-0.88985122785688997</v>
      </c>
      <c r="C32">
        <v>8.0654153525387571</v>
      </c>
      <c r="G32" t="s">
        <v>18</v>
      </c>
      <c r="H32" t="e">
        <f>$L$3*(SQRT((7.02/((VLOOKUP(G32,'10A61 5" Calcs'!$A$3:$B$8,2,FALSE)-'10A61 10"+6" Calcs'!$G$3)*'10A61 10"+6" Calcs'!$G$3))))</f>
        <v>#VALUE!</v>
      </c>
      <c r="I32" t="e">
        <f>IF(H32&lt;$B$35+0.001,$B$34*(H32^4)+$C$34*(H32^3)+$D$34*(H32^2)+$E$34*H32+$F$34,$C$33*(H32^$B$32))</f>
        <v>#VALUE!</v>
      </c>
      <c r="J32" t="e">
        <f>I32/(SQRT((7.02/((VLOOKUP(G32,'10A61 5" Calcs'!$A$3:$B$8,2,FALSE)-'10A61 10"+6" Calcs'!$G$3)*'10A61 10"+6" Calcs'!$G$3))))</f>
        <v>#VALUE!</v>
      </c>
      <c r="K32" t="str">
        <f>IF(AND('VA Sizing'!$C$3="Gas",'VA Sizing'!$C$4=" Other",NOT('VA Sizing'!$C$5="Actual"),'VA Sizing'!$C$6="at Operating Conditions"),J32/$D$3,
IF(AND('VA Sizing'!$C$3="Gas",'VA Sizing'!$C$4=" Other",NOT('VA Sizing'!$C$5="Actual"),'VA Sizing'!$C$6="at Reference Conditions"),J32/'Modified Inputs'!$M$4,
IF('VA Sizing'!$C$5="Standard",J32/VLOOKUP('VA Sizing'!$C$4,'10A61 5" Calcs'!$J$3:$K$29,2,FALSE),
IF('VA Sizing'!$C$5="Normal",J32/VLOOKUP('VA Sizing'!$C$4,'10A61 5" Calcs'!$J$3:$L$29,3,FALSE),
IF('VA Sizing'!$C$5="Actual",J32/$G$3,"")))))</f>
        <v/>
      </c>
      <c r="L32">
        <f>'Modified Inputs'!$G$2*(SQRT((7.02/((VLOOKUP(G32,'10A61 5" Calcs'!$A$3:$B$8,2,FALSE)-'Modified Inputs'!$M$2)*'Modified Inputs'!$M$2))))</f>
        <v>2.1388735490091566</v>
      </c>
      <c r="M32">
        <f>IF(L32&lt;$B$35+0.001,$B$34*(L32^4)+$C$34*(L32^3)+$D$34*(L32^2)+$E$34*L32+$F$34,$C$33*(L32^$B$32))</f>
        <v>494.23135671509567</v>
      </c>
      <c r="N32">
        <f>M32/(SQRT((7.02/((VLOOKUP(G32,'10A61 5" Calcs'!$A$3:$B$8,2,FALSE)-'Modified Inputs'!$M$2)*'Modified Inputs'!$M$2))))</f>
        <v>231.07086295216035</v>
      </c>
      <c r="O32">
        <f>N32/'Modified Inputs'!$M$2</f>
        <v>233.40491207288926</v>
      </c>
      <c r="Q32" s="7">
        <f>IF('VA Sizing'!$C$3="Gas",K32,
IF('VA Sizing'!$C$3="Liquid",O32,""))</f>
        <v>233.40491207288926</v>
      </c>
      <c r="R32" s="7" t="str">
        <f>CONCATENATE($A$32,"-",G32)</f>
        <v>1/4-19-G-10-BG</v>
      </c>
    </row>
    <row r="33" spans="1:23">
      <c r="C33">
        <v>3182.4777929336292</v>
      </c>
      <c r="G33" t="s">
        <v>21</v>
      </c>
      <c r="H33" t="e">
        <f>$L$3*(SQRT((7.02/((VLOOKUP(G33,'10A61 5" Calcs'!$A$3:$B$8,2,FALSE)-'10A61 10"+6" Calcs'!$G$3)*'10A61 10"+6" Calcs'!$G$3))))</f>
        <v>#VALUE!</v>
      </c>
      <c r="I33" t="e">
        <f t="shared" ref="I33:I36" si="11">IF(H33&lt;$B$35+0.001,$B$34*(H33^4)+$C$34*(H33^3)+$D$34*(H33^2)+$E$34*H33+$F$34,$C$33*(H33^$B$32))</f>
        <v>#VALUE!</v>
      </c>
      <c r="J33" t="e">
        <f>I33/(SQRT((7.02/((VLOOKUP(G33,'10A61 5" Calcs'!$A$3:$B$8,2,FALSE)-'10A61 10"+6" Calcs'!$G$3)*'10A61 10"+6" Calcs'!$G$3))))</f>
        <v>#VALUE!</v>
      </c>
      <c r="K33" t="str">
        <f>IF(AND('VA Sizing'!$C$3="Gas",'VA Sizing'!$C$4=" Other",NOT('VA Sizing'!$C$5="Actual"),'VA Sizing'!$C$6="at Operating Conditions"),J33/$D$3,
IF(AND('VA Sizing'!$C$3="Gas",'VA Sizing'!$C$4=" Other",NOT('VA Sizing'!$C$5="Actual"),'VA Sizing'!$C$6="at Reference Conditions"),J33/'Modified Inputs'!$M$4,
IF('VA Sizing'!$C$5="Standard",J33/VLOOKUP('VA Sizing'!$C$4,'10A61 5" Calcs'!$J$3:$K$29,2,FALSE),
IF('VA Sizing'!$C$5="Normal",J33/VLOOKUP('VA Sizing'!$C$4,'10A61 5" Calcs'!$J$3:$L$29,3,FALSE),
IF('VA Sizing'!$C$5="Actual",J33/$G$3,"")))))</f>
        <v/>
      </c>
      <c r="L33">
        <f>'Modified Inputs'!$G$2*(SQRT((7.02/((VLOOKUP(G33,'10A61 5" Calcs'!$A$3:$B$8,2,FALSE)-'Modified Inputs'!$M$2)*'Modified Inputs'!$M$2))))</f>
        <v>1.539981007018036</v>
      </c>
      <c r="M33">
        <f t="shared" ref="M33:M36" si="12">IF(L33&lt;$B$35+0.001,$B$34*(L33^4)+$C$34*(L33^3)+$D$34*(L33^2)+$E$34*L33+$F$34,$C$33*(L33^$B$32))</f>
        <v>526.34598974848018</v>
      </c>
      <c r="N33">
        <f>M33/(SQRT((7.02/((VLOOKUP(G33,'10A61 5" Calcs'!$A$3:$B$8,2,FALSE)-'Modified Inputs'!$M$2)*'Modified Inputs'!$M$2))))</f>
        <v>341.78732552531778</v>
      </c>
      <c r="O33">
        <f>N33/'Modified Inputs'!$M$2</f>
        <v>345.23972275284626</v>
      </c>
      <c r="Q33" s="7">
        <f>IF('VA Sizing'!$C$3="Gas",K33,
IF('VA Sizing'!$C$3="Liquid",O33,""))</f>
        <v>345.23972275284626</v>
      </c>
      <c r="R33" s="7" t="str">
        <f t="shared" ref="R33:R36" si="13">CONCATENATE($A$32,"-",G33)</f>
        <v>1/4-19-G-10-SA</v>
      </c>
    </row>
    <row r="34" spans="1:23">
      <c r="B34">
        <v>6.0302239920945163E-3</v>
      </c>
      <c r="C34">
        <v>-0.36054223071254216</v>
      </c>
      <c r="D34">
        <v>7.6624439382943921</v>
      </c>
      <c r="E34">
        <v>-78.274475467196837</v>
      </c>
      <c r="F34">
        <v>629.99822294518913</v>
      </c>
      <c r="G34" t="s">
        <v>23</v>
      </c>
      <c r="H34" t="e">
        <f>$L$3*(SQRT((7.02/((VLOOKUP(G34,'10A61 5" Calcs'!$A$3:$B$8,2,FALSE)-'10A61 10"+6" Calcs'!$G$3)*'10A61 10"+6" Calcs'!$G$3))))</f>
        <v>#VALUE!</v>
      </c>
      <c r="I34" t="e">
        <f t="shared" si="11"/>
        <v>#VALUE!</v>
      </c>
      <c r="J34" t="e">
        <f>I34/(SQRT((7.02/((VLOOKUP(G34,'10A61 5" Calcs'!$A$3:$B$8,2,FALSE)-'10A61 10"+6" Calcs'!$G$3)*'10A61 10"+6" Calcs'!$G$3))))</f>
        <v>#VALUE!</v>
      </c>
      <c r="K34" t="str">
        <f>IF(AND('VA Sizing'!$C$3="Gas",'VA Sizing'!$C$4=" Other",NOT('VA Sizing'!$C$5="Actual"),'VA Sizing'!$C$6="at Operating Conditions"),J34/$D$3,
IF(AND('VA Sizing'!$C$3="Gas",'VA Sizing'!$C$4=" Other",NOT('VA Sizing'!$C$5="Actual"),'VA Sizing'!$C$6="at Reference Conditions"),J34/'Modified Inputs'!$M$4,
IF('VA Sizing'!$C$5="Standard",J34/VLOOKUP('VA Sizing'!$C$4,'10A61 5" Calcs'!$J$3:$K$29,2,FALSE),
IF('VA Sizing'!$C$5="Normal",J34/VLOOKUP('VA Sizing'!$C$4,'10A61 5" Calcs'!$J$3:$L$29,3,FALSE),
IF('VA Sizing'!$C$5="Actual",J34/$G$3,"")))))</f>
        <v/>
      </c>
      <c r="L34">
        <f>'Modified Inputs'!$G$2*(SQRT((7.02/((VLOOKUP(G34,'10A61 5" Calcs'!$A$3:$B$8,2,FALSE)-'Modified Inputs'!$M$2)*'Modified Inputs'!$M$2))))</f>
        <v>1.0043227402378698</v>
      </c>
      <c r="M34">
        <f t="shared" si="12"/>
        <v>558.75511699008769</v>
      </c>
      <c r="N34">
        <f>M34/(SQRT((7.02/((VLOOKUP(G34,'10A61 5" Calcs'!$A$3:$B$8,2,FALSE)-'Modified Inputs'!$M$2)*'Modified Inputs'!$M$2))))</f>
        <v>556.3501597681128</v>
      </c>
      <c r="O34">
        <f>N34/'Modified Inputs'!$M$2</f>
        <v>561.96985835162911</v>
      </c>
      <c r="Q34" s="7">
        <f>IF('VA Sizing'!$C$3="Gas",K34,
IF('VA Sizing'!$C$3="Liquid",O34,""))</f>
        <v>561.96985835162911</v>
      </c>
      <c r="R34" s="7" t="str">
        <f t="shared" si="13"/>
        <v>1/4-19-G-10-SS</v>
      </c>
    </row>
    <row r="35" spans="1:23">
      <c r="B35">
        <v>25</v>
      </c>
      <c r="G35" t="s">
        <v>26</v>
      </c>
      <c r="H35" t="e">
        <f>$L$3*(SQRT((7.02/((VLOOKUP(G35,'10A61 5" Calcs'!$A$3:$B$8,2,FALSE)-'10A61 10"+6" Calcs'!$G$3)*'10A61 10"+6" Calcs'!$G$3))))</f>
        <v>#VALUE!</v>
      </c>
      <c r="I35" t="e">
        <f t="shared" si="11"/>
        <v>#VALUE!</v>
      </c>
      <c r="J35" t="e">
        <f>I35/(SQRT((7.02/((VLOOKUP(G35,'10A61 5" Calcs'!$A$3:$B$8,2,FALSE)-'10A61 10"+6" Calcs'!$G$3)*'10A61 10"+6" Calcs'!$G$3))))</f>
        <v>#VALUE!</v>
      </c>
      <c r="K35" t="str">
        <f>IF(AND('VA Sizing'!$C$3="Gas",'VA Sizing'!$C$4=" Other",NOT('VA Sizing'!$C$5="Actual"),'VA Sizing'!$C$6="at Operating Conditions"),J35/$D$3,
IF(AND('VA Sizing'!$C$3="Gas",'VA Sizing'!$C$4=" Other",NOT('VA Sizing'!$C$5="Actual"),'VA Sizing'!$C$6="at Reference Conditions"),J35/'Modified Inputs'!$M$4,
IF('VA Sizing'!$C$5="Standard",J35/VLOOKUP('VA Sizing'!$C$4,'10A61 5" Calcs'!$J$3:$K$29,2,FALSE),
IF('VA Sizing'!$C$5="Normal",J35/VLOOKUP('VA Sizing'!$C$4,'10A61 5" Calcs'!$J$3:$L$29,3,FALSE),
IF('VA Sizing'!$C$5="Actual",J35/$G$3,"")))))</f>
        <v/>
      </c>
      <c r="L35">
        <f>'Modified Inputs'!$G$2*(SQRT((7.02/((VLOOKUP(G35,'10A61 5" Calcs'!$A$3:$B$8,2,FALSE)-'Modified Inputs'!$M$2)*'Modified Inputs'!$M$2))))</f>
        <v>0.7114295352654707</v>
      </c>
      <c r="M35">
        <f t="shared" si="12"/>
        <v>578.06137889844342</v>
      </c>
      <c r="N35">
        <f>M35/(SQRT((7.02/((VLOOKUP(G35,'10A61 5" Calcs'!$A$3:$B$8,2,FALSE)-'Modified Inputs'!$M$2)*'Modified Inputs'!$M$2))))</f>
        <v>812.53497394192266</v>
      </c>
      <c r="O35">
        <f>N35/'Modified Inputs'!$M$2</f>
        <v>820.74239792113406</v>
      </c>
      <c r="Q35" s="7">
        <f>IF('VA Sizing'!$C$3="Gas",K35,
IF('VA Sizing'!$C$3="Liquid",O35,""))</f>
        <v>820.74239792113406</v>
      </c>
      <c r="R35" s="7" t="str">
        <f t="shared" si="13"/>
        <v>1/4-19-G-10-CA</v>
      </c>
    </row>
    <row r="36" spans="1:23" ht="15.75" customHeight="1">
      <c r="G36" t="s">
        <v>126</v>
      </c>
      <c r="H36" t="e">
        <f>$L$3*(SQRT((7.02/((VLOOKUP(G36,'10A61 5" Calcs'!$A$3:$B$8,2,FALSE)-'10A61 10"+6" Calcs'!$G$3)*'10A61 10"+6" Calcs'!$G$3))))</f>
        <v>#VALUE!</v>
      </c>
      <c r="I36" t="e">
        <f t="shared" si="11"/>
        <v>#VALUE!</v>
      </c>
      <c r="J36" t="e">
        <f>I36/(SQRT((7.02/((VLOOKUP(G36,'10A61 5" Calcs'!$A$3:$B$8,2,FALSE)-'10A61 10"+6" Calcs'!$G$3)*'10A61 10"+6" Calcs'!$G$3))))</f>
        <v>#VALUE!</v>
      </c>
      <c r="K36" t="str">
        <f>IF(AND('VA Sizing'!$C$3="Gas",'VA Sizing'!$C$4=" Other",NOT('VA Sizing'!$C$5="Actual"),'VA Sizing'!$C$6="at Operating Conditions"),J36/$D$3,
IF(AND('VA Sizing'!$C$3="Gas",'VA Sizing'!$C$4=" Other",NOT('VA Sizing'!$C$5="Actual"),'VA Sizing'!$C$6="at Reference Conditions"),J36/'Modified Inputs'!$M$4,
IF('VA Sizing'!$C$5="Standard",J36/VLOOKUP('VA Sizing'!$C$4,'10A61 5" Calcs'!$J$3:$K$29,2,FALSE),
IF('VA Sizing'!$C$5="Normal",J36/VLOOKUP('VA Sizing'!$C$4,'10A61 5" Calcs'!$J$3:$L$29,3,FALSE),
IF('VA Sizing'!$C$5="Actual",J36/$G$3,"")))))</f>
        <v/>
      </c>
      <c r="L36">
        <f>'Modified Inputs'!$G$2*(SQRT((7.02/((VLOOKUP(G36,'10A61 5" Calcs'!$A$3:$B$8,2,FALSE)-'Modified Inputs'!$M$2)*'Modified Inputs'!$M$2))))</f>
        <v>0.67398387659754788</v>
      </c>
      <c r="M36">
        <f t="shared" si="12"/>
        <v>580.61404706793883</v>
      </c>
      <c r="N36">
        <f>M36/(SQRT((7.02/((VLOOKUP(G36,'10A61 5" Calcs'!$A$3:$B$8,2,FALSE)-'Modified Inputs'!$M$2)*'Modified Inputs'!$M$2))))</f>
        <v>861.46578164307857</v>
      </c>
      <c r="O36">
        <f>N36/'Modified Inputs'!$M$2</f>
        <v>870.16745620512984</v>
      </c>
      <c r="Q36" s="7">
        <f>IF('VA Sizing'!$C$3="Gas",K36,
IF('VA Sizing'!$C$3="Liquid",O36,""))</f>
        <v>870.16745620512984</v>
      </c>
      <c r="R36" s="7" t="str">
        <f t="shared" si="13"/>
        <v>1/4-19-G-10-TA</v>
      </c>
    </row>
    <row r="37" spans="1:23">
      <c r="Q37" s="7"/>
      <c r="R37" s="7"/>
    </row>
    <row r="38" spans="1:23">
      <c r="A38" s="3" t="s">
        <v>295</v>
      </c>
      <c r="B38">
        <v>-0.78593610175687545</v>
      </c>
      <c r="C38">
        <v>4.2120717920323996</v>
      </c>
      <c r="G38" t="s">
        <v>18</v>
      </c>
      <c r="H38" t="e">
        <f>$L$3*(SQRT((7.02/((VLOOKUP(G38,'10A61 5" Calcs'!$A$3:$B$8,2,FALSE)-'10A61 10"+6" Calcs'!$G$3)*'10A61 10"+6" Calcs'!$G$3))))</f>
        <v>#VALUE!</v>
      </c>
      <c r="I38" t="e">
        <f>IF(M46&lt;$B$41+0.001,$B$40*(M46^4)+$C$40*(M46^3)+$D$40*(M46^2)+$E$40*M46+$F$40,$C$39*(M46^$B$38))</f>
        <v>#VALUE!</v>
      </c>
      <c r="J38" t="e">
        <f>I38/(SQRT((7.02/((VLOOKUP(G38,'10A61 5" Calcs'!$A$3:$B$8,2,FALSE)-'10A61 10"+6" Calcs'!$G$3)*'10A61 10"+6" Calcs'!$G$3))))</f>
        <v>#VALUE!</v>
      </c>
      <c r="K38" t="str">
        <f>IF(AND('VA Sizing'!$C$3="Gas",'VA Sizing'!$C$4=" Other",NOT('VA Sizing'!$C$5="Actual"),'VA Sizing'!$C$6="at Operating Conditions"),J38/$D$3,
IF(AND('VA Sizing'!$C$3="Gas",'VA Sizing'!$C$4=" Other",NOT('VA Sizing'!$C$5="Actual"),'VA Sizing'!$C$6="at Reference Conditions"),J38/'Modified Inputs'!$M$4,
IF('VA Sizing'!$C$5="Standard",J38/VLOOKUP('VA Sizing'!$C$4,'10A61 5" Calcs'!$J$3:$K$29,2,FALSE),
IF('VA Sizing'!$C$5="Normal",J38/VLOOKUP('VA Sizing'!$C$4,'10A61 5" Calcs'!$J$3:$L$29,3,FALSE),
IF('VA Sizing'!$C$5="Actual",J38/$G$3,"")))))</f>
        <v/>
      </c>
      <c r="L38">
        <f>'Modified Inputs'!$G$2*(SQRT((7.02/((VLOOKUP(G38,'10A61 5" Calcs'!$A$3:$B$8,2,FALSE)-'Modified Inputs'!$M$2)*'Modified Inputs'!$M$2))))</f>
        <v>2.1388735490091566</v>
      </c>
      <c r="M38">
        <f>IF(L38&lt;$B$41+0.001,$B$40*(L38^4)+$C$40*(L38^3)+$D$40*(L38^2)+$E$40*L38+$F$40,$C$39*(L38^$B$38))</f>
        <v>11.307195490278474</v>
      </c>
      <c r="N38">
        <f>M38/(SQRT((7.02/((VLOOKUP(G38,'10A61 5" Calcs'!$A$3:$B$8,2,FALSE)-'Modified Inputs'!$M$2)*'Modified Inputs'!$M$2))))</f>
        <v>5.2865189227837179</v>
      </c>
      <c r="O38">
        <f>N38/'Modified Inputs'!$M$2</f>
        <v>5.3399181038219377</v>
      </c>
      <c r="Q38" s="7">
        <f>IF('VA Sizing'!$C$3="Gas",Q46,
IF('VA Sizing'!$C$3="Liquid",W46,""))</f>
        <v>584.51977200265299</v>
      </c>
      <c r="R38" s="7" t="str">
        <f>CONCATENATE($A$38,"-",G38)</f>
        <v>1/4-40-G-10-BG</v>
      </c>
      <c r="T38" s="7">
        <f>IF('VA Sizing'!$C$3="Gas",Q46,
IF('VA Sizing'!$C$3="Liquid",W46,""))</f>
        <v>584.51977200265299</v>
      </c>
      <c r="U38" s="7" t="s">
        <v>301</v>
      </c>
    </row>
    <row r="39" spans="1:23">
      <c r="C39">
        <v>67.496233210494708</v>
      </c>
      <c r="G39" t="s">
        <v>21</v>
      </c>
      <c r="H39" t="e">
        <f>$L$3*(SQRT((7.02/((VLOOKUP(G39,'10A61 5" Calcs'!$A$3:$B$8,2,FALSE)-'10A61 10"+6" Calcs'!$G$3)*'10A61 10"+6" Calcs'!$G$3))))</f>
        <v>#VALUE!</v>
      </c>
      <c r="I39" t="e">
        <f t="shared" ref="I39:I42" si="14">IF(M47&lt;$B$41+0.001,$B$40*(M47^4)+$C$40*(M47^3)+$D$40*(M47^2)+$E$40*M47+$F$40,$C$39*(M47^$B$38))</f>
        <v>#VALUE!</v>
      </c>
      <c r="J39" t="e">
        <f>I39/(SQRT((7.02/((VLOOKUP(G39,'10A61 5" Calcs'!$A$3:$B$8,2,FALSE)-'10A61 10"+6" Calcs'!$G$3)*'10A61 10"+6" Calcs'!$G$3))))</f>
        <v>#VALUE!</v>
      </c>
      <c r="K39" t="str">
        <f>IF(AND('VA Sizing'!$C$3="Gas",'VA Sizing'!$C$4=" Other",NOT('VA Sizing'!$C$5="Actual"),'VA Sizing'!$C$6="at Operating Conditions"),J39/$D$3,
IF(AND('VA Sizing'!$C$3="Gas",'VA Sizing'!$C$4=" Other",NOT('VA Sizing'!$C$5="Actual"),'VA Sizing'!$C$6="at Reference Conditions"),J39/'Modified Inputs'!$M$4,
IF('VA Sizing'!$C$5="Standard",J39/VLOOKUP('VA Sizing'!$C$4,'10A61 5" Calcs'!$J$3:$K$29,2,FALSE),
IF('VA Sizing'!$C$5="Normal",J39/VLOOKUP('VA Sizing'!$C$4,'10A61 5" Calcs'!$J$3:$L$29,3,FALSE),
IF('VA Sizing'!$C$5="Actual",J39/$G$3,"")))))</f>
        <v/>
      </c>
      <c r="L39">
        <f>'Modified Inputs'!$G$2*(SQRT((7.02/((VLOOKUP(G39,'10A61 5" Calcs'!$A$3:$B$8,2,FALSE)-'Modified Inputs'!$M$2)*'Modified Inputs'!$M$2))))</f>
        <v>1.539981007018036</v>
      </c>
      <c r="M39">
        <f t="shared" ref="M39:M42" si="15">IF(L39&lt;$B$41+0.001,$B$40*(L39^4)+$C$40*(L39^3)+$D$40*(L39^2)+$E$40*L39+$F$40,$C$39*(L39^$B$38))</f>
        <v>11.852108305088205</v>
      </c>
      <c r="N39">
        <f>M39/(SQRT((7.02/((VLOOKUP(G39,'10A61 5" Calcs'!$A$3:$B$8,2,FALSE)-'Modified Inputs'!$M$2)*'Modified Inputs'!$M$2))))</f>
        <v>7.6962691429800181</v>
      </c>
      <c r="O39">
        <f>N39/'Modified Inputs'!$M$2</f>
        <v>7.7740092353333514</v>
      </c>
      <c r="Q39" s="7">
        <f>IF('VA Sizing'!$C$3="Gas",Q47,
IF('VA Sizing'!$C$3="Liquid",W47,""))</f>
        <v>851.94885216100147</v>
      </c>
      <c r="R39" s="7" t="str">
        <f t="shared" ref="R39:R43" si="16">CONCATENATE($A$38,"-",G39)</f>
        <v>1/4-40-G-10-SA</v>
      </c>
      <c r="T39" s="7">
        <f>IF('VA Sizing'!$C$3="Gas",Q47,
IF('VA Sizing'!$C$3="Liquid",W47,""))</f>
        <v>851.94885216100147</v>
      </c>
      <c r="U39" s="7" t="s">
        <v>302</v>
      </c>
    </row>
    <row r="40" spans="1:23">
      <c r="B40">
        <v>6.2412961452429293E-5</v>
      </c>
      <c r="C40">
        <v>-4.3314681918760834E-3</v>
      </c>
      <c r="D40">
        <v>0.10614317719263495</v>
      </c>
      <c r="E40">
        <v>-1.2575928005198056</v>
      </c>
      <c r="F40">
        <v>13.55252243907665</v>
      </c>
      <c r="G40" t="s">
        <v>23</v>
      </c>
      <c r="H40" t="e">
        <f>$L$3*(SQRT((7.02/((VLOOKUP(G40,'10A61 5" Calcs'!$A$3:$B$8,2,FALSE)-'10A61 10"+6" Calcs'!$G$3)*'10A61 10"+6" Calcs'!$G$3))))</f>
        <v>#VALUE!</v>
      </c>
      <c r="I40" t="e">
        <f t="shared" si="14"/>
        <v>#VALUE!</v>
      </c>
      <c r="J40" t="e">
        <f>I40/(SQRT((7.02/((VLOOKUP(G40,'10A61 5" Calcs'!$A$3:$B$8,2,FALSE)-'10A61 10"+6" Calcs'!$G$3)*'10A61 10"+6" Calcs'!$G$3))))</f>
        <v>#VALUE!</v>
      </c>
      <c r="K40" t="str">
        <f>IF(AND('VA Sizing'!$C$3="Gas",'VA Sizing'!$C$4=" Other",NOT('VA Sizing'!$C$5="Actual"),'VA Sizing'!$C$6="at Operating Conditions"),J40/$D$3,
IF(AND('VA Sizing'!$C$3="Gas",'VA Sizing'!$C$4=" Other",NOT('VA Sizing'!$C$5="Actual"),'VA Sizing'!$C$6="at Reference Conditions"),J40/'Modified Inputs'!$M$4,
IF('VA Sizing'!$C$5="Standard",J40/VLOOKUP('VA Sizing'!$C$4,'10A61 5" Calcs'!$J$3:$K$29,2,FALSE),
IF('VA Sizing'!$C$5="Normal",J40/VLOOKUP('VA Sizing'!$C$4,'10A61 5" Calcs'!$J$3:$L$29,3,FALSE),
IF('VA Sizing'!$C$5="Actual",J40/$G$3,"")))))</f>
        <v/>
      </c>
      <c r="L40">
        <f>'Modified Inputs'!$G$2*(SQRT((7.02/((VLOOKUP(G40,'10A61 5" Calcs'!$A$3:$B$8,2,FALSE)-'Modified Inputs'!$M$2)*'Modified Inputs'!$M$2))))</f>
        <v>1.0043227402378698</v>
      </c>
      <c r="M40">
        <f t="shared" si="15"/>
        <v>12.392231827281545</v>
      </c>
      <c r="N40">
        <f>M40/(SQRT((7.02/((VLOOKUP(G40,'10A61 5" Calcs'!$A$3:$B$8,2,FALSE)-'Modified Inputs'!$M$2)*'Modified Inputs'!$M$2))))</f>
        <v>12.338893993724064</v>
      </c>
      <c r="O40">
        <f>N40/'Modified Inputs'!$M$2</f>
        <v>12.463529286589964</v>
      </c>
      <c r="Q40" s="7">
        <f>IF('VA Sizing'!$C$3="Gas",Q48,
IF('VA Sizing'!$C$3="Liquid",W48,""))</f>
        <v>1367.5097634425938</v>
      </c>
      <c r="R40" s="7" t="str">
        <f t="shared" si="16"/>
        <v>1/4-40-G-10-SS</v>
      </c>
      <c r="T40" s="7">
        <f>IF('VA Sizing'!$C$3="Gas",Q48,
IF('VA Sizing'!$C$3="Liquid",W48,""))</f>
        <v>1367.5097634425938</v>
      </c>
      <c r="U40" s="7" t="s">
        <v>303</v>
      </c>
    </row>
    <row r="41" spans="1:23">
      <c r="B41">
        <v>29</v>
      </c>
      <c r="G41" t="s">
        <v>26</v>
      </c>
      <c r="H41" t="e">
        <f>$L$3*(SQRT((7.02/((VLOOKUP(G41,'10A61 5" Calcs'!$A$3:$B$8,2,FALSE)-'10A61 10"+6" Calcs'!$G$3)*'10A61 10"+6" Calcs'!$G$3))))</f>
        <v>#VALUE!</v>
      </c>
      <c r="I41" t="e">
        <f t="shared" si="14"/>
        <v>#VALUE!</v>
      </c>
      <c r="J41" t="e">
        <f>I41/(SQRT((7.02/((VLOOKUP(G41,'10A61 5" Calcs'!$A$3:$B$8,2,FALSE)-'10A61 10"+6" Calcs'!$G$3)*'10A61 10"+6" Calcs'!$G$3))))</f>
        <v>#VALUE!</v>
      </c>
      <c r="K41" t="str">
        <f>IF(AND('VA Sizing'!$C$3="Gas",'VA Sizing'!$C$4=" Other",NOT('VA Sizing'!$C$5="Actual"),'VA Sizing'!$C$6="at Operating Conditions"),J41/$D$3,
IF(AND('VA Sizing'!$C$3="Gas",'VA Sizing'!$C$4=" Other",NOT('VA Sizing'!$C$5="Actual"),'VA Sizing'!$C$6="at Reference Conditions"),J41/'Modified Inputs'!$M$4,
IF('VA Sizing'!$C$5="Standard",J41/VLOOKUP('VA Sizing'!$C$4,'10A61 5" Calcs'!$J$3:$K$29,2,FALSE),
IF('VA Sizing'!$C$5="Normal",J41/VLOOKUP('VA Sizing'!$C$4,'10A61 5" Calcs'!$J$3:$L$29,3,FALSE),
IF('VA Sizing'!$C$5="Actual",J41/$G$3,"")))))</f>
        <v/>
      </c>
      <c r="L41">
        <f>'Modified Inputs'!$G$2*(SQRT((7.02/((VLOOKUP(G41,'10A61 5" Calcs'!$A$3:$B$8,2,FALSE)-'Modified Inputs'!$M$2)*'Modified Inputs'!$M$2))))</f>
        <v>0.7114295352654707</v>
      </c>
      <c r="M41">
        <f t="shared" si="15"/>
        <v>12.710012559455333</v>
      </c>
      <c r="N41">
        <f>M41/(SQRT((7.02/((VLOOKUP(G41,'10A61 5" Calcs'!$A$3:$B$8,2,FALSE)-'Modified Inputs'!$M$2)*'Modified Inputs'!$M$2))))</f>
        <v>17.865455297287564</v>
      </c>
      <c r="O41">
        <f>N41/'Modified Inputs'!$M$2</f>
        <v>18.04591444170461</v>
      </c>
      <c r="Q41" s="7">
        <f>IF('VA Sizing'!$C$3="Gas",Q49,
IF('VA Sizing'!$C$3="Liquid",W49,""))</f>
        <v>1981.4364981126805</v>
      </c>
      <c r="R41" s="7" t="str">
        <f t="shared" si="16"/>
        <v>1/4-40-G-10-CA</v>
      </c>
      <c r="T41" s="7">
        <f>IF('VA Sizing'!$C$3="Gas",Q49,
IF('VA Sizing'!$C$3="Liquid",W49,""))</f>
        <v>1981.4364981126805</v>
      </c>
      <c r="U41" s="7" t="s">
        <v>304</v>
      </c>
    </row>
    <row r="42" spans="1:23">
      <c r="G42" t="s">
        <v>126</v>
      </c>
      <c r="H42" t="e">
        <f>$L$3*(SQRT((7.02/((VLOOKUP(G42,'10A61 5" Calcs'!$A$3:$B$8,2,FALSE)-'10A61 10"+6" Calcs'!$G$3)*'10A61 10"+6" Calcs'!$G$3))))</f>
        <v>#VALUE!</v>
      </c>
      <c r="I42" t="e">
        <f t="shared" si="14"/>
        <v>#VALUE!</v>
      </c>
      <c r="J42" t="e">
        <f>I42/(SQRT((7.02/((VLOOKUP(G42,'10A61 5" Calcs'!$A$3:$B$8,2,FALSE)-'10A61 10"+6" Calcs'!$G$3)*'10A61 10"+6" Calcs'!$G$3))))</f>
        <v>#VALUE!</v>
      </c>
      <c r="K42" t="str">
        <f>IF(AND('VA Sizing'!$C$3="Gas",'VA Sizing'!$C$4=" Other",NOT('VA Sizing'!$C$5="Actual"),'VA Sizing'!$C$6="at Operating Conditions"),J42/$D$3,
IF(AND('VA Sizing'!$C$3="Gas",'VA Sizing'!$C$4=" Other",NOT('VA Sizing'!$C$5="Actual"),'VA Sizing'!$C$6="at Reference Conditions"),J42/'Modified Inputs'!$M$4,
IF('VA Sizing'!$C$5="Standard",J42/VLOOKUP('VA Sizing'!$C$4,'10A61 5" Calcs'!$J$3:$K$29,2,FALSE),
IF('VA Sizing'!$C$5="Normal",J42/VLOOKUP('VA Sizing'!$C$4,'10A61 5" Calcs'!$J$3:$L$29,3,FALSE),
IF('VA Sizing'!$C$5="Actual",J42/$G$3,"")))))</f>
        <v/>
      </c>
      <c r="L42">
        <f>'Modified Inputs'!$G$2*(SQRT((7.02/((VLOOKUP(G42,'10A61 5" Calcs'!$A$3:$B$8,2,FALSE)-'Modified Inputs'!$M$2)*'Modified Inputs'!$M$2))))</f>
        <v>0.67398387659754788</v>
      </c>
      <c r="M42">
        <f t="shared" si="15"/>
        <v>12.751827915439032</v>
      </c>
      <c r="N42">
        <f>M42/(SQRT((7.02/((VLOOKUP(G42,'10A61 5" Calcs'!$A$3:$B$8,2,FALSE)-'Modified Inputs'!$M$2)*'Modified Inputs'!$M$2))))</f>
        <v>18.920078592701199</v>
      </c>
      <c r="O42">
        <f>N42/'Modified Inputs'!$M$2</f>
        <v>19.111190497677978</v>
      </c>
      <c r="Q42" s="7">
        <f>IF('VA Sizing'!$C$3="Gas",Q50,
IF('VA Sizing'!$C$3="Liquid",W50,""))</f>
        <v>2098.6026329148735</v>
      </c>
      <c r="R42" s="7" t="str">
        <f t="shared" si="16"/>
        <v>1/4-40-G-10-TA</v>
      </c>
      <c r="T42" s="7">
        <f>IF('VA Sizing'!$C$3="Gas",Q50,
IF('VA Sizing'!$C$3="Liquid",W50,""))</f>
        <v>2098.6026329148735</v>
      </c>
      <c r="U42" s="7" t="s">
        <v>305</v>
      </c>
    </row>
    <row r="43" spans="1:23">
      <c r="G43" t="s">
        <v>142</v>
      </c>
      <c r="H43" t="e">
        <f>$L$3*(SQRT((7.02/((VLOOKUP(G43,'10A61 5" Calcs'!$A$3:$B$8,2,FALSE)-'10A61 10"+6" Calcs'!$G$3)*'10A61 10"+6" Calcs'!$G$3))))</f>
        <v>#VALUE!</v>
      </c>
      <c r="I43" t="e">
        <f t="shared" ref="I43" si="17">IF(M51&lt;$B$41+0.001,$B$40*(M51^4)+$C$40*(M51^3)+$D$40*(M51^2)+$E$40*M51+$F$40,$C$39*(M51^$B$38))</f>
        <v>#VALUE!</v>
      </c>
      <c r="J43" t="e">
        <f>I43/(SQRT((7.02/((VLOOKUP(G43,'10A61 5" Calcs'!$A$3:$B$8,2,FALSE)-'10A61 10"+6" Calcs'!$G$3)*'10A61 10"+6" Calcs'!$G$3))))</f>
        <v>#VALUE!</v>
      </c>
      <c r="K43" t="str">
        <f>IF(AND('VA Sizing'!$C$3="Gas",'VA Sizing'!$C$4=" Other",NOT('VA Sizing'!$C$5="Actual"),'VA Sizing'!$C$6="at Operating Conditions"),J43/$D$3,
IF(AND('VA Sizing'!$C$3="Gas",'VA Sizing'!$C$4=" Other",NOT('VA Sizing'!$C$5="Actual"),'VA Sizing'!$C$6="at Reference Conditions"),J43/'Modified Inputs'!$M$4,
IF('VA Sizing'!$C$5="Standard",J43/VLOOKUP('VA Sizing'!$C$4,'10A61 5" Calcs'!$J$3:$K$29,2,FALSE),
IF('VA Sizing'!$C$5="Normal",J43/VLOOKUP('VA Sizing'!$C$4,'10A61 5" Calcs'!$J$3:$L$29,3,FALSE),
IF('VA Sizing'!$C$5="Actual",J43/$G$3,"")))))</f>
        <v/>
      </c>
      <c r="L43">
        <f>'Modified Inputs'!$G$2*(SQRT((7.02/((VLOOKUP(G43,'10A61 5" Calcs'!$A$3:$B$8,2,FALSE)-'Modified Inputs'!$M$2)*'Modified Inputs'!$M$2))))</f>
        <v>2.3445316702153347</v>
      </c>
      <c r="M43">
        <f t="shared" ref="M43" si="18">IF(L43&lt;$B$41+0.001,$B$40*(L43^4)+$C$40*(L43^3)+$D$40*(L43^2)+$E$40*L43+$F$40,$C$39*(L43^$B$38))</f>
        <v>11.133571224733913</v>
      </c>
      <c r="N43">
        <f>M43/(SQRT((7.02/((VLOOKUP(G43,'10A61 5" Calcs'!$A$3:$B$8,2,FALSE)-'Modified Inputs'!$M$2)*'Modified Inputs'!$M$2))))</f>
        <v>4.7487399578233651</v>
      </c>
      <c r="O43">
        <f>N43/'Modified Inputs'!$M$2</f>
        <v>4.7967070281044091</v>
      </c>
      <c r="R43" s="108" t="str">
        <f t="shared" si="16"/>
        <v>1/4-40-G-10-CD</v>
      </c>
      <c r="T43" s="63">
        <f>IF('VA Sizing'!$C$3="Gas",Q51,
IF('VA Sizing'!$C$3="Liquid",W51,""))</f>
        <v>524.87310836099834</v>
      </c>
      <c r="U43" s="63" t="s">
        <v>911</v>
      </c>
    </row>
    <row r="44" spans="1:23">
      <c r="P44" s="240" t="s">
        <v>110</v>
      </c>
      <c r="Q44" s="240"/>
      <c r="V44" s="240" t="s">
        <v>109</v>
      </c>
      <c r="W44" s="240"/>
    </row>
    <row r="45" spans="1:23">
      <c r="G45" s="7" t="s">
        <v>16</v>
      </c>
      <c r="H45" s="7" t="s">
        <v>285</v>
      </c>
      <c r="I45" s="7" t="s">
        <v>286</v>
      </c>
      <c r="J45" s="7" t="s">
        <v>287</v>
      </c>
      <c r="L45" s="51" t="s">
        <v>288</v>
      </c>
      <c r="M45" t="s">
        <v>289</v>
      </c>
      <c r="N45" t="s">
        <v>284</v>
      </c>
      <c r="O45" t="s">
        <v>290</v>
      </c>
      <c r="P45" t="s">
        <v>293</v>
      </c>
      <c r="Q45" t="s">
        <v>294</v>
      </c>
      <c r="R45" t="s">
        <v>291</v>
      </c>
      <c r="S45" t="s">
        <v>292</v>
      </c>
      <c r="T45" t="s">
        <v>284</v>
      </c>
      <c r="U45" t="s">
        <v>290</v>
      </c>
      <c r="V45" t="s">
        <v>293</v>
      </c>
      <c r="W45" t="s">
        <v>294</v>
      </c>
    </row>
    <row r="46" spans="1:23">
      <c r="G46" s="7" t="s">
        <v>18</v>
      </c>
      <c r="H46" s="7">
        <f>VLOOKUP(G46,'10A61 5" Calcs'!$A$3:$B$8,2,FALSE)*(2.54)^3*(0.125^3)*3.14159*(4/3)</f>
        <v>0.34052825113299579</v>
      </c>
      <c r="I46" s="7">
        <v>0.25</v>
      </c>
      <c r="J46" s="7">
        <f>VLOOKUP(G46,'10A61 5" Calcs'!$A$3:$B$8,2,FALSE)</f>
        <v>2.54</v>
      </c>
      <c r="L46" t="e">
        <f>H46*((J46-$G$3)/J46)</f>
        <v>#VALUE!</v>
      </c>
      <c r="M46" t="e">
        <f>$L$3/(SQRT(L46*$G$3))</f>
        <v>#VALUE!</v>
      </c>
      <c r="N46" t="e">
        <f>I38</f>
        <v>#VALUE!</v>
      </c>
      <c r="O46" t="e">
        <f>N46*I46*SQRT(L46*$G$3)</f>
        <v>#VALUE!</v>
      </c>
      <c r="P46" t="e">
        <f>O46*453.592</f>
        <v>#VALUE!</v>
      </c>
      <c r="Q46" t="str">
        <f>IF(AND('VA Sizing'!$C$3="Gas",'VA Sizing'!$C$4=" Other",NOT('VA Sizing'!$C$5="Actual"),'VA Sizing'!$C$6="at Operating Conditions"),P46/$D$3,
IF(AND('VA Sizing'!$C$3="Gas",'VA Sizing'!$C$4=" Other",NOT('VA Sizing'!$C$5="Actual"),'VA Sizing'!$C$6="at Reference Conditions"),P46/'Modified Inputs'!$M$4,
IF('VA Sizing'!$C$5="Standard",P46/VLOOKUP('VA Sizing'!$C$4,'10A61 5" Calcs'!$J$3:$K$29,2,FALSE),
IF('VA Sizing'!$C$5="Normal",P46/VLOOKUP('VA Sizing'!$C$4,'10A61 5" Calcs'!$J$3:$L$29,3,FALSE),
IF('VA Sizing'!$C$5="Actual",P46/$G$3,"")))))</f>
        <v/>
      </c>
      <c r="R46">
        <f>H46*((J46-'Modified Inputs'!$M$2)/J46)</f>
        <v>0.20780267293548957</v>
      </c>
      <c r="S46">
        <f>'Modified Inputs'!$G$2/(SQRT(R46*'Modified Inputs'!$M$2))</f>
        <v>2.2047372407752435</v>
      </c>
      <c r="T46">
        <f>IF(S46&lt;$B$41+0.001,$B$40*(S46^4)+$C$40*(S46^3)+$D$40*(S46^2)+$E$40*S46+$F$40,$C$39*(S46^$B$38))</f>
        <v>11.250863191684742</v>
      </c>
      <c r="U46">
        <f>T46*I46*SQRT(R46*'Modified Inputs'!$M$2)</f>
        <v>1.2757600978029295</v>
      </c>
      <c r="V46">
        <f>U46*453.592</f>
        <v>578.67457428262639</v>
      </c>
      <c r="W46">
        <f>V46/'Modified Inputs'!$M$2</f>
        <v>584.51977200265299</v>
      </c>
    </row>
    <row r="47" spans="1:23">
      <c r="G47" s="7" t="s">
        <v>21</v>
      </c>
      <c r="H47" s="7">
        <f>VLOOKUP(G47,'10A61 5" Calcs'!$A$3:$B$8,2,FALSE)*(2.54)^3*(0.125^3)*3.14159*(4/3)</f>
        <v>0.53358363760209571</v>
      </c>
      <c r="I47" s="7">
        <v>0.25</v>
      </c>
      <c r="J47" s="7">
        <f>VLOOKUP(G47,'10A61 5" Calcs'!$A$3:$B$8,2,FALSE)</f>
        <v>3.98</v>
      </c>
      <c r="L47" t="e">
        <f t="shared" ref="L47:L50" si="19">H47*((J47-$G$3)/J47)</f>
        <v>#VALUE!</v>
      </c>
      <c r="M47" t="e">
        <f t="shared" ref="M47:M50" si="20">$L$3/(SQRT(L47*$G$3))</f>
        <v>#VALUE!</v>
      </c>
      <c r="N47" t="e">
        <f t="shared" ref="N47:N50" si="21">I39</f>
        <v>#VALUE!</v>
      </c>
      <c r="O47" t="e">
        <f t="shared" ref="O47:O50" si="22">N47*I47*SQRT(L47*$G$3)</f>
        <v>#VALUE!</v>
      </c>
      <c r="P47" t="e">
        <f t="shared" ref="P47:P50" si="23">O47*453.592</f>
        <v>#VALUE!</v>
      </c>
      <c r="Q47" t="str">
        <f>IF(AND('VA Sizing'!$C$3="Gas",'VA Sizing'!$C$4=" Other",NOT('VA Sizing'!$C$5="Actual"),'VA Sizing'!$C$6="at Operating Conditions"),P47/$D$3,
IF(AND('VA Sizing'!$C$3="Gas",'VA Sizing'!$C$4=" Other",NOT('VA Sizing'!$C$5="Actual"),'VA Sizing'!$C$6="at Reference Conditions"),P47/'Modified Inputs'!$M$4,
IF('VA Sizing'!$C$5="Standard",P47/VLOOKUP('VA Sizing'!$C$4,'10A61 5" Calcs'!$J$3:$K$29,2,FALSE),
IF('VA Sizing'!$C$5="Normal",P47/VLOOKUP('VA Sizing'!$C$4,'10A61 5" Calcs'!$J$3:$L$29,3,FALSE),
IF('VA Sizing'!$C$5="Actual",P47/$G$3,"")))))</f>
        <v/>
      </c>
      <c r="R47">
        <f>H47*((J47-'Modified Inputs'!$M$2)/J47)</f>
        <v>0.40085805940458952</v>
      </c>
      <c r="S47">
        <f>'Modified Inputs'!$G$2/(SQRT(R47*'Modified Inputs'!$M$2))</f>
        <v>1.5874026203335365</v>
      </c>
      <c r="T47">
        <f t="shared" ref="T47:T50" si="24">IF(S47&lt;$B$41+0.001,$B$40*(S47^4)+$C$40*(S47^3)+$D$40*(S47^2)+$E$40*S47+$F$40,$C$39*(S47^$B$38))</f>
        <v>11.806751282274972</v>
      </c>
      <c r="U47">
        <f>T47*I47*SQRT(R47*'Modified Inputs'!$M$2)</f>
        <v>1.8594449717794659</v>
      </c>
      <c r="V47">
        <f t="shared" ref="V47:V50" si="25">U47*453.592</f>
        <v>843.42936363939145</v>
      </c>
      <c r="W47">
        <f>V47/'Modified Inputs'!$M$2</f>
        <v>851.94885216100147</v>
      </c>
    </row>
    <row r="48" spans="1:23">
      <c r="G48" s="7" t="s">
        <v>23</v>
      </c>
      <c r="H48" s="7">
        <f>VLOOKUP(G48,'10A61 5" Calcs'!$A$3:$B$8,2,FALSE)*(2.54)^3*(0.125^3)*3.14159*(4/3)</f>
        <v>1.0752112496404038</v>
      </c>
      <c r="I48" s="7">
        <v>0.25</v>
      </c>
      <c r="J48" s="7">
        <f>VLOOKUP(G48,'10A61 5" Calcs'!$A$3:$B$8,2,FALSE)</f>
        <v>8.02</v>
      </c>
      <c r="L48" t="e">
        <f t="shared" si="19"/>
        <v>#VALUE!</v>
      </c>
      <c r="M48" t="e">
        <f t="shared" si="20"/>
        <v>#VALUE!</v>
      </c>
      <c r="N48" t="e">
        <f t="shared" si="21"/>
        <v>#VALUE!</v>
      </c>
      <c r="O48" t="e">
        <f t="shared" si="22"/>
        <v>#VALUE!</v>
      </c>
      <c r="P48" t="e">
        <f t="shared" si="23"/>
        <v>#VALUE!</v>
      </c>
      <c r="Q48" t="str">
        <f>IF(AND('VA Sizing'!$C$3="Gas",'VA Sizing'!$C$4=" Other",NOT('VA Sizing'!$C$5="Actual"),'VA Sizing'!$C$6="at Operating Conditions"),P48/$D$3,
IF(AND('VA Sizing'!$C$3="Gas",'VA Sizing'!$C$4=" Other",NOT('VA Sizing'!$C$5="Actual"),'VA Sizing'!$C$6="at Reference Conditions"),P48/'Modified Inputs'!$M$4,
IF('VA Sizing'!$C$5="Standard",P48/VLOOKUP('VA Sizing'!$C$4,'10A61 5" Calcs'!$J$3:$K$29,2,FALSE),
IF('VA Sizing'!$C$5="Normal",P48/VLOOKUP('VA Sizing'!$C$4,'10A61 5" Calcs'!$J$3:$L$29,3,FALSE),
IF('VA Sizing'!$C$5="Actual",P48/$G$3,"")))))</f>
        <v/>
      </c>
      <c r="R48">
        <f>H48*((J48-'Modified Inputs'!$M$2)/J48)</f>
        <v>0.94248567144289763</v>
      </c>
      <c r="S48">
        <f>'Modified Inputs'!$G$2/(SQRT(R48*'Modified Inputs'!$M$2))</f>
        <v>1.0352494883045529</v>
      </c>
      <c r="T48">
        <f t="shared" si="24"/>
        <v>12.359624023588342</v>
      </c>
      <c r="U48">
        <f>T48*I48*SQRT(R48*'Modified Inputs'!$M$2)</f>
        <v>2.9846969651320299</v>
      </c>
      <c r="V48">
        <f t="shared" si="25"/>
        <v>1353.8346658081678</v>
      </c>
      <c r="W48">
        <f>V48/'Modified Inputs'!$M$2</f>
        <v>1367.5097634425938</v>
      </c>
    </row>
    <row r="49" spans="7:23">
      <c r="G49" s="7" t="s">
        <v>26</v>
      </c>
      <c r="H49" s="7">
        <f>VLOOKUP(G49,'10A61 5" Calcs'!$A$3:$B$8,2,FALSE)*(2.54)^3*(0.125^3)*3.14159*(4/3)</f>
        <v>2.0109936090531244</v>
      </c>
      <c r="I49" s="7">
        <v>0.25</v>
      </c>
      <c r="J49" s="7">
        <f>VLOOKUP(G49,'10A61 5" Calcs'!$A$3:$B$8,2,FALSE)</f>
        <v>15</v>
      </c>
      <c r="L49" t="e">
        <f t="shared" si="19"/>
        <v>#VALUE!</v>
      </c>
      <c r="M49" t="e">
        <f t="shared" si="20"/>
        <v>#VALUE!</v>
      </c>
      <c r="N49" t="e">
        <f t="shared" si="21"/>
        <v>#VALUE!</v>
      </c>
      <c r="O49" t="e">
        <f t="shared" si="22"/>
        <v>#VALUE!</v>
      </c>
      <c r="P49" t="e">
        <f t="shared" si="23"/>
        <v>#VALUE!</v>
      </c>
      <c r="Q49" t="str">
        <f>IF(AND('VA Sizing'!$C$3="Gas",'VA Sizing'!$C$4=" Other",NOT('VA Sizing'!$C$5="Actual"),'VA Sizing'!$C$6="at Operating Conditions"),P49/$D$3,
IF(AND('VA Sizing'!$C$3="Gas",'VA Sizing'!$C$4=" Other",NOT('VA Sizing'!$C$5="Actual"),'VA Sizing'!$C$6="at Reference Conditions"),P49/'Modified Inputs'!$M$4,
IF('VA Sizing'!$C$5="Standard",P49/VLOOKUP('VA Sizing'!$C$4,'10A61 5" Calcs'!$J$3:$K$29,2,FALSE),
IF('VA Sizing'!$C$5="Normal",P49/VLOOKUP('VA Sizing'!$C$4,'10A61 5" Calcs'!$J$3:$L$29,3,FALSE),
IF('VA Sizing'!$C$5="Actual",P49/$G$3,"")))))</f>
        <v/>
      </c>
      <c r="R49">
        <f>H49*((J49-'Modified Inputs'!$M$2)/J49)</f>
        <v>1.8782680308556181</v>
      </c>
      <c r="S49">
        <f>'Modified Inputs'!$G$2/(SQRT(R49*'Modified Inputs'!$M$2))</f>
        <v>0.7333370368312937</v>
      </c>
      <c r="T49">
        <f t="shared" si="24"/>
        <v>12.685674901615331</v>
      </c>
      <c r="U49">
        <f>T49*I49*SQRT(R49*'Modified Inputs'!$M$2)</f>
        <v>4.3246400578748165</v>
      </c>
      <c r="V49">
        <f t="shared" si="25"/>
        <v>1961.6221331315537</v>
      </c>
      <c r="W49">
        <f>V49/'Modified Inputs'!$M$2</f>
        <v>1981.4364981126805</v>
      </c>
    </row>
    <row r="50" spans="7:23">
      <c r="G50" s="7" t="s">
        <v>126</v>
      </c>
      <c r="H50" s="7">
        <f>VLOOKUP(G50,'10A61 5" Calcs'!$A$3:$B$8,2,FALSE)*(2.54)^3*(0.125^3)*3.14159*(4/3)</f>
        <v>2.2254995940187912</v>
      </c>
      <c r="I50" s="7">
        <v>0.25</v>
      </c>
      <c r="J50" s="7">
        <f>VLOOKUP(G50,'10A61 5" Calcs'!$A$3:$B$8,2,FALSE)</f>
        <v>16.600000000000001</v>
      </c>
      <c r="L50" t="e">
        <f t="shared" si="19"/>
        <v>#VALUE!</v>
      </c>
      <c r="M50" t="e">
        <f t="shared" si="20"/>
        <v>#VALUE!</v>
      </c>
      <c r="N50" t="e">
        <f t="shared" si="21"/>
        <v>#VALUE!</v>
      </c>
      <c r="O50" t="e">
        <f t="shared" si="22"/>
        <v>#VALUE!</v>
      </c>
      <c r="P50" t="e">
        <f t="shared" si="23"/>
        <v>#VALUE!</v>
      </c>
      <c r="Q50" t="str">
        <f>IF(AND('VA Sizing'!$C$3="Gas",'VA Sizing'!$C$4=" Other",NOT('VA Sizing'!$C$5="Actual"),'VA Sizing'!$C$6="at Operating Conditions"),P50/$D$3,
IF(AND('VA Sizing'!$C$3="Gas",'VA Sizing'!$C$4=" Other",NOT('VA Sizing'!$C$5="Actual"),'VA Sizing'!$C$6="at Reference Conditions"),P50/'Modified Inputs'!$M$4,
IF('VA Sizing'!$C$5="Standard",P50/VLOOKUP('VA Sizing'!$C$4,'10A61 5" Calcs'!$J$3:$K$29,2,FALSE),
IF('VA Sizing'!$C$5="Normal",P50/VLOOKUP('VA Sizing'!$C$4,'10A61 5" Calcs'!$J$3:$L$29,3,FALSE),
IF('VA Sizing'!$C$5="Actual",P50/$G$3,"")))))</f>
        <v/>
      </c>
      <c r="R50">
        <f>H50*((J50-'Modified Inputs'!$M$2)/J50)</f>
        <v>2.0927740158212851</v>
      </c>
      <c r="S50">
        <f>'Modified Inputs'!$G$2/(SQRT(R50*'Modified Inputs'!$M$2))</f>
        <v>0.69473829021124545</v>
      </c>
      <c r="T50">
        <f t="shared" si="24"/>
        <v>12.728617867809451</v>
      </c>
      <c r="U50">
        <f>T50*I50*SQRT(R50*'Modified Inputs'!$M$2)</f>
        <v>4.5803643066582405</v>
      </c>
      <c r="V50">
        <f t="shared" si="25"/>
        <v>2077.6166065857246</v>
      </c>
      <c r="W50">
        <f>V50/'Modified Inputs'!$M$2</f>
        <v>2098.6026329148735</v>
      </c>
    </row>
    <row r="51" spans="7:23">
      <c r="G51" s="155" t="s">
        <v>142</v>
      </c>
      <c r="H51" s="63">
        <f>VLOOKUP(G51,'10A61 5" Calcs'!$A$3:$B$8,2,FALSE)*(2.54)^3*(0.125^3)*3.14159*(4/3)</f>
        <v>0.30567102857607498</v>
      </c>
      <c r="I51" s="155">
        <v>0.25</v>
      </c>
      <c r="J51" s="63">
        <f>VLOOKUP(G51,'10A61 5" Calcs'!$A$3:$B$8,2,FALSE)</f>
        <v>2.2799999999999998</v>
      </c>
      <c r="K51" s="87"/>
      <c r="L51" s="87" t="e">
        <f t="shared" ref="L51" si="26">H51*((J51-$G$3)/J51)</f>
        <v>#VALUE!</v>
      </c>
      <c r="M51" s="87" t="e">
        <f t="shared" ref="M51" si="27">$L$3/(SQRT(L51*$G$3))</f>
        <v>#VALUE!</v>
      </c>
      <c r="N51" s="87" t="e">
        <f t="shared" ref="N51" si="28">I43</f>
        <v>#VALUE!</v>
      </c>
      <c r="O51" s="87" t="e">
        <f t="shared" ref="O51" si="29">N51*I51*SQRT(L51*$G$3)</f>
        <v>#VALUE!</v>
      </c>
      <c r="P51" s="87" t="e">
        <f t="shared" ref="P51" si="30">O51*453.592</f>
        <v>#VALUE!</v>
      </c>
      <c r="Q51" s="87" t="str">
        <f>IF(AND('VA Sizing'!$C$3="Gas",'VA Sizing'!$C$4=" Other",NOT('VA Sizing'!$C$5="Actual"),'VA Sizing'!$C$6="at Operating Conditions"),P51/$D$3,
IF(AND('VA Sizing'!$C$3="Gas",'VA Sizing'!$C$4=" Other",NOT('VA Sizing'!$C$5="Actual"),'VA Sizing'!$C$6="at Reference Conditions"),P51/'Modified Inputs'!$M$4,
IF('VA Sizing'!$C$5="Standard",P51/VLOOKUP('VA Sizing'!$C$4,'10A61 5" Calcs'!$J$3:$K$29,2,FALSE),
IF('VA Sizing'!$C$5="Normal",P51/VLOOKUP('VA Sizing'!$C$4,'10A61 5" Calcs'!$J$3:$L$29,3,FALSE),
IF('VA Sizing'!$C$5="Actual",P51/$G$3,"")))))</f>
        <v/>
      </c>
      <c r="R51" s="87">
        <f>H51*((J51-'Modified Inputs'!$M$2)/J51)</f>
        <v>0.17294545037856873</v>
      </c>
      <c r="S51" s="87">
        <f>'Modified Inputs'!$G$2/(SQRT(R51*'Modified Inputs'!$M$2))</f>
        <v>2.4167283231378165</v>
      </c>
      <c r="T51" s="87">
        <f t="shared" ref="T51" si="31">IF(S51&lt;$B$41+0.001,$B$40*(S51^4)+$C$40*(S51^3)+$D$40*(S51^2)+$E$40*S51+$F$40,$C$39*(S51^$B$38))</f>
        <v>11.074189579702596</v>
      </c>
      <c r="U51" s="87">
        <f>T51*I51*SQRT(R51*'Modified Inputs'!$M$2)</f>
        <v>1.1455765914685188</v>
      </c>
      <c r="V51" s="87">
        <f t="shared" ref="V51" si="32">U51*453.592</f>
        <v>519.62437727738836</v>
      </c>
      <c r="W51" s="87">
        <f>V51/'Modified Inputs'!$M$2</f>
        <v>524.87310836099834</v>
      </c>
    </row>
  </sheetData>
  <mergeCells count="5">
    <mergeCell ref="J6:K6"/>
    <mergeCell ref="N6:O6"/>
    <mergeCell ref="Q6:R6"/>
    <mergeCell ref="P44:Q44"/>
    <mergeCell ref="V44:W44"/>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P39"/>
  <sheetViews>
    <sheetView topLeftCell="A6" workbookViewId="0">
      <selection activeCell="E39" sqref="E34:E39"/>
    </sheetView>
  </sheetViews>
  <sheetFormatPr defaultRowHeight="15"/>
  <cols>
    <col min="2" max="2" width="12" bestFit="1" customWidth="1"/>
    <col min="3" max="3" width="16.140625" bestFit="1" customWidth="1"/>
    <col min="4" max="4" width="18.5703125" bestFit="1" customWidth="1"/>
    <col min="6" max="6" width="16.140625" bestFit="1" customWidth="1"/>
    <col min="7" max="7" width="23.85546875" bestFit="1" customWidth="1"/>
    <col min="8" max="8" width="11" bestFit="1" customWidth="1"/>
    <col min="9" max="9" width="15.5703125" bestFit="1" customWidth="1"/>
    <col min="10" max="10" width="22.7109375" bestFit="1" customWidth="1"/>
    <col min="15" max="15" width="12.85546875" bestFit="1" customWidth="1"/>
    <col min="16" max="16" width="13.42578125" bestFit="1" customWidth="1"/>
  </cols>
  <sheetData>
    <row r="2" spans="2:16">
      <c r="B2" s="66"/>
      <c r="C2" s="66"/>
    </row>
    <row r="3" spans="2:16">
      <c r="C3" s="58" t="s">
        <v>58</v>
      </c>
      <c r="D3" s="58" t="s">
        <v>55</v>
      </c>
      <c r="E3" s="58" t="s">
        <v>259</v>
      </c>
      <c r="F3" s="61" t="s">
        <v>58</v>
      </c>
      <c r="G3" s="138" t="s">
        <v>346</v>
      </c>
      <c r="H3" s="138" t="s">
        <v>730</v>
      </c>
    </row>
    <row r="4" spans="2:16">
      <c r="C4" s="50" t="s">
        <v>306</v>
      </c>
      <c r="D4" s="50">
        <f>'10A61 10"+6" Calcs'!Q8</f>
        <v>5.7844216061187579</v>
      </c>
      <c r="E4" s="50">
        <f>D4/10</f>
        <v>0.57844216061187581</v>
      </c>
      <c r="F4" s="60" t="str">
        <f>IF('VA Sizing'!$C$3="Gas",C4,
IF(AND('VA Sizing'!$C$3="Liquid",'10A61 10"+6" Calcs'!L8&gt;10),CONCATENATE(" ",'10A61 10" Results'!C4),'10A61 10" Results'!C4))</f>
        <v>1/8-077-G-10-BG</v>
      </c>
      <c r="G4">
        <f>D4*VLOOKUP('VA Sizing'!$D$12,'Modified Inputs'!$I$8:$J$32,2,FALSE)</f>
        <v>3.4706529636712547E-4</v>
      </c>
      <c r="H4">
        <f>IF(G4&lt;0.99999,ROUND(G4,2),
IF(G4&lt;9.999,ROUND(G4,2),
IF(G4&lt;99.99,ROUND(G4,1),
IF(G4&lt;999.99,ROUND(G4,0),
IF(G4&lt;9999.99,ROUND(G4,-1),
IF(G4&lt;99999,ROUND(G4,-2),ROUND(G4,2)))))))</f>
        <v>0</v>
      </c>
    </row>
    <row r="5" spans="2:16">
      <c r="C5" s="50" t="s">
        <v>307</v>
      </c>
      <c r="D5" s="50">
        <f>'10A61 10"+6" Calcs'!Q9</f>
        <v>10.017589535725875</v>
      </c>
      <c r="E5" s="50">
        <f t="shared" ref="E5:E38" si="0">D5/10</f>
        <v>1.0017589535725875</v>
      </c>
      <c r="F5" s="74" t="str">
        <f>IF('VA Sizing'!$C$3="Gas",C5,
IF(AND('VA Sizing'!$C$3="Liquid",'10A61 10"+6" Calcs'!L9&gt;10),CONCATENATE(" ",'10A61 10" Results'!C5),'10A61 10" Results'!C5))</f>
        <v>1/8-077-G-10-SA</v>
      </c>
      <c r="G5">
        <f>D5*VLOOKUP('VA Sizing'!$D$12,'Modified Inputs'!$I$8:$J$32,2,FALSE)</f>
        <v>6.0105537214355249E-4</v>
      </c>
      <c r="H5">
        <f t="shared" ref="H5:H38" si="1">IF(G5&lt;0.99999,ROUND(G5,2),
IF(G5&lt;9.999,ROUND(G5,2),
IF(G5&lt;99.99,ROUND(G5,1),
IF(G5&lt;999.99,ROUND(G5,0),
IF(G5&lt;9999.99,ROUND(G5,-1),
IF(G5&lt;99999,ROUND(G5,-2),ROUND(G5,2)))))))</f>
        <v>0</v>
      </c>
    </row>
    <row r="6" spans="2:16">
      <c r="C6" s="50" t="s">
        <v>308</v>
      </c>
      <c r="D6" s="50">
        <f>'10A61 10"+6" Calcs'!Q10</f>
        <v>19.76115581750474</v>
      </c>
      <c r="E6" s="50">
        <f t="shared" si="0"/>
        <v>1.9761155817504741</v>
      </c>
      <c r="F6" s="74" t="str">
        <f>IF('VA Sizing'!$C$3="Gas",C6,
IF(AND('VA Sizing'!$C$3="Liquid",'10A61 10"+6" Calcs'!L10&gt;10),CONCATENATE(" ",'10A61 10" Results'!C6),'10A61 10" Results'!C6))</f>
        <v>1/8-077-G-10-SS</v>
      </c>
      <c r="G6">
        <f>D6*VLOOKUP('VA Sizing'!$D$12,'Modified Inputs'!$I$8:$J$32,2,FALSE)</f>
        <v>1.1856693490502844E-3</v>
      </c>
      <c r="H6">
        <f t="shared" si="1"/>
        <v>0</v>
      </c>
    </row>
    <row r="7" spans="2:16">
      <c r="C7" s="50" t="s">
        <v>309</v>
      </c>
      <c r="D7" s="50">
        <f>'10A61 10"+6" Calcs'!Q11</f>
        <v>33.134861666380111</v>
      </c>
      <c r="E7" s="50">
        <f t="shared" si="0"/>
        <v>3.3134861666380111</v>
      </c>
      <c r="F7" s="74" t="str">
        <f>IF('VA Sizing'!$C$3="Gas",C7,
IF(AND('VA Sizing'!$C$3="Liquid",'10A61 10"+6" Calcs'!L11&gt;10),CONCATENATE(" ",'10A61 10" Results'!C7),'10A61 10" Results'!C7))</f>
        <v>1/8-077-G-10-CA</v>
      </c>
      <c r="G7">
        <f>D7*VLOOKUP('VA Sizing'!$D$12,'Modified Inputs'!$I$8:$J$32,2,FALSE)</f>
        <v>1.9880916999828065E-3</v>
      </c>
      <c r="H7">
        <f t="shared" si="1"/>
        <v>0</v>
      </c>
      <c r="I7" t="s">
        <v>58</v>
      </c>
      <c r="J7" t="s">
        <v>344</v>
      </c>
      <c r="K7" t="s">
        <v>345</v>
      </c>
      <c r="L7" t="s">
        <v>346</v>
      </c>
      <c r="M7" t="s">
        <v>347</v>
      </c>
      <c r="N7" t="s">
        <v>348</v>
      </c>
      <c r="O7" t="s">
        <v>349</v>
      </c>
      <c r="P7" t="s">
        <v>350</v>
      </c>
    </row>
    <row r="8" spans="2:16">
      <c r="C8" s="50" t="s">
        <v>310</v>
      </c>
      <c r="D8" s="50">
        <f>'10A61 10"+6" Calcs'!Q12</f>
        <v>35.819535827498612</v>
      </c>
      <c r="E8" s="50">
        <f t="shared" si="0"/>
        <v>3.5819535827498612</v>
      </c>
      <c r="F8" s="74" t="str">
        <f>IF('VA Sizing'!$C$3="Gas",C8,
IF(AND('VA Sizing'!$C$3="Liquid",'10A61 10"+6" Calcs'!L12&gt;10),CONCATENATE(" ",'10A61 10" Results'!C8),'10A61 10" Results'!C8))</f>
        <v>1/8-077-G-10-TA</v>
      </c>
      <c r="G8">
        <f>D8*VLOOKUP('VA Sizing'!$D$12,'Modified Inputs'!$I$8:$J$32,2,FALSE)</f>
        <v>2.1491721496499166E-3</v>
      </c>
      <c r="H8">
        <f t="shared" si="1"/>
        <v>0</v>
      </c>
      <c r="I8" t="str">
        <f>VLOOKUP(J8,$D$34:$F$39,3,FALSE)</f>
        <v>1/4-40-G-6-BG</v>
      </c>
      <c r="J8">
        <f t="array" ref="J8">MAX(IF($D$34:$D$39&lt;'Modified Inputs'!$O$2,D34:D39))</f>
        <v>584.51977200265299</v>
      </c>
      <c r="K8">
        <f>VLOOKUP(J8,$D$34:$E$39,2,FALSE)</f>
        <v>58.451977200265297</v>
      </c>
      <c r="L8">
        <f>J8*VLOOKUP('VA Sizing'!$D$12,'Modified Inputs'!$I$8:$J$32,2,FALSE)</f>
        <v>3.5071186320159181E-2</v>
      </c>
      <c r="M8">
        <f>K8*VLOOKUP('VA Sizing'!$D$12,'Modified Inputs'!$I$8:$J$32,2,FALSE)</f>
        <v>3.5071186320159179E-3</v>
      </c>
      <c r="N8">
        <f>IF(L8&lt;0.99999,ROUND(L8,2),
IF(L8&lt;9.999,ROUND(L8,2),
IF(L8&lt;99.99,ROUND(L8,1),
IF(L8&lt;999.99,ROUND(L8,0),
IF(L8&lt;9999.99,ROUND(L8,-1),
IF(L8&lt;99999,ROUND(L8,-2),ROUND(L8,2)))))))</f>
        <v>0.04</v>
      </c>
      <c r="O8">
        <f>ROUND(M8,2)</f>
        <v>0</v>
      </c>
      <c r="P8" s="59" t="str">
        <f>CONCATENATE(O8," ","-"," ",N8)</f>
        <v>0 - 0.04</v>
      </c>
    </row>
    <row r="9" spans="2:16">
      <c r="C9" s="50" t="s">
        <v>311</v>
      </c>
      <c r="D9" s="50">
        <f>'10A61 10"+6" Calcs'!Q14</f>
        <v>16.699359615874631</v>
      </c>
      <c r="E9" s="50">
        <f t="shared" si="0"/>
        <v>1.6699359615874632</v>
      </c>
      <c r="F9" s="74" t="str">
        <f>IF('VA Sizing'!$C$3="Gas",C9,
IF(AND('VA Sizing'!$C$3="Liquid",'10A61 10"+6" Calcs'!L8&gt;60),CONCATENATE(" ",'10A61 10" Results'!C9),'10A61 10" Results'!C9))</f>
        <v>1/8-13.3-G-10-BG</v>
      </c>
      <c r="G9">
        <f>D9*VLOOKUP('VA Sizing'!$D$12,'Modified Inputs'!$I$8:$J$32,2,FALSE)</f>
        <v>1.0019615769524778E-3</v>
      </c>
      <c r="H9">
        <f t="shared" si="1"/>
        <v>0</v>
      </c>
      <c r="I9" t="str">
        <f>VLOOKUP(J9,$D$34:$F$39,3,FALSE)</f>
        <v>1/4-40-G-6-SA</v>
      </c>
      <c r="J9">
        <f t="array" ref="J9">MIN(IF($D$34:$D$39&gt;'Modified Inputs'!$O$2,$D$34:$D$39))</f>
        <v>851.94885216100147</v>
      </c>
      <c r="K9">
        <f>VLOOKUP(J9,$D$34:$E$39,2,FALSE)</f>
        <v>85.194885216100147</v>
      </c>
      <c r="L9">
        <f>J9*VLOOKUP('VA Sizing'!$D$12,'Modified Inputs'!$I$8:$J$32,2,FALSE)</f>
        <v>5.1116931129660093E-2</v>
      </c>
      <c r="M9">
        <f>K9*VLOOKUP('VA Sizing'!$D$12,'Modified Inputs'!$I$8:$J$32,2,FALSE)</f>
        <v>5.1116931129660086E-3</v>
      </c>
      <c r="N9">
        <f t="shared" ref="N9:N11" si="2">IF(L9&lt;0.99999,ROUND(L9,2),
IF(L9&lt;9.999,ROUND(L9,2),
IF(L9&lt;99.99,ROUND(L9,1),
IF(L9&lt;999.99,ROUND(L9,0),
IF(L9&lt;9999.99,ROUND(L9,-1),
IF(L9&lt;99999,ROUND(L9,-2),ROUND(L9,2)))))))</f>
        <v>0.05</v>
      </c>
      <c r="O9">
        <f>ROUND(M9,1)</f>
        <v>0</v>
      </c>
      <c r="P9" s="59" t="str">
        <f>CONCATENATE(O9," ","-"," ",N9)</f>
        <v>0 - 0.05</v>
      </c>
    </row>
    <row r="10" spans="2:16">
      <c r="C10" s="50" t="s">
        <v>312</v>
      </c>
      <c r="D10" s="50">
        <f>'10A61 10"+6" Calcs'!Q15</f>
        <v>27.467455453564778</v>
      </c>
      <c r="E10" s="50">
        <f t="shared" si="0"/>
        <v>2.746745545356478</v>
      </c>
      <c r="F10" s="74" t="str">
        <f>IF('VA Sizing'!$C$3="Gas",C10,
IF(AND('VA Sizing'!$C$3="Liquid",'10A61 10"+6" Calcs'!L9&gt;60),CONCATENATE(" ",'10A61 10" Results'!C10),'10A61 10" Results'!C10))</f>
        <v>1/8-13.3-G-10-SA</v>
      </c>
      <c r="G10">
        <f>D10*VLOOKUP('VA Sizing'!$D$12,'Modified Inputs'!$I$8:$J$32,2,FALSE)</f>
        <v>1.6480473272138868E-3</v>
      </c>
      <c r="H10">
        <f t="shared" si="1"/>
        <v>0</v>
      </c>
      <c r="I10" t="str">
        <f>VLOOKUP(J10,$D$34:$F$39,3,FALSE)</f>
        <v>1/4-40-G-6-SS</v>
      </c>
      <c r="J10">
        <f t="array" ref="J10">MIN(IF($D$34:$D$39&gt;J9,$D$34:$D$39))</f>
        <v>1367.5097634425938</v>
      </c>
      <c r="K10">
        <f>VLOOKUP(J10,$D$34:$E$39,2,FALSE)</f>
        <v>136.75097634425939</v>
      </c>
      <c r="L10">
        <f>J10*VLOOKUP('VA Sizing'!$D$12,'Modified Inputs'!$I$8:$J$32,2,FALSE)</f>
        <v>8.2050585806555623E-2</v>
      </c>
      <c r="M10">
        <f>K10*VLOOKUP('VA Sizing'!$D$12,'Modified Inputs'!$I$8:$J$32,2,FALSE)</f>
        <v>8.205058580655563E-3</v>
      </c>
      <c r="N10">
        <f t="shared" si="2"/>
        <v>0.08</v>
      </c>
      <c r="O10">
        <f t="shared" ref="O10:O11" si="3">ROUND(M10,1)</f>
        <v>0</v>
      </c>
      <c r="P10" s="59" t="str">
        <f t="shared" ref="P10:P11" si="4">CONCATENATE(O10," ","-"," ",N10)</f>
        <v>0 - 0.08</v>
      </c>
    </row>
    <row r="11" spans="2:16">
      <c r="C11" s="50" t="s">
        <v>313</v>
      </c>
      <c r="D11" s="50">
        <f>'10A61 10"+6" Calcs'!Q16</f>
        <v>49.595253640254029</v>
      </c>
      <c r="E11" s="50">
        <f t="shared" si="0"/>
        <v>4.9595253640254029</v>
      </c>
      <c r="F11" s="74" t="str">
        <f>IF('VA Sizing'!$C$3="Gas",C11,
IF(AND('VA Sizing'!$C$3="Liquid",'10A61 10"+6" Calcs'!L10&gt;60),CONCATENATE(" ",'10A61 10" Results'!C11),'10A61 10" Results'!C11))</f>
        <v>1/8-13.3-G-10-SS</v>
      </c>
      <c r="G11">
        <f>D11*VLOOKUP('VA Sizing'!$D$12,'Modified Inputs'!$I$8:$J$32,2,FALSE)</f>
        <v>2.9757152184152419E-3</v>
      </c>
      <c r="H11">
        <f t="shared" si="1"/>
        <v>0</v>
      </c>
      <c r="I11" t="str">
        <f>VLOOKUP(J11,$D$34:$F$39,3,FALSE)</f>
        <v>1/4-40-G-6-CA</v>
      </c>
      <c r="J11">
        <f t="array" ref="J11">MIN(IF($D$34:$D$39&gt;J10,$D$34:$D$39))</f>
        <v>1981.4364981126805</v>
      </c>
      <c r="K11">
        <f>VLOOKUP(J11,$D$34:$E$39,2,FALSE)</f>
        <v>198.14364981126806</v>
      </c>
      <c r="L11">
        <f>J11*VLOOKUP('VA Sizing'!$D$12,'Modified Inputs'!$I$8:$J$32,2,FALSE)</f>
        <v>0.11888618988676083</v>
      </c>
      <c r="M11">
        <f>K11*VLOOKUP('VA Sizing'!$D$12,'Modified Inputs'!$I$8:$J$32,2,FALSE)</f>
        <v>1.1888618988676084E-2</v>
      </c>
      <c r="N11">
        <f t="shared" si="2"/>
        <v>0.12</v>
      </c>
      <c r="O11">
        <f t="shared" si="3"/>
        <v>0</v>
      </c>
      <c r="P11" s="59" t="str">
        <f t="shared" si="4"/>
        <v>0 - 0.12</v>
      </c>
    </row>
    <row r="12" spans="2:16">
      <c r="C12" s="50" t="s">
        <v>314</v>
      </c>
      <c r="D12" s="50">
        <f>'10A61 10"+6" Calcs'!Q17</f>
        <v>76.840884090716884</v>
      </c>
      <c r="E12" s="50">
        <f t="shared" si="0"/>
        <v>7.6840884090716886</v>
      </c>
      <c r="F12" s="74" t="str">
        <f>IF('VA Sizing'!$C$3="Gas",C12,
IF(AND('VA Sizing'!$C$3="Liquid",'10A61 10"+6" Calcs'!L11&gt;60),CONCATENATE(" ",'10A61 10" Results'!C12),'10A61 10" Results'!C12))</f>
        <v>1/8-13.3-G-10-CA</v>
      </c>
      <c r="G12">
        <f>D12*VLOOKUP('VA Sizing'!$D$12,'Modified Inputs'!$I$8:$J$32,2,FALSE)</f>
        <v>4.6104530454430135E-3</v>
      </c>
      <c r="H12">
        <f t="shared" si="1"/>
        <v>0</v>
      </c>
    </row>
    <row r="13" spans="2:16">
      <c r="C13" s="50" t="s">
        <v>315</v>
      </c>
      <c r="D13" s="50">
        <f>'10A61 10"+6" Calcs'!Q18</f>
        <v>82.093150585646285</v>
      </c>
      <c r="E13" s="50">
        <f t="shared" si="0"/>
        <v>8.2093150585646288</v>
      </c>
      <c r="F13" s="74" t="str">
        <f>IF('VA Sizing'!$C$3="Gas",C13,
IF(AND('VA Sizing'!$C$3="Liquid",'10A61 10"+6" Calcs'!L12&gt;60),CONCATENATE(" ",'10A61 10" Results'!C13),'10A61 10" Results'!C13))</f>
        <v>1/8-13.3-G-10-TA</v>
      </c>
      <c r="G13">
        <f>D13*VLOOKUP('VA Sizing'!$D$12,'Modified Inputs'!$I$8:$J$32,2,FALSE)</f>
        <v>4.9255890351387775E-3</v>
      </c>
      <c r="H13">
        <f t="shared" si="1"/>
        <v>0</v>
      </c>
    </row>
    <row r="14" spans="2:16">
      <c r="C14" s="50" t="s">
        <v>316</v>
      </c>
      <c r="D14" s="50">
        <f>'10A61 10"+6" Calcs'!Q20</f>
        <v>55.193500958053406</v>
      </c>
      <c r="E14" s="50">
        <f t="shared" si="0"/>
        <v>5.5193500958053408</v>
      </c>
      <c r="F14" s="74" t="str">
        <f>IF('VA Sizing'!$C$3="Gas",C14,
IF(AND('VA Sizing'!$C$3="Liquid",'10A61 10"+6" Calcs'!L8&gt;60),CONCATENATE(" ",'10A61 10" Results'!C14),'10A61 10" Results'!C14))</f>
        <v>1/8-32-G-10-BG</v>
      </c>
      <c r="G14">
        <f>D14*VLOOKUP('VA Sizing'!$D$12,'Modified Inputs'!$I$8:$J$32,2,FALSE)</f>
        <v>3.3116100574832044E-3</v>
      </c>
      <c r="H14">
        <f t="shared" si="1"/>
        <v>0</v>
      </c>
      <c r="I14" s="240" t="s">
        <v>351</v>
      </c>
      <c r="J14" s="240"/>
    </row>
    <row r="15" spans="2:16">
      <c r="C15" s="50" t="s">
        <v>317</v>
      </c>
      <c r="D15" s="50">
        <f>'10A61 10"+6" Calcs'!Q21</f>
        <v>82.606992688090031</v>
      </c>
      <c r="E15" s="50">
        <f t="shared" si="0"/>
        <v>8.2606992688090024</v>
      </c>
      <c r="F15" s="74" t="str">
        <f>IF('VA Sizing'!$C$3="Gas",C15,
IF(AND('VA Sizing'!$C$3="Liquid",'10A61 10"+6" Calcs'!L9&gt;60),CONCATENATE(" ",'10A61 10" Results'!C15),'10A61 10" Results'!C15))</f>
        <v>1/8-32-G-10-SA</v>
      </c>
      <c r="G15">
        <f>D15*VLOOKUP('VA Sizing'!$D$12,'Modified Inputs'!$I$8:$J$32,2,FALSE)</f>
        <v>4.9564195612854019E-3</v>
      </c>
      <c r="H15">
        <f t="shared" si="1"/>
        <v>0</v>
      </c>
      <c r="I15" s="61" t="s">
        <v>58</v>
      </c>
      <c r="J15" s="61" t="s">
        <v>343</v>
      </c>
    </row>
    <row r="16" spans="2:16">
      <c r="C16" s="50" t="s">
        <v>318</v>
      </c>
      <c r="D16" s="50">
        <f>'10A61 10"+6" Calcs'!Q22</f>
        <v>135.80923933136248</v>
      </c>
      <c r="E16" s="50">
        <f t="shared" si="0"/>
        <v>13.580923933136248</v>
      </c>
      <c r="F16" s="74" t="str">
        <f>IF('VA Sizing'!$C$3="Gas",C16,
IF(AND('VA Sizing'!$C$3="Liquid",'10A61 10"+6" Calcs'!L10&gt;60),CONCATENATE(" ",'10A61 10" Results'!C16),'10A61 10" Results'!C16))</f>
        <v>1/8-32-G-10-SS</v>
      </c>
      <c r="G16">
        <f>D16*VLOOKUP('VA Sizing'!$D$12,'Modified Inputs'!$I$8:$J$32,2,FALSE)</f>
        <v>8.1485543598817482E-3</v>
      </c>
      <c r="H16">
        <f t="shared" si="1"/>
        <v>0.01</v>
      </c>
      <c r="I16" s="60" t="str">
        <f>IFERROR(I8,"")</f>
        <v>1/4-40-G-6-BG</v>
      </c>
      <c r="J16" s="60" t="str">
        <f>IF(I16="","",P8)</f>
        <v>0 - 0.04</v>
      </c>
    </row>
    <row r="17" spans="3:10">
      <c r="C17" s="50" t="s">
        <v>319</v>
      </c>
      <c r="D17" s="50">
        <f>'10A61 10"+6" Calcs'!Q23</f>
        <v>199.3770206635061</v>
      </c>
      <c r="E17" s="50">
        <f t="shared" si="0"/>
        <v>19.93770206635061</v>
      </c>
      <c r="F17" s="74" t="str">
        <f>IF('VA Sizing'!$C$3="Gas",C17,
IF(AND('VA Sizing'!$C$3="Liquid",'10A61 10"+6" Calcs'!L11&gt;60),CONCATENATE(" ",'10A61 10" Results'!C17),'10A61 10" Results'!C17))</f>
        <v>1/8-32-G-10-CA</v>
      </c>
      <c r="G17">
        <f>D17*VLOOKUP('VA Sizing'!$D$12,'Modified Inputs'!$I$8:$J$32,2,FALSE)</f>
        <v>1.1962621239810366E-2</v>
      </c>
      <c r="H17">
        <f t="shared" si="1"/>
        <v>0.01</v>
      </c>
      <c r="I17" s="60" t="str">
        <f>IFERROR(I9,"")</f>
        <v>1/4-40-G-6-SA</v>
      </c>
      <c r="J17" s="60" t="str">
        <f>IF(I17="","",P9)</f>
        <v>0 - 0.05</v>
      </c>
    </row>
    <row r="18" spans="3:10">
      <c r="C18" s="50" t="s">
        <v>320</v>
      </c>
      <c r="D18" s="50">
        <f>'10A61 10"+6" Calcs'!Q24</f>
        <v>211.52084472925623</v>
      </c>
      <c r="E18" s="50">
        <f t="shared" si="0"/>
        <v>21.152084472925623</v>
      </c>
      <c r="F18" s="74" t="str">
        <f>IF('VA Sizing'!$C$3="Gas",C18,
IF(AND('VA Sizing'!$C$3="Liquid",'10A61 10"+6" Calcs'!L12&gt;60),CONCATENATE(" ",'10A61 10" Results'!C18),'10A61 10" Results'!C18))</f>
        <v>1/8-32-G-10-TA</v>
      </c>
      <c r="G18">
        <f>D18*VLOOKUP('VA Sizing'!$D$12,'Modified Inputs'!$I$8:$J$32,2,FALSE)</f>
        <v>1.2691250683755375E-2</v>
      </c>
      <c r="H18">
        <f t="shared" si="1"/>
        <v>0.01</v>
      </c>
      <c r="I18" s="60" t="str">
        <f>IFERROR(IF(I17="","",I10),"")</f>
        <v>1/4-40-G-6-SS</v>
      </c>
      <c r="J18" s="60" t="str">
        <f>IF(I18="","",P10)</f>
        <v>0 - 0.08</v>
      </c>
    </row>
    <row r="19" spans="3:10">
      <c r="C19" s="50" t="s">
        <v>321</v>
      </c>
      <c r="D19" s="50">
        <f>'10A61 10"+6" Calcs'!Q26</f>
        <v>93.082796317669974</v>
      </c>
      <c r="E19" s="50">
        <f t="shared" si="0"/>
        <v>9.3082796317669967</v>
      </c>
      <c r="F19" s="74" t="str">
        <f>IF('VA Sizing'!$C$3="Gas",C19,
IF(AND('VA Sizing'!$C$3="Liquid",'10A61 10"+6" Calcs'!L8&gt;60),CONCATENATE(" ",'10A61 10" Results'!C19),'10A61 10" Results'!C19))</f>
        <v>1/4-10-G-10-BG</v>
      </c>
      <c r="G19">
        <f>D19*VLOOKUP('VA Sizing'!$D$12,'Modified Inputs'!$I$8:$J$32,2,FALSE)</f>
        <v>5.5849677790601989E-3</v>
      </c>
      <c r="H19">
        <f t="shared" si="1"/>
        <v>0.01</v>
      </c>
      <c r="I19" s="60" t="str">
        <f>IFERROR(IF(OR(I17="",I18=""),"",I11),"")</f>
        <v>1/4-40-G-6-CA</v>
      </c>
      <c r="J19" s="60" t="str">
        <f>IF(I19="","",P11)</f>
        <v>0 - 0.12</v>
      </c>
    </row>
    <row r="20" spans="3:10">
      <c r="C20" s="50" t="s">
        <v>322</v>
      </c>
      <c r="D20" s="50">
        <f>'10A61 10"+6" Calcs'!Q27</f>
        <v>145.41790571628582</v>
      </c>
      <c r="E20" s="50">
        <f t="shared" si="0"/>
        <v>14.541790571628582</v>
      </c>
      <c r="F20" s="74" t="str">
        <f>IF('VA Sizing'!$C$3="Gas",C20,
IF(AND('VA Sizing'!$C$3="Liquid",'10A61 10"+6" Calcs'!L9&gt;60),CONCATENATE(" ",'10A61 10" Results'!C20),'10A61 10" Results'!C20))</f>
        <v>1/4-10-G-10-SA</v>
      </c>
      <c r="G20">
        <f>D20*VLOOKUP('VA Sizing'!$D$12,'Modified Inputs'!$I$8:$J$32,2,FALSE)</f>
        <v>8.7250743429771495E-3</v>
      </c>
      <c r="H20">
        <f t="shared" si="1"/>
        <v>0.01</v>
      </c>
    </row>
    <row r="21" spans="3:10">
      <c r="C21" s="50" t="s">
        <v>323</v>
      </c>
      <c r="D21" s="50">
        <f>'10A61 10"+6" Calcs'!Q28</f>
        <v>250.12447413031813</v>
      </c>
      <c r="E21" s="50">
        <f t="shared" si="0"/>
        <v>25.012447413031815</v>
      </c>
      <c r="F21" s="74" t="str">
        <f>IF('VA Sizing'!$C$3="Gas",C21,
IF(AND('VA Sizing'!$C$3="Liquid",'10A61 10"+6" Calcs'!L10&gt;60),CONCATENATE(" ",'10A61 10" Results'!C21),'10A61 10" Results'!C21))</f>
        <v>1/4-10-G-10-SS</v>
      </c>
      <c r="G21">
        <f>D21*VLOOKUP('VA Sizing'!$D$12,'Modified Inputs'!$I$8:$J$32,2,FALSE)</f>
        <v>1.5007468447819089E-2</v>
      </c>
      <c r="H21">
        <f t="shared" si="1"/>
        <v>0.02</v>
      </c>
    </row>
    <row r="22" spans="3:10">
      <c r="C22" s="50" t="s">
        <v>324</v>
      </c>
      <c r="D22" s="50">
        <f>'10A61 10"+6" Calcs'!Q29</f>
        <v>377.28504847493849</v>
      </c>
      <c r="E22" s="50">
        <f t="shared" si="0"/>
        <v>37.728504847493852</v>
      </c>
      <c r="F22" s="74" t="str">
        <f>IF('VA Sizing'!$C$3="Gas",C22,
IF(AND('VA Sizing'!$C$3="Liquid",'10A61 10"+6" Calcs'!L11&gt;60),CONCATENATE(" ",'10A61 10" Results'!C22),'10A61 10" Results'!C22))</f>
        <v>1/4-10-G-10-CA</v>
      </c>
      <c r="G22">
        <f>D22*VLOOKUP('VA Sizing'!$D$12,'Modified Inputs'!$I$8:$J$32,2,FALSE)</f>
        <v>2.2637102908496309E-2</v>
      </c>
      <c r="H22">
        <f t="shared" si="1"/>
        <v>0.02</v>
      </c>
    </row>
    <row r="23" spans="3:10">
      <c r="C23" s="50" t="s">
        <v>325</v>
      </c>
      <c r="D23" s="50">
        <f>'10A61 10"+6" Calcs'!Q30</f>
        <v>401.69783023916273</v>
      </c>
      <c r="E23" s="50">
        <f t="shared" si="0"/>
        <v>40.169783023916274</v>
      </c>
      <c r="F23" s="74" t="str">
        <f>IF('VA Sizing'!$C$3="Gas",C23,
IF(AND('VA Sizing'!$C$3="Liquid",'10A61 10"+6" Calcs'!L12&gt;60),CONCATENATE(" ",'10A61 10" Results'!C23),'10A61 10" Results'!C23))</f>
        <v>1/4-10-G-10-TA</v>
      </c>
      <c r="G23">
        <f>D23*VLOOKUP('VA Sizing'!$D$12,'Modified Inputs'!$I$8:$J$32,2,FALSE)</f>
        <v>2.4101869814349763E-2</v>
      </c>
      <c r="H23">
        <f t="shared" si="1"/>
        <v>0.02</v>
      </c>
    </row>
    <row r="24" spans="3:10">
      <c r="C24" s="50" t="s">
        <v>326</v>
      </c>
      <c r="D24" s="50">
        <f>'10A61 10"+6" Calcs'!Q32</f>
        <v>233.40491207288926</v>
      </c>
      <c r="E24" s="50">
        <f t="shared" si="0"/>
        <v>23.340491207288927</v>
      </c>
      <c r="F24" s="74" t="str">
        <f>IF('VA Sizing'!$C$3="Gas",C24,
IF(AND('VA Sizing'!$C$3="Liquid",'10A61 10"+6" Calcs'!L8&gt;60),CONCATENATE(" ",'10A61 10" Results'!C24),'10A61 10" Results'!C24))</f>
        <v>1/4-19-G-10-BG</v>
      </c>
      <c r="G24">
        <f>D24*VLOOKUP('VA Sizing'!$D$12,'Modified Inputs'!$I$8:$J$32,2,FALSE)</f>
        <v>1.4004294724373355E-2</v>
      </c>
      <c r="H24">
        <f t="shared" si="1"/>
        <v>0.01</v>
      </c>
    </row>
    <row r="25" spans="3:10">
      <c r="C25" s="50" t="s">
        <v>327</v>
      </c>
      <c r="D25" s="50">
        <f>'10A61 10"+6" Calcs'!Q33</f>
        <v>345.23972275284626</v>
      </c>
      <c r="E25" s="50">
        <f t="shared" si="0"/>
        <v>34.523972275284628</v>
      </c>
      <c r="F25" s="74" t="str">
        <f>IF('VA Sizing'!$C$3="Gas",C25,
IF(AND('VA Sizing'!$C$3="Liquid",'10A61 10"+6" Calcs'!L9&gt;60),CONCATENATE(" ",'10A61 10" Results'!C25),'10A61 10" Results'!C25))</f>
        <v>1/4-19-G-10-SA</v>
      </c>
      <c r="G25">
        <f>D25*VLOOKUP('VA Sizing'!$D$12,'Modified Inputs'!$I$8:$J$32,2,FALSE)</f>
        <v>2.0714383365170775E-2</v>
      </c>
      <c r="H25">
        <f t="shared" si="1"/>
        <v>0.02</v>
      </c>
    </row>
    <row r="26" spans="3:10">
      <c r="C26" s="50" t="s">
        <v>328</v>
      </c>
      <c r="D26" s="50">
        <f>'10A61 10"+6" Calcs'!Q34</f>
        <v>561.96985835162911</v>
      </c>
      <c r="E26" s="50">
        <f t="shared" si="0"/>
        <v>56.196985835162913</v>
      </c>
      <c r="F26" s="74" t="str">
        <f>IF('VA Sizing'!$C$3="Gas",C26,
IF(AND('VA Sizing'!$C$3="Liquid",'10A61 10"+6" Calcs'!L10&gt;60),CONCATENATE(" ",'10A61 10" Results'!C26),'10A61 10" Results'!C26))</f>
        <v>1/4-19-G-10-SS</v>
      </c>
      <c r="G26">
        <f>D26*VLOOKUP('VA Sizing'!$D$12,'Modified Inputs'!$I$8:$J$32,2,FALSE)</f>
        <v>3.3718191501097748E-2</v>
      </c>
      <c r="H26">
        <f t="shared" si="1"/>
        <v>0.03</v>
      </c>
    </row>
    <row r="27" spans="3:10">
      <c r="C27" s="50" t="s">
        <v>329</v>
      </c>
      <c r="D27" s="50">
        <f>'10A61 10"+6" Calcs'!Q35</f>
        <v>820.74239792113406</v>
      </c>
      <c r="E27" s="50">
        <f t="shared" si="0"/>
        <v>82.074239792113403</v>
      </c>
      <c r="F27" s="74" t="str">
        <f>IF('VA Sizing'!$C$3="Gas",C27,
IF(AND('VA Sizing'!$C$3="Liquid",'10A61 10"+6" Calcs'!L11&gt;60),CONCATENATE(" ",'10A61 10" Results'!C27),'10A61 10" Results'!C27))</f>
        <v>1/4-19-G-10-CA</v>
      </c>
      <c r="G27">
        <f>D27*VLOOKUP('VA Sizing'!$D$12,'Modified Inputs'!$I$8:$J$32,2,FALSE)</f>
        <v>4.9244543875268047E-2</v>
      </c>
      <c r="H27">
        <f t="shared" si="1"/>
        <v>0.05</v>
      </c>
    </row>
    <row r="28" spans="3:10">
      <c r="C28" s="50" t="s">
        <v>330</v>
      </c>
      <c r="D28" s="50">
        <f>'10A61 10"+6" Calcs'!Q36</f>
        <v>870.16745620512984</v>
      </c>
      <c r="E28" s="50">
        <f t="shared" si="0"/>
        <v>87.016745620512978</v>
      </c>
      <c r="F28" s="74" t="str">
        <f>IF('VA Sizing'!$C$3="Gas",C28,
IF(AND('VA Sizing'!$C$3="Liquid",'10A61 10"+6" Calcs'!L12&gt;60),CONCATENATE(" ",'10A61 10" Results'!C28),'10A61 10" Results'!C28))</f>
        <v>1/4-19-G-10-TA</v>
      </c>
      <c r="G28">
        <f>D28*VLOOKUP('VA Sizing'!$D$12,'Modified Inputs'!$I$8:$J$32,2,FALSE)</f>
        <v>5.2210047372307791E-2</v>
      </c>
      <c r="H28">
        <f t="shared" si="1"/>
        <v>0.05</v>
      </c>
    </row>
    <row r="29" spans="3:10">
      <c r="C29" s="50" t="s">
        <v>296</v>
      </c>
      <c r="D29" s="50">
        <f>'10A61 10"+6" Calcs'!Q38</f>
        <v>584.51977200265299</v>
      </c>
      <c r="E29" s="50">
        <f t="shared" si="0"/>
        <v>58.451977200265297</v>
      </c>
      <c r="F29" s="74" t="str">
        <f>IF('VA Sizing'!$C$3="Gas",C29,
IF(AND('VA Sizing'!$C$3="Liquid",'10A61 10"+6" Calcs'!L8&gt;60),CONCATENATE(" ",'10A61 10" Results'!C29),'10A61 10" Results'!C29))</f>
        <v>1/4-40-G-10-BG</v>
      </c>
      <c r="G29">
        <f>D29*VLOOKUP('VA Sizing'!$D$12,'Modified Inputs'!$I$8:$J$32,2,FALSE)</f>
        <v>3.5071186320159181E-2</v>
      </c>
      <c r="H29">
        <f t="shared" si="1"/>
        <v>0.04</v>
      </c>
    </row>
    <row r="30" spans="3:10">
      <c r="C30" s="50" t="s">
        <v>297</v>
      </c>
      <c r="D30" s="50">
        <f>'10A61 10"+6" Calcs'!Q39</f>
        <v>851.94885216100147</v>
      </c>
      <c r="E30" s="50">
        <f t="shared" si="0"/>
        <v>85.194885216100147</v>
      </c>
      <c r="F30" s="74" t="str">
        <f>IF('VA Sizing'!$C$3="Gas",C30,
IF(AND('VA Sizing'!$C$3="Liquid",'10A61 10"+6" Calcs'!L9&gt;60),CONCATENATE(" ",'10A61 10" Results'!C30),'10A61 10" Results'!C30))</f>
        <v>1/4-40-G-10-SA</v>
      </c>
      <c r="G30">
        <f>D30*VLOOKUP('VA Sizing'!$D$12,'Modified Inputs'!$I$8:$J$32,2,FALSE)</f>
        <v>5.1116931129660093E-2</v>
      </c>
      <c r="H30">
        <f t="shared" si="1"/>
        <v>0.05</v>
      </c>
    </row>
    <row r="31" spans="3:10">
      <c r="C31" s="50" t="s">
        <v>298</v>
      </c>
      <c r="D31" s="50">
        <f>'10A61 10"+6" Calcs'!Q40</f>
        <v>1367.5097634425938</v>
      </c>
      <c r="E31" s="50">
        <f t="shared" si="0"/>
        <v>136.75097634425939</v>
      </c>
      <c r="F31" s="74" t="str">
        <f>IF('VA Sizing'!$C$3="Gas",C31,
IF(AND('VA Sizing'!$C$3="Liquid",'10A61 10"+6" Calcs'!L10&gt;60),CONCATENATE(" ",'10A61 10" Results'!C31),'10A61 10" Results'!C31))</f>
        <v>1/4-40-G-10-SS</v>
      </c>
      <c r="G31">
        <f>D31*VLOOKUP('VA Sizing'!$D$12,'Modified Inputs'!$I$8:$J$32,2,FALSE)</f>
        <v>8.2050585806555623E-2</v>
      </c>
      <c r="H31">
        <f t="shared" si="1"/>
        <v>0.08</v>
      </c>
    </row>
    <row r="32" spans="3:10">
      <c r="C32" s="50" t="s">
        <v>299</v>
      </c>
      <c r="D32" s="50">
        <f>'10A61 10"+6" Calcs'!Q41</f>
        <v>1981.4364981126805</v>
      </c>
      <c r="E32" s="50">
        <f t="shared" si="0"/>
        <v>198.14364981126806</v>
      </c>
      <c r="F32" s="74" t="str">
        <f>IF('VA Sizing'!$C$3="Gas",C32,
IF(AND('VA Sizing'!$C$3="Liquid",'10A61 10"+6" Calcs'!L11&gt;60),CONCATENATE(" ",'10A61 10" Results'!C32),'10A61 10" Results'!C32))</f>
        <v>1/4-40-G-10-CA</v>
      </c>
      <c r="G32">
        <f>D32*VLOOKUP('VA Sizing'!$D$12,'Modified Inputs'!$I$8:$J$32,2,FALSE)</f>
        <v>0.11888618988676083</v>
      </c>
      <c r="H32">
        <f t="shared" si="1"/>
        <v>0.12</v>
      </c>
    </row>
    <row r="33" spans="3:8">
      <c r="C33" s="50" t="s">
        <v>300</v>
      </c>
      <c r="D33" s="50">
        <f>'10A61 10"+6" Calcs'!Q42</f>
        <v>2098.6026329148735</v>
      </c>
      <c r="E33" s="50">
        <f t="shared" si="0"/>
        <v>209.86026329148734</v>
      </c>
      <c r="F33" s="74" t="str">
        <f>IF('VA Sizing'!$C$3="Gas",C33,
IF(AND('VA Sizing'!$C$3="Liquid",'10A61 10"+6" Calcs'!L12&gt;60),CONCATENATE(" ",'10A61 10" Results'!C33),'10A61 10" Results'!C33))</f>
        <v>1/4-40-G-10-TA</v>
      </c>
      <c r="G33">
        <f>D33*VLOOKUP('VA Sizing'!$D$12,'Modified Inputs'!$I$8:$J$32,2,FALSE)</f>
        <v>0.12591615797489242</v>
      </c>
      <c r="H33">
        <f t="shared" si="1"/>
        <v>0.13</v>
      </c>
    </row>
    <row r="34" spans="3:8">
      <c r="C34" s="50" t="s">
        <v>301</v>
      </c>
      <c r="D34" s="50">
        <f>'10A61 10"+6" Calcs'!T38</f>
        <v>584.51977200265299</v>
      </c>
      <c r="E34" s="50">
        <f t="shared" si="0"/>
        <v>58.451977200265297</v>
      </c>
      <c r="F34" s="74" t="str">
        <f>IF('VA Sizing'!$C$3="Gas",C34,
IF(AND('VA Sizing'!$C$3="Liquid",'10A61 10"+6" Calcs'!L8&gt;60),CONCATENATE(" ",'10A61 10" Results'!C34),'10A61 10" Results'!C34))</f>
        <v>1/4-40-G-6-BG</v>
      </c>
      <c r="G34">
        <f>D34*VLOOKUP('VA Sizing'!$D$12,'Modified Inputs'!$I$8:$J$32,2,FALSE)</f>
        <v>3.5071186320159181E-2</v>
      </c>
      <c r="H34">
        <f t="shared" si="1"/>
        <v>0.04</v>
      </c>
    </row>
    <row r="35" spans="3:8">
      <c r="C35" s="50" t="s">
        <v>302</v>
      </c>
      <c r="D35" s="50">
        <f>'10A61 10"+6" Calcs'!T39</f>
        <v>851.94885216100147</v>
      </c>
      <c r="E35" s="50">
        <f t="shared" si="0"/>
        <v>85.194885216100147</v>
      </c>
      <c r="F35" s="74" t="str">
        <f>IF('VA Sizing'!$C$3="Gas",C35,
IF(AND('VA Sizing'!$C$3="Liquid",'10A61 10"+6" Calcs'!L9&gt;60),CONCATENATE(" ",'10A61 10" Results'!C35),'10A61 10" Results'!C35))</f>
        <v>1/4-40-G-6-SA</v>
      </c>
      <c r="G35">
        <f>D35*VLOOKUP('VA Sizing'!$D$12,'Modified Inputs'!$I$8:$J$32,2,FALSE)</f>
        <v>5.1116931129660093E-2</v>
      </c>
      <c r="H35">
        <f t="shared" si="1"/>
        <v>0.05</v>
      </c>
    </row>
    <row r="36" spans="3:8">
      <c r="C36" s="50" t="s">
        <v>303</v>
      </c>
      <c r="D36" s="50">
        <f>'10A61 10"+6" Calcs'!T40</f>
        <v>1367.5097634425938</v>
      </c>
      <c r="E36" s="50">
        <f t="shared" si="0"/>
        <v>136.75097634425939</v>
      </c>
      <c r="F36" s="74" t="str">
        <f>IF('VA Sizing'!$C$3="Gas",C36,
IF(AND('VA Sizing'!$C$3="Liquid",'10A61 10"+6" Calcs'!L10&gt;60),CONCATENATE(" ",'10A61 10" Results'!C36),'10A61 10" Results'!C36))</f>
        <v>1/4-40-G-6-SS</v>
      </c>
      <c r="G36">
        <f>D36*VLOOKUP('VA Sizing'!$D$12,'Modified Inputs'!$I$8:$J$32,2,FALSE)</f>
        <v>8.2050585806555623E-2</v>
      </c>
      <c r="H36">
        <f t="shared" si="1"/>
        <v>0.08</v>
      </c>
    </row>
    <row r="37" spans="3:8">
      <c r="C37" s="50" t="s">
        <v>304</v>
      </c>
      <c r="D37" s="50">
        <f>'10A61 10"+6" Calcs'!T41</f>
        <v>1981.4364981126805</v>
      </c>
      <c r="E37" s="50">
        <f t="shared" si="0"/>
        <v>198.14364981126806</v>
      </c>
      <c r="F37" s="74" t="str">
        <f>IF('VA Sizing'!$C$3="Gas",C37,
IF(AND('VA Sizing'!$C$3="Liquid",'10A61 10"+6" Calcs'!L11&gt;60),CONCATENATE(" ",'10A61 10" Results'!C37),'10A61 10" Results'!C37))</f>
        <v>1/4-40-G-6-CA</v>
      </c>
      <c r="G37">
        <f>D37*VLOOKUP('VA Sizing'!$D$12,'Modified Inputs'!$I$8:$J$32,2,FALSE)</f>
        <v>0.11888618988676083</v>
      </c>
      <c r="H37">
        <f t="shared" si="1"/>
        <v>0.12</v>
      </c>
    </row>
    <row r="38" spans="3:8">
      <c r="C38" s="50" t="s">
        <v>305</v>
      </c>
      <c r="D38" s="50">
        <f>'10A61 10"+6" Calcs'!T42</f>
        <v>2098.6026329148735</v>
      </c>
      <c r="E38" s="50">
        <f t="shared" si="0"/>
        <v>209.86026329148734</v>
      </c>
      <c r="F38" s="74" t="str">
        <f>IF('VA Sizing'!$C$3="Gas",C38,
IF(AND('VA Sizing'!$C$3="Liquid",'10A61 10"+6" Calcs'!L12&gt;60),CONCATENATE(" ",'10A61 10" Results'!C38),'10A61 10" Results'!C38))</f>
        <v>1/4-40-G-6-TA</v>
      </c>
      <c r="G38">
        <f>D38*VLOOKUP('VA Sizing'!$D$12,'Modified Inputs'!$I$8:$J$32,2,FALSE)</f>
        <v>0.12591615797489242</v>
      </c>
      <c r="H38">
        <f t="shared" si="1"/>
        <v>0.13</v>
      </c>
    </row>
    <row r="39" spans="3:8">
      <c r="C39" s="149" t="s">
        <v>911</v>
      </c>
      <c r="D39" s="149">
        <f>'10A61 10"+6" Calcs'!T43</f>
        <v>524.87310836099834</v>
      </c>
      <c r="E39" s="149">
        <f t="shared" ref="E39" si="5">D39/10</f>
        <v>52.487310836099837</v>
      </c>
      <c r="F39" s="149" t="str">
        <f>IF('VA Sizing'!$C$3="Gas",C39,
IF(AND('VA Sizing'!$C$3="Liquid",'10A61 10"+6" Calcs'!L13&gt;60),CONCATENATE(" ",'10A61 10" Results'!C39),'10A61 10" Results'!C39))</f>
        <v>1/4-40-G-6-CD</v>
      </c>
      <c r="G39">
        <f>D39*VLOOKUP('VA Sizing'!$D$12,'Modified Inputs'!$I$8:$J$32,2,FALSE)</f>
        <v>3.1492386501659898E-2</v>
      </c>
      <c r="H39">
        <f t="shared" ref="H39" si="6">IF(G39&lt;0.99999,ROUND(G39,2),
IF(G39&lt;9.999,ROUND(G39,2),
IF(G39&lt;99.99,ROUND(G39,1),
IF(G39&lt;999.99,ROUND(G39,0),
IF(G39&lt;9999.99,ROUND(G39,-1),
IF(G39&lt;99999,ROUND(G39,-2),ROUND(G39,2)))))))</f>
        <v>0.03</v>
      </c>
    </row>
  </sheetData>
  <mergeCells count="1">
    <mergeCell ref="I14:J14"/>
  </mergeCells>
  <conditionalFormatting sqref="I16">
    <cfRule type="expression" dxfId="22" priority="4">
      <formula>LEFT($I$16,1)=" "</formula>
    </cfRule>
  </conditionalFormatting>
  <conditionalFormatting sqref="I17">
    <cfRule type="expression" dxfId="21" priority="3">
      <formula>LEFT($I$17,1)=" "</formula>
    </cfRule>
  </conditionalFormatting>
  <conditionalFormatting sqref="I18">
    <cfRule type="expression" dxfId="20" priority="2">
      <formula>LEFT($I$18,1)=" "</formula>
    </cfRule>
  </conditionalFormatting>
  <conditionalFormatting sqref="I19">
    <cfRule type="expression" dxfId="19" priority="1">
      <formula>LEFT($I$19,1)=" "</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H1472"/>
  <sheetViews>
    <sheetView workbookViewId="0">
      <selection activeCell="N2" sqref="N2:Q3"/>
    </sheetView>
  </sheetViews>
  <sheetFormatPr defaultRowHeight="15"/>
  <cols>
    <col min="1" max="1" width="18" bestFit="1" customWidth="1"/>
    <col min="2" max="2" width="16.5703125" bestFit="1" customWidth="1"/>
    <col min="4" max="4" width="15" bestFit="1" customWidth="1"/>
    <col min="5" max="5" width="12" bestFit="1" customWidth="1"/>
    <col min="6" max="6" width="15.140625" bestFit="1" customWidth="1"/>
    <col min="7" max="7" width="12.140625" customWidth="1"/>
    <col min="8" max="8" width="14.42578125" customWidth="1"/>
  </cols>
  <sheetData>
    <row r="1" spans="1:8" ht="15.75" thickBot="1">
      <c r="B1" s="105" t="s">
        <v>573</v>
      </c>
    </row>
    <row r="3" spans="1:8">
      <c r="A3" s="62" t="s">
        <v>559</v>
      </c>
      <c r="B3" s="62" t="s">
        <v>560</v>
      </c>
      <c r="C3" s="62" t="s">
        <v>534</v>
      </c>
      <c r="D3" s="62" t="s">
        <v>561</v>
      </c>
      <c r="E3" s="62" t="s">
        <v>562</v>
      </c>
      <c r="F3" s="62" t="s">
        <v>563</v>
      </c>
      <c r="G3" s="62" t="s">
        <v>564</v>
      </c>
      <c r="H3" s="62" t="s">
        <v>565</v>
      </c>
    </row>
    <row r="4" spans="1:8">
      <c r="A4" s="7" t="s">
        <v>573</v>
      </c>
      <c r="B4" s="7">
        <v>1</v>
      </c>
      <c r="C4" s="7">
        <f>IFERROR(VLOOKUP($B$1,$A$4:$B$500,2,FALSE),2)</f>
        <v>1</v>
      </c>
      <c r="D4" s="7" t="str">
        <f>"$"&amp;"A"&amp;"$"&amp;4+COUNTA(A4:A500)</f>
        <v>$A$5</v>
      </c>
      <c r="E4" s="7" t="str">
        <f>"$"&amp;"G"&amp;"$"&amp;4+COUNTA(A4:A500)</f>
        <v>$G$5</v>
      </c>
      <c r="F4" s="7" t="str">
        <f>"$"&amp;"H"&amp;"$"&amp;4+COUNTA(A4:A500)</f>
        <v>$H$5</v>
      </c>
      <c r="G4" s="7"/>
      <c r="H4" s="7"/>
    </row>
    <row r="5" spans="1:8">
      <c r="A5" s="7"/>
      <c r="B5" s="7">
        <v>1</v>
      </c>
      <c r="C5" s="7"/>
      <c r="D5" s="7"/>
      <c r="E5" s="7"/>
      <c r="F5" s="7"/>
      <c r="G5" s="7"/>
      <c r="H5" s="7"/>
    </row>
    <row r="6" spans="1:8">
      <c r="A6" s="7"/>
      <c r="B6" s="7">
        <v>1</v>
      </c>
      <c r="C6" s="7"/>
      <c r="D6" s="7"/>
      <c r="E6" s="7"/>
      <c r="F6" s="7"/>
      <c r="G6" s="7"/>
      <c r="H6" s="7"/>
    </row>
    <row r="7" spans="1:8">
      <c r="A7" s="7"/>
      <c r="B7" s="7">
        <v>1</v>
      </c>
      <c r="C7" s="7"/>
      <c r="D7" s="7"/>
      <c r="E7" s="7"/>
      <c r="F7" s="7"/>
      <c r="G7" s="7"/>
      <c r="H7" s="7"/>
    </row>
    <row r="8" spans="1:8">
      <c r="A8" s="7"/>
      <c r="B8" s="7">
        <v>1</v>
      </c>
      <c r="C8" s="7"/>
      <c r="D8" s="7"/>
      <c r="E8" s="7"/>
      <c r="F8" s="7"/>
      <c r="G8" s="7"/>
      <c r="H8" s="7"/>
    </row>
    <row r="9" spans="1:8">
      <c r="A9" s="7"/>
      <c r="B9" s="7">
        <v>1</v>
      </c>
      <c r="C9" s="7"/>
      <c r="D9" s="7"/>
      <c r="E9" s="7"/>
      <c r="F9" s="7"/>
      <c r="G9" s="7"/>
      <c r="H9" s="7"/>
    </row>
    <row r="10" spans="1:8">
      <c r="A10" s="7"/>
      <c r="B10" s="7">
        <v>1</v>
      </c>
      <c r="C10" s="7"/>
      <c r="D10" s="7"/>
      <c r="E10" s="7"/>
      <c r="F10" s="7"/>
      <c r="G10" s="7"/>
      <c r="H10" s="7"/>
    </row>
    <row r="11" spans="1:8">
      <c r="A11" s="7"/>
      <c r="B11" s="7">
        <v>1</v>
      </c>
      <c r="C11" s="7"/>
      <c r="D11" s="7"/>
      <c r="E11" s="7"/>
      <c r="F11" s="7"/>
      <c r="G11" s="7"/>
      <c r="H11" s="7"/>
    </row>
    <row r="12" spans="1:8">
      <c r="A12" s="7"/>
      <c r="B12" s="7">
        <v>1</v>
      </c>
      <c r="C12" s="7"/>
      <c r="D12" s="7"/>
      <c r="E12" s="7"/>
      <c r="F12" s="7"/>
      <c r="G12" s="7"/>
      <c r="H12" s="7"/>
    </row>
    <row r="13" spans="1:8">
      <c r="A13" s="7"/>
      <c r="B13" s="7">
        <v>1</v>
      </c>
      <c r="C13" s="7"/>
      <c r="D13" s="7"/>
      <c r="E13" s="7"/>
      <c r="F13" s="7"/>
      <c r="G13" s="7"/>
      <c r="H13" s="7"/>
    </row>
    <row r="14" spans="1:8">
      <c r="A14" s="7"/>
      <c r="B14" s="7">
        <v>1</v>
      </c>
      <c r="C14" s="7"/>
      <c r="D14" s="7"/>
      <c r="E14" s="7"/>
      <c r="F14" s="7"/>
      <c r="G14" s="7"/>
      <c r="H14" s="7"/>
    </row>
    <row r="15" spans="1:8">
      <c r="A15" s="7"/>
      <c r="B15" s="7">
        <v>1</v>
      </c>
      <c r="C15" s="7"/>
      <c r="D15" s="7"/>
      <c r="E15" s="7"/>
      <c r="F15" s="7"/>
      <c r="G15" s="7"/>
      <c r="H15" s="7"/>
    </row>
    <row r="16" spans="1:8">
      <c r="A16" s="7"/>
      <c r="B16" s="7">
        <v>1</v>
      </c>
      <c r="C16" s="7"/>
      <c r="D16" s="7"/>
      <c r="E16" s="7"/>
      <c r="F16" s="7"/>
      <c r="G16" s="7"/>
      <c r="H16" s="7"/>
    </row>
    <row r="17" spans="1:8">
      <c r="A17" s="7"/>
      <c r="B17" s="7">
        <v>1</v>
      </c>
      <c r="C17" s="7"/>
      <c r="D17" s="7"/>
      <c r="E17" s="7"/>
      <c r="F17" s="7"/>
      <c r="G17" s="7"/>
      <c r="H17" s="7"/>
    </row>
    <row r="18" spans="1:8">
      <c r="A18" s="7"/>
      <c r="B18" s="7">
        <v>1</v>
      </c>
      <c r="C18" s="7"/>
      <c r="D18" s="7"/>
      <c r="E18" s="7"/>
      <c r="F18" s="7"/>
      <c r="G18" s="7"/>
      <c r="H18" s="7"/>
    </row>
    <row r="19" spans="1:8">
      <c r="A19" s="7"/>
      <c r="B19" s="7">
        <v>1</v>
      </c>
      <c r="C19" s="7"/>
      <c r="D19" s="7"/>
      <c r="E19" s="7"/>
      <c r="F19" s="7"/>
      <c r="G19" s="7"/>
      <c r="H19" s="7"/>
    </row>
    <row r="20" spans="1:8">
      <c r="A20" s="7"/>
      <c r="B20" s="7">
        <v>1</v>
      </c>
      <c r="C20" s="7"/>
      <c r="D20" s="7"/>
      <c r="E20" s="7"/>
      <c r="F20" s="7"/>
      <c r="G20" s="7"/>
      <c r="H20" s="7"/>
    </row>
    <row r="21" spans="1:8">
      <c r="A21" s="7"/>
      <c r="B21" s="7">
        <v>1</v>
      </c>
      <c r="G21" s="7"/>
      <c r="H21" s="7"/>
    </row>
    <row r="22" spans="1:8">
      <c r="A22" s="7"/>
      <c r="B22" s="7">
        <v>1</v>
      </c>
      <c r="G22" s="7"/>
      <c r="H22" s="7"/>
    </row>
    <row r="23" spans="1:8">
      <c r="A23" s="7"/>
      <c r="B23" s="7">
        <v>1</v>
      </c>
      <c r="G23" s="7"/>
      <c r="H23" s="7"/>
    </row>
    <row r="24" spans="1:8">
      <c r="A24" s="7"/>
      <c r="B24" s="7">
        <v>1</v>
      </c>
      <c r="G24" s="7"/>
      <c r="H24" s="7"/>
    </row>
    <row r="25" spans="1:8">
      <c r="A25" s="7"/>
      <c r="B25" s="7">
        <v>1</v>
      </c>
      <c r="G25" s="7"/>
      <c r="H25" s="7"/>
    </row>
    <row r="26" spans="1:8">
      <c r="A26" s="7"/>
      <c r="B26" s="7">
        <v>1</v>
      </c>
      <c r="G26" s="7"/>
      <c r="H26" s="7"/>
    </row>
    <row r="27" spans="1:8">
      <c r="A27" s="7"/>
      <c r="B27" s="7">
        <v>1</v>
      </c>
      <c r="G27" s="7"/>
      <c r="H27" s="7"/>
    </row>
    <row r="28" spans="1:8">
      <c r="A28" s="7"/>
      <c r="B28" s="7">
        <v>1</v>
      </c>
      <c r="G28" s="7"/>
      <c r="H28" s="7"/>
    </row>
    <row r="29" spans="1:8">
      <c r="A29" s="7"/>
      <c r="B29" s="7">
        <v>1</v>
      </c>
      <c r="G29" s="7"/>
      <c r="H29" s="7"/>
    </row>
    <row r="30" spans="1:8">
      <c r="A30" s="7"/>
      <c r="B30" s="7">
        <v>1</v>
      </c>
      <c r="G30" s="7"/>
      <c r="H30" s="7"/>
    </row>
    <row r="31" spans="1:8">
      <c r="A31" s="7"/>
      <c r="B31" s="7">
        <v>1</v>
      </c>
      <c r="G31" s="7"/>
      <c r="H31" s="7"/>
    </row>
    <row r="32" spans="1:8">
      <c r="A32" s="7"/>
      <c r="B32" s="7">
        <v>1</v>
      </c>
      <c r="G32" s="7"/>
      <c r="H32" s="7"/>
    </row>
    <row r="33" spans="1:8">
      <c r="A33" s="7"/>
      <c r="B33" s="7">
        <v>1</v>
      </c>
      <c r="G33" s="7"/>
      <c r="H33" s="7"/>
    </row>
    <row r="34" spans="1:8">
      <c r="A34" s="7"/>
      <c r="B34" s="7">
        <v>1</v>
      </c>
      <c r="G34" s="7"/>
      <c r="H34" s="7"/>
    </row>
    <row r="35" spans="1:8">
      <c r="A35" s="7"/>
      <c r="B35" s="7">
        <v>1</v>
      </c>
      <c r="G35" s="7"/>
      <c r="H35" s="7"/>
    </row>
    <row r="36" spans="1:8">
      <c r="A36" s="7"/>
      <c r="B36" s="7">
        <v>1</v>
      </c>
      <c r="G36" s="7"/>
      <c r="H36" s="7"/>
    </row>
    <row r="37" spans="1:8">
      <c r="A37" s="7"/>
      <c r="B37" s="7">
        <v>1</v>
      </c>
      <c r="G37" s="7"/>
      <c r="H37" s="7"/>
    </row>
    <row r="38" spans="1:8">
      <c r="A38" s="7"/>
      <c r="B38" s="7">
        <v>1</v>
      </c>
      <c r="G38" s="7"/>
      <c r="H38" s="7"/>
    </row>
    <row r="39" spans="1:8">
      <c r="A39" s="7"/>
      <c r="B39" s="7">
        <v>1</v>
      </c>
      <c r="G39" s="7"/>
      <c r="H39" s="7"/>
    </row>
    <row r="40" spans="1:8">
      <c r="A40" s="7"/>
      <c r="B40" s="7">
        <v>1</v>
      </c>
      <c r="G40" s="7"/>
      <c r="H40" s="7"/>
    </row>
    <row r="41" spans="1:8">
      <c r="A41" s="7"/>
      <c r="B41" s="7">
        <v>1</v>
      </c>
      <c r="G41" s="7"/>
      <c r="H41" s="7"/>
    </row>
    <row r="42" spans="1:8">
      <c r="A42" s="7"/>
      <c r="B42" s="7">
        <v>1</v>
      </c>
      <c r="G42" s="7"/>
      <c r="H42" s="7"/>
    </row>
    <row r="43" spans="1:8">
      <c r="A43" s="7"/>
      <c r="B43" s="7">
        <v>1</v>
      </c>
      <c r="G43" s="7"/>
      <c r="H43" s="7"/>
    </row>
    <row r="44" spans="1:8">
      <c r="A44" s="7"/>
      <c r="B44" s="7">
        <v>1</v>
      </c>
      <c r="G44" s="7"/>
      <c r="H44" s="7"/>
    </row>
    <row r="45" spans="1:8">
      <c r="A45" s="7"/>
      <c r="B45" s="7">
        <v>1</v>
      </c>
      <c r="G45" s="7"/>
      <c r="H45" s="7"/>
    </row>
    <row r="46" spans="1:8">
      <c r="A46" s="7"/>
      <c r="B46" s="7">
        <v>1</v>
      </c>
      <c r="G46" s="7"/>
      <c r="H46" s="7"/>
    </row>
    <row r="47" spans="1:8">
      <c r="A47" s="7"/>
      <c r="B47" s="7">
        <v>1</v>
      </c>
      <c r="G47" s="7"/>
      <c r="H47" s="7"/>
    </row>
    <row r="48" spans="1:8">
      <c r="A48" s="7"/>
      <c r="B48" s="7">
        <v>1</v>
      </c>
      <c r="G48" s="7"/>
      <c r="H48" s="7"/>
    </row>
    <row r="49" spans="1:8">
      <c r="A49" s="7"/>
      <c r="B49" s="7">
        <v>1</v>
      </c>
      <c r="G49" s="7"/>
      <c r="H49" s="7"/>
    </row>
    <row r="50" spans="1:8">
      <c r="A50" s="7"/>
      <c r="B50" s="7">
        <v>1</v>
      </c>
      <c r="G50" s="7"/>
      <c r="H50" s="7"/>
    </row>
    <row r="51" spans="1:8">
      <c r="A51" s="7"/>
      <c r="B51" s="7">
        <v>1</v>
      </c>
      <c r="G51" s="7"/>
      <c r="H51" s="7"/>
    </row>
    <row r="52" spans="1:8">
      <c r="A52" s="7"/>
      <c r="B52" s="7">
        <v>1</v>
      </c>
      <c r="G52" s="7"/>
      <c r="H52" s="7"/>
    </row>
    <row r="53" spans="1:8">
      <c r="A53" s="7"/>
      <c r="B53" s="7">
        <v>1</v>
      </c>
      <c r="G53" s="7"/>
      <c r="H53" s="7"/>
    </row>
    <row r="54" spans="1:8">
      <c r="A54" s="7"/>
      <c r="B54" s="7">
        <v>1</v>
      </c>
      <c r="G54" s="7"/>
      <c r="H54" s="7"/>
    </row>
    <row r="55" spans="1:8">
      <c r="A55" s="7"/>
      <c r="B55" s="7">
        <v>1</v>
      </c>
      <c r="G55" s="7"/>
      <c r="H55" s="7"/>
    </row>
    <row r="56" spans="1:8">
      <c r="A56" s="7"/>
      <c r="B56" s="7">
        <v>1</v>
      </c>
      <c r="G56" s="7"/>
      <c r="H56" s="7"/>
    </row>
    <row r="57" spans="1:8">
      <c r="A57" s="7"/>
      <c r="B57" s="7">
        <v>1</v>
      </c>
      <c r="G57" s="7"/>
      <c r="H57" s="7"/>
    </row>
    <row r="58" spans="1:8">
      <c r="A58" s="7"/>
      <c r="B58" s="7">
        <v>1</v>
      </c>
      <c r="G58" s="7"/>
      <c r="H58" s="7"/>
    </row>
    <row r="59" spans="1:8">
      <c r="A59" s="7"/>
      <c r="B59" s="7">
        <v>1</v>
      </c>
      <c r="G59" s="7"/>
      <c r="H59" s="7"/>
    </row>
    <row r="60" spans="1:8">
      <c r="A60" s="7"/>
      <c r="B60" s="7">
        <v>1</v>
      </c>
      <c r="G60" s="7"/>
      <c r="H60" s="7"/>
    </row>
    <row r="61" spans="1:8">
      <c r="A61" s="7"/>
      <c r="B61" s="7">
        <v>1</v>
      </c>
      <c r="G61" s="7"/>
      <c r="H61" s="7"/>
    </row>
    <row r="62" spans="1:8">
      <c r="A62" s="7"/>
      <c r="B62" s="7">
        <v>1</v>
      </c>
      <c r="G62" s="7"/>
      <c r="H62" s="7"/>
    </row>
    <row r="63" spans="1:8">
      <c r="A63" s="7"/>
      <c r="B63" s="7">
        <v>1</v>
      </c>
      <c r="G63" s="7"/>
      <c r="H63" s="7"/>
    </row>
    <row r="64" spans="1:8">
      <c r="A64" s="7"/>
      <c r="B64" s="7">
        <v>1</v>
      </c>
      <c r="G64" s="7"/>
      <c r="H64" s="7"/>
    </row>
    <row r="65" spans="1:8">
      <c r="A65" s="7"/>
      <c r="B65" s="7">
        <v>1</v>
      </c>
      <c r="G65" s="7"/>
      <c r="H65" s="7"/>
    </row>
    <row r="66" spans="1:8">
      <c r="A66" s="7"/>
      <c r="B66" s="7">
        <v>1</v>
      </c>
      <c r="G66" s="7"/>
      <c r="H66" s="7"/>
    </row>
    <row r="67" spans="1:8">
      <c r="A67" s="7"/>
      <c r="B67" s="7">
        <v>1</v>
      </c>
      <c r="G67" s="7"/>
      <c r="H67" s="7"/>
    </row>
    <row r="68" spans="1:8">
      <c r="A68" s="7"/>
      <c r="B68" s="7">
        <v>1</v>
      </c>
      <c r="G68" s="7"/>
      <c r="H68" s="7"/>
    </row>
    <row r="69" spans="1:8">
      <c r="A69" s="7"/>
      <c r="B69" s="7">
        <v>1</v>
      </c>
      <c r="G69" s="7"/>
      <c r="H69" s="7"/>
    </row>
    <row r="70" spans="1:8">
      <c r="A70" s="7"/>
      <c r="B70" s="7">
        <v>1</v>
      </c>
      <c r="G70" s="7"/>
      <c r="H70" s="7"/>
    </row>
    <row r="71" spans="1:8">
      <c r="A71" s="7"/>
      <c r="B71" s="7">
        <v>1</v>
      </c>
      <c r="G71" s="7"/>
      <c r="H71" s="7"/>
    </row>
    <row r="72" spans="1:8">
      <c r="A72" s="7"/>
      <c r="B72" s="7">
        <v>1</v>
      </c>
      <c r="G72" s="7"/>
      <c r="H72" s="7"/>
    </row>
    <row r="73" spans="1:8">
      <c r="A73" s="7"/>
      <c r="B73" s="7">
        <v>1</v>
      </c>
      <c r="G73" s="7"/>
      <c r="H73" s="7"/>
    </row>
    <row r="74" spans="1:8">
      <c r="A74" s="7"/>
      <c r="B74" s="7">
        <v>1</v>
      </c>
      <c r="G74" s="7"/>
      <c r="H74" s="7"/>
    </row>
    <row r="75" spans="1:8">
      <c r="A75" s="7"/>
      <c r="B75" s="7">
        <v>1</v>
      </c>
      <c r="G75" s="7"/>
      <c r="H75" s="7"/>
    </row>
    <row r="76" spans="1:8">
      <c r="A76" s="7"/>
      <c r="B76" s="7">
        <v>1</v>
      </c>
      <c r="G76" s="7"/>
      <c r="H76" s="7"/>
    </row>
    <row r="77" spans="1:8">
      <c r="A77" s="7"/>
      <c r="B77" s="7">
        <v>1</v>
      </c>
      <c r="G77" s="7"/>
      <c r="H77" s="7"/>
    </row>
    <row r="78" spans="1:8">
      <c r="A78" s="7"/>
      <c r="B78" s="7">
        <v>1</v>
      </c>
      <c r="G78" s="7"/>
      <c r="H78" s="7"/>
    </row>
    <row r="79" spans="1:8">
      <c r="A79" s="7"/>
      <c r="B79" s="7">
        <v>1</v>
      </c>
      <c r="G79" s="7"/>
      <c r="H79" s="7"/>
    </row>
    <row r="80" spans="1:8">
      <c r="A80" s="7"/>
      <c r="B80" s="7">
        <v>1</v>
      </c>
      <c r="G80" s="7"/>
      <c r="H80" s="7"/>
    </row>
    <row r="81" spans="1:8">
      <c r="A81" s="7"/>
      <c r="B81" s="7">
        <v>1</v>
      </c>
      <c r="G81" s="7"/>
      <c r="H81" s="7"/>
    </row>
    <row r="82" spans="1:8">
      <c r="A82" s="7"/>
      <c r="B82" s="7">
        <v>1</v>
      </c>
      <c r="G82" s="7"/>
      <c r="H82" s="7"/>
    </row>
    <row r="83" spans="1:8">
      <c r="A83" s="7"/>
      <c r="B83" s="7">
        <v>1</v>
      </c>
      <c r="G83" s="7"/>
      <c r="H83" s="7"/>
    </row>
    <row r="84" spans="1:8">
      <c r="A84" s="7"/>
      <c r="B84" s="7">
        <v>1</v>
      </c>
      <c r="G84" s="7"/>
      <c r="H84" s="7"/>
    </row>
    <row r="85" spans="1:8">
      <c r="A85" s="7"/>
      <c r="B85" s="7">
        <v>1</v>
      </c>
      <c r="G85" s="7"/>
      <c r="H85" s="7"/>
    </row>
    <row r="86" spans="1:8">
      <c r="A86" s="7"/>
      <c r="B86" s="7">
        <v>1</v>
      </c>
      <c r="G86" s="7"/>
      <c r="H86" s="7"/>
    </row>
    <row r="87" spans="1:8">
      <c r="A87" s="7"/>
      <c r="B87" s="7">
        <v>1</v>
      </c>
      <c r="G87" s="7"/>
      <c r="H87" s="7"/>
    </row>
    <row r="88" spans="1:8">
      <c r="A88" s="7"/>
      <c r="B88" s="7">
        <v>1</v>
      </c>
      <c r="G88" s="7"/>
      <c r="H88" s="7"/>
    </row>
    <row r="89" spans="1:8">
      <c r="A89" s="7"/>
      <c r="B89" s="7">
        <v>1</v>
      </c>
      <c r="G89" s="7"/>
      <c r="H89" s="7"/>
    </row>
    <row r="90" spans="1:8">
      <c r="A90" s="7"/>
      <c r="B90" s="7">
        <v>1</v>
      </c>
      <c r="G90" s="7"/>
      <c r="H90" s="7"/>
    </row>
    <row r="91" spans="1:8">
      <c r="A91" s="7"/>
      <c r="B91" s="7">
        <v>1</v>
      </c>
      <c r="G91" s="7"/>
      <c r="H91" s="7"/>
    </row>
    <row r="92" spans="1:8">
      <c r="A92" s="7"/>
      <c r="B92" s="7">
        <v>1</v>
      </c>
      <c r="G92" s="7"/>
      <c r="H92" s="7"/>
    </row>
    <row r="93" spans="1:8">
      <c r="A93" s="7"/>
      <c r="B93" s="7">
        <v>1</v>
      </c>
      <c r="G93" s="7"/>
      <c r="H93" s="7"/>
    </row>
    <row r="94" spans="1:8">
      <c r="A94" s="7"/>
      <c r="B94" s="7">
        <v>1</v>
      </c>
      <c r="G94" s="7"/>
      <c r="H94" s="7"/>
    </row>
    <row r="95" spans="1:8">
      <c r="A95" s="7"/>
      <c r="B95" s="7">
        <v>1</v>
      </c>
      <c r="G95" s="7"/>
      <c r="H95" s="7"/>
    </row>
    <row r="96" spans="1:8">
      <c r="A96" s="7"/>
      <c r="B96" s="7">
        <v>1</v>
      </c>
      <c r="G96" s="7"/>
      <c r="H96" s="7"/>
    </row>
    <row r="97" spans="1:8">
      <c r="A97" s="7"/>
      <c r="B97" s="7">
        <v>1</v>
      </c>
      <c r="G97" s="7"/>
      <c r="H97" s="7"/>
    </row>
    <row r="98" spans="1:8">
      <c r="A98" s="7"/>
      <c r="B98" s="7">
        <v>1</v>
      </c>
      <c r="G98" s="7"/>
      <c r="H98" s="7"/>
    </row>
    <row r="99" spans="1:8">
      <c r="A99" s="7"/>
      <c r="B99" s="7">
        <v>1</v>
      </c>
      <c r="G99" s="7"/>
      <c r="H99" s="7"/>
    </row>
    <row r="100" spans="1:8">
      <c r="A100" s="7"/>
      <c r="B100" s="7">
        <v>1</v>
      </c>
      <c r="G100" s="7"/>
      <c r="H100" s="7"/>
    </row>
    <row r="101" spans="1:8">
      <c r="A101" s="7"/>
      <c r="B101" s="7">
        <v>1</v>
      </c>
      <c r="G101" s="7"/>
      <c r="H101" s="7"/>
    </row>
    <row r="102" spans="1:8">
      <c r="A102" s="7"/>
      <c r="B102" s="7">
        <v>1</v>
      </c>
      <c r="G102" s="7"/>
      <c r="H102" s="7"/>
    </row>
    <row r="103" spans="1:8">
      <c r="A103" s="7"/>
      <c r="B103" s="7">
        <v>1</v>
      </c>
      <c r="G103" s="7"/>
      <c r="H103" s="7"/>
    </row>
    <row r="104" spans="1:8">
      <c r="A104" s="7"/>
      <c r="B104" s="7">
        <v>1</v>
      </c>
      <c r="G104" s="7"/>
      <c r="H104" s="7"/>
    </row>
    <row r="105" spans="1:8">
      <c r="A105" s="7"/>
      <c r="B105" s="7">
        <v>1</v>
      </c>
      <c r="G105" s="7"/>
      <c r="H105" s="7"/>
    </row>
    <row r="106" spans="1:8">
      <c r="A106" s="7"/>
      <c r="B106" s="7">
        <v>1</v>
      </c>
      <c r="G106" s="7"/>
      <c r="H106" s="7"/>
    </row>
    <row r="107" spans="1:8">
      <c r="A107" s="7"/>
      <c r="B107" s="7">
        <v>1</v>
      </c>
      <c r="G107" s="7"/>
      <c r="H107" s="7"/>
    </row>
    <row r="108" spans="1:8">
      <c r="A108" s="7"/>
      <c r="B108" s="7">
        <v>1</v>
      </c>
      <c r="G108" s="7"/>
      <c r="H108" s="7"/>
    </row>
    <row r="109" spans="1:8">
      <c r="A109" s="7"/>
      <c r="B109" s="7">
        <v>1</v>
      </c>
      <c r="G109" s="7"/>
      <c r="H109" s="7"/>
    </row>
    <row r="110" spans="1:8">
      <c r="A110" s="7"/>
      <c r="B110" s="7">
        <v>1</v>
      </c>
      <c r="G110" s="7"/>
      <c r="H110" s="7"/>
    </row>
    <row r="111" spans="1:8">
      <c r="A111" s="7"/>
      <c r="B111" s="7">
        <v>1</v>
      </c>
      <c r="G111" s="7"/>
      <c r="H111" s="7"/>
    </row>
    <row r="112" spans="1:8">
      <c r="A112" s="7"/>
      <c r="B112" s="7">
        <v>1</v>
      </c>
      <c r="G112" s="7"/>
      <c r="H112" s="7"/>
    </row>
    <row r="113" spans="1:8">
      <c r="A113" s="7"/>
      <c r="B113" s="7">
        <v>1</v>
      </c>
      <c r="G113" s="7"/>
      <c r="H113" s="7"/>
    </row>
    <row r="114" spans="1:8">
      <c r="A114" s="7"/>
      <c r="B114" s="7">
        <v>1</v>
      </c>
      <c r="G114" s="7"/>
      <c r="H114" s="7"/>
    </row>
    <row r="115" spans="1:8">
      <c r="A115" s="7"/>
      <c r="B115" s="7">
        <v>1</v>
      </c>
      <c r="G115" s="7"/>
      <c r="H115" s="7"/>
    </row>
    <row r="116" spans="1:8">
      <c r="A116" s="7"/>
      <c r="B116" s="7">
        <v>1</v>
      </c>
      <c r="G116" s="7"/>
      <c r="H116" s="7"/>
    </row>
    <row r="117" spans="1:8">
      <c r="A117" s="7"/>
      <c r="B117" s="7">
        <v>1</v>
      </c>
      <c r="G117" s="7"/>
      <c r="H117" s="7"/>
    </row>
    <row r="118" spans="1:8">
      <c r="A118" s="7"/>
      <c r="B118" s="7">
        <v>1</v>
      </c>
      <c r="G118" s="7"/>
      <c r="H118" s="7"/>
    </row>
    <row r="119" spans="1:8">
      <c r="A119" s="7"/>
      <c r="B119" s="7">
        <v>1</v>
      </c>
      <c r="G119" s="7"/>
      <c r="H119" s="7"/>
    </row>
    <row r="120" spans="1:8">
      <c r="A120" s="7"/>
      <c r="B120" s="7">
        <v>1</v>
      </c>
      <c r="G120" s="7"/>
      <c r="H120" s="7"/>
    </row>
    <row r="121" spans="1:8">
      <c r="A121" s="7"/>
      <c r="B121" s="7">
        <v>1</v>
      </c>
      <c r="G121" s="7"/>
      <c r="H121" s="7"/>
    </row>
    <row r="122" spans="1:8">
      <c r="A122" s="7"/>
      <c r="B122" s="7">
        <v>1</v>
      </c>
      <c r="G122" s="7"/>
      <c r="H122" s="7"/>
    </row>
    <row r="123" spans="1:8">
      <c r="A123" s="7"/>
      <c r="B123" s="7">
        <v>1</v>
      </c>
      <c r="G123" s="7"/>
      <c r="H123" s="7"/>
    </row>
    <row r="124" spans="1:8">
      <c r="A124" s="7"/>
      <c r="B124" s="7">
        <v>1</v>
      </c>
      <c r="G124" s="7"/>
      <c r="H124" s="7"/>
    </row>
    <row r="125" spans="1:8">
      <c r="A125" s="7"/>
      <c r="B125" s="7">
        <v>1</v>
      </c>
      <c r="G125" s="7"/>
      <c r="H125" s="7"/>
    </row>
    <row r="126" spans="1:8">
      <c r="A126" s="7"/>
      <c r="B126" s="7">
        <v>1</v>
      </c>
      <c r="G126" s="7"/>
      <c r="H126" s="7"/>
    </row>
    <row r="127" spans="1:8">
      <c r="A127" s="7"/>
      <c r="B127" s="7">
        <v>1</v>
      </c>
      <c r="G127" s="7"/>
      <c r="H127" s="7"/>
    </row>
    <row r="128" spans="1:8">
      <c r="A128" s="7"/>
      <c r="B128" s="7">
        <v>1</v>
      </c>
      <c r="G128" s="7"/>
      <c r="H128" s="7"/>
    </row>
    <row r="129" spans="1:8">
      <c r="A129" s="7"/>
      <c r="B129" s="7">
        <v>1</v>
      </c>
      <c r="G129" s="7"/>
      <c r="H129" s="7"/>
    </row>
    <row r="130" spans="1:8">
      <c r="A130" s="7"/>
      <c r="B130" s="7">
        <v>1</v>
      </c>
      <c r="G130" s="7"/>
      <c r="H130" s="7"/>
    </row>
    <row r="131" spans="1:8">
      <c r="A131" s="7"/>
      <c r="B131" s="7">
        <v>1</v>
      </c>
      <c r="G131" s="7"/>
      <c r="H131" s="7"/>
    </row>
    <row r="132" spans="1:8">
      <c r="A132" s="7"/>
      <c r="B132" s="7">
        <v>1</v>
      </c>
      <c r="G132" s="7"/>
      <c r="H132" s="7"/>
    </row>
    <row r="133" spans="1:8">
      <c r="A133" s="7"/>
      <c r="B133" s="7">
        <v>1</v>
      </c>
      <c r="G133" s="7"/>
      <c r="H133" s="7"/>
    </row>
    <row r="134" spans="1:8">
      <c r="A134" s="7"/>
      <c r="B134" s="7">
        <v>1</v>
      </c>
      <c r="G134" s="7"/>
      <c r="H134" s="7"/>
    </row>
    <row r="135" spans="1:8">
      <c r="A135" s="7"/>
      <c r="B135" s="7">
        <v>1</v>
      </c>
      <c r="G135" s="7"/>
      <c r="H135" s="7"/>
    </row>
    <row r="136" spans="1:8">
      <c r="A136" s="7"/>
      <c r="B136" s="7">
        <v>1</v>
      </c>
      <c r="G136" s="7"/>
      <c r="H136" s="7"/>
    </row>
    <row r="137" spans="1:8">
      <c r="A137" s="7"/>
      <c r="B137" s="7">
        <v>1</v>
      </c>
      <c r="G137" s="7"/>
      <c r="H137" s="7"/>
    </row>
    <row r="138" spans="1:8">
      <c r="A138" s="7"/>
      <c r="B138" s="7">
        <v>1</v>
      </c>
      <c r="G138" s="7"/>
      <c r="H138" s="7"/>
    </row>
    <row r="139" spans="1:8">
      <c r="A139" s="7"/>
      <c r="B139" s="7">
        <v>1</v>
      </c>
      <c r="G139" s="7"/>
      <c r="H139" s="7"/>
    </row>
    <row r="140" spans="1:8">
      <c r="A140" s="7"/>
      <c r="B140" s="7">
        <v>1</v>
      </c>
      <c r="G140" s="7"/>
      <c r="H140" s="7"/>
    </row>
    <row r="141" spans="1:8">
      <c r="A141" s="7"/>
      <c r="B141" s="7">
        <v>1</v>
      </c>
      <c r="G141" s="7"/>
      <c r="H141" s="7"/>
    </row>
    <row r="142" spans="1:8">
      <c r="A142" s="7"/>
      <c r="B142" s="7">
        <v>1</v>
      </c>
      <c r="G142" s="7"/>
      <c r="H142" s="7"/>
    </row>
    <row r="143" spans="1:8">
      <c r="A143" s="7"/>
      <c r="B143" s="7">
        <v>1</v>
      </c>
      <c r="G143" s="7"/>
      <c r="H143" s="7"/>
    </row>
    <row r="144" spans="1:8">
      <c r="A144" s="7"/>
      <c r="B144" s="7">
        <v>1</v>
      </c>
      <c r="G144" s="7"/>
      <c r="H144" s="7"/>
    </row>
    <row r="145" spans="1:8">
      <c r="A145" s="7"/>
      <c r="B145" s="7">
        <v>1</v>
      </c>
      <c r="G145" s="7"/>
      <c r="H145" s="7"/>
    </row>
    <row r="146" spans="1:8">
      <c r="A146" s="7"/>
      <c r="B146" s="7">
        <v>1</v>
      </c>
      <c r="G146" s="7"/>
      <c r="H146" s="7"/>
    </row>
    <row r="147" spans="1:8">
      <c r="A147" s="7"/>
      <c r="B147" s="7">
        <v>1</v>
      </c>
      <c r="G147" s="7"/>
      <c r="H147" s="7"/>
    </row>
    <row r="148" spans="1:8">
      <c r="A148" s="7"/>
      <c r="B148" s="7">
        <v>1</v>
      </c>
      <c r="G148" s="7"/>
      <c r="H148" s="7"/>
    </row>
    <row r="149" spans="1:8">
      <c r="A149" s="7"/>
      <c r="B149" s="7">
        <v>1</v>
      </c>
      <c r="G149" s="7"/>
      <c r="H149" s="7"/>
    </row>
    <row r="150" spans="1:8">
      <c r="A150" s="7"/>
      <c r="B150" s="7">
        <v>1</v>
      </c>
      <c r="G150" s="7"/>
      <c r="H150" s="7"/>
    </row>
    <row r="151" spans="1:8">
      <c r="A151" s="7"/>
      <c r="B151" s="7">
        <v>1</v>
      </c>
      <c r="G151" s="7"/>
      <c r="H151" s="7"/>
    </row>
    <row r="152" spans="1:8">
      <c r="A152" s="7"/>
      <c r="B152" s="7">
        <v>1</v>
      </c>
      <c r="G152" s="7"/>
      <c r="H152" s="7"/>
    </row>
    <row r="153" spans="1:8">
      <c r="A153" s="7"/>
      <c r="B153" s="7">
        <v>1</v>
      </c>
      <c r="G153" s="7"/>
      <c r="H153" s="7"/>
    </row>
    <row r="154" spans="1:8">
      <c r="A154" s="7"/>
      <c r="B154" s="7">
        <v>1</v>
      </c>
      <c r="G154" s="7"/>
      <c r="H154" s="7"/>
    </row>
    <row r="155" spans="1:8">
      <c r="A155" s="7"/>
      <c r="B155" s="7">
        <v>1</v>
      </c>
      <c r="G155" s="7"/>
      <c r="H155" s="7"/>
    </row>
    <row r="156" spans="1:8">
      <c r="A156" s="7"/>
      <c r="B156" s="7">
        <v>1</v>
      </c>
      <c r="G156" s="7"/>
      <c r="H156" s="7"/>
    </row>
    <row r="157" spans="1:8">
      <c r="A157" s="7"/>
      <c r="B157" s="7">
        <v>1</v>
      </c>
      <c r="G157" s="7"/>
      <c r="H157" s="7"/>
    </row>
    <row r="158" spans="1:8">
      <c r="A158" s="7"/>
      <c r="B158" s="7">
        <v>1</v>
      </c>
      <c r="G158" s="7"/>
      <c r="H158" s="7"/>
    </row>
    <row r="159" spans="1:8">
      <c r="A159" s="7"/>
      <c r="B159" s="7">
        <v>1</v>
      </c>
      <c r="G159" s="7"/>
      <c r="H159" s="7"/>
    </row>
    <row r="160" spans="1:8">
      <c r="A160" s="7"/>
      <c r="B160" s="7">
        <v>1</v>
      </c>
      <c r="G160" s="7"/>
      <c r="H160" s="7"/>
    </row>
    <row r="161" spans="1:8">
      <c r="A161" s="7"/>
      <c r="B161" s="7">
        <v>1</v>
      </c>
      <c r="G161" s="7"/>
      <c r="H161" s="7"/>
    </row>
    <row r="162" spans="1:8">
      <c r="A162" s="7"/>
      <c r="B162" s="7">
        <v>1</v>
      </c>
      <c r="G162" s="7"/>
      <c r="H162" s="7"/>
    </row>
    <row r="163" spans="1:8">
      <c r="A163" s="7"/>
      <c r="B163" s="7">
        <v>1</v>
      </c>
      <c r="G163" s="7"/>
      <c r="H163" s="7"/>
    </row>
    <row r="164" spans="1:8">
      <c r="A164" s="7"/>
      <c r="B164" s="7">
        <v>1</v>
      </c>
      <c r="G164" s="7"/>
      <c r="H164" s="7"/>
    </row>
    <row r="165" spans="1:8">
      <c r="A165" s="7"/>
      <c r="B165" s="7">
        <v>1</v>
      </c>
      <c r="G165" s="7"/>
      <c r="H165" s="7"/>
    </row>
    <row r="166" spans="1:8">
      <c r="A166" s="7"/>
      <c r="B166" s="7">
        <v>1</v>
      </c>
      <c r="G166" s="7"/>
      <c r="H166" s="7"/>
    </row>
    <row r="167" spans="1:8">
      <c r="A167" s="7"/>
      <c r="B167" s="7">
        <v>1</v>
      </c>
      <c r="G167" s="7"/>
      <c r="H167" s="7"/>
    </row>
    <row r="168" spans="1:8">
      <c r="A168" s="7"/>
      <c r="B168" s="7">
        <v>1</v>
      </c>
      <c r="G168" s="7"/>
      <c r="H168" s="7"/>
    </row>
    <row r="169" spans="1:8">
      <c r="A169" s="7"/>
      <c r="B169" s="7">
        <v>1</v>
      </c>
      <c r="G169" s="7"/>
      <c r="H169" s="7"/>
    </row>
    <row r="170" spans="1:8">
      <c r="A170" s="7"/>
      <c r="B170" s="7">
        <v>1</v>
      </c>
      <c r="G170" s="7"/>
      <c r="H170" s="7"/>
    </row>
    <row r="171" spans="1:8">
      <c r="A171" s="7"/>
      <c r="B171" s="7">
        <v>1</v>
      </c>
      <c r="G171" s="7"/>
      <c r="H171" s="7"/>
    </row>
    <row r="172" spans="1:8">
      <c r="A172" s="7"/>
      <c r="B172" s="7">
        <v>1</v>
      </c>
      <c r="G172" s="7"/>
      <c r="H172" s="7"/>
    </row>
    <row r="173" spans="1:8">
      <c r="A173" s="7"/>
      <c r="B173" s="7">
        <v>1</v>
      </c>
      <c r="G173" s="7"/>
      <c r="H173" s="7"/>
    </row>
    <row r="174" spans="1:8">
      <c r="A174" s="7"/>
      <c r="B174" s="7">
        <v>1</v>
      </c>
      <c r="G174" s="7"/>
      <c r="H174" s="7"/>
    </row>
    <row r="175" spans="1:8">
      <c r="A175" s="7"/>
      <c r="B175" s="7">
        <v>1</v>
      </c>
      <c r="G175" s="7"/>
      <c r="H175" s="7"/>
    </row>
    <row r="176" spans="1:8">
      <c r="A176" s="7"/>
      <c r="B176" s="7">
        <v>1</v>
      </c>
      <c r="G176" s="7"/>
      <c r="H176" s="7"/>
    </row>
    <row r="177" spans="1:8">
      <c r="A177" s="7"/>
      <c r="B177" s="7">
        <v>1</v>
      </c>
      <c r="G177" s="7"/>
      <c r="H177" s="7"/>
    </row>
    <row r="178" spans="1:8">
      <c r="A178" s="7"/>
      <c r="B178" s="7">
        <v>1</v>
      </c>
      <c r="G178" s="7"/>
      <c r="H178" s="7"/>
    </row>
    <row r="179" spans="1:8">
      <c r="A179" s="7"/>
      <c r="B179" s="7">
        <v>1</v>
      </c>
      <c r="G179" s="7"/>
      <c r="H179" s="7"/>
    </row>
    <row r="180" spans="1:8">
      <c r="A180" s="7"/>
      <c r="B180" s="7">
        <v>1</v>
      </c>
      <c r="G180" s="7"/>
      <c r="H180" s="7"/>
    </row>
    <row r="181" spans="1:8">
      <c r="A181" s="7"/>
      <c r="B181" s="7">
        <v>1</v>
      </c>
      <c r="G181" s="7"/>
      <c r="H181" s="7"/>
    </row>
    <row r="182" spans="1:8">
      <c r="A182" s="7"/>
      <c r="B182" s="7">
        <v>1</v>
      </c>
      <c r="G182" s="7"/>
      <c r="H182" s="7"/>
    </row>
    <row r="183" spans="1:8">
      <c r="A183" s="7"/>
      <c r="B183" s="7">
        <v>1</v>
      </c>
      <c r="G183" s="7"/>
      <c r="H183" s="7"/>
    </row>
    <row r="184" spans="1:8">
      <c r="A184" s="7"/>
      <c r="B184" s="7">
        <v>1</v>
      </c>
      <c r="G184" s="7"/>
      <c r="H184" s="7"/>
    </row>
    <row r="185" spans="1:8">
      <c r="A185" s="7"/>
      <c r="B185" s="7">
        <v>1</v>
      </c>
      <c r="G185" s="7"/>
      <c r="H185" s="7"/>
    </row>
    <row r="186" spans="1:8">
      <c r="A186" s="7"/>
      <c r="B186" s="7">
        <v>1</v>
      </c>
      <c r="G186" s="7"/>
      <c r="H186" s="7"/>
    </row>
    <row r="187" spans="1:8">
      <c r="A187" s="7"/>
      <c r="B187" s="7">
        <v>1</v>
      </c>
      <c r="G187" s="7"/>
      <c r="H187" s="7"/>
    </row>
    <row r="188" spans="1:8">
      <c r="A188" s="7"/>
      <c r="B188" s="7">
        <v>1</v>
      </c>
      <c r="G188" s="7"/>
      <c r="H188" s="7"/>
    </row>
    <row r="189" spans="1:8">
      <c r="A189" s="7"/>
      <c r="B189" s="7">
        <v>1</v>
      </c>
      <c r="G189" s="7"/>
      <c r="H189" s="7"/>
    </row>
    <row r="190" spans="1:8">
      <c r="A190" s="7"/>
      <c r="B190" s="7">
        <v>1</v>
      </c>
      <c r="G190" s="7"/>
      <c r="H190" s="7"/>
    </row>
    <row r="191" spans="1:8">
      <c r="A191" s="7"/>
      <c r="B191" s="7">
        <v>1</v>
      </c>
      <c r="G191" s="7"/>
      <c r="H191" s="7"/>
    </row>
    <row r="192" spans="1:8">
      <c r="A192" s="7"/>
      <c r="B192" s="7">
        <v>1</v>
      </c>
      <c r="G192" s="7"/>
      <c r="H192" s="7"/>
    </row>
    <row r="193" spans="1:8">
      <c r="A193" s="7"/>
      <c r="B193" s="7">
        <v>1</v>
      </c>
      <c r="G193" s="7"/>
      <c r="H193" s="7"/>
    </row>
    <row r="194" spans="1:8">
      <c r="A194" s="7"/>
      <c r="B194" s="7">
        <v>1</v>
      </c>
      <c r="G194" s="7"/>
      <c r="H194" s="7"/>
    </row>
    <row r="195" spans="1:8">
      <c r="A195" s="7"/>
      <c r="B195" s="7">
        <v>1</v>
      </c>
      <c r="G195" s="7"/>
      <c r="H195" s="7"/>
    </row>
    <row r="196" spans="1:8">
      <c r="A196" s="7"/>
      <c r="B196" s="7">
        <v>1</v>
      </c>
      <c r="G196" s="7"/>
      <c r="H196" s="7"/>
    </row>
    <row r="197" spans="1:8">
      <c r="A197" s="7"/>
      <c r="B197" s="7">
        <v>1</v>
      </c>
      <c r="G197" s="7"/>
      <c r="H197" s="7"/>
    </row>
    <row r="198" spans="1:8">
      <c r="A198" s="7"/>
      <c r="B198" s="7">
        <v>1</v>
      </c>
      <c r="G198" s="7"/>
      <c r="H198" s="7"/>
    </row>
    <row r="199" spans="1:8">
      <c r="A199" s="7"/>
      <c r="B199" s="7">
        <v>1</v>
      </c>
      <c r="G199" s="7"/>
      <c r="H199" s="7"/>
    </row>
    <row r="200" spans="1:8">
      <c r="A200" s="7"/>
      <c r="B200" s="7">
        <v>1</v>
      </c>
      <c r="G200" s="7"/>
      <c r="H200" s="7"/>
    </row>
    <row r="201" spans="1:8">
      <c r="A201" s="7"/>
      <c r="B201" s="7">
        <v>1</v>
      </c>
      <c r="G201" s="7"/>
      <c r="H201" s="7"/>
    </row>
    <row r="202" spans="1:8">
      <c r="A202" s="7"/>
      <c r="B202" s="7">
        <v>1</v>
      </c>
      <c r="G202" s="7"/>
      <c r="H202" s="7"/>
    </row>
    <row r="203" spans="1:8">
      <c r="A203" s="7"/>
      <c r="B203" s="7">
        <v>1</v>
      </c>
      <c r="G203" s="7"/>
      <c r="H203" s="7"/>
    </row>
    <row r="204" spans="1:8">
      <c r="A204" s="7"/>
      <c r="B204" s="7">
        <v>1</v>
      </c>
      <c r="G204" s="7"/>
      <c r="H204" s="7"/>
    </row>
    <row r="205" spans="1:8">
      <c r="A205" s="7"/>
      <c r="B205" s="7">
        <v>1</v>
      </c>
      <c r="G205" s="7"/>
      <c r="H205" s="7"/>
    </row>
    <row r="206" spans="1:8">
      <c r="A206" s="7"/>
      <c r="B206" s="7">
        <v>1</v>
      </c>
      <c r="G206" s="7"/>
      <c r="H206" s="7"/>
    </row>
    <row r="207" spans="1:8">
      <c r="A207" s="7"/>
      <c r="B207" s="7">
        <v>1</v>
      </c>
      <c r="G207" s="7"/>
      <c r="H207" s="7"/>
    </row>
    <row r="208" spans="1:8">
      <c r="A208" s="7"/>
      <c r="B208" s="7">
        <v>1</v>
      </c>
      <c r="G208" s="7"/>
      <c r="H208" s="7"/>
    </row>
    <row r="209" spans="1:8">
      <c r="A209" s="7"/>
      <c r="B209" s="7">
        <v>1</v>
      </c>
      <c r="G209" s="7"/>
      <c r="H209" s="7"/>
    </row>
    <row r="210" spans="1:8">
      <c r="A210" s="7"/>
      <c r="B210" s="7">
        <v>1</v>
      </c>
      <c r="G210" s="7"/>
      <c r="H210" s="7"/>
    </row>
    <row r="211" spans="1:8">
      <c r="A211" s="7"/>
      <c r="B211" s="7">
        <v>1</v>
      </c>
      <c r="G211" s="7"/>
      <c r="H211" s="7"/>
    </row>
    <row r="212" spans="1:8">
      <c r="A212" s="7"/>
      <c r="B212" s="7">
        <v>1</v>
      </c>
      <c r="G212" s="7"/>
      <c r="H212" s="7"/>
    </row>
    <row r="213" spans="1:8">
      <c r="A213" s="7"/>
      <c r="B213" s="7">
        <v>1</v>
      </c>
      <c r="G213" s="7"/>
      <c r="H213" s="7"/>
    </row>
    <row r="214" spans="1:8">
      <c r="A214" s="7"/>
      <c r="B214" s="7">
        <v>1</v>
      </c>
      <c r="G214" s="7"/>
      <c r="H214" s="7"/>
    </row>
    <row r="215" spans="1:8">
      <c r="A215" s="7"/>
      <c r="B215" s="7">
        <v>1</v>
      </c>
      <c r="G215" s="7"/>
      <c r="H215" s="7"/>
    </row>
    <row r="216" spans="1:8">
      <c r="A216" s="7"/>
      <c r="B216" s="7">
        <v>1</v>
      </c>
      <c r="G216" s="7"/>
      <c r="H216" s="7"/>
    </row>
    <row r="217" spans="1:8">
      <c r="A217" s="7"/>
      <c r="B217" s="7">
        <v>1</v>
      </c>
      <c r="G217" s="7"/>
      <c r="H217" s="7"/>
    </row>
    <row r="218" spans="1:8">
      <c r="A218" s="7"/>
      <c r="B218" s="7">
        <v>1</v>
      </c>
      <c r="G218" s="7"/>
      <c r="H218" s="7"/>
    </row>
    <row r="219" spans="1:8">
      <c r="A219" s="7"/>
      <c r="B219" s="7">
        <v>1</v>
      </c>
      <c r="G219" s="7"/>
      <c r="H219" s="7"/>
    </row>
    <row r="220" spans="1:8">
      <c r="A220" s="7"/>
      <c r="B220" s="7">
        <v>1</v>
      </c>
      <c r="G220" s="7"/>
      <c r="H220" s="7"/>
    </row>
    <row r="221" spans="1:8">
      <c r="A221" s="7"/>
      <c r="B221" s="7">
        <v>1</v>
      </c>
      <c r="G221" s="7"/>
      <c r="H221" s="7"/>
    </row>
    <row r="222" spans="1:8">
      <c r="A222" s="7"/>
      <c r="B222" s="7">
        <v>1</v>
      </c>
      <c r="G222" s="7"/>
      <c r="H222" s="7"/>
    </row>
    <row r="223" spans="1:8">
      <c r="A223" s="7"/>
      <c r="B223" s="7">
        <v>1</v>
      </c>
      <c r="G223" s="7"/>
      <c r="H223" s="7"/>
    </row>
    <row r="224" spans="1:8">
      <c r="A224" s="7"/>
      <c r="B224" s="7">
        <v>1</v>
      </c>
      <c r="G224" s="7"/>
      <c r="H224" s="7"/>
    </row>
    <row r="225" spans="1:8">
      <c r="A225" s="7"/>
      <c r="B225" s="7">
        <v>1</v>
      </c>
      <c r="G225" s="7"/>
      <c r="H225" s="7"/>
    </row>
    <row r="226" spans="1:8">
      <c r="A226" s="7"/>
      <c r="B226" s="7">
        <v>1</v>
      </c>
      <c r="G226" s="7"/>
      <c r="H226" s="7"/>
    </row>
    <row r="227" spans="1:8">
      <c r="A227" s="7"/>
      <c r="B227" s="7">
        <v>1</v>
      </c>
      <c r="G227" s="7"/>
      <c r="H227" s="7"/>
    </row>
    <row r="228" spans="1:8">
      <c r="A228" s="7"/>
      <c r="B228" s="7">
        <v>1</v>
      </c>
      <c r="G228" s="7"/>
      <c r="H228" s="7"/>
    </row>
    <row r="229" spans="1:8">
      <c r="A229" s="7"/>
      <c r="B229" s="7">
        <v>1</v>
      </c>
      <c r="G229" s="7"/>
      <c r="H229" s="7"/>
    </row>
    <row r="230" spans="1:8">
      <c r="A230" s="7"/>
      <c r="B230" s="7">
        <v>1</v>
      </c>
      <c r="G230" s="7"/>
      <c r="H230" s="7"/>
    </row>
    <row r="231" spans="1:8">
      <c r="A231" s="7"/>
      <c r="B231" s="7">
        <v>1</v>
      </c>
      <c r="G231" s="7"/>
      <c r="H231" s="7"/>
    </row>
    <row r="232" spans="1:8">
      <c r="A232" s="7"/>
      <c r="B232" s="7">
        <v>1</v>
      </c>
      <c r="G232" s="7"/>
      <c r="H232" s="7"/>
    </row>
    <row r="233" spans="1:8">
      <c r="A233" s="7"/>
      <c r="B233" s="7">
        <v>1</v>
      </c>
      <c r="G233" s="7"/>
      <c r="H233" s="7"/>
    </row>
    <row r="234" spans="1:8">
      <c r="A234" s="7"/>
      <c r="B234" s="7">
        <v>1</v>
      </c>
      <c r="G234" s="7"/>
      <c r="H234" s="7"/>
    </row>
    <row r="235" spans="1:8">
      <c r="A235" s="7"/>
      <c r="B235" s="7">
        <v>1</v>
      </c>
      <c r="G235" s="7"/>
      <c r="H235" s="7"/>
    </row>
    <row r="236" spans="1:8">
      <c r="A236" s="7"/>
      <c r="B236" s="7">
        <v>1</v>
      </c>
      <c r="G236" s="7"/>
      <c r="H236" s="7"/>
    </row>
    <row r="237" spans="1:8">
      <c r="A237" s="7"/>
      <c r="B237" s="7">
        <v>1</v>
      </c>
      <c r="G237" s="7"/>
      <c r="H237" s="7"/>
    </row>
    <row r="238" spans="1:8">
      <c r="A238" s="7"/>
      <c r="B238" s="7">
        <v>1</v>
      </c>
      <c r="G238" s="7"/>
      <c r="H238" s="7"/>
    </row>
    <row r="239" spans="1:8">
      <c r="A239" s="7"/>
      <c r="B239" s="7">
        <v>1</v>
      </c>
      <c r="G239" s="7"/>
      <c r="H239" s="7"/>
    </row>
    <row r="240" spans="1:8">
      <c r="A240" s="7"/>
      <c r="B240" s="7">
        <v>1</v>
      </c>
      <c r="G240" s="7"/>
      <c r="H240" s="7"/>
    </row>
    <row r="241" spans="1:8">
      <c r="A241" s="7"/>
      <c r="B241" s="7">
        <v>1</v>
      </c>
      <c r="G241" s="7"/>
      <c r="H241" s="7"/>
    </row>
    <row r="242" spans="1:8">
      <c r="A242" s="7"/>
      <c r="B242" s="7">
        <v>1</v>
      </c>
      <c r="G242" s="7"/>
      <c r="H242" s="7"/>
    </row>
    <row r="243" spans="1:8">
      <c r="A243" s="7"/>
      <c r="B243" s="7">
        <v>1</v>
      </c>
      <c r="G243" s="7"/>
      <c r="H243" s="7"/>
    </row>
    <row r="244" spans="1:8">
      <c r="A244" s="7"/>
      <c r="B244" s="7">
        <v>1</v>
      </c>
      <c r="G244" s="7"/>
      <c r="H244" s="7"/>
    </row>
    <row r="245" spans="1:8">
      <c r="A245" s="7"/>
      <c r="B245" s="7">
        <v>1</v>
      </c>
      <c r="G245" s="7"/>
      <c r="H245" s="7"/>
    </row>
    <row r="246" spans="1:8">
      <c r="A246" s="7"/>
      <c r="B246" s="7">
        <v>1</v>
      </c>
      <c r="G246" s="7"/>
      <c r="H246" s="7"/>
    </row>
    <row r="247" spans="1:8">
      <c r="A247" s="7"/>
      <c r="B247" s="7">
        <v>1</v>
      </c>
      <c r="G247" s="7"/>
      <c r="H247" s="7"/>
    </row>
    <row r="248" spans="1:8">
      <c r="A248" s="7"/>
      <c r="B248" s="7">
        <v>1</v>
      </c>
      <c r="G248" s="7"/>
      <c r="H248" s="7"/>
    </row>
    <row r="249" spans="1:8">
      <c r="A249" s="7"/>
      <c r="B249" s="7">
        <v>1</v>
      </c>
      <c r="G249" s="7"/>
      <c r="H249" s="7"/>
    </row>
    <row r="250" spans="1:8">
      <c r="A250" s="7"/>
      <c r="B250" s="7">
        <v>1</v>
      </c>
      <c r="G250" s="7"/>
      <c r="H250" s="7"/>
    </row>
    <row r="251" spans="1:8">
      <c r="A251" s="7"/>
      <c r="B251" s="7">
        <v>1</v>
      </c>
      <c r="G251" s="7"/>
      <c r="H251" s="7"/>
    </row>
    <row r="252" spans="1:8">
      <c r="A252" s="7"/>
      <c r="B252" s="7">
        <v>1</v>
      </c>
      <c r="G252" s="7"/>
      <c r="H252" s="7"/>
    </row>
    <row r="253" spans="1:8">
      <c r="A253" s="7"/>
      <c r="B253" s="7">
        <v>1</v>
      </c>
      <c r="G253" s="7"/>
      <c r="H253" s="7"/>
    </row>
    <row r="254" spans="1:8">
      <c r="A254" s="7"/>
      <c r="B254" s="7">
        <v>1</v>
      </c>
      <c r="G254" s="7"/>
      <c r="H254" s="7"/>
    </row>
    <row r="255" spans="1:8">
      <c r="A255" s="7"/>
      <c r="B255" s="7">
        <v>1</v>
      </c>
      <c r="G255" s="7"/>
      <c r="H255" s="7"/>
    </row>
    <row r="256" spans="1:8">
      <c r="A256" s="7"/>
      <c r="B256" s="7">
        <v>1</v>
      </c>
      <c r="G256" s="7"/>
      <c r="H256" s="7"/>
    </row>
    <row r="257" spans="1:8">
      <c r="A257" s="7"/>
      <c r="B257" s="7">
        <v>1</v>
      </c>
      <c r="G257" s="7"/>
      <c r="H257" s="7"/>
    </row>
    <row r="258" spans="1:8">
      <c r="A258" s="7"/>
      <c r="B258" s="7">
        <v>1</v>
      </c>
      <c r="G258" s="7"/>
      <c r="H258" s="7"/>
    </row>
    <row r="259" spans="1:8">
      <c r="A259" s="7"/>
      <c r="B259" s="7">
        <v>1</v>
      </c>
      <c r="G259" s="7"/>
      <c r="H259" s="7"/>
    </row>
    <row r="260" spans="1:8">
      <c r="A260" s="7"/>
      <c r="B260" s="7">
        <v>1</v>
      </c>
      <c r="G260" s="7"/>
      <c r="H260" s="7"/>
    </row>
    <row r="261" spans="1:8">
      <c r="A261" s="7"/>
      <c r="B261" s="7">
        <v>1</v>
      </c>
      <c r="G261" s="7"/>
      <c r="H261" s="7"/>
    </row>
    <row r="262" spans="1:8">
      <c r="A262" s="7"/>
      <c r="B262" s="7">
        <v>1</v>
      </c>
      <c r="G262" s="7"/>
      <c r="H262" s="7"/>
    </row>
    <row r="263" spans="1:8">
      <c r="A263" s="7"/>
      <c r="B263" s="7">
        <v>1</v>
      </c>
      <c r="G263" s="7"/>
      <c r="H263" s="7"/>
    </row>
    <row r="264" spans="1:8">
      <c r="A264" s="7"/>
      <c r="B264" s="7">
        <v>1</v>
      </c>
      <c r="G264" s="7"/>
      <c r="H264" s="7"/>
    </row>
    <row r="265" spans="1:8">
      <c r="A265" s="7"/>
      <c r="B265" s="7">
        <v>1</v>
      </c>
      <c r="G265" s="7"/>
      <c r="H265" s="7"/>
    </row>
    <row r="266" spans="1:8">
      <c r="A266" s="7"/>
      <c r="B266" s="7">
        <v>1</v>
      </c>
      <c r="G266" s="7"/>
      <c r="H266" s="7"/>
    </row>
    <row r="267" spans="1:8">
      <c r="A267" s="7"/>
      <c r="B267" s="7">
        <v>1</v>
      </c>
      <c r="G267" s="7"/>
      <c r="H267" s="7"/>
    </row>
    <row r="268" spans="1:8">
      <c r="A268" s="7"/>
      <c r="B268" s="7">
        <v>1</v>
      </c>
      <c r="G268" s="7"/>
      <c r="H268" s="7"/>
    </row>
    <row r="269" spans="1:8">
      <c r="A269" s="7"/>
      <c r="B269" s="7">
        <v>1</v>
      </c>
      <c r="G269" s="7"/>
      <c r="H269" s="7"/>
    </row>
    <row r="270" spans="1:8">
      <c r="A270" s="7"/>
      <c r="B270" s="7">
        <v>1</v>
      </c>
      <c r="G270" s="7"/>
      <c r="H270" s="7"/>
    </row>
    <row r="271" spans="1:8">
      <c r="A271" s="7"/>
      <c r="B271" s="7">
        <v>1</v>
      </c>
      <c r="G271" s="7"/>
      <c r="H271" s="7"/>
    </row>
    <row r="272" spans="1:8">
      <c r="A272" s="7"/>
      <c r="B272" s="7">
        <v>1</v>
      </c>
      <c r="G272" s="7"/>
      <c r="H272" s="7"/>
    </row>
    <row r="273" spans="1:8">
      <c r="A273" s="7"/>
      <c r="B273" s="7">
        <v>1</v>
      </c>
      <c r="G273" s="7"/>
      <c r="H273" s="7"/>
    </row>
    <row r="274" spans="1:8">
      <c r="A274" s="7"/>
      <c r="B274" s="7">
        <v>1</v>
      </c>
      <c r="G274" s="7"/>
      <c r="H274" s="7"/>
    </row>
    <row r="275" spans="1:8">
      <c r="A275" s="7"/>
      <c r="B275" s="7">
        <v>1</v>
      </c>
      <c r="G275" s="7"/>
      <c r="H275" s="7"/>
    </row>
    <row r="276" spans="1:8">
      <c r="A276" s="7"/>
      <c r="B276" s="7">
        <v>1</v>
      </c>
      <c r="G276" s="7"/>
      <c r="H276" s="7"/>
    </row>
    <row r="277" spans="1:8">
      <c r="A277" s="7"/>
      <c r="B277" s="7">
        <v>1</v>
      </c>
      <c r="G277" s="7"/>
      <c r="H277" s="7"/>
    </row>
    <row r="278" spans="1:8">
      <c r="A278" s="7"/>
      <c r="B278" s="7">
        <v>1</v>
      </c>
      <c r="G278" s="7"/>
      <c r="H278" s="7"/>
    </row>
    <row r="279" spans="1:8">
      <c r="A279" s="7"/>
      <c r="B279" s="7">
        <v>1</v>
      </c>
      <c r="G279" s="7"/>
      <c r="H279" s="7"/>
    </row>
    <row r="280" spans="1:8">
      <c r="A280" s="7"/>
      <c r="B280" s="7">
        <v>1</v>
      </c>
      <c r="G280" s="7"/>
      <c r="H280" s="7"/>
    </row>
    <row r="281" spans="1:8">
      <c r="A281" s="7"/>
      <c r="B281" s="7">
        <v>1</v>
      </c>
      <c r="G281" s="7"/>
      <c r="H281" s="7"/>
    </row>
    <row r="282" spans="1:8">
      <c r="A282" s="7"/>
      <c r="B282" s="7">
        <v>1</v>
      </c>
      <c r="G282" s="7"/>
      <c r="H282" s="7"/>
    </row>
    <row r="283" spans="1:8">
      <c r="A283" s="7"/>
      <c r="B283" s="7">
        <v>1</v>
      </c>
      <c r="G283" s="7"/>
      <c r="H283" s="7"/>
    </row>
    <row r="284" spans="1:8">
      <c r="A284" s="7"/>
      <c r="B284" s="7">
        <v>1</v>
      </c>
      <c r="G284" s="7"/>
      <c r="H284" s="7"/>
    </row>
    <row r="285" spans="1:8">
      <c r="A285" s="7"/>
      <c r="B285" s="7">
        <v>1</v>
      </c>
      <c r="G285" s="7"/>
      <c r="H285" s="7"/>
    </row>
    <row r="286" spans="1:8">
      <c r="A286" s="7"/>
      <c r="B286" s="7">
        <v>1</v>
      </c>
      <c r="G286" s="7"/>
      <c r="H286" s="7"/>
    </row>
    <row r="287" spans="1:8">
      <c r="A287" s="7"/>
      <c r="B287" s="7">
        <v>1</v>
      </c>
      <c r="G287" s="7"/>
      <c r="H287" s="7"/>
    </row>
    <row r="288" spans="1:8">
      <c r="A288" s="7"/>
      <c r="B288" s="7">
        <v>1</v>
      </c>
      <c r="G288" s="7"/>
      <c r="H288" s="7"/>
    </row>
    <row r="289" spans="1:8">
      <c r="A289" s="7"/>
      <c r="B289" s="7">
        <v>1</v>
      </c>
      <c r="G289" s="7"/>
      <c r="H289" s="7"/>
    </row>
    <row r="290" spans="1:8">
      <c r="A290" s="7"/>
      <c r="B290" s="7">
        <v>1</v>
      </c>
      <c r="G290" s="7"/>
      <c r="H290" s="7"/>
    </row>
    <row r="291" spans="1:8">
      <c r="A291" s="7"/>
      <c r="B291" s="7">
        <v>1</v>
      </c>
      <c r="G291" s="7"/>
      <c r="H291" s="7"/>
    </row>
    <row r="292" spans="1:8">
      <c r="A292" s="7"/>
      <c r="B292" s="7">
        <v>1</v>
      </c>
      <c r="G292" s="7"/>
      <c r="H292" s="7"/>
    </row>
    <row r="293" spans="1:8">
      <c r="A293" s="7"/>
      <c r="B293" s="7">
        <v>1</v>
      </c>
      <c r="G293" s="7"/>
      <c r="H293" s="7"/>
    </row>
    <row r="294" spans="1:8">
      <c r="A294" s="7"/>
      <c r="B294" s="7">
        <v>1</v>
      </c>
      <c r="G294" s="7"/>
      <c r="H294" s="7"/>
    </row>
    <row r="295" spans="1:8">
      <c r="A295" s="7"/>
      <c r="B295" s="7">
        <v>1</v>
      </c>
      <c r="G295" s="7"/>
      <c r="H295" s="7"/>
    </row>
    <row r="296" spans="1:8">
      <c r="A296" s="7"/>
      <c r="B296" s="7">
        <v>1</v>
      </c>
      <c r="G296" s="7"/>
      <c r="H296" s="7"/>
    </row>
    <row r="297" spans="1:8">
      <c r="A297" s="7"/>
      <c r="B297" s="7">
        <v>1</v>
      </c>
      <c r="G297" s="7"/>
      <c r="H297" s="7"/>
    </row>
    <row r="298" spans="1:8">
      <c r="A298" s="7"/>
      <c r="B298" s="7">
        <v>1</v>
      </c>
      <c r="G298" s="7"/>
      <c r="H298" s="7"/>
    </row>
    <row r="299" spans="1:8">
      <c r="A299" s="7"/>
      <c r="B299" s="7">
        <v>1</v>
      </c>
      <c r="G299" s="7"/>
      <c r="H299" s="7"/>
    </row>
    <row r="300" spans="1:8">
      <c r="A300" s="7"/>
      <c r="B300" s="7">
        <v>1</v>
      </c>
      <c r="G300" s="7"/>
      <c r="H300" s="7"/>
    </row>
    <row r="301" spans="1:8">
      <c r="A301" s="7"/>
      <c r="B301" s="7">
        <v>1</v>
      </c>
      <c r="G301" s="7"/>
      <c r="H301" s="7"/>
    </row>
    <row r="302" spans="1:8">
      <c r="A302" s="7"/>
      <c r="B302" s="7">
        <v>1</v>
      </c>
      <c r="G302" s="7"/>
      <c r="H302" s="7"/>
    </row>
    <row r="303" spans="1:8">
      <c r="A303" s="7"/>
      <c r="B303" s="7">
        <v>1</v>
      </c>
      <c r="G303" s="7"/>
      <c r="H303" s="7"/>
    </row>
    <row r="304" spans="1:8">
      <c r="A304" s="7"/>
      <c r="B304" s="7">
        <v>1</v>
      </c>
      <c r="G304" s="7"/>
      <c r="H304" s="7"/>
    </row>
    <row r="305" spans="1:8">
      <c r="A305" s="7"/>
      <c r="B305" s="7">
        <v>1</v>
      </c>
      <c r="G305" s="7"/>
      <c r="H305" s="7"/>
    </row>
    <row r="306" spans="1:8">
      <c r="A306" s="7"/>
      <c r="B306" s="7">
        <v>1</v>
      </c>
      <c r="G306" s="7"/>
      <c r="H306" s="7"/>
    </row>
    <row r="307" spans="1:8">
      <c r="A307" s="7"/>
      <c r="B307" s="7">
        <v>1</v>
      </c>
      <c r="G307" s="7"/>
      <c r="H307" s="7"/>
    </row>
    <row r="308" spans="1:8">
      <c r="A308" s="7"/>
      <c r="B308" s="7">
        <v>1</v>
      </c>
      <c r="G308" s="7"/>
      <c r="H308" s="7"/>
    </row>
    <row r="309" spans="1:8">
      <c r="A309" s="7"/>
      <c r="B309" s="7">
        <v>1</v>
      </c>
      <c r="G309" s="7"/>
      <c r="H309" s="7"/>
    </row>
    <row r="310" spans="1:8">
      <c r="A310" s="7"/>
      <c r="B310" s="7">
        <v>1</v>
      </c>
      <c r="G310" s="7"/>
      <c r="H310" s="7"/>
    </row>
    <row r="311" spans="1:8">
      <c r="A311" s="7"/>
      <c r="B311" s="7">
        <v>1</v>
      </c>
      <c r="G311" s="7"/>
      <c r="H311" s="7"/>
    </row>
    <row r="312" spans="1:8">
      <c r="A312" s="7"/>
      <c r="B312" s="7">
        <v>1</v>
      </c>
      <c r="G312" s="7"/>
      <c r="H312" s="7"/>
    </row>
    <row r="313" spans="1:8">
      <c r="A313" s="7"/>
      <c r="B313" s="7">
        <v>1</v>
      </c>
      <c r="G313" s="7"/>
      <c r="H313" s="7"/>
    </row>
    <row r="314" spans="1:8">
      <c r="A314" s="7"/>
      <c r="B314" s="7">
        <v>1</v>
      </c>
      <c r="G314" s="7"/>
      <c r="H314" s="7"/>
    </row>
    <row r="315" spans="1:8">
      <c r="A315" s="7"/>
      <c r="B315" s="7">
        <v>1</v>
      </c>
      <c r="G315" s="7"/>
      <c r="H315" s="7"/>
    </row>
    <row r="316" spans="1:8">
      <c r="A316" s="7"/>
      <c r="B316" s="7">
        <v>1</v>
      </c>
      <c r="G316" s="7"/>
      <c r="H316" s="7"/>
    </row>
    <row r="317" spans="1:8">
      <c r="A317" s="7"/>
      <c r="B317" s="7">
        <v>1</v>
      </c>
      <c r="G317" s="7"/>
      <c r="H317" s="7"/>
    </row>
    <row r="318" spans="1:8">
      <c r="A318" s="7"/>
      <c r="B318" s="7">
        <v>1</v>
      </c>
      <c r="G318" s="7"/>
      <c r="H318" s="7"/>
    </row>
    <row r="319" spans="1:8">
      <c r="A319" s="7"/>
      <c r="B319" s="7">
        <v>1</v>
      </c>
      <c r="G319" s="7"/>
      <c r="H319" s="7"/>
    </row>
    <row r="320" spans="1:8">
      <c r="A320" s="7"/>
      <c r="B320" s="7">
        <v>1</v>
      </c>
      <c r="G320" s="7"/>
      <c r="H320" s="7"/>
    </row>
    <row r="321" spans="1:8">
      <c r="A321" s="7"/>
      <c r="B321" s="7">
        <v>1</v>
      </c>
      <c r="G321" s="7"/>
      <c r="H321" s="7"/>
    </row>
    <row r="322" spans="1:8">
      <c r="A322" s="7"/>
      <c r="B322" s="7">
        <v>1</v>
      </c>
      <c r="G322" s="7"/>
      <c r="H322" s="7"/>
    </row>
    <row r="323" spans="1:8">
      <c r="A323" s="7"/>
      <c r="B323" s="7">
        <v>1</v>
      </c>
      <c r="G323" s="7"/>
      <c r="H323" s="7"/>
    </row>
    <row r="324" spans="1:8">
      <c r="A324" s="7"/>
      <c r="B324" s="7">
        <v>1</v>
      </c>
      <c r="G324" s="7"/>
      <c r="H324" s="7"/>
    </row>
    <row r="325" spans="1:8">
      <c r="A325" s="7"/>
      <c r="B325" s="7">
        <v>1</v>
      </c>
      <c r="G325" s="7"/>
      <c r="H325" s="7"/>
    </row>
    <row r="326" spans="1:8">
      <c r="A326" s="7"/>
      <c r="B326" s="7">
        <v>1</v>
      </c>
      <c r="G326" s="7"/>
      <c r="H326" s="7"/>
    </row>
    <row r="327" spans="1:8">
      <c r="A327" s="7"/>
      <c r="B327" s="7">
        <v>1</v>
      </c>
      <c r="G327" s="7"/>
      <c r="H327" s="7"/>
    </row>
    <row r="328" spans="1:8">
      <c r="A328" s="7"/>
      <c r="B328" s="7">
        <v>1</v>
      </c>
      <c r="G328" s="7"/>
      <c r="H328" s="7"/>
    </row>
    <row r="329" spans="1:8">
      <c r="A329" s="7"/>
      <c r="B329" s="7">
        <v>1</v>
      </c>
      <c r="G329" s="7"/>
      <c r="H329" s="7"/>
    </row>
    <row r="330" spans="1:8">
      <c r="A330" s="7"/>
      <c r="B330" s="7">
        <v>1</v>
      </c>
      <c r="G330" s="7"/>
      <c r="H330" s="7"/>
    </row>
    <row r="331" spans="1:8">
      <c r="A331" s="7"/>
      <c r="B331" s="7">
        <v>1</v>
      </c>
      <c r="G331" s="7"/>
      <c r="H331" s="7"/>
    </row>
    <row r="332" spans="1:8">
      <c r="A332" s="7"/>
      <c r="B332" s="7">
        <v>1</v>
      </c>
      <c r="G332" s="7"/>
      <c r="H332" s="7"/>
    </row>
    <row r="333" spans="1:8">
      <c r="A333" s="7"/>
      <c r="B333" s="7">
        <v>1</v>
      </c>
      <c r="G333" s="7"/>
      <c r="H333" s="7"/>
    </row>
    <row r="334" spans="1:8">
      <c r="A334" s="7"/>
      <c r="B334" s="7">
        <v>1</v>
      </c>
      <c r="G334" s="7"/>
      <c r="H334" s="7"/>
    </row>
    <row r="335" spans="1:8">
      <c r="A335" s="7"/>
      <c r="B335" s="7">
        <v>1</v>
      </c>
      <c r="G335" s="7"/>
      <c r="H335" s="7"/>
    </row>
    <row r="336" spans="1:8">
      <c r="A336" s="7"/>
      <c r="B336" s="7">
        <v>1</v>
      </c>
      <c r="G336" s="7"/>
      <c r="H336" s="7"/>
    </row>
    <row r="337" spans="1:8">
      <c r="A337" s="7"/>
      <c r="B337" s="7">
        <v>1</v>
      </c>
      <c r="G337" s="7"/>
      <c r="H337" s="7"/>
    </row>
    <row r="338" spans="1:8">
      <c r="A338" s="7"/>
      <c r="B338" s="7">
        <v>1</v>
      </c>
      <c r="G338" s="7"/>
      <c r="H338" s="7"/>
    </row>
    <row r="339" spans="1:8">
      <c r="A339" s="7"/>
      <c r="B339" s="7">
        <v>1</v>
      </c>
      <c r="G339" s="7"/>
      <c r="H339" s="7"/>
    </row>
    <row r="340" spans="1:8">
      <c r="A340" s="7"/>
      <c r="B340" s="7">
        <v>1</v>
      </c>
      <c r="G340" s="7"/>
      <c r="H340" s="7"/>
    </row>
    <row r="341" spans="1:8">
      <c r="A341" s="7"/>
      <c r="B341" s="7">
        <v>1</v>
      </c>
      <c r="G341" s="7"/>
      <c r="H341" s="7"/>
    </row>
    <row r="342" spans="1:8">
      <c r="A342" s="7"/>
      <c r="B342" s="7">
        <v>1</v>
      </c>
      <c r="G342" s="7"/>
      <c r="H342" s="7"/>
    </row>
    <row r="343" spans="1:8">
      <c r="A343" s="7"/>
      <c r="B343" s="7">
        <v>1</v>
      </c>
      <c r="G343" s="7"/>
      <c r="H343" s="7"/>
    </row>
    <row r="344" spans="1:8">
      <c r="A344" s="7"/>
      <c r="B344" s="7">
        <v>1</v>
      </c>
      <c r="G344" s="7"/>
      <c r="H344" s="7"/>
    </row>
    <row r="345" spans="1:8">
      <c r="A345" s="7"/>
      <c r="B345" s="7">
        <v>1</v>
      </c>
      <c r="G345" s="7"/>
      <c r="H345" s="7"/>
    </row>
    <row r="346" spans="1:8">
      <c r="A346" s="7"/>
      <c r="B346" s="7">
        <v>1</v>
      </c>
      <c r="G346" s="7"/>
      <c r="H346" s="7"/>
    </row>
    <row r="347" spans="1:8">
      <c r="A347" s="7"/>
      <c r="B347" s="7">
        <v>1</v>
      </c>
      <c r="G347" s="7"/>
      <c r="H347" s="7"/>
    </row>
    <row r="348" spans="1:8">
      <c r="A348" s="7"/>
      <c r="B348" s="7">
        <v>1</v>
      </c>
      <c r="G348" s="7"/>
      <c r="H348" s="7"/>
    </row>
    <row r="349" spans="1:8">
      <c r="A349" s="7"/>
      <c r="B349" s="7">
        <v>1</v>
      </c>
      <c r="G349" s="7"/>
      <c r="H349" s="7"/>
    </row>
    <row r="350" spans="1:8">
      <c r="A350" s="7"/>
      <c r="B350" s="7">
        <v>1</v>
      </c>
      <c r="G350" s="7"/>
      <c r="H350" s="7"/>
    </row>
    <row r="351" spans="1:8">
      <c r="A351" s="7"/>
      <c r="B351" s="7">
        <v>1</v>
      </c>
      <c r="G351" s="7"/>
      <c r="H351" s="7"/>
    </row>
    <row r="352" spans="1:8">
      <c r="A352" s="7"/>
      <c r="B352" s="7">
        <v>1</v>
      </c>
      <c r="G352" s="7"/>
      <c r="H352" s="7"/>
    </row>
    <row r="353" spans="1:8">
      <c r="A353" s="7"/>
      <c r="B353" s="7">
        <v>1</v>
      </c>
      <c r="G353" s="7"/>
      <c r="H353" s="7"/>
    </row>
    <row r="354" spans="1:8">
      <c r="A354" s="7"/>
      <c r="B354" s="7">
        <v>1</v>
      </c>
      <c r="G354" s="7"/>
      <c r="H354" s="7"/>
    </row>
    <row r="355" spans="1:8">
      <c r="A355" s="7"/>
      <c r="B355" s="7">
        <v>1</v>
      </c>
      <c r="G355" s="7"/>
      <c r="H355" s="7"/>
    </row>
    <row r="356" spans="1:8">
      <c r="A356" s="7"/>
      <c r="B356" s="7">
        <v>1</v>
      </c>
      <c r="G356" s="7"/>
      <c r="H356" s="7"/>
    </row>
    <row r="357" spans="1:8">
      <c r="A357" s="7"/>
      <c r="B357" s="7">
        <v>1</v>
      </c>
      <c r="G357" s="7"/>
      <c r="H357" s="7"/>
    </row>
    <row r="358" spans="1:8">
      <c r="A358" s="7"/>
      <c r="B358" s="7">
        <v>1</v>
      </c>
      <c r="G358" s="7"/>
      <c r="H358" s="7"/>
    </row>
    <row r="359" spans="1:8">
      <c r="A359" s="7"/>
      <c r="B359" s="7">
        <v>1</v>
      </c>
      <c r="G359" s="7"/>
      <c r="H359" s="7"/>
    </row>
    <row r="360" spans="1:8">
      <c r="A360" s="7"/>
      <c r="B360" s="7">
        <v>1</v>
      </c>
      <c r="G360" s="7"/>
      <c r="H360" s="7"/>
    </row>
    <row r="361" spans="1:8">
      <c r="A361" s="7"/>
      <c r="B361" s="7">
        <v>1</v>
      </c>
      <c r="G361" s="7"/>
      <c r="H361" s="7"/>
    </row>
    <row r="362" spans="1:8">
      <c r="A362" s="7"/>
      <c r="B362" s="7">
        <v>1</v>
      </c>
      <c r="G362" s="7"/>
      <c r="H362" s="7"/>
    </row>
    <row r="363" spans="1:8">
      <c r="A363" s="7"/>
      <c r="B363" s="7">
        <v>1</v>
      </c>
      <c r="G363" s="7"/>
      <c r="H363" s="7"/>
    </row>
    <row r="364" spans="1:8">
      <c r="A364" s="7"/>
      <c r="B364" s="7">
        <v>1</v>
      </c>
      <c r="G364" s="7"/>
      <c r="H364" s="7"/>
    </row>
    <row r="365" spans="1:8">
      <c r="A365" s="7"/>
      <c r="B365" s="7">
        <v>1</v>
      </c>
      <c r="G365" s="7"/>
      <c r="H365" s="7"/>
    </row>
    <row r="366" spans="1:8">
      <c r="A366" s="7"/>
      <c r="B366" s="7">
        <v>1</v>
      </c>
      <c r="G366" s="7"/>
      <c r="H366" s="7"/>
    </row>
    <row r="367" spans="1:8">
      <c r="A367" s="7"/>
      <c r="B367" s="7">
        <v>1</v>
      </c>
      <c r="G367" s="7"/>
      <c r="H367" s="7"/>
    </row>
    <row r="368" spans="1:8">
      <c r="A368" s="7"/>
      <c r="B368" s="7">
        <v>1</v>
      </c>
      <c r="G368" s="7"/>
      <c r="H368" s="7"/>
    </row>
    <row r="369" spans="1:8">
      <c r="A369" s="7"/>
      <c r="B369" s="7">
        <v>1</v>
      </c>
      <c r="G369" s="7"/>
      <c r="H369" s="7"/>
    </row>
    <row r="370" spans="1:8">
      <c r="A370" s="7"/>
      <c r="B370" s="7">
        <v>1</v>
      </c>
      <c r="G370" s="7"/>
      <c r="H370" s="7"/>
    </row>
    <row r="371" spans="1:8">
      <c r="A371" s="7"/>
      <c r="B371" s="7">
        <v>1</v>
      </c>
      <c r="G371" s="7"/>
      <c r="H371" s="7"/>
    </row>
    <row r="372" spans="1:8">
      <c r="A372" s="7"/>
      <c r="B372" s="7">
        <v>1</v>
      </c>
      <c r="G372" s="7"/>
      <c r="H372" s="7"/>
    </row>
    <row r="373" spans="1:8">
      <c r="A373" s="7"/>
      <c r="B373" s="7">
        <v>1</v>
      </c>
      <c r="G373" s="7"/>
      <c r="H373" s="7"/>
    </row>
    <row r="374" spans="1:8">
      <c r="A374" s="7"/>
      <c r="B374" s="7">
        <v>1</v>
      </c>
      <c r="G374" s="7"/>
      <c r="H374" s="7"/>
    </row>
    <row r="375" spans="1:8">
      <c r="A375" s="7"/>
      <c r="B375" s="7">
        <v>1</v>
      </c>
      <c r="G375" s="7"/>
      <c r="H375" s="7"/>
    </row>
    <row r="376" spans="1:8">
      <c r="A376" s="7"/>
      <c r="B376" s="7">
        <v>1</v>
      </c>
      <c r="G376" s="7"/>
      <c r="H376" s="7"/>
    </row>
    <row r="377" spans="1:8">
      <c r="A377" s="7"/>
      <c r="B377" s="7">
        <v>1</v>
      </c>
      <c r="G377" s="7"/>
      <c r="H377" s="7"/>
    </row>
    <row r="378" spans="1:8">
      <c r="A378" s="7"/>
      <c r="B378" s="7">
        <v>1</v>
      </c>
      <c r="G378" s="7"/>
      <c r="H378" s="7"/>
    </row>
    <row r="379" spans="1:8">
      <c r="A379" s="7"/>
      <c r="B379" s="7">
        <v>1</v>
      </c>
      <c r="G379" s="7"/>
      <c r="H379" s="7"/>
    </row>
    <row r="380" spans="1:8">
      <c r="A380" s="7"/>
      <c r="B380" s="7">
        <v>1</v>
      </c>
      <c r="G380" s="7"/>
      <c r="H380" s="7"/>
    </row>
    <row r="381" spans="1:8">
      <c r="A381" s="7"/>
      <c r="B381" s="7">
        <v>1</v>
      </c>
      <c r="G381" s="7"/>
      <c r="H381" s="7"/>
    </row>
    <row r="382" spans="1:8">
      <c r="A382" s="7"/>
      <c r="B382" s="7">
        <v>1</v>
      </c>
      <c r="G382" s="7"/>
      <c r="H382" s="7"/>
    </row>
    <row r="383" spans="1:8">
      <c r="A383" s="7"/>
      <c r="B383" s="7">
        <v>1</v>
      </c>
      <c r="G383" s="7"/>
      <c r="H383" s="7"/>
    </row>
    <row r="384" spans="1:8">
      <c r="A384" s="7"/>
      <c r="B384" s="7">
        <v>1</v>
      </c>
      <c r="G384" s="7"/>
      <c r="H384" s="7"/>
    </row>
    <row r="385" spans="1:8">
      <c r="A385" s="7"/>
      <c r="B385" s="7">
        <v>1</v>
      </c>
      <c r="G385" s="7"/>
      <c r="H385" s="7"/>
    </row>
    <row r="386" spans="1:8">
      <c r="A386" s="7"/>
      <c r="B386" s="7">
        <v>1</v>
      </c>
      <c r="G386" s="7"/>
      <c r="H386" s="7"/>
    </row>
    <row r="387" spans="1:8">
      <c r="A387" s="7"/>
      <c r="B387" s="7">
        <v>1</v>
      </c>
      <c r="G387" s="7"/>
      <c r="H387" s="7"/>
    </row>
    <row r="388" spans="1:8">
      <c r="A388" s="7"/>
      <c r="B388" s="7">
        <v>1</v>
      </c>
      <c r="G388" s="7"/>
      <c r="H388" s="7"/>
    </row>
    <row r="389" spans="1:8">
      <c r="A389" s="7"/>
      <c r="B389" s="7">
        <v>1</v>
      </c>
      <c r="G389" s="7"/>
      <c r="H389" s="7"/>
    </row>
    <row r="390" spans="1:8">
      <c r="A390" s="7"/>
      <c r="B390" s="7">
        <v>1</v>
      </c>
      <c r="G390" s="7"/>
      <c r="H390" s="7"/>
    </row>
    <row r="391" spans="1:8">
      <c r="A391" s="7"/>
      <c r="B391" s="7">
        <v>1</v>
      </c>
      <c r="G391" s="7"/>
      <c r="H391" s="7"/>
    </row>
    <row r="392" spans="1:8">
      <c r="A392" s="7"/>
      <c r="B392" s="7">
        <v>1</v>
      </c>
      <c r="G392" s="7"/>
      <c r="H392" s="7"/>
    </row>
    <row r="393" spans="1:8">
      <c r="A393" s="7"/>
      <c r="B393" s="7">
        <v>1</v>
      </c>
      <c r="G393" s="7"/>
      <c r="H393" s="7"/>
    </row>
    <row r="394" spans="1:8">
      <c r="A394" s="7"/>
      <c r="B394" s="7">
        <v>1</v>
      </c>
      <c r="G394" s="7"/>
      <c r="H394" s="7"/>
    </row>
    <row r="395" spans="1:8">
      <c r="A395" s="7"/>
      <c r="B395" s="7">
        <v>1</v>
      </c>
      <c r="G395" s="7"/>
      <c r="H395" s="7"/>
    </row>
    <row r="396" spans="1:8">
      <c r="A396" s="7"/>
      <c r="B396" s="7">
        <v>1</v>
      </c>
      <c r="G396" s="7"/>
      <c r="H396" s="7"/>
    </row>
    <row r="397" spans="1:8">
      <c r="A397" s="7"/>
      <c r="B397" s="7">
        <v>1</v>
      </c>
      <c r="G397" s="7"/>
      <c r="H397" s="7"/>
    </row>
    <row r="398" spans="1:8">
      <c r="A398" s="7"/>
      <c r="B398" s="7">
        <v>1</v>
      </c>
      <c r="G398" s="7"/>
      <c r="H398" s="7"/>
    </row>
    <row r="399" spans="1:8">
      <c r="A399" s="7"/>
      <c r="B399" s="7">
        <v>1</v>
      </c>
      <c r="G399" s="7"/>
      <c r="H399" s="7"/>
    </row>
    <row r="400" spans="1:8">
      <c r="A400" s="7"/>
      <c r="B400" s="7">
        <v>1</v>
      </c>
      <c r="G400" s="7"/>
      <c r="H400" s="7"/>
    </row>
    <row r="401" spans="1:8">
      <c r="A401" s="7"/>
      <c r="B401" s="7">
        <v>1</v>
      </c>
      <c r="G401" s="7"/>
      <c r="H401" s="7"/>
    </row>
    <row r="402" spans="1:8">
      <c r="A402" s="7"/>
      <c r="B402" s="7">
        <v>1</v>
      </c>
      <c r="G402" s="7"/>
      <c r="H402" s="7"/>
    </row>
    <row r="403" spans="1:8">
      <c r="A403" s="7"/>
      <c r="B403" s="7">
        <v>1</v>
      </c>
      <c r="G403" s="7"/>
      <c r="H403" s="7"/>
    </row>
    <row r="404" spans="1:8">
      <c r="A404" s="7"/>
      <c r="B404" s="7">
        <v>1</v>
      </c>
      <c r="G404" s="7"/>
      <c r="H404" s="7"/>
    </row>
    <row r="405" spans="1:8">
      <c r="A405" s="7"/>
      <c r="B405" s="7">
        <v>1</v>
      </c>
      <c r="G405" s="7"/>
      <c r="H405" s="7"/>
    </row>
    <row r="406" spans="1:8">
      <c r="A406" s="7"/>
      <c r="B406" s="7">
        <v>1</v>
      </c>
      <c r="G406" s="7"/>
      <c r="H406" s="7"/>
    </row>
    <row r="407" spans="1:8">
      <c r="A407" s="7"/>
      <c r="B407" s="7">
        <v>1</v>
      </c>
      <c r="G407" s="7"/>
      <c r="H407" s="7"/>
    </row>
    <row r="408" spans="1:8">
      <c r="A408" s="7"/>
      <c r="B408" s="7">
        <v>1</v>
      </c>
      <c r="G408" s="7"/>
      <c r="H408" s="7"/>
    </row>
    <row r="409" spans="1:8">
      <c r="A409" s="7"/>
      <c r="B409" s="7">
        <v>1</v>
      </c>
      <c r="G409" s="7"/>
      <c r="H409" s="7"/>
    </row>
    <row r="410" spans="1:8">
      <c r="A410" s="7"/>
      <c r="B410" s="7">
        <v>1</v>
      </c>
      <c r="G410" s="7"/>
      <c r="H410" s="7"/>
    </row>
    <row r="411" spans="1:8">
      <c r="A411" s="7"/>
      <c r="B411" s="7">
        <v>1</v>
      </c>
      <c r="G411" s="7"/>
      <c r="H411" s="7"/>
    </row>
    <row r="412" spans="1:8">
      <c r="A412" s="7"/>
      <c r="B412" s="7">
        <v>1</v>
      </c>
      <c r="G412" s="7"/>
      <c r="H412" s="7"/>
    </row>
    <row r="413" spans="1:8">
      <c r="A413" s="7"/>
      <c r="B413" s="7">
        <v>1</v>
      </c>
      <c r="G413" s="7"/>
      <c r="H413" s="7"/>
    </row>
    <row r="414" spans="1:8">
      <c r="A414" s="7"/>
      <c r="B414" s="7">
        <v>1</v>
      </c>
      <c r="G414" s="7"/>
      <c r="H414" s="7"/>
    </row>
    <row r="415" spans="1:8">
      <c r="A415" s="7"/>
      <c r="B415" s="7">
        <v>1</v>
      </c>
      <c r="G415" s="7"/>
      <c r="H415" s="7"/>
    </row>
    <row r="416" spans="1:8">
      <c r="A416" s="7"/>
      <c r="B416" s="7">
        <v>1</v>
      </c>
      <c r="G416" s="7"/>
      <c r="H416" s="7"/>
    </row>
    <row r="417" spans="1:8">
      <c r="A417" s="7"/>
      <c r="B417" s="7">
        <v>1</v>
      </c>
      <c r="G417" s="7"/>
      <c r="H417" s="7"/>
    </row>
    <row r="418" spans="1:8">
      <c r="A418" s="7"/>
      <c r="B418" s="7">
        <v>1</v>
      </c>
      <c r="G418" s="7"/>
      <c r="H418" s="7"/>
    </row>
    <row r="419" spans="1:8">
      <c r="A419" s="7"/>
      <c r="B419" s="7">
        <v>1</v>
      </c>
      <c r="G419" s="7"/>
      <c r="H419" s="7"/>
    </row>
    <row r="420" spans="1:8">
      <c r="A420" s="7"/>
      <c r="B420" s="7">
        <v>1</v>
      </c>
      <c r="G420" s="7"/>
      <c r="H420" s="7"/>
    </row>
    <row r="421" spans="1:8">
      <c r="A421" s="7"/>
      <c r="B421" s="7">
        <v>1</v>
      </c>
      <c r="G421" s="7"/>
      <c r="H421" s="7"/>
    </row>
    <row r="422" spans="1:8">
      <c r="A422" s="7"/>
      <c r="B422" s="7">
        <v>1</v>
      </c>
      <c r="G422" s="7"/>
      <c r="H422" s="7"/>
    </row>
    <row r="423" spans="1:8">
      <c r="A423" s="7"/>
      <c r="B423" s="7">
        <v>1</v>
      </c>
      <c r="G423" s="7"/>
      <c r="H423" s="7"/>
    </row>
    <row r="424" spans="1:8">
      <c r="A424" s="7"/>
      <c r="B424" s="7">
        <v>1</v>
      </c>
      <c r="G424" s="7"/>
      <c r="H424" s="7"/>
    </row>
    <row r="425" spans="1:8">
      <c r="A425" s="7"/>
      <c r="B425" s="7">
        <v>1</v>
      </c>
      <c r="G425" s="7"/>
      <c r="H425" s="7"/>
    </row>
    <row r="426" spans="1:8">
      <c r="A426" s="7"/>
      <c r="B426" s="7">
        <v>1</v>
      </c>
      <c r="G426" s="7"/>
      <c r="H426" s="7"/>
    </row>
    <row r="427" spans="1:8">
      <c r="A427" s="7"/>
      <c r="B427" s="7">
        <v>1</v>
      </c>
      <c r="G427" s="7"/>
      <c r="H427" s="7"/>
    </row>
    <row r="428" spans="1:8">
      <c r="A428" s="7"/>
      <c r="B428" s="7">
        <v>1</v>
      </c>
      <c r="G428" s="7"/>
      <c r="H428" s="7"/>
    </row>
    <row r="429" spans="1:8">
      <c r="A429" s="7"/>
      <c r="B429" s="7">
        <v>1</v>
      </c>
      <c r="G429" s="7"/>
      <c r="H429" s="7"/>
    </row>
    <row r="430" spans="1:8">
      <c r="A430" s="7"/>
      <c r="B430" s="7">
        <v>1</v>
      </c>
      <c r="G430" s="7"/>
      <c r="H430" s="7"/>
    </row>
    <row r="431" spans="1:8">
      <c r="A431" s="7"/>
      <c r="B431" s="7">
        <v>1</v>
      </c>
      <c r="G431" s="7"/>
      <c r="H431" s="7"/>
    </row>
    <row r="432" spans="1:8">
      <c r="A432" s="7"/>
      <c r="B432" s="7">
        <v>1</v>
      </c>
      <c r="G432" s="7"/>
      <c r="H432" s="7"/>
    </row>
    <row r="433" spans="1:8">
      <c r="A433" s="7"/>
      <c r="B433" s="7">
        <v>1</v>
      </c>
      <c r="G433" s="7"/>
      <c r="H433" s="7"/>
    </row>
    <row r="434" spans="1:8">
      <c r="A434" s="7"/>
      <c r="B434" s="7">
        <v>1</v>
      </c>
      <c r="G434" s="7"/>
      <c r="H434" s="7"/>
    </row>
    <row r="435" spans="1:8">
      <c r="A435" s="7"/>
      <c r="B435" s="7">
        <v>1</v>
      </c>
      <c r="G435" s="7"/>
      <c r="H435" s="7"/>
    </row>
    <row r="436" spans="1:8">
      <c r="A436" s="7"/>
      <c r="B436" s="7">
        <v>1</v>
      </c>
      <c r="G436" s="7"/>
      <c r="H436" s="7"/>
    </row>
    <row r="437" spans="1:8">
      <c r="A437" s="7"/>
      <c r="B437" s="7">
        <v>1</v>
      </c>
      <c r="G437" s="7"/>
      <c r="H437" s="7"/>
    </row>
    <row r="438" spans="1:8">
      <c r="A438" s="7"/>
      <c r="B438" s="7">
        <v>1</v>
      </c>
      <c r="G438" s="7"/>
      <c r="H438" s="7"/>
    </row>
    <row r="439" spans="1:8">
      <c r="A439" s="7"/>
      <c r="B439" s="7">
        <v>1</v>
      </c>
      <c r="G439" s="7"/>
      <c r="H439" s="7"/>
    </row>
    <row r="440" spans="1:8">
      <c r="A440" s="7"/>
      <c r="B440" s="7">
        <v>1</v>
      </c>
      <c r="G440" s="7"/>
      <c r="H440" s="7"/>
    </row>
    <row r="441" spans="1:8">
      <c r="A441" s="7"/>
      <c r="B441" s="7">
        <v>1</v>
      </c>
      <c r="G441" s="7"/>
      <c r="H441" s="7"/>
    </row>
    <row r="442" spans="1:8">
      <c r="A442" s="7"/>
      <c r="B442" s="7">
        <v>1</v>
      </c>
      <c r="G442" s="7"/>
      <c r="H442" s="7"/>
    </row>
    <row r="443" spans="1:8">
      <c r="A443" s="7"/>
      <c r="B443" s="7">
        <v>1</v>
      </c>
      <c r="G443" s="7"/>
      <c r="H443" s="7"/>
    </row>
    <row r="444" spans="1:8">
      <c r="A444" s="7"/>
      <c r="B444" s="7">
        <v>1</v>
      </c>
      <c r="G444" s="7"/>
      <c r="H444" s="7"/>
    </row>
    <row r="445" spans="1:8">
      <c r="A445" s="7"/>
      <c r="B445" s="7">
        <v>1</v>
      </c>
      <c r="G445" s="7"/>
      <c r="H445" s="7"/>
    </row>
    <row r="446" spans="1:8">
      <c r="A446" s="7"/>
      <c r="B446" s="7">
        <v>1</v>
      </c>
      <c r="G446" s="7"/>
      <c r="H446" s="7"/>
    </row>
    <row r="447" spans="1:8">
      <c r="A447" s="7"/>
      <c r="B447" s="7">
        <v>1</v>
      </c>
      <c r="G447" s="7"/>
      <c r="H447" s="7"/>
    </row>
    <row r="448" spans="1:8">
      <c r="A448" s="7"/>
      <c r="B448" s="7">
        <v>1</v>
      </c>
      <c r="G448" s="7"/>
      <c r="H448" s="7"/>
    </row>
    <row r="449" spans="1:8">
      <c r="A449" s="7"/>
      <c r="B449" s="7">
        <v>1</v>
      </c>
      <c r="G449" s="7"/>
      <c r="H449" s="7"/>
    </row>
    <row r="450" spans="1:8">
      <c r="A450" s="7"/>
      <c r="B450" s="7">
        <v>1</v>
      </c>
      <c r="G450" s="7"/>
      <c r="H450" s="7"/>
    </row>
    <row r="451" spans="1:8">
      <c r="A451" s="7"/>
      <c r="B451" s="7">
        <v>1</v>
      </c>
      <c r="G451" s="7"/>
      <c r="H451" s="7"/>
    </row>
    <row r="452" spans="1:8">
      <c r="A452" s="7"/>
      <c r="B452" s="7">
        <v>1</v>
      </c>
      <c r="G452" s="7"/>
      <c r="H452" s="7"/>
    </row>
    <row r="453" spans="1:8">
      <c r="A453" s="7"/>
      <c r="B453" s="7">
        <v>1</v>
      </c>
      <c r="G453" s="7"/>
      <c r="H453" s="7"/>
    </row>
    <row r="454" spans="1:8">
      <c r="A454" s="7"/>
      <c r="B454" s="7">
        <v>1</v>
      </c>
      <c r="G454" s="7"/>
      <c r="H454" s="7"/>
    </row>
    <row r="455" spans="1:8">
      <c r="A455" s="7"/>
      <c r="B455" s="7">
        <v>1</v>
      </c>
      <c r="G455" s="7"/>
      <c r="H455" s="7"/>
    </row>
    <row r="456" spans="1:8">
      <c r="A456" s="7"/>
      <c r="B456" s="7">
        <v>1</v>
      </c>
      <c r="G456" s="7"/>
      <c r="H456" s="7"/>
    </row>
    <row r="457" spans="1:8">
      <c r="A457" s="7"/>
      <c r="B457" s="7">
        <v>1</v>
      </c>
      <c r="G457" s="7"/>
      <c r="H457" s="7"/>
    </row>
    <row r="458" spans="1:8">
      <c r="A458" s="7"/>
      <c r="B458" s="7">
        <v>1</v>
      </c>
      <c r="G458" s="7"/>
      <c r="H458" s="7"/>
    </row>
    <row r="459" spans="1:8">
      <c r="A459" s="7"/>
      <c r="B459" s="7">
        <v>1</v>
      </c>
      <c r="G459" s="7"/>
      <c r="H459" s="7"/>
    </row>
    <row r="460" spans="1:8">
      <c r="A460" s="7"/>
      <c r="B460" s="7">
        <v>1</v>
      </c>
      <c r="G460" s="7"/>
      <c r="H460" s="7"/>
    </row>
    <row r="461" spans="1:8">
      <c r="A461" s="7"/>
      <c r="B461" s="7">
        <v>1</v>
      </c>
      <c r="G461" s="7"/>
      <c r="H461" s="7"/>
    </row>
    <row r="462" spans="1:8">
      <c r="A462" s="7"/>
      <c r="B462" s="7">
        <v>1</v>
      </c>
      <c r="G462" s="7"/>
      <c r="H462" s="7"/>
    </row>
    <row r="463" spans="1:8">
      <c r="A463" s="7"/>
      <c r="B463" s="7">
        <v>1</v>
      </c>
      <c r="G463" s="7"/>
      <c r="H463" s="7"/>
    </row>
    <row r="464" spans="1:8">
      <c r="A464" s="7"/>
      <c r="B464" s="7">
        <v>1</v>
      </c>
      <c r="G464" s="7"/>
      <c r="H464" s="7"/>
    </row>
    <row r="465" spans="1:8">
      <c r="A465" s="7"/>
      <c r="B465" s="7">
        <v>1</v>
      </c>
      <c r="G465" s="7"/>
      <c r="H465" s="7"/>
    </row>
    <row r="466" spans="1:8">
      <c r="A466" s="7"/>
      <c r="B466" s="7">
        <v>1</v>
      </c>
      <c r="G466" s="7"/>
      <c r="H466" s="7"/>
    </row>
    <row r="467" spans="1:8">
      <c r="A467" s="7"/>
      <c r="B467" s="7">
        <v>1</v>
      </c>
      <c r="G467" s="7"/>
      <c r="H467" s="7"/>
    </row>
    <row r="468" spans="1:8">
      <c r="A468" s="7"/>
      <c r="B468" s="7">
        <v>1</v>
      </c>
      <c r="G468" s="7"/>
      <c r="H468" s="7"/>
    </row>
    <row r="469" spans="1:8">
      <c r="A469" s="7"/>
      <c r="B469" s="7">
        <v>1</v>
      </c>
      <c r="G469" s="7"/>
      <c r="H469" s="7"/>
    </row>
    <row r="470" spans="1:8">
      <c r="A470" s="7"/>
      <c r="B470" s="7">
        <v>1</v>
      </c>
      <c r="G470" s="7"/>
      <c r="H470" s="7"/>
    </row>
    <row r="471" spans="1:8">
      <c r="A471" s="7"/>
      <c r="B471" s="7">
        <v>1</v>
      </c>
      <c r="G471" s="7"/>
      <c r="H471" s="7"/>
    </row>
    <row r="472" spans="1:8">
      <c r="A472" s="7"/>
      <c r="B472" s="7">
        <v>1</v>
      </c>
      <c r="G472" s="7"/>
      <c r="H472" s="7"/>
    </row>
    <row r="473" spans="1:8">
      <c r="A473" s="7"/>
      <c r="B473" s="7">
        <v>1</v>
      </c>
      <c r="G473" s="7"/>
      <c r="H473" s="7"/>
    </row>
    <row r="474" spans="1:8">
      <c r="A474" s="7"/>
      <c r="B474" s="7">
        <v>1</v>
      </c>
      <c r="G474" s="7"/>
      <c r="H474" s="7"/>
    </row>
    <row r="475" spans="1:8">
      <c r="A475" s="7"/>
      <c r="B475" s="7">
        <v>1</v>
      </c>
      <c r="G475" s="7"/>
      <c r="H475" s="7"/>
    </row>
    <row r="476" spans="1:8">
      <c r="A476" s="7"/>
      <c r="B476" s="7">
        <v>1</v>
      </c>
      <c r="G476" s="7"/>
      <c r="H476" s="7"/>
    </row>
    <row r="477" spans="1:8">
      <c r="A477" s="7"/>
      <c r="B477" s="7">
        <v>1</v>
      </c>
      <c r="G477" s="7"/>
      <c r="H477" s="7"/>
    </row>
    <row r="478" spans="1:8">
      <c r="A478" s="7"/>
      <c r="B478" s="7">
        <v>1</v>
      </c>
      <c r="G478" s="7"/>
      <c r="H478" s="7"/>
    </row>
    <row r="479" spans="1:8">
      <c r="A479" s="7"/>
      <c r="B479" s="7">
        <v>1</v>
      </c>
      <c r="G479" s="7"/>
      <c r="H479" s="7"/>
    </row>
    <row r="480" spans="1:8">
      <c r="A480" s="7"/>
      <c r="B480" s="7">
        <v>1</v>
      </c>
      <c r="G480" s="7"/>
      <c r="H480" s="7"/>
    </row>
    <row r="481" spans="1:8">
      <c r="A481" s="7"/>
      <c r="B481" s="7">
        <v>1</v>
      </c>
      <c r="G481" s="7"/>
      <c r="H481" s="7"/>
    </row>
    <row r="482" spans="1:8">
      <c r="A482" s="7"/>
      <c r="B482" s="7">
        <v>1</v>
      </c>
      <c r="G482" s="7"/>
      <c r="H482" s="7"/>
    </row>
    <row r="483" spans="1:8">
      <c r="A483" s="7"/>
      <c r="B483" s="7">
        <v>1</v>
      </c>
      <c r="G483" s="7"/>
      <c r="H483" s="7"/>
    </row>
    <row r="484" spans="1:8">
      <c r="A484" s="7"/>
      <c r="B484" s="7">
        <v>1</v>
      </c>
      <c r="G484" s="7"/>
      <c r="H484" s="7"/>
    </row>
    <row r="485" spans="1:8">
      <c r="A485" s="7"/>
      <c r="B485" s="7">
        <v>1</v>
      </c>
      <c r="G485" s="7"/>
      <c r="H485" s="7"/>
    </row>
    <row r="486" spans="1:8">
      <c r="A486" s="7"/>
      <c r="B486" s="7">
        <v>1</v>
      </c>
      <c r="G486" s="7"/>
      <c r="H486" s="7"/>
    </row>
    <row r="487" spans="1:8">
      <c r="A487" s="7"/>
      <c r="B487" s="7">
        <v>1</v>
      </c>
      <c r="G487" s="7"/>
      <c r="H487" s="7"/>
    </row>
    <row r="488" spans="1:8">
      <c r="A488" s="7"/>
      <c r="B488" s="7">
        <v>1</v>
      </c>
      <c r="G488" s="7"/>
      <c r="H488" s="7"/>
    </row>
    <row r="489" spans="1:8">
      <c r="A489" s="7"/>
      <c r="B489" s="7">
        <v>1</v>
      </c>
      <c r="G489" s="7"/>
      <c r="H489" s="7"/>
    </row>
    <row r="490" spans="1:8">
      <c r="A490" s="7"/>
      <c r="B490" s="7">
        <v>1</v>
      </c>
      <c r="G490" s="7"/>
      <c r="H490" s="7"/>
    </row>
    <row r="491" spans="1:8">
      <c r="A491" s="7"/>
      <c r="B491" s="7">
        <v>1</v>
      </c>
      <c r="G491" s="7"/>
      <c r="H491" s="7"/>
    </row>
    <row r="492" spans="1:8">
      <c r="A492" s="7"/>
      <c r="B492" s="7">
        <v>1</v>
      </c>
      <c r="G492" s="7"/>
      <c r="H492" s="7"/>
    </row>
    <row r="493" spans="1:8">
      <c r="A493" s="7"/>
      <c r="B493" s="7">
        <v>1</v>
      </c>
      <c r="G493" s="7"/>
      <c r="H493" s="7"/>
    </row>
    <row r="494" spans="1:8">
      <c r="A494" s="7"/>
      <c r="B494" s="7">
        <v>1</v>
      </c>
      <c r="G494" s="7"/>
      <c r="H494" s="7"/>
    </row>
    <row r="495" spans="1:8">
      <c r="A495" s="7"/>
      <c r="B495" s="7">
        <v>1</v>
      </c>
      <c r="G495" s="7"/>
      <c r="H495" s="7"/>
    </row>
    <row r="496" spans="1:8">
      <c r="A496" s="7"/>
      <c r="B496" s="7">
        <v>1</v>
      </c>
      <c r="G496" s="7"/>
      <c r="H496" s="7"/>
    </row>
    <row r="497" spans="1:8">
      <c r="A497" s="7"/>
      <c r="B497" s="7">
        <v>1</v>
      </c>
      <c r="G497" s="7"/>
      <c r="H497" s="7"/>
    </row>
    <row r="498" spans="1:8">
      <c r="A498" s="7"/>
      <c r="B498" s="7">
        <v>1</v>
      </c>
      <c r="G498" s="7"/>
      <c r="H498" s="7"/>
    </row>
    <row r="499" spans="1:8">
      <c r="A499" s="7"/>
      <c r="B499" s="7">
        <v>1</v>
      </c>
      <c r="G499" s="7"/>
      <c r="H499" s="7"/>
    </row>
    <row r="500" spans="1:8">
      <c r="A500" s="7"/>
      <c r="B500" s="7">
        <v>1</v>
      </c>
      <c r="G500" s="7"/>
      <c r="H500" s="7"/>
    </row>
    <row r="501" spans="1:8">
      <c r="B501" s="7">
        <v>1</v>
      </c>
    </row>
    <row r="502" spans="1:8">
      <c r="B502" s="7">
        <v>1</v>
      </c>
    </row>
    <row r="503" spans="1:8">
      <c r="B503" s="7">
        <v>1</v>
      </c>
    </row>
    <row r="504" spans="1:8">
      <c r="B504" s="7">
        <v>1</v>
      </c>
    </row>
    <row r="505" spans="1:8">
      <c r="B505" s="7">
        <v>1</v>
      </c>
    </row>
    <row r="506" spans="1:8">
      <c r="B506" s="7">
        <v>1</v>
      </c>
    </row>
    <row r="507" spans="1:8">
      <c r="B507" s="7">
        <v>1</v>
      </c>
    </row>
    <row r="508" spans="1:8">
      <c r="B508" s="7">
        <v>1</v>
      </c>
    </row>
    <row r="509" spans="1:8">
      <c r="B509" s="7">
        <v>1</v>
      </c>
    </row>
    <row r="510" spans="1:8">
      <c r="B510" s="7">
        <v>1</v>
      </c>
    </row>
    <row r="511" spans="1:8">
      <c r="B511" s="7">
        <v>1</v>
      </c>
    </row>
    <row r="512" spans="1:8">
      <c r="B512" s="7">
        <v>1</v>
      </c>
    </row>
    <row r="513" spans="2:2">
      <c r="B513" s="7">
        <v>1</v>
      </c>
    </row>
    <row r="514" spans="2:2">
      <c r="B514" s="7">
        <v>1</v>
      </c>
    </row>
    <row r="515" spans="2:2">
      <c r="B515" s="7">
        <v>1</v>
      </c>
    </row>
    <row r="516" spans="2:2">
      <c r="B516" s="7">
        <v>1</v>
      </c>
    </row>
    <row r="517" spans="2:2">
      <c r="B517" s="7">
        <v>1</v>
      </c>
    </row>
    <row r="518" spans="2:2">
      <c r="B518" s="7">
        <v>1</v>
      </c>
    </row>
    <row r="519" spans="2:2">
      <c r="B519" s="7">
        <v>1</v>
      </c>
    </row>
    <row r="520" spans="2:2">
      <c r="B520" s="7">
        <v>1</v>
      </c>
    </row>
    <row r="521" spans="2:2">
      <c r="B521" s="7">
        <v>1</v>
      </c>
    </row>
    <row r="522" spans="2:2">
      <c r="B522" s="7">
        <v>1</v>
      </c>
    </row>
    <row r="523" spans="2:2">
      <c r="B523" s="7">
        <v>1</v>
      </c>
    </row>
    <row r="524" spans="2:2">
      <c r="B524" s="7">
        <v>1</v>
      </c>
    </row>
    <row r="525" spans="2:2">
      <c r="B525" s="7">
        <v>1</v>
      </c>
    </row>
    <row r="526" spans="2:2">
      <c r="B526" s="7">
        <v>1</v>
      </c>
    </row>
    <row r="527" spans="2:2">
      <c r="B527" s="7">
        <v>1</v>
      </c>
    </row>
    <row r="528" spans="2:2">
      <c r="B528" s="7">
        <v>1</v>
      </c>
    </row>
    <row r="529" spans="2:2">
      <c r="B529" s="7">
        <v>1</v>
      </c>
    </row>
    <row r="530" spans="2:2">
      <c r="B530" s="7">
        <v>1</v>
      </c>
    </row>
    <row r="531" spans="2:2">
      <c r="B531" s="7">
        <v>1</v>
      </c>
    </row>
    <row r="532" spans="2:2">
      <c r="B532" s="7">
        <v>1</v>
      </c>
    </row>
    <row r="533" spans="2:2">
      <c r="B533" s="7">
        <v>1</v>
      </c>
    </row>
    <row r="534" spans="2:2">
      <c r="B534" s="7">
        <v>1</v>
      </c>
    </row>
    <row r="535" spans="2:2">
      <c r="B535" s="7">
        <v>1</v>
      </c>
    </row>
    <row r="536" spans="2:2">
      <c r="B536" s="7">
        <v>1</v>
      </c>
    </row>
    <row r="537" spans="2:2">
      <c r="B537" s="7">
        <v>1</v>
      </c>
    </row>
    <row r="538" spans="2:2">
      <c r="B538" s="7">
        <v>1</v>
      </c>
    </row>
    <row r="539" spans="2:2">
      <c r="B539" s="7">
        <v>1</v>
      </c>
    </row>
    <row r="540" spans="2:2">
      <c r="B540" s="7">
        <v>1</v>
      </c>
    </row>
    <row r="541" spans="2:2">
      <c r="B541" s="7">
        <v>1</v>
      </c>
    </row>
    <row r="542" spans="2:2">
      <c r="B542" s="7">
        <v>1</v>
      </c>
    </row>
    <row r="543" spans="2:2">
      <c r="B543" s="7">
        <v>1</v>
      </c>
    </row>
    <row r="544" spans="2:2">
      <c r="B544" s="7">
        <v>1</v>
      </c>
    </row>
    <row r="545" spans="2:2">
      <c r="B545" s="7">
        <v>1</v>
      </c>
    </row>
    <row r="546" spans="2:2">
      <c r="B546" s="7">
        <v>1</v>
      </c>
    </row>
    <row r="547" spans="2:2">
      <c r="B547" s="7">
        <v>1</v>
      </c>
    </row>
    <row r="548" spans="2:2">
      <c r="B548" s="7">
        <v>1</v>
      </c>
    </row>
    <row r="549" spans="2:2">
      <c r="B549" s="7">
        <v>1</v>
      </c>
    </row>
    <row r="550" spans="2:2">
      <c r="B550" s="7">
        <v>1</v>
      </c>
    </row>
    <row r="551" spans="2:2">
      <c r="B551" s="7">
        <v>1</v>
      </c>
    </row>
    <row r="552" spans="2:2">
      <c r="B552" s="7">
        <v>1</v>
      </c>
    </row>
    <row r="553" spans="2:2">
      <c r="B553" s="7">
        <v>1</v>
      </c>
    </row>
    <row r="554" spans="2:2">
      <c r="B554" s="7">
        <v>1</v>
      </c>
    </row>
    <row r="555" spans="2:2">
      <c r="B555" s="7">
        <v>1</v>
      </c>
    </row>
    <row r="556" spans="2:2">
      <c r="B556" s="7">
        <v>1</v>
      </c>
    </row>
    <row r="557" spans="2:2">
      <c r="B557" s="7">
        <v>1</v>
      </c>
    </row>
    <row r="558" spans="2:2">
      <c r="B558" s="7">
        <v>1</v>
      </c>
    </row>
    <row r="559" spans="2:2">
      <c r="B559" s="7">
        <v>1</v>
      </c>
    </row>
    <row r="560" spans="2:2">
      <c r="B560" s="7">
        <v>1</v>
      </c>
    </row>
    <row r="561" spans="2:2">
      <c r="B561" s="7">
        <v>1</v>
      </c>
    </row>
    <row r="562" spans="2:2">
      <c r="B562" s="7">
        <v>1</v>
      </c>
    </row>
    <row r="563" spans="2:2">
      <c r="B563" s="7">
        <v>1</v>
      </c>
    </row>
    <row r="564" spans="2:2">
      <c r="B564" s="7">
        <v>1</v>
      </c>
    </row>
    <row r="565" spans="2:2">
      <c r="B565" s="7">
        <v>1</v>
      </c>
    </row>
    <row r="566" spans="2:2">
      <c r="B566" s="7">
        <v>1</v>
      </c>
    </row>
    <row r="567" spans="2:2">
      <c r="B567" s="7">
        <v>1</v>
      </c>
    </row>
    <row r="568" spans="2:2">
      <c r="B568" s="7">
        <v>1</v>
      </c>
    </row>
    <row r="569" spans="2:2">
      <c r="B569" s="7">
        <v>1</v>
      </c>
    </row>
    <row r="570" spans="2:2">
      <c r="B570" s="7">
        <v>1</v>
      </c>
    </row>
    <row r="571" spans="2:2">
      <c r="B571" s="7">
        <v>1</v>
      </c>
    </row>
    <row r="572" spans="2:2">
      <c r="B572" s="7">
        <v>1</v>
      </c>
    </row>
    <row r="573" spans="2:2">
      <c r="B573" s="7">
        <v>1</v>
      </c>
    </row>
    <row r="574" spans="2:2">
      <c r="B574" s="7">
        <v>1</v>
      </c>
    </row>
    <row r="575" spans="2:2">
      <c r="B575" s="7">
        <v>1</v>
      </c>
    </row>
    <row r="576" spans="2:2">
      <c r="B576" s="7">
        <v>1</v>
      </c>
    </row>
    <row r="577" spans="2:2">
      <c r="B577" s="7">
        <v>1</v>
      </c>
    </row>
    <row r="578" spans="2:2">
      <c r="B578" s="7">
        <v>1</v>
      </c>
    </row>
    <row r="579" spans="2:2">
      <c r="B579" s="7">
        <v>1</v>
      </c>
    </row>
    <row r="580" spans="2:2">
      <c r="B580" s="7">
        <v>1</v>
      </c>
    </row>
    <row r="581" spans="2:2">
      <c r="B581" s="7">
        <v>1</v>
      </c>
    </row>
    <row r="582" spans="2:2">
      <c r="B582" s="7">
        <v>1</v>
      </c>
    </row>
    <row r="583" spans="2:2">
      <c r="B583" s="7">
        <v>1</v>
      </c>
    </row>
    <row r="584" spans="2:2">
      <c r="B584" s="7">
        <v>1</v>
      </c>
    </row>
    <row r="585" spans="2:2">
      <c r="B585" s="7">
        <v>1</v>
      </c>
    </row>
    <row r="586" spans="2:2">
      <c r="B586" s="7">
        <v>1</v>
      </c>
    </row>
    <row r="587" spans="2:2">
      <c r="B587" s="7">
        <v>1</v>
      </c>
    </row>
    <row r="588" spans="2:2">
      <c r="B588" s="7">
        <v>1</v>
      </c>
    </row>
    <row r="589" spans="2:2">
      <c r="B589" s="7">
        <v>1</v>
      </c>
    </row>
    <row r="590" spans="2:2">
      <c r="B590" s="7">
        <v>1</v>
      </c>
    </row>
    <row r="591" spans="2:2">
      <c r="B591" s="7">
        <v>1</v>
      </c>
    </row>
    <row r="592" spans="2:2">
      <c r="B592" s="7">
        <v>1</v>
      </c>
    </row>
    <row r="593" spans="2:2">
      <c r="B593" s="7">
        <v>1</v>
      </c>
    </row>
    <row r="594" spans="2:2">
      <c r="B594" s="7">
        <v>1</v>
      </c>
    </row>
    <row r="595" spans="2:2">
      <c r="B595" s="7">
        <v>1</v>
      </c>
    </row>
    <row r="596" spans="2:2">
      <c r="B596" s="7">
        <v>1</v>
      </c>
    </row>
    <row r="597" spans="2:2">
      <c r="B597" s="7">
        <v>1</v>
      </c>
    </row>
    <row r="598" spans="2:2">
      <c r="B598" s="7">
        <v>1</v>
      </c>
    </row>
    <row r="599" spans="2:2">
      <c r="B599" s="7">
        <v>1</v>
      </c>
    </row>
    <row r="600" spans="2:2">
      <c r="B600" s="7">
        <v>1</v>
      </c>
    </row>
    <row r="601" spans="2:2">
      <c r="B601" s="7">
        <v>1</v>
      </c>
    </row>
    <row r="602" spans="2:2">
      <c r="B602" s="7">
        <v>1</v>
      </c>
    </row>
    <row r="603" spans="2:2">
      <c r="B603" s="7">
        <v>1</v>
      </c>
    </row>
    <row r="604" spans="2:2">
      <c r="B604" s="7">
        <v>1</v>
      </c>
    </row>
    <row r="605" spans="2:2">
      <c r="B605" s="7">
        <v>1</v>
      </c>
    </row>
    <row r="606" spans="2:2">
      <c r="B606" s="7">
        <v>1</v>
      </c>
    </row>
    <row r="607" spans="2:2">
      <c r="B607" s="7">
        <v>1</v>
      </c>
    </row>
    <row r="608" spans="2:2">
      <c r="B608" s="7">
        <v>1</v>
      </c>
    </row>
    <row r="609" spans="2:2">
      <c r="B609" s="7">
        <v>1</v>
      </c>
    </row>
    <row r="610" spans="2:2">
      <c r="B610" s="7">
        <v>1</v>
      </c>
    </row>
    <row r="611" spans="2:2">
      <c r="B611" s="7">
        <v>1</v>
      </c>
    </row>
    <row r="612" spans="2:2">
      <c r="B612" s="7">
        <v>1</v>
      </c>
    </row>
    <row r="613" spans="2:2">
      <c r="B613" s="7">
        <v>1</v>
      </c>
    </row>
    <row r="614" spans="2:2">
      <c r="B614" s="7">
        <v>1</v>
      </c>
    </row>
    <row r="615" spans="2:2">
      <c r="B615" s="7">
        <v>1</v>
      </c>
    </row>
    <row r="616" spans="2:2">
      <c r="B616" s="7">
        <v>1</v>
      </c>
    </row>
    <row r="617" spans="2:2">
      <c r="B617" s="7">
        <v>1</v>
      </c>
    </row>
    <row r="618" spans="2:2">
      <c r="B618" s="7">
        <v>1</v>
      </c>
    </row>
    <row r="619" spans="2:2">
      <c r="B619" s="7">
        <v>1</v>
      </c>
    </row>
    <row r="620" spans="2:2">
      <c r="B620" s="7">
        <v>1</v>
      </c>
    </row>
    <row r="621" spans="2:2">
      <c r="B621" s="7">
        <v>1</v>
      </c>
    </row>
    <row r="622" spans="2:2">
      <c r="B622" s="7">
        <v>1</v>
      </c>
    </row>
    <row r="623" spans="2:2">
      <c r="B623" s="7">
        <v>1</v>
      </c>
    </row>
    <row r="624" spans="2:2">
      <c r="B624" s="7">
        <v>1</v>
      </c>
    </row>
    <row r="625" spans="2:2">
      <c r="B625" s="7">
        <v>1</v>
      </c>
    </row>
    <row r="626" spans="2:2">
      <c r="B626" s="7">
        <v>1</v>
      </c>
    </row>
    <row r="627" spans="2:2">
      <c r="B627" s="7">
        <v>1</v>
      </c>
    </row>
    <row r="628" spans="2:2">
      <c r="B628" s="7">
        <v>1</v>
      </c>
    </row>
    <row r="629" spans="2:2">
      <c r="B629" s="7">
        <v>1</v>
      </c>
    </row>
    <row r="630" spans="2:2">
      <c r="B630" s="7">
        <v>1</v>
      </c>
    </row>
    <row r="631" spans="2:2">
      <c r="B631" s="7">
        <v>1</v>
      </c>
    </row>
    <row r="632" spans="2:2">
      <c r="B632" s="7">
        <v>1</v>
      </c>
    </row>
    <row r="633" spans="2:2">
      <c r="B633" s="7">
        <v>1</v>
      </c>
    </row>
    <row r="634" spans="2:2">
      <c r="B634" s="7">
        <v>1</v>
      </c>
    </row>
    <row r="635" spans="2:2">
      <c r="B635" s="7">
        <v>1</v>
      </c>
    </row>
    <row r="636" spans="2:2">
      <c r="B636" s="7">
        <v>1</v>
      </c>
    </row>
    <row r="637" spans="2:2">
      <c r="B637" s="7">
        <v>1</v>
      </c>
    </row>
    <row r="638" spans="2:2">
      <c r="B638" s="7">
        <v>1</v>
      </c>
    </row>
    <row r="639" spans="2:2">
      <c r="B639" s="7">
        <v>1</v>
      </c>
    </row>
    <row r="640" spans="2:2">
      <c r="B640" s="7">
        <v>1</v>
      </c>
    </row>
    <row r="641" spans="2:2">
      <c r="B641" s="7">
        <v>1</v>
      </c>
    </row>
    <row r="642" spans="2:2">
      <c r="B642" s="7">
        <v>1</v>
      </c>
    </row>
    <row r="643" spans="2:2">
      <c r="B643" s="7">
        <v>1</v>
      </c>
    </row>
    <row r="644" spans="2:2">
      <c r="B644" s="7">
        <v>1</v>
      </c>
    </row>
    <row r="645" spans="2:2">
      <c r="B645" s="7">
        <v>1</v>
      </c>
    </row>
    <row r="646" spans="2:2">
      <c r="B646" s="7">
        <v>1</v>
      </c>
    </row>
    <row r="647" spans="2:2">
      <c r="B647" s="7">
        <v>1</v>
      </c>
    </row>
    <row r="648" spans="2:2">
      <c r="B648" s="7">
        <v>1</v>
      </c>
    </row>
    <row r="649" spans="2:2">
      <c r="B649" s="7">
        <v>1</v>
      </c>
    </row>
    <row r="650" spans="2:2">
      <c r="B650" s="7">
        <v>1</v>
      </c>
    </row>
    <row r="651" spans="2:2">
      <c r="B651" s="7">
        <v>1</v>
      </c>
    </row>
    <row r="652" spans="2:2">
      <c r="B652" s="7">
        <v>1</v>
      </c>
    </row>
    <row r="653" spans="2:2">
      <c r="B653" s="7">
        <v>1</v>
      </c>
    </row>
    <row r="654" spans="2:2">
      <c r="B654" s="7">
        <v>1</v>
      </c>
    </row>
    <row r="655" spans="2:2">
      <c r="B655" s="7">
        <v>1</v>
      </c>
    </row>
    <row r="656" spans="2:2">
      <c r="B656" s="7">
        <v>1</v>
      </c>
    </row>
    <row r="657" spans="2:2">
      <c r="B657" s="7">
        <v>1</v>
      </c>
    </row>
    <row r="658" spans="2:2">
      <c r="B658" s="7">
        <v>1</v>
      </c>
    </row>
    <row r="659" spans="2:2">
      <c r="B659" s="7">
        <v>1</v>
      </c>
    </row>
    <row r="660" spans="2:2">
      <c r="B660" s="7">
        <v>1</v>
      </c>
    </row>
    <row r="661" spans="2:2">
      <c r="B661" s="7">
        <v>1</v>
      </c>
    </row>
    <row r="662" spans="2:2">
      <c r="B662" s="7">
        <v>1</v>
      </c>
    </row>
    <row r="663" spans="2:2">
      <c r="B663" s="7">
        <v>1</v>
      </c>
    </row>
    <row r="664" spans="2:2">
      <c r="B664" s="7">
        <v>1</v>
      </c>
    </row>
    <row r="665" spans="2:2">
      <c r="B665" s="7">
        <v>1</v>
      </c>
    </row>
    <row r="666" spans="2:2">
      <c r="B666" s="7">
        <v>1</v>
      </c>
    </row>
    <row r="667" spans="2:2">
      <c r="B667" s="7">
        <v>1</v>
      </c>
    </row>
    <row r="668" spans="2:2">
      <c r="B668" s="7">
        <v>1</v>
      </c>
    </row>
    <row r="669" spans="2:2">
      <c r="B669" s="7">
        <v>1</v>
      </c>
    </row>
    <row r="670" spans="2:2">
      <c r="B670" s="7">
        <v>1</v>
      </c>
    </row>
    <row r="671" spans="2:2">
      <c r="B671" s="7">
        <v>1</v>
      </c>
    </row>
    <row r="672" spans="2:2">
      <c r="B672" s="7">
        <v>1</v>
      </c>
    </row>
    <row r="673" spans="2:2">
      <c r="B673" s="7">
        <v>1</v>
      </c>
    </row>
    <row r="674" spans="2:2">
      <c r="B674" s="7">
        <v>1</v>
      </c>
    </row>
    <row r="675" spans="2:2">
      <c r="B675" s="7">
        <v>1</v>
      </c>
    </row>
    <row r="676" spans="2:2">
      <c r="B676" s="7">
        <v>1</v>
      </c>
    </row>
    <row r="677" spans="2:2">
      <c r="B677" s="7">
        <v>1</v>
      </c>
    </row>
    <row r="678" spans="2:2">
      <c r="B678" s="7">
        <v>1</v>
      </c>
    </row>
    <row r="679" spans="2:2">
      <c r="B679" s="7">
        <v>1</v>
      </c>
    </row>
    <row r="680" spans="2:2">
      <c r="B680" s="7">
        <v>1</v>
      </c>
    </row>
    <row r="681" spans="2:2">
      <c r="B681" s="7">
        <v>1</v>
      </c>
    </row>
    <row r="682" spans="2:2">
      <c r="B682" s="7">
        <v>1</v>
      </c>
    </row>
    <row r="683" spans="2:2">
      <c r="B683" s="7">
        <v>1</v>
      </c>
    </row>
    <row r="684" spans="2:2">
      <c r="B684" s="7">
        <v>1</v>
      </c>
    </row>
    <row r="685" spans="2:2">
      <c r="B685" s="7">
        <v>1</v>
      </c>
    </row>
    <row r="686" spans="2:2">
      <c r="B686" s="7">
        <v>1</v>
      </c>
    </row>
    <row r="687" spans="2:2">
      <c r="B687" s="7">
        <v>1</v>
      </c>
    </row>
    <row r="688" spans="2:2">
      <c r="B688" s="7">
        <v>1</v>
      </c>
    </row>
    <row r="689" spans="2:2">
      <c r="B689" s="7">
        <v>1</v>
      </c>
    </row>
    <row r="690" spans="2:2">
      <c r="B690" s="7">
        <v>1</v>
      </c>
    </row>
    <row r="691" spans="2:2">
      <c r="B691" s="7">
        <v>1</v>
      </c>
    </row>
    <row r="692" spans="2:2">
      <c r="B692" s="7">
        <v>1</v>
      </c>
    </row>
    <row r="693" spans="2:2">
      <c r="B693" s="7">
        <v>1</v>
      </c>
    </row>
    <row r="694" spans="2:2">
      <c r="B694" s="7">
        <v>1</v>
      </c>
    </row>
    <row r="695" spans="2:2">
      <c r="B695" s="7">
        <v>1</v>
      </c>
    </row>
    <row r="696" spans="2:2">
      <c r="B696" s="7">
        <v>1</v>
      </c>
    </row>
    <row r="697" spans="2:2">
      <c r="B697" s="7">
        <v>1</v>
      </c>
    </row>
    <row r="698" spans="2:2">
      <c r="B698" s="7">
        <v>1</v>
      </c>
    </row>
    <row r="699" spans="2:2">
      <c r="B699" s="7">
        <v>1</v>
      </c>
    </row>
    <row r="700" spans="2:2">
      <c r="B700" s="7">
        <v>1</v>
      </c>
    </row>
    <row r="701" spans="2:2">
      <c r="B701" s="7">
        <v>1</v>
      </c>
    </row>
    <row r="702" spans="2:2">
      <c r="B702" s="7">
        <v>1</v>
      </c>
    </row>
    <row r="703" spans="2:2">
      <c r="B703" s="7">
        <v>1</v>
      </c>
    </row>
    <row r="704" spans="2:2">
      <c r="B704" s="7">
        <v>1</v>
      </c>
    </row>
    <row r="705" spans="2:2">
      <c r="B705" s="7">
        <v>1</v>
      </c>
    </row>
    <row r="706" spans="2:2">
      <c r="B706" s="7">
        <v>1</v>
      </c>
    </row>
    <row r="707" spans="2:2">
      <c r="B707" s="7">
        <v>1</v>
      </c>
    </row>
    <row r="708" spans="2:2">
      <c r="B708" s="7">
        <v>1</v>
      </c>
    </row>
    <row r="709" spans="2:2">
      <c r="B709" s="7">
        <v>1</v>
      </c>
    </row>
    <row r="710" spans="2:2">
      <c r="B710" s="7">
        <v>1</v>
      </c>
    </row>
    <row r="711" spans="2:2">
      <c r="B711" s="7">
        <v>1</v>
      </c>
    </row>
    <row r="712" spans="2:2">
      <c r="B712" s="7">
        <v>1</v>
      </c>
    </row>
    <row r="713" spans="2:2">
      <c r="B713" s="7">
        <v>1</v>
      </c>
    </row>
    <row r="714" spans="2:2">
      <c r="B714" s="7">
        <v>1</v>
      </c>
    </row>
    <row r="715" spans="2:2">
      <c r="B715" s="7">
        <v>1</v>
      </c>
    </row>
    <row r="716" spans="2:2">
      <c r="B716" s="7">
        <v>1</v>
      </c>
    </row>
    <row r="717" spans="2:2">
      <c r="B717" s="7">
        <v>1</v>
      </c>
    </row>
    <row r="718" spans="2:2">
      <c r="B718" s="7">
        <v>1</v>
      </c>
    </row>
    <row r="719" spans="2:2">
      <c r="B719" s="7">
        <v>1</v>
      </c>
    </row>
    <row r="720" spans="2:2">
      <c r="B720" s="7">
        <v>1</v>
      </c>
    </row>
    <row r="721" spans="2:2">
      <c r="B721" s="7">
        <v>1</v>
      </c>
    </row>
    <row r="722" spans="2:2">
      <c r="B722" s="7">
        <v>1</v>
      </c>
    </row>
    <row r="723" spans="2:2">
      <c r="B723" s="7">
        <v>1</v>
      </c>
    </row>
    <row r="724" spans="2:2">
      <c r="B724" s="7">
        <v>1</v>
      </c>
    </row>
    <row r="725" spans="2:2">
      <c r="B725" s="7">
        <v>1</v>
      </c>
    </row>
    <row r="726" spans="2:2">
      <c r="B726" s="7">
        <v>1</v>
      </c>
    </row>
    <row r="727" spans="2:2">
      <c r="B727" s="7">
        <v>1</v>
      </c>
    </row>
    <row r="728" spans="2:2">
      <c r="B728" s="7">
        <v>1</v>
      </c>
    </row>
    <row r="729" spans="2:2">
      <c r="B729" s="7">
        <v>1</v>
      </c>
    </row>
    <row r="730" spans="2:2">
      <c r="B730" s="7">
        <v>1</v>
      </c>
    </row>
    <row r="731" spans="2:2">
      <c r="B731" s="7">
        <v>1</v>
      </c>
    </row>
    <row r="732" spans="2:2">
      <c r="B732" s="7">
        <v>1</v>
      </c>
    </row>
    <row r="733" spans="2:2">
      <c r="B733" s="7">
        <v>1</v>
      </c>
    </row>
    <row r="734" spans="2:2">
      <c r="B734" s="7">
        <v>1</v>
      </c>
    </row>
    <row r="735" spans="2:2">
      <c r="B735" s="7">
        <v>1</v>
      </c>
    </row>
    <row r="736" spans="2:2">
      <c r="B736" s="7">
        <v>1</v>
      </c>
    </row>
    <row r="737" spans="2:2">
      <c r="B737" s="7">
        <v>1</v>
      </c>
    </row>
    <row r="738" spans="2:2">
      <c r="B738" s="7">
        <v>1</v>
      </c>
    </row>
    <row r="739" spans="2:2">
      <c r="B739" s="7">
        <v>1</v>
      </c>
    </row>
    <row r="740" spans="2:2">
      <c r="B740" s="7">
        <v>1</v>
      </c>
    </row>
    <row r="741" spans="2:2">
      <c r="B741" s="7">
        <v>1</v>
      </c>
    </row>
    <row r="742" spans="2:2">
      <c r="B742" s="7">
        <v>1</v>
      </c>
    </row>
    <row r="743" spans="2:2">
      <c r="B743" s="7">
        <v>1</v>
      </c>
    </row>
    <row r="744" spans="2:2">
      <c r="B744" s="7">
        <v>1</v>
      </c>
    </row>
    <row r="745" spans="2:2">
      <c r="B745" s="7">
        <v>1</v>
      </c>
    </row>
    <row r="746" spans="2:2">
      <c r="B746" s="7">
        <v>1</v>
      </c>
    </row>
    <row r="747" spans="2:2">
      <c r="B747" s="7">
        <v>1</v>
      </c>
    </row>
    <row r="748" spans="2:2">
      <c r="B748" s="7">
        <v>1</v>
      </c>
    </row>
    <row r="749" spans="2:2">
      <c r="B749" s="7">
        <v>1</v>
      </c>
    </row>
    <row r="750" spans="2:2">
      <c r="B750" s="7">
        <v>1</v>
      </c>
    </row>
    <row r="751" spans="2:2">
      <c r="B751" s="7">
        <v>1</v>
      </c>
    </row>
    <row r="752" spans="2:2">
      <c r="B752" s="7">
        <v>1</v>
      </c>
    </row>
    <row r="753" spans="2:2">
      <c r="B753" s="7">
        <v>1</v>
      </c>
    </row>
    <row r="754" spans="2:2">
      <c r="B754" s="7">
        <v>1</v>
      </c>
    </row>
    <row r="755" spans="2:2">
      <c r="B755" s="7">
        <v>1</v>
      </c>
    </row>
    <row r="756" spans="2:2">
      <c r="B756" s="7">
        <v>1</v>
      </c>
    </row>
    <row r="757" spans="2:2">
      <c r="B757" s="7">
        <v>1</v>
      </c>
    </row>
    <row r="758" spans="2:2">
      <c r="B758" s="7">
        <v>1</v>
      </c>
    </row>
    <row r="759" spans="2:2">
      <c r="B759" s="7">
        <v>1</v>
      </c>
    </row>
    <row r="760" spans="2:2">
      <c r="B760" s="7">
        <v>1</v>
      </c>
    </row>
    <row r="761" spans="2:2">
      <c r="B761" s="7">
        <v>1</v>
      </c>
    </row>
    <row r="762" spans="2:2">
      <c r="B762" s="7">
        <v>1</v>
      </c>
    </row>
    <row r="763" spans="2:2">
      <c r="B763" s="7">
        <v>1</v>
      </c>
    </row>
    <row r="764" spans="2:2">
      <c r="B764" s="7">
        <v>1</v>
      </c>
    </row>
    <row r="765" spans="2:2">
      <c r="B765" s="7">
        <v>1</v>
      </c>
    </row>
    <row r="766" spans="2:2">
      <c r="B766" s="7">
        <v>1</v>
      </c>
    </row>
    <row r="767" spans="2:2">
      <c r="B767" s="7">
        <v>1</v>
      </c>
    </row>
    <row r="768" spans="2:2">
      <c r="B768" s="7">
        <v>1</v>
      </c>
    </row>
    <row r="769" spans="2:2">
      <c r="B769" s="7">
        <v>1</v>
      </c>
    </row>
    <row r="770" spans="2:2">
      <c r="B770" s="7">
        <v>1</v>
      </c>
    </row>
    <row r="771" spans="2:2">
      <c r="B771" s="7">
        <v>1</v>
      </c>
    </row>
    <row r="772" spans="2:2">
      <c r="B772" s="7">
        <v>1</v>
      </c>
    </row>
    <row r="773" spans="2:2">
      <c r="B773" s="7">
        <v>1</v>
      </c>
    </row>
    <row r="774" spans="2:2">
      <c r="B774" s="7">
        <v>1</v>
      </c>
    </row>
    <row r="775" spans="2:2">
      <c r="B775" s="7">
        <v>1</v>
      </c>
    </row>
    <row r="776" spans="2:2">
      <c r="B776" s="7">
        <v>1</v>
      </c>
    </row>
    <row r="777" spans="2:2">
      <c r="B777" s="7">
        <v>1</v>
      </c>
    </row>
    <row r="778" spans="2:2">
      <c r="B778" s="7">
        <v>1</v>
      </c>
    </row>
    <row r="779" spans="2:2">
      <c r="B779" s="7">
        <v>1</v>
      </c>
    </row>
    <row r="780" spans="2:2">
      <c r="B780" s="7">
        <v>1</v>
      </c>
    </row>
    <row r="781" spans="2:2">
      <c r="B781" s="7">
        <v>1</v>
      </c>
    </row>
    <row r="782" spans="2:2">
      <c r="B782" s="7">
        <v>1</v>
      </c>
    </row>
    <row r="783" spans="2:2">
      <c r="B783" s="7">
        <v>1</v>
      </c>
    </row>
    <row r="784" spans="2:2">
      <c r="B784" s="7">
        <v>1</v>
      </c>
    </row>
    <row r="785" spans="2:2">
      <c r="B785" s="7">
        <v>1</v>
      </c>
    </row>
    <row r="786" spans="2:2">
      <c r="B786" s="7">
        <v>1</v>
      </c>
    </row>
    <row r="787" spans="2:2">
      <c r="B787" s="7">
        <v>1</v>
      </c>
    </row>
    <row r="788" spans="2:2">
      <c r="B788" s="7">
        <v>1</v>
      </c>
    </row>
    <row r="789" spans="2:2">
      <c r="B789" s="7">
        <v>1</v>
      </c>
    </row>
    <row r="790" spans="2:2">
      <c r="B790" s="7">
        <v>1</v>
      </c>
    </row>
    <row r="791" spans="2:2">
      <c r="B791" s="7">
        <v>1</v>
      </c>
    </row>
    <row r="792" spans="2:2">
      <c r="B792" s="7">
        <v>1</v>
      </c>
    </row>
    <row r="793" spans="2:2">
      <c r="B793" s="7">
        <v>1</v>
      </c>
    </row>
    <row r="794" spans="2:2">
      <c r="B794" s="7">
        <v>1</v>
      </c>
    </row>
    <row r="795" spans="2:2">
      <c r="B795" s="7">
        <v>1</v>
      </c>
    </row>
    <row r="796" spans="2:2">
      <c r="B796" s="7">
        <v>1</v>
      </c>
    </row>
    <row r="797" spans="2:2">
      <c r="B797" s="7">
        <v>1</v>
      </c>
    </row>
    <row r="798" spans="2:2">
      <c r="B798" s="7">
        <v>1</v>
      </c>
    </row>
    <row r="799" spans="2:2">
      <c r="B799" s="7">
        <v>1</v>
      </c>
    </row>
    <row r="800" spans="2:2">
      <c r="B800" s="7">
        <v>1</v>
      </c>
    </row>
    <row r="801" spans="2:2">
      <c r="B801" s="7">
        <v>1</v>
      </c>
    </row>
    <row r="802" spans="2:2">
      <c r="B802" s="7">
        <v>1</v>
      </c>
    </row>
    <row r="803" spans="2:2">
      <c r="B803" s="7">
        <v>1</v>
      </c>
    </row>
    <row r="804" spans="2:2">
      <c r="B804" s="7">
        <v>1</v>
      </c>
    </row>
    <row r="805" spans="2:2">
      <c r="B805" s="7">
        <v>1</v>
      </c>
    </row>
    <row r="806" spans="2:2">
      <c r="B806" s="7">
        <v>1</v>
      </c>
    </row>
    <row r="807" spans="2:2">
      <c r="B807" s="7">
        <v>1</v>
      </c>
    </row>
    <row r="808" spans="2:2">
      <c r="B808" s="7">
        <v>1</v>
      </c>
    </row>
    <row r="809" spans="2:2">
      <c r="B809" s="7">
        <v>1</v>
      </c>
    </row>
    <row r="810" spans="2:2">
      <c r="B810" s="7">
        <v>1</v>
      </c>
    </row>
    <row r="811" spans="2:2">
      <c r="B811" s="7">
        <v>1</v>
      </c>
    </row>
    <row r="812" spans="2:2">
      <c r="B812" s="7">
        <v>1</v>
      </c>
    </row>
    <row r="813" spans="2:2">
      <c r="B813" s="7">
        <v>1</v>
      </c>
    </row>
    <row r="814" spans="2:2">
      <c r="B814" s="7">
        <v>1</v>
      </c>
    </row>
    <row r="815" spans="2:2">
      <c r="B815" s="7">
        <v>1</v>
      </c>
    </row>
    <row r="816" spans="2:2">
      <c r="B816" s="7">
        <v>1</v>
      </c>
    </row>
    <row r="817" spans="2:2">
      <c r="B817" s="7">
        <v>1</v>
      </c>
    </row>
    <row r="818" spans="2:2">
      <c r="B818" s="7">
        <v>1</v>
      </c>
    </row>
    <row r="819" spans="2:2">
      <c r="B819" s="7">
        <v>1</v>
      </c>
    </row>
    <row r="820" spans="2:2">
      <c r="B820" s="7">
        <v>1</v>
      </c>
    </row>
    <row r="821" spans="2:2">
      <c r="B821" s="7">
        <v>1</v>
      </c>
    </row>
    <row r="822" spans="2:2">
      <c r="B822" s="7">
        <v>1</v>
      </c>
    </row>
    <row r="823" spans="2:2">
      <c r="B823" s="7">
        <v>1</v>
      </c>
    </row>
    <row r="824" spans="2:2">
      <c r="B824" s="7">
        <v>1</v>
      </c>
    </row>
    <row r="825" spans="2:2">
      <c r="B825" s="7">
        <v>1</v>
      </c>
    </row>
    <row r="826" spans="2:2">
      <c r="B826" s="7">
        <v>1</v>
      </c>
    </row>
    <row r="827" spans="2:2">
      <c r="B827" s="7">
        <v>1</v>
      </c>
    </row>
    <row r="828" spans="2:2">
      <c r="B828" s="7">
        <v>1</v>
      </c>
    </row>
    <row r="829" spans="2:2">
      <c r="B829" s="7">
        <v>1</v>
      </c>
    </row>
    <row r="830" spans="2:2">
      <c r="B830" s="7">
        <v>1</v>
      </c>
    </row>
    <row r="831" spans="2:2">
      <c r="B831" s="7">
        <v>1</v>
      </c>
    </row>
    <row r="832" spans="2:2">
      <c r="B832" s="7">
        <v>1</v>
      </c>
    </row>
    <row r="833" spans="2:2">
      <c r="B833" s="7">
        <v>1</v>
      </c>
    </row>
    <row r="834" spans="2:2">
      <c r="B834" s="7">
        <v>1</v>
      </c>
    </row>
    <row r="835" spans="2:2">
      <c r="B835" s="7">
        <v>1</v>
      </c>
    </row>
    <row r="836" spans="2:2">
      <c r="B836" s="7">
        <v>1</v>
      </c>
    </row>
    <row r="837" spans="2:2">
      <c r="B837" s="7">
        <v>1</v>
      </c>
    </row>
    <row r="838" spans="2:2">
      <c r="B838" s="7">
        <v>1</v>
      </c>
    </row>
    <row r="839" spans="2:2">
      <c r="B839" s="7">
        <v>1</v>
      </c>
    </row>
    <row r="840" spans="2:2">
      <c r="B840" s="7">
        <v>1</v>
      </c>
    </row>
    <row r="841" spans="2:2">
      <c r="B841" s="7">
        <v>1</v>
      </c>
    </row>
    <row r="842" spans="2:2">
      <c r="B842" s="7">
        <v>1</v>
      </c>
    </row>
    <row r="843" spans="2:2">
      <c r="B843" s="7">
        <v>1</v>
      </c>
    </row>
    <row r="844" spans="2:2">
      <c r="B844" s="7">
        <v>1</v>
      </c>
    </row>
    <row r="845" spans="2:2">
      <c r="B845" s="7">
        <v>1</v>
      </c>
    </row>
    <row r="846" spans="2:2">
      <c r="B846" s="7">
        <v>1</v>
      </c>
    </row>
    <row r="847" spans="2:2">
      <c r="B847" s="7">
        <v>1</v>
      </c>
    </row>
    <row r="848" spans="2:2">
      <c r="B848" s="7">
        <v>1</v>
      </c>
    </row>
    <row r="849" spans="2:2">
      <c r="B849" s="7">
        <v>1</v>
      </c>
    </row>
    <row r="850" spans="2:2">
      <c r="B850" s="7">
        <v>1</v>
      </c>
    </row>
    <row r="851" spans="2:2">
      <c r="B851" s="7">
        <v>1</v>
      </c>
    </row>
    <row r="852" spans="2:2">
      <c r="B852" s="7">
        <v>1</v>
      </c>
    </row>
    <row r="853" spans="2:2">
      <c r="B853" s="7">
        <v>1</v>
      </c>
    </row>
    <row r="854" spans="2:2">
      <c r="B854" s="7">
        <v>1</v>
      </c>
    </row>
    <row r="855" spans="2:2">
      <c r="B855" s="7">
        <v>1</v>
      </c>
    </row>
    <row r="856" spans="2:2">
      <c r="B856" s="7">
        <v>1</v>
      </c>
    </row>
    <row r="857" spans="2:2">
      <c r="B857" s="7">
        <v>1</v>
      </c>
    </row>
    <row r="858" spans="2:2">
      <c r="B858" s="7">
        <v>1</v>
      </c>
    </row>
    <row r="859" spans="2:2">
      <c r="B859" s="7">
        <v>1</v>
      </c>
    </row>
    <row r="860" spans="2:2">
      <c r="B860" s="7">
        <v>1</v>
      </c>
    </row>
    <row r="861" spans="2:2">
      <c r="B861" s="7">
        <v>1</v>
      </c>
    </row>
    <row r="862" spans="2:2">
      <c r="B862" s="7">
        <v>1</v>
      </c>
    </row>
    <row r="863" spans="2:2">
      <c r="B863" s="7">
        <v>1</v>
      </c>
    </row>
    <row r="864" spans="2:2">
      <c r="B864" s="7">
        <v>1</v>
      </c>
    </row>
    <row r="865" spans="2:2">
      <c r="B865" s="7">
        <v>1</v>
      </c>
    </row>
    <row r="866" spans="2:2">
      <c r="B866" s="7">
        <v>1</v>
      </c>
    </row>
    <row r="867" spans="2:2">
      <c r="B867" s="7">
        <v>1</v>
      </c>
    </row>
    <row r="868" spans="2:2">
      <c r="B868" s="7">
        <v>1</v>
      </c>
    </row>
    <row r="869" spans="2:2">
      <c r="B869" s="7">
        <v>1</v>
      </c>
    </row>
    <row r="870" spans="2:2">
      <c r="B870" s="7">
        <v>1</v>
      </c>
    </row>
    <row r="871" spans="2:2">
      <c r="B871" s="7">
        <v>1</v>
      </c>
    </row>
    <row r="872" spans="2:2">
      <c r="B872" s="7">
        <v>1</v>
      </c>
    </row>
    <row r="873" spans="2:2">
      <c r="B873" s="7">
        <v>1</v>
      </c>
    </row>
    <row r="874" spans="2:2">
      <c r="B874" s="7">
        <v>1</v>
      </c>
    </row>
    <row r="875" spans="2:2">
      <c r="B875" s="7">
        <v>1</v>
      </c>
    </row>
    <row r="876" spans="2:2">
      <c r="B876" s="7">
        <v>1</v>
      </c>
    </row>
    <row r="877" spans="2:2">
      <c r="B877" s="7">
        <v>1</v>
      </c>
    </row>
    <row r="878" spans="2:2">
      <c r="B878" s="7">
        <v>1</v>
      </c>
    </row>
    <row r="879" spans="2:2">
      <c r="B879" s="7">
        <v>1</v>
      </c>
    </row>
    <row r="880" spans="2:2">
      <c r="B880" s="7">
        <v>1</v>
      </c>
    </row>
    <row r="881" spans="2:2">
      <c r="B881" s="7">
        <v>1</v>
      </c>
    </row>
    <row r="882" spans="2:2">
      <c r="B882" s="7">
        <v>1</v>
      </c>
    </row>
    <row r="883" spans="2:2">
      <c r="B883" s="7">
        <v>1</v>
      </c>
    </row>
    <row r="884" spans="2:2">
      <c r="B884" s="7">
        <v>1</v>
      </c>
    </row>
    <row r="885" spans="2:2">
      <c r="B885" s="7">
        <v>1</v>
      </c>
    </row>
    <row r="886" spans="2:2">
      <c r="B886" s="7">
        <v>1</v>
      </c>
    </row>
    <row r="887" spans="2:2">
      <c r="B887" s="7">
        <v>1</v>
      </c>
    </row>
    <row r="888" spans="2:2">
      <c r="B888" s="7">
        <v>1</v>
      </c>
    </row>
    <row r="889" spans="2:2">
      <c r="B889" s="7">
        <v>1</v>
      </c>
    </row>
    <row r="890" spans="2:2">
      <c r="B890" s="7">
        <v>1</v>
      </c>
    </row>
    <row r="891" spans="2:2">
      <c r="B891" s="7">
        <v>1</v>
      </c>
    </row>
    <row r="892" spans="2:2">
      <c r="B892" s="7">
        <v>1</v>
      </c>
    </row>
    <row r="893" spans="2:2">
      <c r="B893" s="7">
        <v>1</v>
      </c>
    </row>
    <row r="894" spans="2:2">
      <c r="B894" s="7">
        <v>1</v>
      </c>
    </row>
    <row r="895" spans="2:2">
      <c r="B895" s="7">
        <v>1</v>
      </c>
    </row>
    <row r="896" spans="2:2">
      <c r="B896" s="7">
        <v>1</v>
      </c>
    </row>
    <row r="897" spans="2:2">
      <c r="B897" s="7">
        <v>1</v>
      </c>
    </row>
    <row r="898" spans="2:2">
      <c r="B898" s="7">
        <v>1</v>
      </c>
    </row>
    <row r="899" spans="2:2">
      <c r="B899" s="7">
        <v>1</v>
      </c>
    </row>
    <row r="900" spans="2:2">
      <c r="B900" s="7">
        <v>1</v>
      </c>
    </row>
    <row r="901" spans="2:2">
      <c r="B901" s="7">
        <v>1</v>
      </c>
    </row>
    <row r="902" spans="2:2">
      <c r="B902" s="7">
        <v>1</v>
      </c>
    </row>
    <row r="903" spans="2:2">
      <c r="B903" s="7">
        <v>1</v>
      </c>
    </row>
    <row r="904" spans="2:2">
      <c r="B904" s="7">
        <v>1</v>
      </c>
    </row>
    <row r="905" spans="2:2">
      <c r="B905" s="7">
        <v>1</v>
      </c>
    </row>
    <row r="906" spans="2:2">
      <c r="B906" s="7">
        <v>1</v>
      </c>
    </row>
    <row r="907" spans="2:2">
      <c r="B907" s="7">
        <v>1</v>
      </c>
    </row>
    <row r="908" spans="2:2">
      <c r="B908" s="7">
        <v>1</v>
      </c>
    </row>
    <row r="909" spans="2:2">
      <c r="B909" s="7">
        <v>1</v>
      </c>
    </row>
    <row r="910" spans="2:2">
      <c r="B910" s="7">
        <v>1</v>
      </c>
    </row>
    <row r="911" spans="2:2">
      <c r="B911" s="7">
        <v>1</v>
      </c>
    </row>
    <row r="912" spans="2:2">
      <c r="B912" s="7">
        <v>1</v>
      </c>
    </row>
    <row r="913" spans="2:2">
      <c r="B913" s="7">
        <v>1</v>
      </c>
    </row>
    <row r="914" spans="2:2">
      <c r="B914" s="7">
        <v>1</v>
      </c>
    </row>
    <row r="915" spans="2:2">
      <c r="B915" s="7">
        <v>1</v>
      </c>
    </row>
    <row r="916" spans="2:2">
      <c r="B916" s="7">
        <v>1</v>
      </c>
    </row>
    <row r="917" spans="2:2">
      <c r="B917" s="7">
        <v>1</v>
      </c>
    </row>
    <row r="918" spans="2:2">
      <c r="B918" s="7">
        <v>1</v>
      </c>
    </row>
    <row r="919" spans="2:2">
      <c r="B919" s="7">
        <v>1</v>
      </c>
    </row>
    <row r="920" spans="2:2">
      <c r="B920" s="7">
        <v>1</v>
      </c>
    </row>
    <row r="921" spans="2:2">
      <c r="B921" s="7">
        <v>1</v>
      </c>
    </row>
    <row r="922" spans="2:2">
      <c r="B922" s="7">
        <v>1</v>
      </c>
    </row>
    <row r="923" spans="2:2">
      <c r="B923" s="7">
        <v>1</v>
      </c>
    </row>
    <row r="924" spans="2:2">
      <c r="B924" s="7">
        <v>1</v>
      </c>
    </row>
    <row r="925" spans="2:2">
      <c r="B925" s="7">
        <v>1</v>
      </c>
    </row>
    <row r="926" spans="2:2">
      <c r="B926" s="7">
        <v>1</v>
      </c>
    </row>
    <row r="927" spans="2:2">
      <c r="B927" s="7">
        <v>1</v>
      </c>
    </row>
    <row r="928" spans="2:2">
      <c r="B928" s="7">
        <v>1</v>
      </c>
    </row>
    <row r="929" spans="2:2">
      <c r="B929" s="7">
        <v>1</v>
      </c>
    </row>
    <row r="930" spans="2:2">
      <c r="B930" s="7">
        <v>1</v>
      </c>
    </row>
    <row r="931" spans="2:2">
      <c r="B931" s="7">
        <v>1</v>
      </c>
    </row>
    <row r="932" spans="2:2">
      <c r="B932" s="7">
        <v>1</v>
      </c>
    </row>
    <row r="933" spans="2:2">
      <c r="B933" s="7">
        <v>1</v>
      </c>
    </row>
    <row r="934" spans="2:2">
      <c r="B934" s="7">
        <v>1</v>
      </c>
    </row>
    <row r="935" spans="2:2">
      <c r="B935" s="7">
        <v>1</v>
      </c>
    </row>
    <row r="936" spans="2:2">
      <c r="B936" s="7">
        <v>1</v>
      </c>
    </row>
    <row r="937" spans="2:2">
      <c r="B937" s="7">
        <v>1</v>
      </c>
    </row>
    <row r="938" spans="2:2">
      <c r="B938" s="7">
        <v>1</v>
      </c>
    </row>
    <row r="939" spans="2:2">
      <c r="B939" s="7">
        <v>1</v>
      </c>
    </row>
    <row r="940" spans="2:2">
      <c r="B940" s="7">
        <v>1</v>
      </c>
    </row>
    <row r="941" spans="2:2">
      <c r="B941" s="7">
        <v>1</v>
      </c>
    </row>
    <row r="942" spans="2:2">
      <c r="B942" s="7">
        <v>1</v>
      </c>
    </row>
    <row r="943" spans="2:2">
      <c r="B943" s="7">
        <v>1</v>
      </c>
    </row>
    <row r="944" spans="2:2">
      <c r="B944" s="7">
        <v>1</v>
      </c>
    </row>
    <row r="945" spans="2:2">
      <c r="B945" s="7">
        <v>1</v>
      </c>
    </row>
    <row r="946" spans="2:2">
      <c r="B946" s="7">
        <v>1</v>
      </c>
    </row>
    <row r="947" spans="2:2">
      <c r="B947" s="7">
        <v>1</v>
      </c>
    </row>
    <row r="948" spans="2:2">
      <c r="B948" s="7">
        <v>1</v>
      </c>
    </row>
    <row r="949" spans="2:2">
      <c r="B949" s="7">
        <v>1</v>
      </c>
    </row>
    <row r="950" spans="2:2">
      <c r="B950" s="7">
        <v>1</v>
      </c>
    </row>
    <row r="951" spans="2:2">
      <c r="B951" s="7">
        <v>1</v>
      </c>
    </row>
    <row r="952" spans="2:2">
      <c r="B952" s="7">
        <v>1</v>
      </c>
    </row>
    <row r="953" spans="2:2">
      <c r="B953" s="7">
        <v>1</v>
      </c>
    </row>
    <row r="954" spans="2:2">
      <c r="B954" s="7">
        <v>1</v>
      </c>
    </row>
    <row r="955" spans="2:2">
      <c r="B955" s="7">
        <v>1</v>
      </c>
    </row>
    <row r="956" spans="2:2">
      <c r="B956" s="7">
        <v>1</v>
      </c>
    </row>
    <row r="957" spans="2:2">
      <c r="B957" s="7">
        <v>1</v>
      </c>
    </row>
    <row r="958" spans="2:2">
      <c r="B958" s="7">
        <v>1</v>
      </c>
    </row>
    <row r="959" spans="2:2">
      <c r="B959" s="7">
        <v>1</v>
      </c>
    </row>
    <row r="960" spans="2:2">
      <c r="B960" s="7">
        <v>1</v>
      </c>
    </row>
    <row r="961" spans="2:2">
      <c r="B961" s="7">
        <v>1</v>
      </c>
    </row>
    <row r="962" spans="2:2">
      <c r="B962" s="7">
        <v>1</v>
      </c>
    </row>
    <row r="963" spans="2:2">
      <c r="B963" s="7">
        <v>1</v>
      </c>
    </row>
    <row r="964" spans="2:2">
      <c r="B964" s="7">
        <v>1</v>
      </c>
    </row>
    <row r="965" spans="2:2">
      <c r="B965" s="7">
        <v>1</v>
      </c>
    </row>
    <row r="966" spans="2:2">
      <c r="B966" s="7">
        <v>1</v>
      </c>
    </row>
    <row r="967" spans="2:2">
      <c r="B967" s="7">
        <v>1</v>
      </c>
    </row>
    <row r="968" spans="2:2">
      <c r="B968" s="7">
        <v>1</v>
      </c>
    </row>
    <row r="969" spans="2:2">
      <c r="B969" s="7">
        <v>1</v>
      </c>
    </row>
    <row r="970" spans="2:2">
      <c r="B970" s="7">
        <v>1</v>
      </c>
    </row>
    <row r="971" spans="2:2">
      <c r="B971" s="7">
        <v>1</v>
      </c>
    </row>
    <row r="972" spans="2:2">
      <c r="B972" s="7">
        <v>1</v>
      </c>
    </row>
    <row r="973" spans="2:2">
      <c r="B973" s="7">
        <v>1</v>
      </c>
    </row>
    <row r="974" spans="2:2">
      <c r="B974" s="7">
        <v>1</v>
      </c>
    </row>
    <row r="975" spans="2:2">
      <c r="B975" s="7">
        <v>1</v>
      </c>
    </row>
    <row r="976" spans="2:2">
      <c r="B976" s="7">
        <v>1</v>
      </c>
    </row>
    <row r="977" spans="2:2">
      <c r="B977" s="7">
        <v>1</v>
      </c>
    </row>
    <row r="978" spans="2:2">
      <c r="B978" s="7">
        <v>1</v>
      </c>
    </row>
    <row r="979" spans="2:2">
      <c r="B979" s="7">
        <v>1</v>
      </c>
    </row>
    <row r="980" spans="2:2">
      <c r="B980" s="7">
        <v>1</v>
      </c>
    </row>
    <row r="981" spans="2:2">
      <c r="B981" s="7">
        <v>1</v>
      </c>
    </row>
    <row r="982" spans="2:2">
      <c r="B982" s="7">
        <v>1</v>
      </c>
    </row>
    <row r="983" spans="2:2">
      <c r="B983" s="7">
        <v>1</v>
      </c>
    </row>
    <row r="984" spans="2:2">
      <c r="B984" s="7">
        <v>1</v>
      </c>
    </row>
    <row r="985" spans="2:2">
      <c r="B985" s="7">
        <v>1</v>
      </c>
    </row>
    <row r="986" spans="2:2">
      <c r="B986" s="7">
        <v>1</v>
      </c>
    </row>
    <row r="987" spans="2:2">
      <c r="B987" s="7">
        <v>1</v>
      </c>
    </row>
    <row r="988" spans="2:2">
      <c r="B988" s="7">
        <v>1</v>
      </c>
    </row>
    <row r="989" spans="2:2">
      <c r="B989" s="7">
        <v>1</v>
      </c>
    </row>
    <row r="990" spans="2:2">
      <c r="B990" s="7">
        <v>1</v>
      </c>
    </row>
    <row r="991" spans="2:2">
      <c r="B991" s="7">
        <v>1</v>
      </c>
    </row>
    <row r="992" spans="2:2">
      <c r="B992" s="7">
        <v>1</v>
      </c>
    </row>
    <row r="993" spans="2:2">
      <c r="B993" s="7">
        <v>1</v>
      </c>
    </row>
    <row r="994" spans="2:2">
      <c r="B994" s="7">
        <v>1</v>
      </c>
    </row>
    <row r="995" spans="2:2">
      <c r="B995" s="7">
        <v>1</v>
      </c>
    </row>
    <row r="996" spans="2:2">
      <c r="B996" s="7">
        <v>1</v>
      </c>
    </row>
    <row r="997" spans="2:2">
      <c r="B997" s="7">
        <v>1</v>
      </c>
    </row>
    <row r="998" spans="2:2">
      <c r="B998" s="7">
        <v>1</v>
      </c>
    </row>
    <row r="999" spans="2:2">
      <c r="B999" s="7">
        <v>1</v>
      </c>
    </row>
    <row r="1000" spans="2:2">
      <c r="B1000" s="7">
        <v>1</v>
      </c>
    </row>
    <row r="1001" spans="2:2">
      <c r="B1001" s="7">
        <v>1</v>
      </c>
    </row>
    <row r="1002" spans="2:2">
      <c r="B1002" s="7">
        <v>1</v>
      </c>
    </row>
    <row r="1003" spans="2:2">
      <c r="B1003" s="7">
        <v>1</v>
      </c>
    </row>
    <row r="1004" spans="2:2">
      <c r="B1004" s="7">
        <v>1</v>
      </c>
    </row>
    <row r="1005" spans="2:2">
      <c r="B1005" s="7">
        <v>1</v>
      </c>
    </row>
    <row r="1006" spans="2:2">
      <c r="B1006" s="7">
        <v>1</v>
      </c>
    </row>
    <row r="1007" spans="2:2">
      <c r="B1007" s="7">
        <v>1</v>
      </c>
    </row>
    <row r="1008" spans="2:2">
      <c r="B1008" s="7">
        <v>1</v>
      </c>
    </row>
    <row r="1009" spans="2:2">
      <c r="B1009" s="7">
        <v>1</v>
      </c>
    </row>
    <row r="1010" spans="2:2">
      <c r="B1010" s="7">
        <v>1</v>
      </c>
    </row>
    <row r="1011" spans="2:2">
      <c r="B1011" s="7">
        <v>1</v>
      </c>
    </row>
    <row r="1012" spans="2:2">
      <c r="B1012" s="7">
        <v>1</v>
      </c>
    </row>
    <row r="1013" spans="2:2">
      <c r="B1013" s="7">
        <v>1</v>
      </c>
    </row>
    <row r="1014" spans="2:2">
      <c r="B1014" s="7">
        <v>1</v>
      </c>
    </row>
    <row r="1015" spans="2:2">
      <c r="B1015" s="7">
        <v>1</v>
      </c>
    </row>
    <row r="1016" spans="2:2">
      <c r="B1016" s="7">
        <v>1</v>
      </c>
    </row>
    <row r="1017" spans="2:2">
      <c r="B1017" s="7">
        <v>1</v>
      </c>
    </row>
    <row r="1018" spans="2:2">
      <c r="B1018" s="7">
        <v>1</v>
      </c>
    </row>
    <row r="1019" spans="2:2">
      <c r="B1019" s="7">
        <v>1</v>
      </c>
    </row>
    <row r="1020" spans="2:2">
      <c r="B1020" s="7">
        <v>1</v>
      </c>
    </row>
    <row r="1021" spans="2:2">
      <c r="B1021" s="7">
        <v>1</v>
      </c>
    </row>
    <row r="1022" spans="2:2">
      <c r="B1022" s="7">
        <v>1</v>
      </c>
    </row>
    <row r="1023" spans="2:2">
      <c r="B1023" s="7">
        <v>1</v>
      </c>
    </row>
    <row r="1024" spans="2:2">
      <c r="B1024" s="7">
        <v>1</v>
      </c>
    </row>
    <row r="1025" spans="2:2">
      <c r="B1025" s="7">
        <v>1</v>
      </c>
    </row>
    <row r="1026" spans="2:2">
      <c r="B1026" s="7">
        <v>1</v>
      </c>
    </row>
    <row r="1027" spans="2:2">
      <c r="B1027" s="7">
        <v>1</v>
      </c>
    </row>
    <row r="1028" spans="2:2">
      <c r="B1028" s="7">
        <v>1</v>
      </c>
    </row>
    <row r="1029" spans="2:2">
      <c r="B1029" s="7">
        <v>1</v>
      </c>
    </row>
    <row r="1030" spans="2:2">
      <c r="B1030" s="7">
        <v>1</v>
      </c>
    </row>
    <row r="1031" spans="2:2">
      <c r="B1031" s="7">
        <v>1</v>
      </c>
    </row>
    <row r="1032" spans="2:2">
      <c r="B1032" s="7">
        <v>1</v>
      </c>
    </row>
    <row r="1033" spans="2:2">
      <c r="B1033" s="7">
        <v>1</v>
      </c>
    </row>
    <row r="1034" spans="2:2">
      <c r="B1034" s="7">
        <v>1</v>
      </c>
    </row>
    <row r="1035" spans="2:2">
      <c r="B1035" s="7">
        <v>1</v>
      </c>
    </row>
    <row r="1036" spans="2:2">
      <c r="B1036" s="7">
        <v>1</v>
      </c>
    </row>
    <row r="1037" spans="2:2">
      <c r="B1037" s="7">
        <v>1</v>
      </c>
    </row>
    <row r="1038" spans="2:2">
      <c r="B1038" s="7">
        <v>1</v>
      </c>
    </row>
    <row r="1039" spans="2:2">
      <c r="B1039" s="7">
        <v>1</v>
      </c>
    </row>
    <row r="1040" spans="2:2">
      <c r="B1040" s="7">
        <v>1</v>
      </c>
    </row>
    <row r="1041" spans="2:2">
      <c r="B1041" s="7">
        <v>1</v>
      </c>
    </row>
    <row r="1042" spans="2:2">
      <c r="B1042" s="7">
        <v>1</v>
      </c>
    </row>
    <row r="1043" spans="2:2">
      <c r="B1043" s="7">
        <v>1</v>
      </c>
    </row>
    <row r="1044" spans="2:2">
      <c r="B1044" s="7">
        <v>1</v>
      </c>
    </row>
    <row r="1045" spans="2:2">
      <c r="B1045" s="7">
        <v>1</v>
      </c>
    </row>
    <row r="1046" spans="2:2">
      <c r="B1046" s="7">
        <v>1</v>
      </c>
    </row>
    <row r="1047" spans="2:2">
      <c r="B1047" s="7">
        <v>1</v>
      </c>
    </row>
    <row r="1048" spans="2:2">
      <c r="B1048" s="7">
        <v>1</v>
      </c>
    </row>
    <row r="1049" spans="2:2">
      <c r="B1049" s="7">
        <v>1</v>
      </c>
    </row>
    <row r="1050" spans="2:2">
      <c r="B1050" s="7">
        <v>1</v>
      </c>
    </row>
    <row r="1051" spans="2:2">
      <c r="B1051" s="7">
        <v>1</v>
      </c>
    </row>
    <row r="1052" spans="2:2">
      <c r="B1052" s="7">
        <v>1</v>
      </c>
    </row>
    <row r="1053" spans="2:2">
      <c r="B1053" s="7">
        <v>1</v>
      </c>
    </row>
    <row r="1054" spans="2:2">
      <c r="B1054" s="7">
        <v>1</v>
      </c>
    </row>
    <row r="1055" spans="2:2">
      <c r="B1055" s="7">
        <v>1</v>
      </c>
    </row>
    <row r="1056" spans="2:2">
      <c r="B1056" s="7">
        <v>1</v>
      </c>
    </row>
    <row r="1057" spans="2:2">
      <c r="B1057" s="7">
        <v>1</v>
      </c>
    </row>
    <row r="1058" spans="2:2">
      <c r="B1058" s="7">
        <v>1</v>
      </c>
    </row>
    <row r="1059" spans="2:2">
      <c r="B1059" s="7">
        <v>1</v>
      </c>
    </row>
    <row r="1060" spans="2:2">
      <c r="B1060" s="7">
        <v>1</v>
      </c>
    </row>
    <row r="1061" spans="2:2">
      <c r="B1061" s="7">
        <v>1</v>
      </c>
    </row>
    <row r="1062" spans="2:2">
      <c r="B1062" s="7">
        <v>1</v>
      </c>
    </row>
    <row r="1063" spans="2:2">
      <c r="B1063" s="7">
        <v>1</v>
      </c>
    </row>
    <row r="1064" spans="2:2">
      <c r="B1064" s="7">
        <v>1</v>
      </c>
    </row>
    <row r="1065" spans="2:2">
      <c r="B1065" s="7">
        <v>1</v>
      </c>
    </row>
    <row r="1066" spans="2:2">
      <c r="B1066" s="7">
        <v>1</v>
      </c>
    </row>
    <row r="1067" spans="2:2">
      <c r="B1067" s="7">
        <v>1</v>
      </c>
    </row>
    <row r="1068" spans="2:2">
      <c r="B1068" s="7">
        <v>1</v>
      </c>
    </row>
    <row r="1069" spans="2:2">
      <c r="B1069" s="7">
        <v>1</v>
      </c>
    </row>
    <row r="1070" spans="2:2">
      <c r="B1070" s="7">
        <v>1</v>
      </c>
    </row>
    <row r="1071" spans="2:2">
      <c r="B1071" s="7">
        <v>1</v>
      </c>
    </row>
    <row r="1072" spans="2:2">
      <c r="B1072" s="7">
        <v>1</v>
      </c>
    </row>
    <row r="1073" spans="2:2">
      <c r="B1073" s="7">
        <v>1</v>
      </c>
    </row>
    <row r="1074" spans="2:2">
      <c r="B1074" s="7">
        <v>1</v>
      </c>
    </row>
    <row r="1075" spans="2:2">
      <c r="B1075" s="7">
        <v>1</v>
      </c>
    </row>
    <row r="1076" spans="2:2">
      <c r="B1076" s="7">
        <v>1</v>
      </c>
    </row>
    <row r="1077" spans="2:2">
      <c r="B1077" s="7">
        <v>1</v>
      </c>
    </row>
    <row r="1078" spans="2:2">
      <c r="B1078" s="7">
        <v>1</v>
      </c>
    </row>
    <row r="1079" spans="2:2">
      <c r="B1079" s="7">
        <v>1</v>
      </c>
    </row>
    <row r="1080" spans="2:2">
      <c r="B1080" s="7">
        <v>1</v>
      </c>
    </row>
    <row r="1081" spans="2:2">
      <c r="B1081" s="7">
        <v>1</v>
      </c>
    </row>
    <row r="1082" spans="2:2">
      <c r="B1082" s="7">
        <v>1</v>
      </c>
    </row>
    <row r="1083" spans="2:2">
      <c r="B1083" s="7">
        <v>1</v>
      </c>
    </row>
    <row r="1084" spans="2:2">
      <c r="B1084" s="7">
        <v>1</v>
      </c>
    </row>
    <row r="1085" spans="2:2">
      <c r="B1085" s="7">
        <v>1</v>
      </c>
    </row>
    <row r="1086" spans="2:2">
      <c r="B1086" s="7">
        <v>1</v>
      </c>
    </row>
    <row r="1087" spans="2:2">
      <c r="B1087" s="7">
        <v>1</v>
      </c>
    </row>
    <row r="1088" spans="2:2">
      <c r="B1088" s="7">
        <v>1</v>
      </c>
    </row>
    <row r="1089" spans="2:2">
      <c r="B1089" s="7">
        <v>1</v>
      </c>
    </row>
    <row r="1090" spans="2:2">
      <c r="B1090" s="7">
        <v>1</v>
      </c>
    </row>
    <row r="1091" spans="2:2">
      <c r="B1091" s="7">
        <v>1</v>
      </c>
    </row>
    <row r="1092" spans="2:2">
      <c r="B1092" s="7">
        <v>1</v>
      </c>
    </row>
    <row r="1093" spans="2:2">
      <c r="B1093" s="7">
        <v>1</v>
      </c>
    </row>
    <row r="1094" spans="2:2">
      <c r="B1094" s="7">
        <v>1</v>
      </c>
    </row>
    <row r="1095" spans="2:2">
      <c r="B1095" s="7">
        <v>1</v>
      </c>
    </row>
    <row r="1096" spans="2:2">
      <c r="B1096" s="7">
        <v>1</v>
      </c>
    </row>
    <row r="1097" spans="2:2">
      <c r="B1097" s="7">
        <v>1</v>
      </c>
    </row>
    <row r="1098" spans="2:2">
      <c r="B1098" s="7">
        <v>1</v>
      </c>
    </row>
    <row r="1099" spans="2:2">
      <c r="B1099" s="7">
        <v>1</v>
      </c>
    </row>
    <row r="1100" spans="2:2">
      <c r="B1100" s="7">
        <v>1</v>
      </c>
    </row>
    <row r="1101" spans="2:2">
      <c r="B1101" s="7">
        <v>1</v>
      </c>
    </row>
    <row r="1102" spans="2:2">
      <c r="B1102" s="7">
        <v>1</v>
      </c>
    </row>
    <row r="1103" spans="2:2">
      <c r="B1103" s="7">
        <v>1</v>
      </c>
    </row>
    <row r="1104" spans="2:2">
      <c r="B1104" s="7">
        <v>1</v>
      </c>
    </row>
    <row r="1105" spans="2:2">
      <c r="B1105" s="7">
        <v>1</v>
      </c>
    </row>
    <row r="1106" spans="2:2">
      <c r="B1106" s="7">
        <v>1</v>
      </c>
    </row>
    <row r="1107" spans="2:2">
      <c r="B1107" s="7">
        <v>1</v>
      </c>
    </row>
    <row r="1108" spans="2:2">
      <c r="B1108" s="7">
        <v>1</v>
      </c>
    </row>
    <row r="1109" spans="2:2">
      <c r="B1109" s="7">
        <v>1</v>
      </c>
    </row>
    <row r="1110" spans="2:2">
      <c r="B1110" s="7">
        <v>1</v>
      </c>
    </row>
    <row r="1111" spans="2:2">
      <c r="B1111" s="7">
        <v>1</v>
      </c>
    </row>
    <row r="1112" spans="2:2">
      <c r="B1112" s="7">
        <v>1</v>
      </c>
    </row>
    <row r="1113" spans="2:2">
      <c r="B1113" s="7">
        <v>1</v>
      </c>
    </row>
    <row r="1114" spans="2:2">
      <c r="B1114" s="7">
        <v>1</v>
      </c>
    </row>
    <row r="1115" spans="2:2">
      <c r="B1115" s="7">
        <v>1</v>
      </c>
    </row>
    <row r="1116" spans="2:2">
      <c r="B1116" s="7">
        <v>1</v>
      </c>
    </row>
    <row r="1117" spans="2:2">
      <c r="B1117" s="7">
        <v>1</v>
      </c>
    </row>
    <row r="1118" spans="2:2">
      <c r="B1118" s="7">
        <v>1</v>
      </c>
    </row>
    <row r="1119" spans="2:2">
      <c r="B1119" s="7">
        <v>1</v>
      </c>
    </row>
    <row r="1120" spans="2:2">
      <c r="B1120" s="7">
        <v>1</v>
      </c>
    </row>
    <row r="1121" spans="2:2">
      <c r="B1121" s="7">
        <v>1</v>
      </c>
    </row>
    <row r="1122" spans="2:2">
      <c r="B1122" s="7">
        <v>1</v>
      </c>
    </row>
    <row r="1123" spans="2:2">
      <c r="B1123" s="7">
        <v>1</v>
      </c>
    </row>
    <row r="1124" spans="2:2">
      <c r="B1124" s="7">
        <v>1</v>
      </c>
    </row>
    <row r="1125" spans="2:2">
      <c r="B1125" s="7">
        <v>1</v>
      </c>
    </row>
    <row r="1126" spans="2:2">
      <c r="B1126" s="7">
        <v>1</v>
      </c>
    </row>
    <row r="1127" spans="2:2">
      <c r="B1127" s="7">
        <v>1</v>
      </c>
    </row>
    <row r="1128" spans="2:2">
      <c r="B1128" s="7">
        <v>1</v>
      </c>
    </row>
    <row r="1129" spans="2:2">
      <c r="B1129" s="7">
        <v>1</v>
      </c>
    </row>
    <row r="1130" spans="2:2">
      <c r="B1130" s="7">
        <v>1</v>
      </c>
    </row>
    <row r="1131" spans="2:2">
      <c r="B1131" s="7">
        <v>1</v>
      </c>
    </row>
    <row r="1132" spans="2:2">
      <c r="B1132" s="7">
        <v>1</v>
      </c>
    </row>
    <row r="1133" spans="2:2">
      <c r="B1133" s="7">
        <v>1</v>
      </c>
    </row>
    <row r="1134" spans="2:2">
      <c r="B1134" s="7">
        <v>1</v>
      </c>
    </row>
    <row r="1135" spans="2:2">
      <c r="B1135" s="7">
        <v>1</v>
      </c>
    </row>
    <row r="1136" spans="2:2">
      <c r="B1136" s="7">
        <v>1</v>
      </c>
    </row>
    <row r="1137" spans="2:2">
      <c r="B1137" s="7">
        <v>1</v>
      </c>
    </row>
    <row r="1138" spans="2:2">
      <c r="B1138" s="7">
        <v>1</v>
      </c>
    </row>
    <row r="1139" spans="2:2">
      <c r="B1139" s="7">
        <v>1</v>
      </c>
    </row>
    <row r="1140" spans="2:2">
      <c r="B1140" s="7">
        <v>1</v>
      </c>
    </row>
    <row r="1141" spans="2:2">
      <c r="B1141" s="7">
        <v>1</v>
      </c>
    </row>
    <row r="1142" spans="2:2">
      <c r="B1142" s="7">
        <v>1</v>
      </c>
    </row>
    <row r="1143" spans="2:2">
      <c r="B1143" s="7">
        <v>1</v>
      </c>
    </row>
    <row r="1144" spans="2:2">
      <c r="B1144" s="7">
        <v>1</v>
      </c>
    </row>
    <row r="1145" spans="2:2">
      <c r="B1145" s="7">
        <v>1</v>
      </c>
    </row>
    <row r="1146" spans="2:2">
      <c r="B1146" s="7">
        <v>1</v>
      </c>
    </row>
    <row r="1147" spans="2:2">
      <c r="B1147" s="7">
        <v>1</v>
      </c>
    </row>
    <row r="1148" spans="2:2">
      <c r="B1148" s="7">
        <v>1</v>
      </c>
    </row>
    <row r="1149" spans="2:2">
      <c r="B1149" s="7">
        <v>1</v>
      </c>
    </row>
    <row r="1150" spans="2:2">
      <c r="B1150" s="7">
        <v>1</v>
      </c>
    </row>
    <row r="1151" spans="2:2">
      <c r="B1151" s="7">
        <v>1</v>
      </c>
    </row>
    <row r="1152" spans="2:2">
      <c r="B1152" s="7">
        <v>1</v>
      </c>
    </row>
    <row r="1153" spans="2:2">
      <c r="B1153" s="7">
        <v>1</v>
      </c>
    </row>
    <row r="1154" spans="2:2">
      <c r="B1154" s="7">
        <v>1</v>
      </c>
    </row>
    <row r="1155" spans="2:2">
      <c r="B1155" s="7">
        <v>1</v>
      </c>
    </row>
    <row r="1156" spans="2:2">
      <c r="B1156" s="7">
        <v>1</v>
      </c>
    </row>
    <row r="1157" spans="2:2">
      <c r="B1157" s="7">
        <v>1</v>
      </c>
    </row>
    <row r="1158" spans="2:2">
      <c r="B1158" s="7">
        <v>1</v>
      </c>
    </row>
    <row r="1159" spans="2:2">
      <c r="B1159" s="7">
        <v>1</v>
      </c>
    </row>
    <row r="1160" spans="2:2">
      <c r="B1160" s="7">
        <v>1</v>
      </c>
    </row>
    <row r="1161" spans="2:2">
      <c r="B1161" s="7">
        <v>1</v>
      </c>
    </row>
    <row r="1162" spans="2:2">
      <c r="B1162" s="7">
        <v>1</v>
      </c>
    </row>
    <row r="1163" spans="2:2">
      <c r="B1163" s="7">
        <v>1</v>
      </c>
    </row>
    <row r="1164" spans="2:2">
      <c r="B1164" s="7">
        <v>1</v>
      </c>
    </row>
    <row r="1165" spans="2:2">
      <c r="B1165" s="7">
        <v>1</v>
      </c>
    </row>
    <row r="1166" spans="2:2">
      <c r="B1166" s="7">
        <v>1</v>
      </c>
    </row>
    <row r="1167" spans="2:2">
      <c r="B1167" s="7">
        <v>1</v>
      </c>
    </row>
    <row r="1168" spans="2:2">
      <c r="B1168" s="7">
        <v>1</v>
      </c>
    </row>
    <row r="1169" spans="2:2">
      <c r="B1169" s="7">
        <v>1</v>
      </c>
    </row>
    <row r="1170" spans="2:2">
      <c r="B1170" s="7">
        <v>1</v>
      </c>
    </row>
    <row r="1171" spans="2:2">
      <c r="B1171" s="7">
        <v>1</v>
      </c>
    </row>
    <row r="1172" spans="2:2">
      <c r="B1172" s="7">
        <v>1</v>
      </c>
    </row>
    <row r="1173" spans="2:2">
      <c r="B1173" s="7">
        <v>1</v>
      </c>
    </row>
    <row r="1174" spans="2:2">
      <c r="B1174" s="7">
        <v>1</v>
      </c>
    </row>
    <row r="1175" spans="2:2">
      <c r="B1175" s="7">
        <v>1</v>
      </c>
    </row>
    <row r="1176" spans="2:2">
      <c r="B1176" s="7">
        <v>1</v>
      </c>
    </row>
    <row r="1177" spans="2:2">
      <c r="B1177" s="7">
        <v>1</v>
      </c>
    </row>
    <row r="1178" spans="2:2">
      <c r="B1178" s="7">
        <v>1</v>
      </c>
    </row>
    <row r="1179" spans="2:2">
      <c r="B1179" s="7">
        <v>1</v>
      </c>
    </row>
    <row r="1180" spans="2:2">
      <c r="B1180" s="7">
        <v>1</v>
      </c>
    </row>
    <row r="1181" spans="2:2">
      <c r="B1181" s="7">
        <v>1</v>
      </c>
    </row>
    <row r="1182" spans="2:2">
      <c r="B1182" s="7">
        <v>1</v>
      </c>
    </row>
    <row r="1183" spans="2:2">
      <c r="B1183" s="7">
        <v>1</v>
      </c>
    </row>
    <row r="1184" spans="2:2">
      <c r="B1184" s="7">
        <v>1</v>
      </c>
    </row>
    <row r="1185" spans="2:2">
      <c r="B1185" s="7">
        <v>1</v>
      </c>
    </row>
    <row r="1186" spans="2:2">
      <c r="B1186" s="7">
        <v>1</v>
      </c>
    </row>
    <row r="1187" spans="2:2">
      <c r="B1187" s="7">
        <v>1</v>
      </c>
    </row>
    <row r="1188" spans="2:2">
      <c r="B1188" s="7">
        <v>1</v>
      </c>
    </row>
    <row r="1189" spans="2:2">
      <c r="B1189" s="7">
        <v>1</v>
      </c>
    </row>
    <row r="1190" spans="2:2">
      <c r="B1190" s="7">
        <v>1</v>
      </c>
    </row>
    <row r="1191" spans="2:2">
      <c r="B1191" s="7">
        <v>1</v>
      </c>
    </row>
    <row r="1192" spans="2:2">
      <c r="B1192" s="7">
        <v>1</v>
      </c>
    </row>
    <row r="1193" spans="2:2">
      <c r="B1193" s="7">
        <v>1</v>
      </c>
    </row>
    <row r="1194" spans="2:2">
      <c r="B1194" s="7">
        <v>1</v>
      </c>
    </row>
    <row r="1195" spans="2:2">
      <c r="B1195" s="7">
        <v>1</v>
      </c>
    </row>
    <row r="1196" spans="2:2">
      <c r="B1196" s="7">
        <v>1</v>
      </c>
    </row>
    <row r="1197" spans="2:2">
      <c r="B1197" s="7">
        <v>1</v>
      </c>
    </row>
    <row r="1198" spans="2:2">
      <c r="B1198" s="7">
        <v>1</v>
      </c>
    </row>
    <row r="1199" spans="2:2">
      <c r="B1199" s="7">
        <v>1</v>
      </c>
    </row>
    <row r="1200" spans="2:2">
      <c r="B1200" s="7">
        <v>1</v>
      </c>
    </row>
    <row r="1201" spans="2:2">
      <c r="B1201" s="7">
        <v>1</v>
      </c>
    </row>
    <row r="1202" spans="2:2">
      <c r="B1202" s="7">
        <v>1</v>
      </c>
    </row>
    <row r="1203" spans="2:2">
      <c r="B1203" s="7">
        <v>1</v>
      </c>
    </row>
    <row r="1204" spans="2:2">
      <c r="B1204" s="7">
        <v>1</v>
      </c>
    </row>
    <row r="1205" spans="2:2">
      <c r="B1205" s="7">
        <v>1</v>
      </c>
    </row>
    <row r="1206" spans="2:2">
      <c r="B1206" s="7">
        <v>1</v>
      </c>
    </row>
    <row r="1207" spans="2:2">
      <c r="B1207" s="7">
        <v>1</v>
      </c>
    </row>
    <row r="1208" spans="2:2">
      <c r="B1208" s="7">
        <v>1</v>
      </c>
    </row>
    <row r="1209" spans="2:2">
      <c r="B1209" s="7">
        <v>1</v>
      </c>
    </row>
    <row r="1210" spans="2:2">
      <c r="B1210" s="7">
        <v>1</v>
      </c>
    </row>
    <row r="1211" spans="2:2">
      <c r="B1211" s="7">
        <v>1</v>
      </c>
    </row>
    <row r="1212" spans="2:2">
      <c r="B1212" s="7">
        <v>1</v>
      </c>
    </row>
    <row r="1213" spans="2:2">
      <c r="B1213" s="7">
        <v>1</v>
      </c>
    </row>
    <row r="1214" spans="2:2">
      <c r="B1214" s="7">
        <v>1</v>
      </c>
    </row>
    <row r="1215" spans="2:2">
      <c r="B1215" s="7">
        <v>1</v>
      </c>
    </row>
    <row r="1216" spans="2:2">
      <c r="B1216" s="7">
        <v>1</v>
      </c>
    </row>
    <row r="1217" spans="2:2">
      <c r="B1217" s="7">
        <v>1</v>
      </c>
    </row>
    <row r="1218" spans="2:2">
      <c r="B1218" s="7">
        <v>1</v>
      </c>
    </row>
    <row r="1219" spans="2:2">
      <c r="B1219" s="7">
        <v>1</v>
      </c>
    </row>
    <row r="1220" spans="2:2">
      <c r="B1220" s="7">
        <v>1</v>
      </c>
    </row>
    <row r="1221" spans="2:2">
      <c r="B1221" s="7">
        <v>1</v>
      </c>
    </row>
    <row r="1222" spans="2:2">
      <c r="B1222" s="7">
        <v>1</v>
      </c>
    </row>
    <row r="1223" spans="2:2">
      <c r="B1223" s="7">
        <v>1</v>
      </c>
    </row>
    <row r="1224" spans="2:2">
      <c r="B1224" s="7">
        <v>1</v>
      </c>
    </row>
    <row r="1225" spans="2:2">
      <c r="B1225" s="7">
        <v>1</v>
      </c>
    </row>
    <row r="1226" spans="2:2">
      <c r="B1226" s="7">
        <v>1</v>
      </c>
    </row>
    <row r="1227" spans="2:2">
      <c r="B1227" s="7">
        <v>1</v>
      </c>
    </row>
    <row r="1228" spans="2:2">
      <c r="B1228" s="7">
        <v>1</v>
      </c>
    </row>
    <row r="1229" spans="2:2">
      <c r="B1229" s="7">
        <v>1</v>
      </c>
    </row>
    <row r="1230" spans="2:2">
      <c r="B1230" s="7">
        <v>1</v>
      </c>
    </row>
    <row r="1231" spans="2:2">
      <c r="B1231" s="7">
        <v>1</v>
      </c>
    </row>
    <row r="1232" spans="2:2">
      <c r="B1232" s="7">
        <v>1</v>
      </c>
    </row>
    <row r="1233" spans="2:2">
      <c r="B1233" s="7">
        <v>1</v>
      </c>
    </row>
    <row r="1234" spans="2:2">
      <c r="B1234" s="7">
        <v>1</v>
      </c>
    </row>
    <row r="1235" spans="2:2">
      <c r="B1235" s="7">
        <v>1</v>
      </c>
    </row>
    <row r="1236" spans="2:2">
      <c r="B1236" s="7">
        <v>1</v>
      </c>
    </row>
    <row r="1237" spans="2:2">
      <c r="B1237" s="7">
        <v>1</v>
      </c>
    </row>
    <row r="1238" spans="2:2">
      <c r="B1238" s="7">
        <v>1</v>
      </c>
    </row>
    <row r="1239" spans="2:2">
      <c r="B1239" s="7">
        <v>1</v>
      </c>
    </row>
    <row r="1240" spans="2:2">
      <c r="B1240" s="7">
        <v>1</v>
      </c>
    </row>
    <row r="1241" spans="2:2">
      <c r="B1241" s="7">
        <v>1</v>
      </c>
    </row>
    <row r="1242" spans="2:2">
      <c r="B1242" s="7">
        <v>1</v>
      </c>
    </row>
    <row r="1243" spans="2:2">
      <c r="B1243" s="7">
        <v>1</v>
      </c>
    </row>
    <row r="1244" spans="2:2">
      <c r="B1244" s="7">
        <v>1</v>
      </c>
    </row>
    <row r="1245" spans="2:2">
      <c r="B1245" s="7">
        <v>1</v>
      </c>
    </row>
    <row r="1246" spans="2:2">
      <c r="B1246" s="7">
        <v>1</v>
      </c>
    </row>
    <row r="1247" spans="2:2">
      <c r="B1247" s="7">
        <v>1</v>
      </c>
    </row>
    <row r="1248" spans="2:2">
      <c r="B1248" s="7">
        <v>1</v>
      </c>
    </row>
    <row r="1249" spans="2:2">
      <c r="B1249" s="7">
        <v>1</v>
      </c>
    </row>
    <row r="1250" spans="2:2">
      <c r="B1250" s="7">
        <v>1</v>
      </c>
    </row>
    <row r="1251" spans="2:2">
      <c r="B1251" s="7">
        <v>1</v>
      </c>
    </row>
    <row r="1252" spans="2:2">
      <c r="B1252" s="7">
        <v>1</v>
      </c>
    </row>
    <row r="1253" spans="2:2">
      <c r="B1253" s="7">
        <v>1</v>
      </c>
    </row>
    <row r="1254" spans="2:2">
      <c r="B1254" s="7">
        <v>1</v>
      </c>
    </row>
    <row r="1255" spans="2:2">
      <c r="B1255" s="7">
        <v>1</v>
      </c>
    </row>
    <row r="1256" spans="2:2">
      <c r="B1256" s="7">
        <v>1</v>
      </c>
    </row>
    <row r="1257" spans="2:2">
      <c r="B1257" s="7">
        <v>1</v>
      </c>
    </row>
    <row r="1258" spans="2:2">
      <c r="B1258" s="7">
        <v>1</v>
      </c>
    </row>
    <row r="1259" spans="2:2">
      <c r="B1259" s="7">
        <v>1</v>
      </c>
    </row>
    <row r="1260" spans="2:2">
      <c r="B1260" s="7">
        <v>1</v>
      </c>
    </row>
    <row r="1261" spans="2:2">
      <c r="B1261" s="7">
        <v>1</v>
      </c>
    </row>
    <row r="1262" spans="2:2">
      <c r="B1262" s="7">
        <v>1</v>
      </c>
    </row>
    <row r="1263" spans="2:2">
      <c r="B1263" s="7">
        <v>1</v>
      </c>
    </row>
    <row r="1264" spans="2:2">
      <c r="B1264" s="7">
        <v>1</v>
      </c>
    </row>
    <row r="1265" spans="2:2">
      <c r="B1265" s="7">
        <v>1</v>
      </c>
    </row>
    <row r="1266" spans="2:2">
      <c r="B1266" s="7">
        <v>1</v>
      </c>
    </row>
    <row r="1267" spans="2:2">
      <c r="B1267" s="7">
        <v>1</v>
      </c>
    </row>
    <row r="1268" spans="2:2">
      <c r="B1268" s="7">
        <v>1</v>
      </c>
    </row>
    <row r="1269" spans="2:2">
      <c r="B1269" s="7">
        <v>1</v>
      </c>
    </row>
    <row r="1270" spans="2:2">
      <c r="B1270" s="7">
        <v>1</v>
      </c>
    </row>
    <row r="1271" spans="2:2">
      <c r="B1271" s="7">
        <v>1</v>
      </c>
    </row>
    <row r="1272" spans="2:2">
      <c r="B1272" s="7">
        <v>1</v>
      </c>
    </row>
    <row r="1273" spans="2:2">
      <c r="B1273" s="7">
        <v>1</v>
      </c>
    </row>
    <row r="1274" spans="2:2">
      <c r="B1274" s="7">
        <v>1</v>
      </c>
    </row>
    <row r="1275" spans="2:2">
      <c r="B1275" s="7">
        <v>1</v>
      </c>
    </row>
    <row r="1276" spans="2:2">
      <c r="B1276" s="7">
        <v>1</v>
      </c>
    </row>
    <row r="1277" spans="2:2">
      <c r="B1277" s="7">
        <v>1</v>
      </c>
    </row>
    <row r="1278" spans="2:2">
      <c r="B1278" s="7">
        <v>1</v>
      </c>
    </row>
    <row r="1279" spans="2:2">
      <c r="B1279" s="7">
        <v>1</v>
      </c>
    </row>
    <row r="1280" spans="2:2">
      <c r="B1280" s="7">
        <v>1</v>
      </c>
    </row>
    <row r="1281" spans="2:2">
      <c r="B1281" s="7">
        <v>1</v>
      </c>
    </row>
    <row r="1282" spans="2:2">
      <c r="B1282" s="7">
        <v>1</v>
      </c>
    </row>
    <row r="1283" spans="2:2">
      <c r="B1283" s="7">
        <v>1</v>
      </c>
    </row>
    <row r="1284" spans="2:2">
      <c r="B1284" s="7">
        <v>1</v>
      </c>
    </row>
    <row r="1285" spans="2:2">
      <c r="B1285" s="7">
        <v>1</v>
      </c>
    </row>
    <row r="1286" spans="2:2">
      <c r="B1286" s="7">
        <v>1</v>
      </c>
    </row>
    <row r="1287" spans="2:2">
      <c r="B1287" s="7">
        <v>1</v>
      </c>
    </row>
    <row r="1288" spans="2:2">
      <c r="B1288" s="7">
        <v>1</v>
      </c>
    </row>
    <row r="1289" spans="2:2">
      <c r="B1289" s="7">
        <v>1</v>
      </c>
    </row>
    <row r="1290" spans="2:2">
      <c r="B1290" s="7">
        <v>1</v>
      </c>
    </row>
    <row r="1291" spans="2:2">
      <c r="B1291" s="7">
        <v>1</v>
      </c>
    </row>
    <row r="1292" spans="2:2">
      <c r="B1292" s="7">
        <v>1</v>
      </c>
    </row>
    <row r="1293" spans="2:2">
      <c r="B1293" s="7">
        <v>1</v>
      </c>
    </row>
    <row r="1294" spans="2:2">
      <c r="B1294" s="7">
        <v>1</v>
      </c>
    </row>
    <row r="1295" spans="2:2">
      <c r="B1295" s="7">
        <v>1</v>
      </c>
    </row>
    <row r="1296" spans="2:2">
      <c r="B1296" s="7">
        <v>1</v>
      </c>
    </row>
    <row r="1297" spans="2:2">
      <c r="B1297" s="7">
        <v>1</v>
      </c>
    </row>
    <row r="1298" spans="2:2">
      <c r="B1298" s="7">
        <v>1</v>
      </c>
    </row>
    <row r="1299" spans="2:2">
      <c r="B1299" s="7">
        <v>1</v>
      </c>
    </row>
    <row r="1300" spans="2:2">
      <c r="B1300" s="7">
        <v>1</v>
      </c>
    </row>
    <row r="1301" spans="2:2">
      <c r="B1301" s="7">
        <v>1</v>
      </c>
    </row>
    <row r="1302" spans="2:2">
      <c r="B1302" s="7">
        <v>1</v>
      </c>
    </row>
    <row r="1303" spans="2:2">
      <c r="B1303" s="7">
        <v>1</v>
      </c>
    </row>
    <row r="1304" spans="2:2">
      <c r="B1304" s="7">
        <v>1</v>
      </c>
    </row>
    <row r="1305" spans="2:2">
      <c r="B1305" s="7">
        <v>1</v>
      </c>
    </row>
    <row r="1306" spans="2:2">
      <c r="B1306" s="7">
        <v>1</v>
      </c>
    </row>
    <row r="1307" spans="2:2">
      <c r="B1307" s="7">
        <v>1</v>
      </c>
    </row>
    <row r="1308" spans="2:2">
      <c r="B1308" s="7">
        <v>1</v>
      </c>
    </row>
    <row r="1309" spans="2:2">
      <c r="B1309" s="7">
        <v>1</v>
      </c>
    </row>
    <row r="1310" spans="2:2">
      <c r="B1310" s="7">
        <v>1</v>
      </c>
    </row>
    <row r="1311" spans="2:2">
      <c r="B1311" s="7">
        <v>1</v>
      </c>
    </row>
    <row r="1312" spans="2:2">
      <c r="B1312" s="7">
        <v>1</v>
      </c>
    </row>
    <row r="1313" spans="2:2">
      <c r="B1313" s="7">
        <v>1</v>
      </c>
    </row>
    <row r="1314" spans="2:2">
      <c r="B1314" s="7">
        <v>1</v>
      </c>
    </row>
    <row r="1315" spans="2:2">
      <c r="B1315" s="7">
        <v>1</v>
      </c>
    </row>
    <row r="1316" spans="2:2">
      <c r="B1316" s="7">
        <v>1</v>
      </c>
    </row>
    <row r="1317" spans="2:2">
      <c r="B1317" s="7">
        <v>1</v>
      </c>
    </row>
    <row r="1318" spans="2:2">
      <c r="B1318" s="7">
        <v>1</v>
      </c>
    </row>
    <row r="1319" spans="2:2">
      <c r="B1319" s="7">
        <v>1</v>
      </c>
    </row>
    <row r="1320" spans="2:2">
      <c r="B1320" s="7">
        <v>1</v>
      </c>
    </row>
    <row r="1321" spans="2:2">
      <c r="B1321" s="7">
        <v>1</v>
      </c>
    </row>
    <row r="1322" spans="2:2">
      <c r="B1322" s="7">
        <v>1</v>
      </c>
    </row>
    <row r="1323" spans="2:2">
      <c r="B1323" s="7">
        <v>1</v>
      </c>
    </row>
    <row r="1324" spans="2:2">
      <c r="B1324" s="7">
        <v>1</v>
      </c>
    </row>
    <row r="1325" spans="2:2">
      <c r="B1325" s="7">
        <v>1</v>
      </c>
    </row>
    <row r="1326" spans="2:2">
      <c r="B1326" s="7">
        <v>1</v>
      </c>
    </row>
    <row r="1327" spans="2:2">
      <c r="B1327" s="7">
        <v>1</v>
      </c>
    </row>
    <row r="1328" spans="2:2">
      <c r="B1328" s="7">
        <v>1</v>
      </c>
    </row>
    <row r="1329" spans="2:2">
      <c r="B1329" s="7">
        <v>1</v>
      </c>
    </row>
    <row r="1330" spans="2:2">
      <c r="B1330" s="7">
        <v>1</v>
      </c>
    </row>
    <row r="1331" spans="2:2">
      <c r="B1331" s="7">
        <v>1</v>
      </c>
    </row>
    <row r="1332" spans="2:2">
      <c r="B1332" s="7">
        <v>1</v>
      </c>
    </row>
    <row r="1333" spans="2:2">
      <c r="B1333" s="7">
        <v>1</v>
      </c>
    </row>
    <row r="1334" spans="2:2">
      <c r="B1334" s="7">
        <v>1</v>
      </c>
    </row>
    <row r="1335" spans="2:2">
      <c r="B1335" s="7">
        <v>1</v>
      </c>
    </row>
    <row r="1336" spans="2:2">
      <c r="B1336" s="7">
        <v>1</v>
      </c>
    </row>
    <row r="1337" spans="2:2">
      <c r="B1337" s="7">
        <v>1</v>
      </c>
    </row>
    <row r="1338" spans="2:2">
      <c r="B1338" s="7">
        <v>1</v>
      </c>
    </row>
    <row r="1339" spans="2:2">
      <c r="B1339" s="7">
        <v>1</v>
      </c>
    </row>
    <row r="1340" spans="2:2">
      <c r="B1340" s="7">
        <v>1</v>
      </c>
    </row>
    <row r="1341" spans="2:2">
      <c r="B1341" s="7">
        <v>1</v>
      </c>
    </row>
    <row r="1342" spans="2:2">
      <c r="B1342" s="7">
        <v>1</v>
      </c>
    </row>
    <row r="1343" spans="2:2">
      <c r="B1343" s="7">
        <v>1</v>
      </c>
    </row>
    <row r="1344" spans="2:2">
      <c r="B1344" s="7">
        <v>1</v>
      </c>
    </row>
    <row r="1345" spans="2:2">
      <c r="B1345" s="7">
        <v>1</v>
      </c>
    </row>
    <row r="1346" spans="2:2">
      <c r="B1346" s="7">
        <v>1</v>
      </c>
    </row>
    <row r="1347" spans="2:2">
      <c r="B1347" s="7">
        <v>1</v>
      </c>
    </row>
    <row r="1348" spans="2:2">
      <c r="B1348" s="7">
        <v>1</v>
      </c>
    </row>
    <row r="1349" spans="2:2">
      <c r="B1349" s="7">
        <v>1</v>
      </c>
    </row>
    <row r="1350" spans="2:2">
      <c r="B1350" s="7">
        <v>1</v>
      </c>
    </row>
    <row r="1351" spans="2:2">
      <c r="B1351" s="7">
        <v>1</v>
      </c>
    </row>
    <row r="1352" spans="2:2">
      <c r="B1352" s="7">
        <v>1</v>
      </c>
    </row>
    <row r="1353" spans="2:2">
      <c r="B1353" s="7">
        <v>1</v>
      </c>
    </row>
    <row r="1354" spans="2:2">
      <c r="B1354" s="7">
        <v>1</v>
      </c>
    </row>
    <row r="1355" spans="2:2">
      <c r="B1355" s="7">
        <v>1</v>
      </c>
    </row>
    <row r="1356" spans="2:2">
      <c r="B1356" s="7">
        <v>1</v>
      </c>
    </row>
    <row r="1357" spans="2:2">
      <c r="B1357" s="7">
        <v>1</v>
      </c>
    </row>
    <row r="1358" spans="2:2">
      <c r="B1358" s="7">
        <v>1</v>
      </c>
    </row>
    <row r="1359" spans="2:2">
      <c r="B1359" s="7">
        <v>1</v>
      </c>
    </row>
    <row r="1360" spans="2:2">
      <c r="B1360" s="7">
        <v>1</v>
      </c>
    </row>
    <row r="1361" spans="2:2">
      <c r="B1361" s="7">
        <v>1</v>
      </c>
    </row>
    <row r="1362" spans="2:2">
      <c r="B1362" s="7">
        <v>1</v>
      </c>
    </row>
    <row r="1363" spans="2:2">
      <c r="B1363" s="7">
        <v>1</v>
      </c>
    </row>
    <row r="1364" spans="2:2">
      <c r="B1364" s="7">
        <v>1</v>
      </c>
    </row>
    <row r="1365" spans="2:2">
      <c r="B1365" s="7">
        <v>1</v>
      </c>
    </row>
    <row r="1366" spans="2:2">
      <c r="B1366" s="7">
        <v>1</v>
      </c>
    </row>
    <row r="1367" spans="2:2">
      <c r="B1367" s="7">
        <v>1</v>
      </c>
    </row>
    <row r="1368" spans="2:2">
      <c r="B1368" s="7">
        <v>1</v>
      </c>
    </row>
    <row r="1369" spans="2:2">
      <c r="B1369" s="7">
        <v>1</v>
      </c>
    </row>
    <row r="1370" spans="2:2">
      <c r="B1370" s="7">
        <v>1</v>
      </c>
    </row>
    <row r="1371" spans="2:2">
      <c r="B1371" s="7">
        <v>1</v>
      </c>
    </row>
    <row r="1372" spans="2:2">
      <c r="B1372" s="7">
        <v>1</v>
      </c>
    </row>
    <row r="1373" spans="2:2">
      <c r="B1373" s="7">
        <v>1</v>
      </c>
    </row>
    <row r="1374" spans="2:2">
      <c r="B1374" s="7">
        <v>1</v>
      </c>
    </row>
    <row r="1375" spans="2:2">
      <c r="B1375" s="7">
        <v>1</v>
      </c>
    </row>
    <row r="1376" spans="2:2">
      <c r="B1376" s="7">
        <v>1</v>
      </c>
    </row>
    <row r="1377" spans="2:2">
      <c r="B1377" s="7">
        <v>1</v>
      </c>
    </row>
    <row r="1378" spans="2:2">
      <c r="B1378" s="7">
        <v>1</v>
      </c>
    </row>
    <row r="1379" spans="2:2">
      <c r="B1379" s="7">
        <v>1</v>
      </c>
    </row>
    <row r="1380" spans="2:2">
      <c r="B1380" s="7">
        <v>1</v>
      </c>
    </row>
    <row r="1381" spans="2:2">
      <c r="B1381" s="7">
        <v>1</v>
      </c>
    </row>
    <row r="1382" spans="2:2">
      <c r="B1382" s="7">
        <v>1</v>
      </c>
    </row>
    <row r="1383" spans="2:2">
      <c r="B1383" s="7">
        <v>1</v>
      </c>
    </row>
    <row r="1384" spans="2:2">
      <c r="B1384" s="7">
        <v>1</v>
      </c>
    </row>
    <row r="1385" spans="2:2">
      <c r="B1385" s="7">
        <v>1</v>
      </c>
    </row>
    <row r="1386" spans="2:2">
      <c r="B1386" s="7">
        <v>1</v>
      </c>
    </row>
    <row r="1387" spans="2:2">
      <c r="B1387" s="7">
        <v>1</v>
      </c>
    </row>
    <row r="1388" spans="2:2">
      <c r="B1388" s="7">
        <v>1</v>
      </c>
    </row>
    <row r="1389" spans="2:2">
      <c r="B1389" s="7">
        <v>1</v>
      </c>
    </row>
    <row r="1390" spans="2:2">
      <c r="B1390" s="7">
        <v>1</v>
      </c>
    </row>
    <row r="1391" spans="2:2">
      <c r="B1391" s="7">
        <v>1</v>
      </c>
    </row>
    <row r="1392" spans="2:2">
      <c r="B1392" s="7">
        <v>1</v>
      </c>
    </row>
    <row r="1393" spans="2:2">
      <c r="B1393" s="7">
        <v>1</v>
      </c>
    </row>
    <row r="1394" spans="2:2">
      <c r="B1394" s="7">
        <v>1</v>
      </c>
    </row>
    <row r="1395" spans="2:2">
      <c r="B1395" s="7">
        <v>1</v>
      </c>
    </row>
    <row r="1396" spans="2:2">
      <c r="B1396" s="7">
        <v>1</v>
      </c>
    </row>
    <row r="1397" spans="2:2">
      <c r="B1397" s="7">
        <v>1</v>
      </c>
    </row>
    <row r="1398" spans="2:2">
      <c r="B1398" s="7">
        <v>1</v>
      </c>
    </row>
    <row r="1399" spans="2:2">
      <c r="B1399" s="7">
        <v>1</v>
      </c>
    </row>
    <row r="1400" spans="2:2">
      <c r="B1400" s="7">
        <v>1</v>
      </c>
    </row>
    <row r="1401" spans="2:2">
      <c r="B1401" s="7">
        <v>1</v>
      </c>
    </row>
    <row r="1402" spans="2:2">
      <c r="B1402" s="7">
        <v>1</v>
      </c>
    </row>
    <row r="1403" spans="2:2">
      <c r="B1403" s="7">
        <v>1</v>
      </c>
    </row>
    <row r="1404" spans="2:2">
      <c r="B1404" s="7">
        <v>1</v>
      </c>
    </row>
    <row r="1405" spans="2:2">
      <c r="B1405" s="7">
        <v>1</v>
      </c>
    </row>
    <row r="1406" spans="2:2">
      <c r="B1406" s="7">
        <v>1</v>
      </c>
    </row>
    <row r="1407" spans="2:2">
      <c r="B1407" s="7">
        <v>1</v>
      </c>
    </row>
    <row r="1408" spans="2:2">
      <c r="B1408" s="7">
        <v>1</v>
      </c>
    </row>
    <row r="1409" spans="2:2">
      <c r="B1409" s="7">
        <v>1</v>
      </c>
    </row>
    <row r="1410" spans="2:2">
      <c r="B1410" s="7">
        <v>1</v>
      </c>
    </row>
    <row r="1411" spans="2:2">
      <c r="B1411" s="7">
        <v>1</v>
      </c>
    </row>
    <row r="1412" spans="2:2">
      <c r="B1412" s="7">
        <v>1</v>
      </c>
    </row>
    <row r="1413" spans="2:2">
      <c r="B1413" s="7">
        <v>1</v>
      </c>
    </row>
    <row r="1414" spans="2:2">
      <c r="B1414" s="7">
        <v>1</v>
      </c>
    </row>
    <row r="1415" spans="2:2">
      <c r="B1415" s="7">
        <v>1</v>
      </c>
    </row>
    <row r="1416" spans="2:2">
      <c r="B1416" s="7">
        <v>1</v>
      </c>
    </row>
    <row r="1417" spans="2:2">
      <c r="B1417" s="7">
        <v>1</v>
      </c>
    </row>
    <row r="1418" spans="2:2">
      <c r="B1418" s="7">
        <v>1</v>
      </c>
    </row>
    <row r="1419" spans="2:2">
      <c r="B1419" s="7">
        <v>1</v>
      </c>
    </row>
    <row r="1420" spans="2:2">
      <c r="B1420" s="7">
        <v>1</v>
      </c>
    </row>
    <row r="1421" spans="2:2">
      <c r="B1421" s="7">
        <v>1</v>
      </c>
    </row>
    <row r="1422" spans="2:2">
      <c r="B1422" s="7">
        <v>1</v>
      </c>
    </row>
    <row r="1423" spans="2:2">
      <c r="B1423" s="7">
        <v>1</v>
      </c>
    </row>
    <row r="1424" spans="2:2">
      <c r="B1424" s="7">
        <v>1</v>
      </c>
    </row>
    <row r="1425" spans="2:2">
      <c r="B1425" s="7">
        <v>1</v>
      </c>
    </row>
    <row r="1426" spans="2:2">
      <c r="B1426" s="7">
        <v>1</v>
      </c>
    </row>
    <row r="1427" spans="2:2">
      <c r="B1427" s="7">
        <v>1</v>
      </c>
    </row>
    <row r="1428" spans="2:2">
      <c r="B1428" s="7">
        <v>1</v>
      </c>
    </row>
    <row r="1429" spans="2:2">
      <c r="B1429" s="7">
        <v>1</v>
      </c>
    </row>
    <row r="1430" spans="2:2">
      <c r="B1430" s="7">
        <v>1</v>
      </c>
    </row>
    <row r="1431" spans="2:2">
      <c r="B1431" s="7">
        <v>1</v>
      </c>
    </row>
    <row r="1432" spans="2:2">
      <c r="B1432" s="7">
        <v>1</v>
      </c>
    </row>
    <row r="1433" spans="2:2">
      <c r="B1433" s="7">
        <v>1</v>
      </c>
    </row>
    <row r="1434" spans="2:2">
      <c r="B1434" s="7">
        <v>1</v>
      </c>
    </row>
    <row r="1435" spans="2:2">
      <c r="B1435" s="7">
        <v>1</v>
      </c>
    </row>
    <row r="1436" spans="2:2">
      <c r="B1436" s="7">
        <v>1</v>
      </c>
    </row>
    <row r="1437" spans="2:2">
      <c r="B1437" s="7">
        <v>1</v>
      </c>
    </row>
    <row r="1438" spans="2:2">
      <c r="B1438" s="7">
        <v>1</v>
      </c>
    </row>
    <row r="1439" spans="2:2">
      <c r="B1439" s="7">
        <v>1</v>
      </c>
    </row>
    <row r="1440" spans="2:2">
      <c r="B1440" s="7">
        <v>1</v>
      </c>
    </row>
    <row r="1441" spans="2:2">
      <c r="B1441" s="7">
        <v>1</v>
      </c>
    </row>
    <row r="1442" spans="2:2">
      <c r="B1442" s="7">
        <v>1</v>
      </c>
    </row>
    <row r="1443" spans="2:2">
      <c r="B1443" s="7">
        <v>1</v>
      </c>
    </row>
    <row r="1444" spans="2:2">
      <c r="B1444" s="7">
        <v>1</v>
      </c>
    </row>
    <row r="1445" spans="2:2">
      <c r="B1445" s="7">
        <v>1</v>
      </c>
    </row>
    <row r="1446" spans="2:2">
      <c r="B1446" s="7">
        <v>1</v>
      </c>
    </row>
    <row r="1447" spans="2:2">
      <c r="B1447" s="7">
        <v>1</v>
      </c>
    </row>
    <row r="1448" spans="2:2">
      <c r="B1448" s="7">
        <v>1</v>
      </c>
    </row>
    <row r="1449" spans="2:2">
      <c r="B1449" s="7">
        <v>1</v>
      </c>
    </row>
    <row r="1450" spans="2:2">
      <c r="B1450" s="7">
        <v>1</v>
      </c>
    </row>
    <row r="1451" spans="2:2">
      <c r="B1451" s="7">
        <v>1</v>
      </c>
    </row>
    <row r="1452" spans="2:2">
      <c r="B1452" s="7">
        <v>1</v>
      </c>
    </row>
    <row r="1453" spans="2:2">
      <c r="B1453" s="7">
        <v>1</v>
      </c>
    </row>
    <row r="1454" spans="2:2">
      <c r="B1454" s="7">
        <v>1</v>
      </c>
    </row>
    <row r="1455" spans="2:2">
      <c r="B1455" s="7">
        <v>1</v>
      </c>
    </row>
    <row r="1456" spans="2:2">
      <c r="B1456" s="7">
        <v>1</v>
      </c>
    </row>
    <row r="1457" spans="2:2">
      <c r="B1457" s="7">
        <v>1</v>
      </c>
    </row>
    <row r="1458" spans="2:2">
      <c r="B1458" s="7">
        <v>1</v>
      </c>
    </row>
    <row r="1459" spans="2:2">
      <c r="B1459" s="7">
        <v>1</v>
      </c>
    </row>
    <row r="1460" spans="2:2">
      <c r="B1460" s="7">
        <v>1</v>
      </c>
    </row>
    <row r="1461" spans="2:2">
      <c r="B1461" s="7">
        <v>1</v>
      </c>
    </row>
    <row r="1462" spans="2:2">
      <c r="B1462" s="7">
        <v>1</v>
      </c>
    </row>
    <row r="1463" spans="2:2">
      <c r="B1463" s="7">
        <v>1</v>
      </c>
    </row>
    <row r="1464" spans="2:2">
      <c r="B1464" s="7">
        <v>1</v>
      </c>
    </row>
    <row r="1465" spans="2:2">
      <c r="B1465" s="7">
        <v>1</v>
      </c>
    </row>
    <row r="1466" spans="2:2">
      <c r="B1466" s="7">
        <v>1</v>
      </c>
    </row>
    <row r="1467" spans="2:2">
      <c r="B1467" s="7">
        <v>1</v>
      </c>
    </row>
    <row r="1468" spans="2:2">
      <c r="B1468" s="7">
        <v>1</v>
      </c>
    </row>
    <row r="1469" spans="2:2">
      <c r="B1469" s="7">
        <v>1</v>
      </c>
    </row>
    <row r="1470" spans="2:2">
      <c r="B1470" s="7">
        <v>1</v>
      </c>
    </row>
    <row r="1471" spans="2:2">
      <c r="B1471" s="7">
        <v>1</v>
      </c>
    </row>
    <row r="1472" spans="2:2">
      <c r="B1472" s="7">
        <v>1</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B2:P72"/>
  <sheetViews>
    <sheetView workbookViewId="0">
      <selection activeCell="M17" sqref="M17"/>
    </sheetView>
  </sheetViews>
  <sheetFormatPr defaultRowHeight="15"/>
  <cols>
    <col min="2" max="2" width="13.5703125" bestFit="1" customWidth="1"/>
    <col min="3" max="3" width="18.42578125" bestFit="1" customWidth="1"/>
    <col min="4" max="4" width="18.140625" bestFit="1" customWidth="1"/>
    <col min="5" max="5" width="13.5703125" bestFit="1" customWidth="1"/>
    <col min="6" max="6" width="27.5703125" bestFit="1" customWidth="1"/>
    <col min="7" max="7" width="13.42578125" bestFit="1" customWidth="1"/>
    <col min="8" max="8" width="13.5703125" bestFit="1" customWidth="1"/>
    <col min="9" max="9" width="22.7109375" bestFit="1" customWidth="1"/>
    <col min="12" max="12" width="14.42578125" customWidth="1"/>
    <col min="13" max="13" width="13.28515625" bestFit="1" customWidth="1"/>
    <col min="15" max="15" width="13.42578125" bestFit="1" customWidth="1"/>
  </cols>
  <sheetData>
    <row r="2" spans="2:16">
      <c r="B2" s="134" t="s">
        <v>58</v>
      </c>
      <c r="C2" s="134" t="s">
        <v>55</v>
      </c>
      <c r="D2" s="134" t="s">
        <v>57</v>
      </c>
      <c r="E2" s="134" t="s">
        <v>58</v>
      </c>
      <c r="F2" s="138" t="s">
        <v>729</v>
      </c>
      <c r="G2" s="138" t="s">
        <v>348</v>
      </c>
    </row>
    <row r="3" spans="2:16">
      <c r="B3" s="133" t="s">
        <v>220</v>
      </c>
      <c r="C3" s="133">
        <f>'10A61 5" Calcs'!AD46</f>
        <v>274.65030294971172</v>
      </c>
      <c r="D3" s="133">
        <f>C3/10</f>
        <v>27.465030294971172</v>
      </c>
      <c r="E3" s="133" t="str">
        <f>IF('VA Sizing'!$C$3="Gas",'10A61 5'!B3,
IF(AND('VA Sizing'!$C$3="Liquid",'10A61 5" Calcs'!Y46&lt;30),CONCATENATE(" ",'10A61 5'!B3),'10A61 5'!B3))</f>
        <v>1/4-25-CD</v>
      </c>
      <c r="F3">
        <f>C3*VLOOKUP('VA Sizing'!$D$12,'Modified Inputs'!$I$8:$J$32,2,FALSE)</f>
        <v>1.6479018176982704E-2</v>
      </c>
      <c r="G3">
        <f>IF(F3&lt;0.99999,ROUND(F3,2),
IF(F3&lt;9.999,ROUND(F3,2),
IF(F3&lt;99.99,ROUND(F3,1),
IF(F3&lt;999.99,ROUND(F3,0),
IF(F3&lt;9999.99,ROUND(F3,-1),
IF(F3&lt;99999,ROUND(F3,-2),ROUND(F3,2)))))))</f>
        <v>0.02</v>
      </c>
    </row>
    <row r="4" spans="2:16">
      <c r="B4" s="133" t="s">
        <v>221</v>
      </c>
      <c r="C4" s="133">
        <f>'10A61 5" Calcs'!AD47</f>
        <v>441.71087289288772</v>
      </c>
      <c r="D4" s="133">
        <f t="shared" ref="D4:D67" si="0">C4/10</f>
        <v>44.171087289288771</v>
      </c>
      <c r="E4" s="133" t="str">
        <f>IF('VA Sizing'!$C$3="Gas",'10A61 5'!B4,
IF(AND('VA Sizing'!$C$3="Liquid",'10A61 5" Calcs'!Y47&lt;30),CONCATENATE(" ",'10A61 5'!B4),'10A61 5'!B4))</f>
        <v>1/4-25-SA</v>
      </c>
      <c r="F4">
        <f>C4*VLOOKUP('VA Sizing'!$D$12,'Modified Inputs'!$I$8:$J$32,2,FALSE)</f>
        <v>2.6502652373573264E-2</v>
      </c>
      <c r="G4">
        <f t="shared" ref="G4:G67" si="1">IF(F4&lt;0.99999,ROUND(F4,2),
IF(F4&lt;9.999,ROUND(F4,2),
IF(F4&lt;99.99,ROUND(F4,1),
IF(F4&lt;999.99,ROUND(F4,0),
IF(F4&lt;9999.99,ROUND(F4,-1),
IF(F4&lt;99999,ROUND(F4,-2),ROUND(F4,2)))))))</f>
        <v>0.03</v>
      </c>
      <c r="H4" t="s">
        <v>58</v>
      </c>
      <c r="I4" t="s">
        <v>344</v>
      </c>
      <c r="J4" t="s">
        <v>345</v>
      </c>
      <c r="K4" t="s">
        <v>346</v>
      </c>
      <c r="L4" t="s">
        <v>347</v>
      </c>
      <c r="M4" t="s">
        <v>348</v>
      </c>
      <c r="N4" t="s">
        <v>349</v>
      </c>
      <c r="O4" t="s">
        <v>350</v>
      </c>
      <c r="P4" t="s">
        <v>924</v>
      </c>
    </row>
    <row r="5" spans="2:16">
      <c r="B5" s="133" t="s">
        <v>222</v>
      </c>
      <c r="C5" s="133">
        <f>'10A61 5" Calcs'!AD48</f>
        <v>714.05642559563307</v>
      </c>
      <c r="D5" s="133">
        <f t="shared" si="0"/>
        <v>71.405642559563304</v>
      </c>
      <c r="E5" s="133" t="str">
        <f>IF('VA Sizing'!$C$3="Gas",'10A61 5'!B5,
IF(AND('VA Sizing'!$C$3="Liquid",'10A61 5" Calcs'!Y48&lt;30),CONCATENATE(" ",'10A61 5'!B5),'10A61 5'!B5))</f>
        <v>1/4-25-SS</v>
      </c>
      <c r="F5">
        <f>C5*VLOOKUP('VA Sizing'!$D$12,'Modified Inputs'!$I$8:$J$32,2,FALSE)</f>
        <v>4.2843385535737986E-2</v>
      </c>
      <c r="G5">
        <f t="shared" si="1"/>
        <v>0.04</v>
      </c>
      <c r="H5" t="str">
        <f>VLOOKUP(I5,$C$3:$E$66,3,FALSE)</f>
        <v>1/4-20-CA</v>
      </c>
      <c r="I5">
        <f t="array" ref="I5">MAX(IF($C$3:$C$66&lt;'Modified Inputs'!$O$2,C3:C66))</f>
        <v>814.75352660187036</v>
      </c>
      <c r="J5">
        <f>VLOOKUP(I5,$C$3:$E$66,2,FALSE)</f>
        <v>81.475352660187042</v>
      </c>
      <c r="K5">
        <f>I5*VLOOKUP('VA Sizing'!$D$12,'Modified Inputs'!$I$8:$J$32,2,FALSE)</f>
        <v>4.888521159611222E-2</v>
      </c>
      <c r="L5">
        <f>J5*VLOOKUP('VA Sizing'!$D$12,'Modified Inputs'!$I$8:$J$32,2,FALSE)</f>
        <v>4.8885211596112225E-3</v>
      </c>
      <c r="M5">
        <f>IF(K5&lt;0.99999,ROUND(K5,2),
IF(K5&lt;9.999,ROUND(K5,2),
IF(K5&lt;99.99,ROUND(K5,1),
IF(K5&lt;999.99,ROUND(K5,0),
IF(K5&lt;9999.99,ROUND(K5,-1),
IF(K5&lt;99999,ROUND(K5,-2),ROUND(K5,2)))))))</f>
        <v>0.05</v>
      </c>
      <c r="N5">
        <f>ROUND(L5,1)</f>
        <v>0</v>
      </c>
      <c r="O5" s="132" t="str">
        <f>CONCATENATE(N5," ","-"," ",M5)</f>
        <v>0 - 0.05</v>
      </c>
      <c r="P5">
        <f>'10A61 5" + 6" Results'!P5</f>
        <v>4254</v>
      </c>
    </row>
    <row r="6" spans="2:16">
      <c r="B6" s="133" t="s">
        <v>223</v>
      </c>
      <c r="C6" s="133">
        <f>'10A61 5" Calcs'!AD49</f>
        <v>1049.8870516610612</v>
      </c>
      <c r="D6" s="133">
        <f t="shared" si="0"/>
        <v>104.98870516610612</v>
      </c>
      <c r="E6" s="133" t="str">
        <f>IF('VA Sizing'!$C$3="Gas",'10A61 5'!B6,
IF(AND('VA Sizing'!$C$3="Liquid",'10A61 5" Calcs'!Y49&lt;30),CONCATENATE(" ",'10A61 5'!B6),'10A61 5'!B6))</f>
        <v>1/4-25-CA</v>
      </c>
      <c r="F6">
        <f>C6*VLOOKUP('VA Sizing'!$D$12,'Modified Inputs'!$I$8:$J$32,2,FALSE)</f>
        <v>6.2993223099663667E-2</v>
      </c>
      <c r="G6">
        <f t="shared" si="1"/>
        <v>0.06</v>
      </c>
      <c r="H6" t="str">
        <f>VLOOKUP(I6,$C$3:$E$66,3,FALSE)</f>
        <v>1/16-12-BG</v>
      </c>
      <c r="I6">
        <f>MIN(IF($C$3:$C$66&gt;'Modified Inputs'!$O$2,$C$3:$C$66))</f>
        <v>0.98164190010940477</v>
      </c>
      <c r="J6">
        <f>VLOOKUP(I6,$C$3:$E$66,2,FALSE)</f>
        <v>9.8164190010940483E-2</v>
      </c>
      <c r="K6">
        <f>I6*VLOOKUP('VA Sizing'!$D$12,'Modified Inputs'!$I$8:$J$32,2,FALSE)</f>
        <v>5.8898514006564285E-5</v>
      </c>
      <c r="L6">
        <f>J6*VLOOKUP('VA Sizing'!$D$12,'Modified Inputs'!$I$8:$J$32,2,FALSE)</f>
        <v>5.8898514006564294E-6</v>
      </c>
      <c r="M6">
        <f t="shared" ref="M6:M8" si="2">IF(K6&lt;0.99999,ROUND(K6,2),
IF(K6&lt;9.999,ROUND(K6,2),
IF(K6&lt;99.99,ROUND(K6,1),
IF(K6&lt;999.99,ROUND(K6,0),
IF(K6&lt;9999.99,ROUND(K6,-1),
IF(K6&lt;99999,ROUND(K6,-2),ROUND(K6,2)))))))</f>
        <v>0</v>
      </c>
      <c r="N6">
        <f t="shared" ref="N6:N8" si="3">ROUND(L6,1)</f>
        <v>0</v>
      </c>
      <c r="O6" s="132" t="str">
        <f>CONCATENATE(N6," ","-"," ",M6)</f>
        <v>0 - 0</v>
      </c>
      <c r="P6">
        <f>'10A61 5" + 6" Results'!P6</f>
        <v>4490</v>
      </c>
    </row>
    <row r="7" spans="2:16">
      <c r="B7" s="133" t="s">
        <v>224</v>
      </c>
      <c r="C7" s="133">
        <f>'10A61 5" Calcs'!AD50</f>
        <v>1115.1459053263909</v>
      </c>
      <c r="D7" s="133">
        <f t="shared" si="0"/>
        <v>111.51459053263909</v>
      </c>
      <c r="E7" s="133" t="str">
        <f>IF('VA Sizing'!$C$3="Gas",'10A61 5'!B7,
IF(AND('VA Sizing'!$C$3="Liquid",'10A61 5" Calcs'!Y50&lt;30),CONCATENATE(" ",'10A61 5'!B7),'10A61 5'!B7))</f>
        <v>1/4-25-TA</v>
      </c>
      <c r="F7">
        <f>C7*VLOOKUP('VA Sizing'!$D$12,'Modified Inputs'!$I$8:$J$32,2,FALSE)</f>
        <v>6.6908754319583458E-2</v>
      </c>
      <c r="G7">
        <f t="shared" si="1"/>
        <v>7.0000000000000007E-2</v>
      </c>
      <c r="H7" t="str">
        <f>VLOOKUP(I7,$C$3:$E$66,3,FALSE)</f>
        <v>1/16-16-BG</v>
      </c>
      <c r="I7">
        <f t="array" ref="I7">MIN(IF($C$3:$C$66&gt;I6,$C$3:$C$66))</f>
        <v>1.6791850564104349</v>
      </c>
      <c r="J7">
        <f>VLOOKUP(I7,$C$3:$E$66,2,FALSE)</f>
        <v>0.16791850564104349</v>
      </c>
      <c r="K7">
        <f>I7*VLOOKUP('VA Sizing'!$D$12,'Modified Inputs'!$I$8:$J$32,2,FALSE)</f>
        <v>1.0075110338462609E-4</v>
      </c>
      <c r="L7">
        <f>J7*VLOOKUP('VA Sizing'!$D$12,'Modified Inputs'!$I$8:$J$32,2,FALSE)</f>
        <v>1.0075110338462609E-5</v>
      </c>
      <c r="M7">
        <f t="shared" si="2"/>
        <v>0</v>
      </c>
      <c r="N7">
        <f t="shared" si="3"/>
        <v>0</v>
      </c>
      <c r="O7" s="132" t="str">
        <f>CONCATENATE(N7," ","-"," ",M7)</f>
        <v>0 - 0</v>
      </c>
      <c r="P7">
        <f>'10A61 5" + 6" Results'!P7</f>
        <v>4254</v>
      </c>
    </row>
    <row r="8" spans="2:16">
      <c r="B8" s="133" t="s">
        <v>225</v>
      </c>
      <c r="C8" s="133">
        <f>'10A61 5" Calcs'!AD51</f>
        <v>304.76559640500892</v>
      </c>
      <c r="D8" s="133">
        <f t="shared" si="0"/>
        <v>30.476559640500891</v>
      </c>
      <c r="E8" s="133" t="str">
        <f>IF('VA Sizing'!$C$3="Gas",'10A61 5'!B8,
IF(AND('VA Sizing'!$C$3="Liquid",'10A61 5" Calcs'!Y51&lt;30),CONCATENATE(" ",'10A61 5'!B8),'10A61 5'!B8))</f>
        <v>1/4-25-BG</v>
      </c>
      <c r="F8">
        <f>C8*VLOOKUP('VA Sizing'!$D$12,'Modified Inputs'!$I$8:$J$32,2,FALSE)</f>
        <v>1.8285935784300537E-2</v>
      </c>
      <c r="G8">
        <f t="shared" si="1"/>
        <v>0.02</v>
      </c>
      <c r="H8" t="str">
        <f>VLOOKUP(I8,$C$3:$E$66,3,FALSE)</f>
        <v>1/16-12-SA</v>
      </c>
      <c r="I8">
        <f t="array" ref="I8">MIN(IF($C$3:$C$66&gt;I7,$C$3:$C$66))</f>
        <v>1.854667812103888</v>
      </c>
      <c r="J8">
        <f>VLOOKUP(I8,$C$3:$E$66,2,FALSE)</f>
        <v>0.18546678121038879</v>
      </c>
      <c r="K8">
        <f>I8*VLOOKUP('VA Sizing'!$D$12,'Modified Inputs'!$I$8:$J$32,2,FALSE)</f>
        <v>1.1128006872623329E-4</v>
      </c>
      <c r="L8">
        <f>J8*VLOOKUP('VA Sizing'!$D$12,'Modified Inputs'!$I$8:$J$32,2,FALSE)</f>
        <v>1.1128006872623328E-5</v>
      </c>
      <c r="M8">
        <f t="shared" si="2"/>
        <v>0</v>
      </c>
      <c r="N8">
        <f t="shared" si="3"/>
        <v>0</v>
      </c>
      <c r="O8" s="132" t="str">
        <f>CONCATENATE(N8," ","-"," ",M8)</f>
        <v>0 - 0</v>
      </c>
      <c r="P8">
        <f>'10A61 5" + 6" Results'!P8</f>
        <v>4490</v>
      </c>
    </row>
    <row r="9" spans="2:16">
      <c r="B9" s="133" t="s">
        <v>90</v>
      </c>
      <c r="C9" s="133">
        <f>'10A61 5" Calcs'!AD53</f>
        <v>204.66624308251585</v>
      </c>
      <c r="D9" s="133">
        <f t="shared" si="0"/>
        <v>20.466624308251586</v>
      </c>
      <c r="E9" s="133" t="str">
        <f>IF('VA Sizing'!$C$3="Gas",'10A61 5'!B9,
IF(AND('VA Sizing'!$C$3="Liquid",'10A61 5" Calcs'!Y53&lt;30),CONCATENATE(" ",'10A61 5'!B9),'10A61 5'!B9))</f>
        <v>1/4-20-CD</v>
      </c>
      <c r="F9">
        <f>C9*VLOOKUP('VA Sizing'!$D$12,'Modified Inputs'!$I$8:$J$32,2,FALSE)</f>
        <v>1.2279974584950951E-2</v>
      </c>
      <c r="G9">
        <f t="shared" si="1"/>
        <v>0.01</v>
      </c>
    </row>
    <row r="10" spans="2:16">
      <c r="B10" s="133" t="s">
        <v>91</v>
      </c>
      <c r="C10" s="133">
        <f>'10A61 5" Calcs'!AD54</f>
        <v>334.43158965435879</v>
      </c>
      <c r="D10" s="133">
        <f t="shared" si="0"/>
        <v>33.443158965435877</v>
      </c>
      <c r="E10" s="133" t="str">
        <f>IF('VA Sizing'!$C$3="Gas",'10A61 5'!B10,
IF(AND('VA Sizing'!$C$3="Liquid",'10A61 5" Calcs'!Y54&lt;30),CONCATENATE(" ",'10A61 5'!B10),'10A61 5'!B10))</f>
        <v>1/4-20-SA</v>
      </c>
      <c r="F10">
        <f>C10*VLOOKUP('VA Sizing'!$D$12,'Modified Inputs'!$I$8:$J$32,2,FALSE)</f>
        <v>2.0065895379261529E-2</v>
      </c>
      <c r="G10">
        <f t="shared" si="1"/>
        <v>0.02</v>
      </c>
    </row>
    <row r="11" spans="2:16">
      <c r="B11" s="133" t="s">
        <v>94</v>
      </c>
      <c r="C11" s="133">
        <f>'10A61 5" Calcs'!AD55</f>
        <v>548.41700118191477</v>
      </c>
      <c r="D11" s="133">
        <f t="shared" si="0"/>
        <v>54.841700118191476</v>
      </c>
      <c r="E11" s="133" t="str">
        <f>IF('VA Sizing'!$C$3="Gas",'10A61 5'!B11,
IF(AND('VA Sizing'!$C$3="Liquid",'10A61 5" Calcs'!Y55&lt;30),CONCATENATE(" ",'10A61 5'!B11),'10A61 5'!B11))</f>
        <v>1/4-20-SS</v>
      </c>
      <c r="F11">
        <f>C11*VLOOKUP('VA Sizing'!$D$12,'Modified Inputs'!$I$8:$J$32,2,FALSE)</f>
        <v>3.2905020070914885E-2</v>
      </c>
      <c r="G11">
        <f t="shared" si="1"/>
        <v>0.03</v>
      </c>
      <c r="H11" s="240" t="s">
        <v>351</v>
      </c>
      <c r="I11" s="240"/>
    </row>
    <row r="12" spans="2:16">
      <c r="B12" s="133" t="s">
        <v>97</v>
      </c>
      <c r="C12" s="133">
        <f>'10A61 5" Calcs'!AD56</f>
        <v>814.75352660187036</v>
      </c>
      <c r="D12" s="133">
        <f t="shared" si="0"/>
        <v>81.475352660187042</v>
      </c>
      <c r="E12" s="133" t="str">
        <f>IF('VA Sizing'!$C$3="Gas",'10A61 5'!B12,
IF(AND('VA Sizing'!$C$3="Liquid",'10A61 5" Calcs'!Y56&lt;30),CONCATENATE(" ",'10A61 5'!B12),'10A61 5'!B12))</f>
        <v>1/4-20-CA</v>
      </c>
      <c r="F12">
        <f>C12*VLOOKUP('VA Sizing'!$D$12,'Modified Inputs'!$I$8:$J$32,2,FALSE)</f>
        <v>4.888521159611222E-2</v>
      </c>
      <c r="G12">
        <f t="shared" si="1"/>
        <v>0.05</v>
      </c>
      <c r="H12" s="134" t="s">
        <v>58</v>
      </c>
      <c r="I12" s="134" t="s">
        <v>343</v>
      </c>
    </row>
    <row r="13" spans="2:16">
      <c r="B13" s="133" t="s">
        <v>98</v>
      </c>
      <c r="C13" s="133">
        <f>'10A61 5" Calcs'!AD57</f>
        <v>866.73333074624964</v>
      </c>
      <c r="D13" s="133">
        <f t="shared" si="0"/>
        <v>86.673333074624964</v>
      </c>
      <c r="E13" s="133" t="str">
        <f>IF('VA Sizing'!$C$3="Gas",'10A61 5'!B13,
IF(AND('VA Sizing'!$C$3="Liquid",'10A61 5" Calcs'!Y57&lt;30),CONCATENATE(" ",'10A61 5'!B13),'10A61 5'!B13))</f>
        <v>1/4-20-TA</v>
      </c>
      <c r="F13">
        <f>C13*VLOOKUP('VA Sizing'!$D$12,'Modified Inputs'!$I$8:$J$32,2,FALSE)</f>
        <v>5.2003999844774981E-2</v>
      </c>
      <c r="G13">
        <f t="shared" si="1"/>
        <v>0.05</v>
      </c>
      <c r="H13" s="133" t="str">
        <f>IFERROR(H5,"")</f>
        <v>1/4-20-CA</v>
      </c>
      <c r="I13" s="133" t="str">
        <f>IF(H13="","",O5)</f>
        <v>0 - 0.05</v>
      </c>
    </row>
    <row r="14" spans="2:16">
      <c r="B14" s="133" t="s">
        <v>226</v>
      </c>
      <c r="C14" s="133">
        <f>'10A61 5" Calcs'!AD58</f>
        <v>227.93717797315671</v>
      </c>
      <c r="D14" s="133">
        <f t="shared" si="0"/>
        <v>22.793717797315672</v>
      </c>
      <c r="E14" s="133" t="str">
        <f>IF('VA Sizing'!$C$3="Gas",'10A61 5'!B14,
IF(AND('VA Sizing'!$C$3="Liquid",'10A61 5" Calcs'!Y58&lt;30),CONCATENATE(" ",'10A61 5'!B14),'10A61 5'!B14))</f>
        <v>1/4-20-BG</v>
      </c>
      <c r="F14">
        <f>C14*VLOOKUP('VA Sizing'!$D$12,'Modified Inputs'!$I$8:$J$32,2,FALSE)</f>
        <v>1.3676230678389403E-2</v>
      </c>
      <c r="G14">
        <f t="shared" si="1"/>
        <v>0.01</v>
      </c>
      <c r="H14" s="133" t="str">
        <f>IFERROR(H6,"")</f>
        <v>1/16-12-BG</v>
      </c>
      <c r="I14" s="133" t="str">
        <f>IF(H14="","",O6)</f>
        <v>0 - 0</v>
      </c>
    </row>
    <row r="15" spans="2:16">
      <c r="B15" s="133" t="s">
        <v>227</v>
      </c>
      <c r="C15" s="133">
        <f>'10A61 5" Calcs'!AD60</f>
        <v>148.47386202329875</v>
      </c>
      <c r="D15" s="133">
        <f t="shared" si="0"/>
        <v>14.847386202329876</v>
      </c>
      <c r="E15" s="133" t="str">
        <f>IF('VA Sizing'!$C$3="Gas",'10A61 5'!B15,
IF(AND('VA Sizing'!$C$3="Liquid",'10A61 5" Calcs'!Y60&lt;30),CONCATENATE(" ",'10A61 5'!B15),'10A61 5'!B15))</f>
        <v>1/4-16-CD</v>
      </c>
      <c r="F15">
        <f>C15*VLOOKUP('VA Sizing'!$D$12,'Modified Inputs'!$I$8:$J$32,2,FALSE)</f>
        <v>8.9084317213979254E-3</v>
      </c>
      <c r="G15">
        <f t="shared" si="1"/>
        <v>0.01</v>
      </c>
      <c r="H15" s="133" t="str">
        <f>IFERROR(IF(H14="","",H7),"")</f>
        <v>1/16-16-BG</v>
      </c>
      <c r="I15" s="133" t="str">
        <f>IF(H15="","",O7)</f>
        <v>0 - 0</v>
      </c>
    </row>
    <row r="16" spans="2:16">
      <c r="B16" s="133" t="s">
        <v>228</v>
      </c>
      <c r="C16" s="133">
        <f>'10A61 5" Calcs'!AD61</f>
        <v>247.35074285135798</v>
      </c>
      <c r="D16" s="133">
        <f t="shared" si="0"/>
        <v>24.735074285135799</v>
      </c>
      <c r="E16" s="133" t="str">
        <f>IF('VA Sizing'!$C$3="Gas",'10A61 5'!B16,
IF(AND('VA Sizing'!$C$3="Liquid",'10A61 5" Calcs'!Y61&lt;30),CONCATENATE(" ",'10A61 5'!B16),'10A61 5'!B16))</f>
        <v>1/4-16-SA</v>
      </c>
      <c r="F16">
        <f>C16*VLOOKUP('VA Sizing'!$D$12,'Modified Inputs'!$I$8:$J$32,2,FALSE)</f>
        <v>1.4841044571081478E-2</v>
      </c>
      <c r="G16">
        <f t="shared" si="1"/>
        <v>0.01</v>
      </c>
      <c r="H16" s="133" t="str">
        <f>IFERROR(IF(OR(H14="",H15=""),"",H8),"")</f>
        <v>1/16-12-SA</v>
      </c>
      <c r="I16" s="133" t="str">
        <f>IF(H16="","",O8)</f>
        <v>0 - 0</v>
      </c>
    </row>
    <row r="17" spans="2:7">
      <c r="B17" s="133" t="s">
        <v>229</v>
      </c>
      <c r="C17" s="133">
        <f>'10A61 5" Calcs'!AD62</f>
        <v>412.50357384356641</v>
      </c>
      <c r="D17" s="133">
        <f t="shared" si="0"/>
        <v>41.25035738435664</v>
      </c>
      <c r="E17" s="133" t="str">
        <f>IF('VA Sizing'!$C$3="Gas",'10A61 5'!B17,
IF(AND('VA Sizing'!$C$3="Liquid",'10A61 5" Calcs'!Y62&lt;30),CONCATENATE(" ",'10A61 5'!B17),'10A61 5'!B17))</f>
        <v>1/4-16-SS</v>
      </c>
      <c r="F17">
        <f>C17*VLOOKUP('VA Sizing'!$D$12,'Modified Inputs'!$I$8:$J$32,2,FALSE)</f>
        <v>2.4750214430613985E-2</v>
      </c>
      <c r="G17">
        <f t="shared" si="1"/>
        <v>0.02</v>
      </c>
    </row>
    <row r="18" spans="2:7">
      <c r="B18" s="133" t="s">
        <v>230</v>
      </c>
      <c r="C18" s="133">
        <f>'10A61 5" Calcs'!AD63</f>
        <v>620.16604420083354</v>
      </c>
      <c r="D18" s="133">
        <f t="shared" si="0"/>
        <v>62.016604420083354</v>
      </c>
      <c r="E18" s="133" t="str">
        <f>IF('VA Sizing'!$C$3="Gas",'10A61 5'!B18,
IF(AND('VA Sizing'!$C$3="Liquid",'10A61 5" Calcs'!Y63&lt;30),CONCATENATE(" ",'10A61 5'!B18),'10A61 5'!B18))</f>
        <v>1/4-16-CA</v>
      </c>
      <c r="F18">
        <f>C18*VLOOKUP('VA Sizing'!$D$12,'Modified Inputs'!$I$8:$J$32,2,FALSE)</f>
        <v>3.720996265205001E-2</v>
      </c>
      <c r="G18">
        <f t="shared" si="1"/>
        <v>0.04</v>
      </c>
    </row>
    <row r="19" spans="2:7">
      <c r="B19" s="133" t="s">
        <v>231</v>
      </c>
      <c r="C19" s="133">
        <f>'10A61 5" Calcs'!AD64</f>
        <v>660.88475067424611</v>
      </c>
      <c r="D19" s="133">
        <f t="shared" si="0"/>
        <v>66.088475067424611</v>
      </c>
      <c r="E19" s="133" t="str">
        <f>IF('VA Sizing'!$C$3="Gas",'10A61 5'!B19,
IF(AND('VA Sizing'!$C$3="Liquid",'10A61 5" Calcs'!Y64&lt;30),CONCATENATE(" ",'10A61 5'!B19),'10A61 5'!B19))</f>
        <v>1/4-16-TA</v>
      </c>
      <c r="F19">
        <f>C19*VLOOKUP('VA Sizing'!$D$12,'Modified Inputs'!$I$8:$J$32,2,FALSE)</f>
        <v>3.9653085040454769E-2</v>
      </c>
      <c r="G19">
        <f t="shared" si="1"/>
        <v>0.04</v>
      </c>
    </row>
    <row r="20" spans="2:7">
      <c r="B20" s="133" t="s">
        <v>232</v>
      </c>
      <c r="C20" s="133">
        <f>'10A61 5" Calcs'!AD65</f>
        <v>166.10095374466744</v>
      </c>
      <c r="D20" s="133">
        <f t="shared" si="0"/>
        <v>16.610095374466745</v>
      </c>
      <c r="E20" s="133" t="str">
        <f>IF('VA Sizing'!$C$3="Gas",'10A61 5'!B20,
IF(AND('VA Sizing'!$C$3="Liquid",'10A61 5" Calcs'!Y65&lt;30),CONCATENATE(" ",'10A61 5'!B20),'10A61 5'!B20))</f>
        <v>1/4-16-BG</v>
      </c>
      <c r="F20">
        <f>C20*VLOOKUP('VA Sizing'!$D$12,'Modified Inputs'!$I$8:$J$32,2,FALSE)</f>
        <v>9.9660572246800458E-3</v>
      </c>
      <c r="G20">
        <f t="shared" si="1"/>
        <v>0.01</v>
      </c>
    </row>
    <row r="21" spans="2:7">
      <c r="B21" s="133" t="s">
        <v>233</v>
      </c>
      <c r="C21" s="133">
        <f>'10A61 5" Calcs'!AD67</f>
        <v>77.45814260870695</v>
      </c>
      <c r="D21" s="133">
        <f t="shared" si="0"/>
        <v>7.745814260870695</v>
      </c>
      <c r="E21" s="133" t="str">
        <f>IF('VA Sizing'!$C$3="Gas",'10A61 5'!B21,
IF(AND('VA Sizing'!$C$3="Liquid",'10A61 5" Calcs'!Y67&lt;30),CONCATENATE(" ",'10A61 5'!B21),'10A61 5'!B21))</f>
        <v>1/4-10-CD</v>
      </c>
      <c r="F21">
        <f>C21*VLOOKUP('VA Sizing'!$D$12,'Modified Inputs'!$I$8:$J$32,2,FALSE)</f>
        <v>4.6474885565224175E-3</v>
      </c>
      <c r="G21">
        <f t="shared" si="1"/>
        <v>0</v>
      </c>
    </row>
    <row r="22" spans="2:7">
      <c r="B22" s="133" t="s">
        <v>234</v>
      </c>
      <c r="C22" s="133">
        <f>'10A61 5" Calcs'!AD68</f>
        <v>132.67849903901586</v>
      </c>
      <c r="D22" s="133">
        <f t="shared" si="0"/>
        <v>13.267849903901586</v>
      </c>
      <c r="E22" s="133" t="str">
        <f>IF('VA Sizing'!$C$3="Gas",'10A61 5'!B22,
IF(AND('VA Sizing'!$C$3="Liquid",'10A61 5" Calcs'!Y68&lt;30),CONCATENATE(" ",'10A61 5'!B22),'10A61 5'!B22))</f>
        <v>1/4-10-SA</v>
      </c>
      <c r="F22">
        <f>C22*VLOOKUP('VA Sizing'!$D$12,'Modified Inputs'!$I$8:$J$32,2,FALSE)</f>
        <v>7.9607099423409516E-3</v>
      </c>
      <c r="G22">
        <f t="shared" si="1"/>
        <v>0.01</v>
      </c>
    </row>
    <row r="23" spans="2:7">
      <c r="B23" s="133" t="s">
        <v>235</v>
      </c>
      <c r="C23" s="133">
        <f>'10A61 5" Calcs'!AD69</f>
        <v>226.44878558150458</v>
      </c>
      <c r="D23" s="133">
        <f t="shared" si="0"/>
        <v>22.644878558150459</v>
      </c>
      <c r="E23" s="133" t="str">
        <f>IF('VA Sizing'!$C$3="Gas",'10A61 5'!B23,
IF(AND('VA Sizing'!$C$3="Liquid",'10A61 5" Calcs'!Y69&lt;30),CONCATENATE(" ",'10A61 5'!B23),'10A61 5'!B23))</f>
        <v>1/4-10-SS</v>
      </c>
      <c r="F23">
        <f>C23*VLOOKUP('VA Sizing'!$D$12,'Modified Inputs'!$I$8:$J$32,2,FALSE)</f>
        <v>1.3586927134890275E-2</v>
      </c>
      <c r="G23">
        <f t="shared" si="1"/>
        <v>0.01</v>
      </c>
    </row>
    <row r="24" spans="2:7">
      <c r="B24" s="133" t="s">
        <v>236</v>
      </c>
      <c r="C24" s="133">
        <f>'10A61 5" Calcs'!AD70</f>
        <v>345.87362121410655</v>
      </c>
      <c r="D24" s="133">
        <f t="shared" si="0"/>
        <v>34.587362121410656</v>
      </c>
      <c r="E24" s="133" t="str">
        <f>IF('VA Sizing'!$C$3="Gas",'10A61 5'!B24,
IF(AND('VA Sizing'!$C$3="Liquid",'10A61 5" Calcs'!Y70&lt;30),CONCATENATE(" ",'10A61 5'!B24),'10A61 5'!B24))</f>
        <v>1/4-10-CA</v>
      </c>
      <c r="F24">
        <f>C24*VLOOKUP('VA Sizing'!$D$12,'Modified Inputs'!$I$8:$J$32,2,FALSE)</f>
        <v>2.0752417272846393E-2</v>
      </c>
      <c r="G24">
        <f t="shared" si="1"/>
        <v>0.02</v>
      </c>
    </row>
    <row r="25" spans="2:7">
      <c r="B25" s="133" t="s">
        <v>237</v>
      </c>
      <c r="C25" s="133">
        <f>'10A61 5" Calcs'!AD71</f>
        <v>369.42629004769174</v>
      </c>
      <c r="D25" s="133">
        <f t="shared" si="0"/>
        <v>36.942629004769174</v>
      </c>
      <c r="E25" s="133" t="str">
        <f>IF('VA Sizing'!$C$3="Gas",'10A61 5'!B25,
IF(AND('VA Sizing'!$C$3="Liquid",'10A61 5" Calcs'!Y71&lt;30),CONCATENATE(" ",'10A61 5'!B25),'10A61 5'!B25))</f>
        <v>1/4-10-TA</v>
      </c>
      <c r="F25">
        <f>C25*VLOOKUP('VA Sizing'!$D$12,'Modified Inputs'!$I$8:$J$32,2,FALSE)</f>
        <v>2.2165577402861503E-2</v>
      </c>
      <c r="G25">
        <f t="shared" si="1"/>
        <v>0.02</v>
      </c>
    </row>
    <row r="26" spans="2:7">
      <c r="B26" s="133" t="s">
        <v>238</v>
      </c>
      <c r="C26" s="133">
        <f>'10A61 5" Calcs'!AD72</f>
        <v>87.22604174096783</v>
      </c>
      <c r="D26" s="133">
        <f t="shared" si="0"/>
        <v>8.7226041740967837</v>
      </c>
      <c r="E26" s="133" t="str">
        <f>IF('VA Sizing'!$C$3="Gas",'10A61 5'!B26,
IF(AND('VA Sizing'!$C$3="Liquid",'10A61 5" Calcs'!Y72&lt;30),CONCATENATE(" ",'10A61 5'!B26),'10A61 5'!B26))</f>
        <v>1/4-10-BG</v>
      </c>
      <c r="F26">
        <f>C26*VLOOKUP('VA Sizing'!$D$12,'Modified Inputs'!$I$8:$J$32,2,FALSE)</f>
        <v>5.2335625044580697E-3</v>
      </c>
      <c r="G26">
        <f t="shared" si="1"/>
        <v>0.01</v>
      </c>
    </row>
    <row r="27" spans="2:7">
      <c r="B27" s="133" t="s">
        <v>239</v>
      </c>
      <c r="C27" s="133">
        <f>'10A61 5" Calcs'!AD75</f>
        <v>22.286149480865067</v>
      </c>
      <c r="D27" s="133">
        <f t="shared" si="0"/>
        <v>2.2286149480865065</v>
      </c>
      <c r="E27" s="133" t="str">
        <f>IF('VA Sizing'!$C$3="Gas",'10A61 5'!B27,
IF(AND('VA Sizing'!$C$3="Liquid",'10A61 5" Calcs'!Y75&lt;30),CONCATENATE(" ",'10A61 5'!B27),'10A61 5'!B27))</f>
        <v>1/8-12-SA</v>
      </c>
      <c r="F27">
        <f>C27*VLOOKUP('VA Sizing'!$D$12,'Modified Inputs'!$I$8:$J$32,2,FALSE)</f>
        <v>1.337168968851904E-3</v>
      </c>
      <c r="G27">
        <f t="shared" si="1"/>
        <v>0</v>
      </c>
    </row>
    <row r="28" spans="2:7">
      <c r="B28" s="133" t="s">
        <v>240</v>
      </c>
      <c r="C28" s="133">
        <f>'10A61 5" Calcs'!AD76</f>
        <v>39.032996291714468</v>
      </c>
      <c r="D28" s="133">
        <f t="shared" si="0"/>
        <v>3.903299629171447</v>
      </c>
      <c r="E28" s="133" t="str">
        <f>IF('VA Sizing'!$C$3="Gas",'10A61 5'!B28,
IF(AND('VA Sizing'!$C$3="Liquid",'10A61 5" Calcs'!Y76&lt;30),CONCATENATE(" ",'10A61 5'!B28),'10A61 5'!B28))</f>
        <v>1/8-12-SS</v>
      </c>
      <c r="F28">
        <f>C28*VLOOKUP('VA Sizing'!$D$12,'Modified Inputs'!$I$8:$J$32,2,FALSE)</f>
        <v>2.3419797775028682E-3</v>
      </c>
      <c r="G28">
        <f t="shared" si="1"/>
        <v>0</v>
      </c>
    </row>
    <row r="29" spans="2:7">
      <c r="B29" s="133" t="s">
        <v>241</v>
      </c>
      <c r="C29" s="133">
        <f>'10A61 5" Calcs'!AD77</f>
        <v>60.637337350011038</v>
      </c>
      <c r="D29" s="133">
        <f t="shared" si="0"/>
        <v>6.0637337350011036</v>
      </c>
      <c r="E29" s="133" t="str">
        <f>IF('VA Sizing'!$C$3="Gas",'10A61 5'!B29,
IF(AND('VA Sizing'!$C$3="Liquid",'10A61 5" Calcs'!Y77&lt;30),CONCATENATE(" ",'10A61 5'!B29),'10A61 5'!B29))</f>
        <v>1/8-12-CA</v>
      </c>
      <c r="F29">
        <f>C29*VLOOKUP('VA Sizing'!$D$12,'Modified Inputs'!$I$8:$J$32,2,FALSE)</f>
        <v>3.6382402410006622E-3</v>
      </c>
      <c r="G29">
        <f t="shared" si="1"/>
        <v>0</v>
      </c>
    </row>
    <row r="30" spans="2:7">
      <c r="B30" s="133" t="s">
        <v>242</v>
      </c>
      <c r="C30" s="133">
        <f>'10A61 5" Calcs'!AD78</f>
        <v>64.922420478049133</v>
      </c>
      <c r="D30" s="133">
        <f t="shared" si="0"/>
        <v>6.492242047804913</v>
      </c>
      <c r="E30" s="133" t="str">
        <f>IF('VA Sizing'!$C$3="Gas",'10A61 5'!B30,
IF(AND('VA Sizing'!$C$3="Liquid",'10A61 5" Calcs'!Y78&lt;30),CONCATENATE(" ",'10A61 5'!B30),'10A61 5'!B30))</f>
        <v>1/8-12-TA</v>
      </c>
      <c r="F30">
        <f>C30*VLOOKUP('VA Sizing'!$D$12,'Modified Inputs'!$I$8:$J$32,2,FALSE)</f>
        <v>3.8953452286829482E-3</v>
      </c>
      <c r="G30">
        <f t="shared" si="1"/>
        <v>0</v>
      </c>
    </row>
    <row r="31" spans="2:7">
      <c r="B31" s="133" t="s">
        <v>243</v>
      </c>
      <c r="C31" s="133">
        <f>'10A61 5" Calcs'!AD79</f>
        <v>14.291976301373513</v>
      </c>
      <c r="D31" s="133">
        <f t="shared" si="0"/>
        <v>1.4291976301373512</v>
      </c>
      <c r="E31" s="133" t="str">
        <f>IF('VA Sizing'!$C$3="Gas",'10A61 5'!B31,
IF(AND('VA Sizing'!$C$3="Liquid",'10A61 5" Calcs'!Y79&lt;30),CONCATENATE(" ",'10A61 5'!B31),'10A61 5'!B31))</f>
        <v>1/8-12-BG</v>
      </c>
      <c r="F31">
        <f>C31*VLOOKUP('VA Sizing'!$D$12,'Modified Inputs'!$I$8:$J$32,2,FALSE)</f>
        <v>8.5751857808241076E-4</v>
      </c>
      <c r="G31">
        <f t="shared" si="1"/>
        <v>0</v>
      </c>
    </row>
    <row r="32" spans="2:7">
      <c r="B32" s="133" t="s">
        <v>78</v>
      </c>
      <c r="C32" s="133">
        <f>'10A61 5" Calcs'!AD82</f>
        <v>10.540209224018097</v>
      </c>
      <c r="D32" s="133">
        <f t="shared" si="0"/>
        <v>1.0540209224018098</v>
      </c>
      <c r="E32" s="133" t="str">
        <f>IF('VA Sizing'!$C$3="Gas",'10A61 5'!B32,
IF(AND('VA Sizing'!$C$3="Liquid",'10A61 5" Calcs'!Y82&lt;30),CONCATENATE(" ",'10A61 5'!B32),'10A61 5'!B32))</f>
        <v>1/8-08-SA</v>
      </c>
      <c r="F32">
        <f>C32*VLOOKUP('VA Sizing'!$D$12,'Modified Inputs'!$I$8:$J$32,2,FALSE)</f>
        <v>6.3241255344108588E-4</v>
      </c>
      <c r="G32">
        <f t="shared" si="1"/>
        <v>0</v>
      </c>
    </row>
    <row r="33" spans="2:7">
      <c r="B33" s="133" t="s">
        <v>79</v>
      </c>
      <c r="C33" s="133">
        <f>'10A61 5" Calcs'!AD83</f>
        <v>21.276181314236279</v>
      </c>
      <c r="D33" s="133">
        <f t="shared" si="0"/>
        <v>2.127618131423628</v>
      </c>
      <c r="E33" s="133" t="str">
        <f>IF('VA Sizing'!$C$3="Gas",'10A61 5'!B33,
IF(AND('VA Sizing'!$C$3="Liquid",'10A61 5" Calcs'!Y83&lt;30),CONCATENATE(" ",'10A61 5'!B33),'10A61 5'!B33))</f>
        <v>1/8-08-SS</v>
      </c>
      <c r="F33">
        <f>C33*VLOOKUP('VA Sizing'!$D$12,'Modified Inputs'!$I$8:$J$32,2,FALSE)</f>
        <v>1.2765708788541768E-3</v>
      </c>
      <c r="G33">
        <f t="shared" si="1"/>
        <v>0</v>
      </c>
    </row>
    <row r="34" spans="2:7">
      <c r="B34" s="133" t="s">
        <v>82</v>
      </c>
      <c r="C34" s="133">
        <f>'10A61 5" Calcs'!AD84</f>
        <v>33.707707969611988</v>
      </c>
      <c r="D34" s="133">
        <f t="shared" si="0"/>
        <v>3.3707707969611986</v>
      </c>
      <c r="E34" s="133" t="str">
        <f>IF('VA Sizing'!$C$3="Gas",'10A61 5'!B34,
IF(AND('VA Sizing'!$C$3="Liquid",'10A61 5" Calcs'!Y84&lt;30),CONCATENATE(" ",'10A61 5'!B34),'10A61 5'!B34))</f>
        <v>1/8-08-CA</v>
      </c>
      <c r="F34">
        <f>C34*VLOOKUP('VA Sizing'!$D$12,'Modified Inputs'!$I$8:$J$32,2,FALSE)</f>
        <v>2.0224624781767192E-3</v>
      </c>
      <c r="G34">
        <f t="shared" si="1"/>
        <v>0</v>
      </c>
    </row>
    <row r="35" spans="2:7">
      <c r="B35" s="133" t="s">
        <v>83</v>
      </c>
      <c r="C35" s="133">
        <f>'10A61 5" Calcs'!AD85</f>
        <v>36.188330309097509</v>
      </c>
      <c r="D35" s="133">
        <f t="shared" si="0"/>
        <v>3.6188330309097507</v>
      </c>
      <c r="E35" s="133" t="str">
        <f>IF('VA Sizing'!$C$3="Gas",'10A61 5'!B35,
IF(AND('VA Sizing'!$C$3="Liquid",'10A61 5" Calcs'!Y85&lt;30),CONCATENATE(" ",'10A61 5'!B35),'10A61 5'!B35))</f>
        <v>1/8-08-TA</v>
      </c>
      <c r="F35">
        <f>C35*VLOOKUP('VA Sizing'!$D$12,'Modified Inputs'!$I$8:$J$32,2,FALSE)</f>
        <v>2.1712998185458507E-3</v>
      </c>
      <c r="G35">
        <f t="shared" si="1"/>
        <v>0</v>
      </c>
    </row>
    <row r="36" spans="2:7">
      <c r="B36" s="133" t="s">
        <v>75</v>
      </c>
      <c r="C36" s="133">
        <f>'10A61 5" Calcs'!AD86</f>
        <v>5.9091899198431976</v>
      </c>
      <c r="D36" s="133">
        <f t="shared" si="0"/>
        <v>0.59091899198431974</v>
      </c>
      <c r="E36" s="133" t="str">
        <f>IF('VA Sizing'!$C$3="Gas",'10A61 5'!B36,
IF(AND('VA Sizing'!$C$3="Liquid",'10A61 5" Calcs'!Y86&lt;30),CONCATENATE(" ",'10A61 5'!B36),'10A61 5'!B36))</f>
        <v>1/8-08-BG</v>
      </c>
      <c r="F36">
        <f>C36*VLOOKUP('VA Sizing'!$D$12,'Modified Inputs'!$I$8:$J$32,2,FALSE)</f>
        <v>3.5455139519059188E-4</v>
      </c>
      <c r="G36">
        <f t="shared" si="1"/>
        <v>0</v>
      </c>
    </row>
    <row r="37" spans="2:7">
      <c r="B37" s="64" t="s">
        <v>244</v>
      </c>
      <c r="C37" s="133">
        <f>'10A61 5" Calcs'!AD89</f>
        <v>1.854667812103888</v>
      </c>
      <c r="D37" s="133">
        <f t="shared" si="0"/>
        <v>0.18546678121038879</v>
      </c>
      <c r="E37" s="133" t="str">
        <f>IF('VA Sizing'!$C$3="Gas",'10A61 5'!B37,
IF(AND('VA Sizing'!$C$3="Liquid",'10A61 5" Calcs'!Y89&lt;30),CONCATENATE(" ",'10A61 5'!B37),'10A61 5'!B37))</f>
        <v>1/16-12-SA</v>
      </c>
      <c r="F37">
        <f>C37*VLOOKUP('VA Sizing'!$D$12,'Modified Inputs'!$I$8:$J$32,2,FALSE)</f>
        <v>1.1128006872623329E-4</v>
      </c>
      <c r="G37">
        <f t="shared" si="1"/>
        <v>0</v>
      </c>
    </row>
    <row r="38" spans="2:7">
      <c r="B38" s="64" t="s">
        <v>245</v>
      </c>
      <c r="C38" s="133">
        <f>'10A61 5" Calcs'!AD90</f>
        <v>4.1206904003941398</v>
      </c>
      <c r="D38" s="133">
        <f t="shared" si="0"/>
        <v>0.41206904003941397</v>
      </c>
      <c r="E38" s="133" t="str">
        <f>IF('VA Sizing'!$C$3="Gas",'10A61 5'!B38,
IF(AND('VA Sizing'!$C$3="Liquid",'10A61 5" Calcs'!Y90&lt;30),CONCATENATE(" ",'10A61 5'!B38),'10A61 5'!B38))</f>
        <v>1/16-12-SS</v>
      </c>
      <c r="F38">
        <f>C38*VLOOKUP('VA Sizing'!$D$12,'Modified Inputs'!$I$8:$J$32,2,FALSE)</f>
        <v>2.4724142402364837E-4</v>
      </c>
      <c r="G38">
        <f t="shared" si="1"/>
        <v>0</v>
      </c>
    </row>
    <row r="39" spans="2:7">
      <c r="B39" s="64" t="s">
        <v>246</v>
      </c>
      <c r="C39" s="133">
        <f>'10A61 5" Calcs'!AD91</f>
        <v>7.5724919436264342</v>
      </c>
      <c r="D39" s="133">
        <f t="shared" si="0"/>
        <v>0.75724919436264337</v>
      </c>
      <c r="E39" s="133" t="str">
        <f>IF('VA Sizing'!$C$3="Gas",'10A61 5'!B39,
IF(AND('VA Sizing'!$C$3="Liquid",'10A61 5" Calcs'!Y91&lt;30),CONCATENATE(" ",'10A61 5'!B39),'10A61 5'!B39))</f>
        <v>1/16-12-CA</v>
      </c>
      <c r="F39">
        <f>C39*VLOOKUP('VA Sizing'!$D$12,'Modified Inputs'!$I$8:$J$32,2,FALSE)</f>
        <v>4.5434951661758605E-4</v>
      </c>
      <c r="G39">
        <f t="shared" si="1"/>
        <v>0</v>
      </c>
    </row>
    <row r="40" spans="2:7">
      <c r="B40" s="64" t="s">
        <v>247</v>
      </c>
      <c r="C40" s="133">
        <f>'10A61 5" Calcs'!AD92</f>
        <v>8.2971287858319673</v>
      </c>
      <c r="D40" s="133">
        <f t="shared" si="0"/>
        <v>0.82971287858319676</v>
      </c>
      <c r="E40" s="133" t="str">
        <f>IF('VA Sizing'!$C$3="Gas",'10A61 5'!B40,
IF(AND('VA Sizing'!$C$3="Liquid",'10A61 5" Calcs'!Y92&lt;30),CONCATENATE(" ",'10A61 5'!B40),'10A61 5'!B40))</f>
        <v>1/16-12-TA</v>
      </c>
      <c r="F40">
        <f>C40*VLOOKUP('VA Sizing'!$D$12,'Modified Inputs'!$I$8:$J$32,2,FALSE)</f>
        <v>4.9782772714991803E-4</v>
      </c>
      <c r="G40">
        <f t="shared" si="1"/>
        <v>0</v>
      </c>
    </row>
    <row r="41" spans="2:7">
      <c r="B41" s="64" t="s">
        <v>248</v>
      </c>
      <c r="C41" s="133">
        <f>'10A61 5" Calcs'!AD93</f>
        <v>0.98164190010940477</v>
      </c>
      <c r="D41" s="133">
        <f t="shared" si="0"/>
        <v>9.8164190010940483E-2</v>
      </c>
      <c r="E41" s="133" t="str">
        <f>IF('VA Sizing'!$C$3="Gas",'10A61 5'!B41,
IF(AND('VA Sizing'!$C$3="Liquid",'10A61 5" Calcs'!Y93&lt;30),CONCATENATE(" ",'10A61 5'!B41),'10A61 5'!B41))</f>
        <v>1/16-12-BG</v>
      </c>
      <c r="F41">
        <f>C41*VLOOKUP('VA Sizing'!$D$12,'Modified Inputs'!$I$8:$J$32,2,FALSE)</f>
        <v>5.8898514006564285E-5</v>
      </c>
      <c r="G41">
        <f t="shared" si="1"/>
        <v>0</v>
      </c>
    </row>
    <row r="42" spans="2:7">
      <c r="B42" s="64" t="s">
        <v>249</v>
      </c>
      <c r="C42" s="133">
        <f>'10A61 5" Calcs'!AD96</f>
        <v>3.1546182985262772</v>
      </c>
      <c r="D42" s="133">
        <f t="shared" si="0"/>
        <v>0.31546182985262772</v>
      </c>
      <c r="E42" s="133" t="str">
        <f>IF('VA Sizing'!$C$3="Gas",'10A61 5'!B42,
IF(AND('VA Sizing'!$C$3="Liquid",'10A61 5" Calcs'!Y96&lt;30),CONCATENATE(" ",'10A61 5'!B42),'10A61 5'!B42))</f>
        <v>1/16-16-SA</v>
      </c>
      <c r="F42">
        <f>C42*VLOOKUP('VA Sizing'!$D$12,'Modified Inputs'!$I$8:$J$32,2,FALSE)</f>
        <v>1.8927709791157664E-4</v>
      </c>
      <c r="G42">
        <f t="shared" si="1"/>
        <v>0</v>
      </c>
    </row>
    <row r="43" spans="2:7">
      <c r="B43" s="64" t="s">
        <v>250</v>
      </c>
      <c r="C43" s="133">
        <f>'10A61 5" Calcs'!AD97</f>
        <v>6.9065666036889137</v>
      </c>
      <c r="D43" s="133">
        <f t="shared" si="0"/>
        <v>0.6906566603688914</v>
      </c>
      <c r="E43" s="133" t="str">
        <f>IF('VA Sizing'!$C$3="Gas",'10A61 5'!B43,
IF(AND('VA Sizing'!$C$3="Liquid",'10A61 5" Calcs'!Y97&lt;30),CONCATENATE(" ",'10A61 5'!B43),'10A61 5'!B43))</f>
        <v>1/16-16-SS</v>
      </c>
      <c r="F43">
        <f>C43*VLOOKUP('VA Sizing'!$D$12,'Modified Inputs'!$I$8:$J$32,2,FALSE)</f>
        <v>4.1439399622133485E-4</v>
      </c>
      <c r="G43">
        <f t="shared" si="1"/>
        <v>0</v>
      </c>
    </row>
    <row r="44" spans="2:7">
      <c r="B44" s="64" t="s">
        <v>251</v>
      </c>
      <c r="C44" s="133">
        <f>'10A61 5" Calcs'!AD98</f>
        <v>12.411983743981107</v>
      </c>
      <c r="D44" s="133">
        <f t="shared" si="0"/>
        <v>1.2411983743981108</v>
      </c>
      <c r="E44" s="133" t="str">
        <f>IF('VA Sizing'!$C$3="Gas",'10A61 5'!B44,
IF(AND('VA Sizing'!$C$3="Liquid",'10A61 5" Calcs'!Y98&lt;30),CONCATENATE(" ",'10A61 5'!B44),'10A61 5'!B44))</f>
        <v>1/16-16-CA</v>
      </c>
      <c r="F44">
        <f>C44*VLOOKUP('VA Sizing'!$D$12,'Modified Inputs'!$I$8:$J$32,2,FALSE)</f>
        <v>7.4471902463886649E-4</v>
      </c>
      <c r="G44">
        <f t="shared" si="1"/>
        <v>0</v>
      </c>
    </row>
    <row r="45" spans="2:7">
      <c r="B45" s="64" t="s">
        <v>252</v>
      </c>
      <c r="C45" s="133">
        <f>'10A61 5" Calcs'!AD99</f>
        <v>13.533626512649448</v>
      </c>
      <c r="D45" s="133">
        <f t="shared" si="0"/>
        <v>1.3533626512649448</v>
      </c>
      <c r="E45" s="133" t="str">
        <f>IF('VA Sizing'!$C$3="Gas",'10A61 5'!B45,
IF(AND('VA Sizing'!$C$3="Liquid",'10A61 5" Calcs'!Y99&lt;30),CONCATENATE(" ",'10A61 5'!B45),'10A61 5'!B45))</f>
        <v>1/16-16-TA</v>
      </c>
      <c r="F45">
        <f>C45*VLOOKUP('VA Sizing'!$D$12,'Modified Inputs'!$I$8:$J$32,2,FALSE)</f>
        <v>8.1201759075896687E-4</v>
      </c>
      <c r="G45">
        <f t="shared" si="1"/>
        <v>0</v>
      </c>
    </row>
    <row r="46" spans="2:7">
      <c r="B46" s="64" t="s">
        <v>253</v>
      </c>
      <c r="C46" s="133">
        <f>'10A61 5" Calcs'!AD100</f>
        <v>1.6791850564104349</v>
      </c>
      <c r="D46" s="133">
        <f t="shared" si="0"/>
        <v>0.16791850564104349</v>
      </c>
      <c r="E46" s="133" t="str">
        <f>IF('VA Sizing'!$C$3="Gas",'10A61 5'!B46,
IF(AND('VA Sizing'!$C$3="Liquid",'10A61 5" Calcs'!Y100&lt;30),CONCATENATE(" ",'10A61 5'!B46),'10A61 5'!B46))</f>
        <v>1/16-16-BG</v>
      </c>
      <c r="F46">
        <f>C46*VLOOKUP('VA Sizing'!$D$12,'Modified Inputs'!$I$8:$J$32,2,FALSE)</f>
        <v>1.0075110338462609E-4</v>
      </c>
      <c r="G46">
        <f t="shared" si="1"/>
        <v>0</v>
      </c>
    </row>
    <row r="47" spans="2:7">
      <c r="B47" s="64" t="s">
        <v>254</v>
      </c>
      <c r="C47" s="133">
        <f>'10A61 5" Calcs'!AD103</f>
        <v>4.8217572167454827</v>
      </c>
      <c r="D47" s="133">
        <f t="shared" si="0"/>
        <v>0.48217572167454825</v>
      </c>
      <c r="E47" s="133" t="str">
        <f>IF('VA Sizing'!$C$3="Gas",'10A61 5'!B47,
IF(AND('VA Sizing'!$C$3="Liquid",'10A61 5" Calcs'!Y103&lt;30),CONCATENATE(" ",'10A61 5'!B47),'10A61 5'!B47))</f>
        <v>1/16-20-SA</v>
      </c>
      <c r="F47">
        <f>C47*VLOOKUP('VA Sizing'!$D$12,'Modified Inputs'!$I$8:$J$32,2,FALSE)</f>
        <v>2.8930543300472898E-4</v>
      </c>
      <c r="G47">
        <f t="shared" si="1"/>
        <v>0</v>
      </c>
    </row>
    <row r="48" spans="2:7">
      <c r="B48" s="64" t="s">
        <v>255</v>
      </c>
      <c r="C48" s="133">
        <f>'10A61 5" Calcs'!AD104</f>
        <v>10.359112844299908</v>
      </c>
      <c r="D48" s="133">
        <f t="shared" si="0"/>
        <v>1.0359112844299907</v>
      </c>
      <c r="E48" s="133" t="str">
        <f>IF('VA Sizing'!$C$3="Gas",'10A61 5'!B48,
IF(AND('VA Sizing'!$C$3="Liquid",'10A61 5" Calcs'!Y104&lt;30),CONCATENATE(" ",'10A61 5'!B48),'10A61 5'!B48))</f>
        <v>1/16-20-SS</v>
      </c>
      <c r="F48">
        <f>C48*VLOOKUP('VA Sizing'!$D$12,'Modified Inputs'!$I$8:$J$32,2,FALSE)</f>
        <v>6.2154677065799451E-4</v>
      </c>
      <c r="G48">
        <f t="shared" si="1"/>
        <v>0</v>
      </c>
    </row>
    <row r="49" spans="2:7">
      <c r="B49" s="64" t="s">
        <v>256</v>
      </c>
      <c r="C49" s="133">
        <f>'10A61 5" Calcs'!AD105</f>
        <v>18.330774128789326</v>
      </c>
      <c r="D49" s="133">
        <f t="shared" si="0"/>
        <v>1.8330774128789327</v>
      </c>
      <c r="E49" s="133" t="str">
        <f>IF('VA Sizing'!$C$3="Gas",'10A61 5'!B49,
IF(AND('VA Sizing'!$C$3="Liquid",'10A61 5" Calcs'!Y105&lt;30),CONCATENATE(" ",'10A61 5'!B49),'10A61 5'!B49))</f>
        <v>1/16-20-CA</v>
      </c>
      <c r="F49">
        <f>C49*VLOOKUP('VA Sizing'!$D$12,'Modified Inputs'!$I$8:$J$32,2,FALSE)</f>
        <v>1.0998464477273596E-3</v>
      </c>
      <c r="G49">
        <f t="shared" si="1"/>
        <v>0</v>
      </c>
    </row>
    <row r="50" spans="2:7">
      <c r="B50" s="64" t="s">
        <v>257</v>
      </c>
      <c r="C50" s="133">
        <f>'10A61 5" Calcs'!AD106</f>
        <v>19.597790886172689</v>
      </c>
      <c r="D50" s="133">
        <f t="shared" si="0"/>
        <v>1.9597790886172688</v>
      </c>
      <c r="E50" s="133" t="str">
        <f>IF('VA Sizing'!$C$3="Gas",'10A61 5'!B50,
IF(AND('VA Sizing'!$C$3="Liquid",'10A61 5" Calcs'!Y106&lt;30),CONCATENATE(" ",'10A61 5'!B50),'10A61 5'!B50))</f>
        <v>1/16-20-TA</v>
      </c>
      <c r="F50">
        <f>C50*VLOOKUP('VA Sizing'!$D$12,'Modified Inputs'!$I$8:$J$32,2,FALSE)</f>
        <v>1.1758674531703614E-3</v>
      </c>
      <c r="G50">
        <f t="shared" si="1"/>
        <v>0</v>
      </c>
    </row>
    <row r="51" spans="2:7">
      <c r="B51" s="64" t="s">
        <v>258</v>
      </c>
      <c r="C51" s="133">
        <f>'10A61 5" Calcs'!AD107</f>
        <v>2.58536585191416</v>
      </c>
      <c r="D51" s="133">
        <f t="shared" si="0"/>
        <v>0.25853658519141598</v>
      </c>
      <c r="E51" s="133" t="str">
        <f>IF('VA Sizing'!$C$3="Gas",'10A61 5'!B51,
IF(AND('VA Sizing'!$C$3="Liquid",'10A61 5" Calcs'!Y107&lt;30),CONCATENATE(" ",'10A61 5'!B51),'10A61 5'!B51))</f>
        <v>1/16-20-BG</v>
      </c>
      <c r="F51">
        <f>C51*VLOOKUP('VA Sizing'!$D$12,'Modified Inputs'!$I$8:$J$32,2,FALSE)</f>
        <v>1.5512195111484959E-4</v>
      </c>
      <c r="G51">
        <f t="shared" si="1"/>
        <v>0</v>
      </c>
    </row>
    <row r="52" spans="2:7">
      <c r="B52" s="133" t="s">
        <v>203</v>
      </c>
      <c r="C52" s="133">
        <f>'10A61 5" Calcs'!AP47</f>
        <v>66.739351799670231</v>
      </c>
      <c r="D52" s="133">
        <f t="shared" si="0"/>
        <v>6.6739351799670228</v>
      </c>
      <c r="E52" s="133" t="str">
        <f>IF('VA Sizing'!$C$3="Gas",'10A61 5'!B52,
IF(AND('VA Sizing'!$C$3="Liquid",'10A61 5" Calcs'!AK47&lt;30),CONCATENATE(" ",'10A61 5'!B52),'10A61 5'!B52))</f>
        <v>1/8-25-SA</v>
      </c>
      <c r="F52">
        <f>C52*VLOOKUP('VA Sizing'!$D$12,'Modified Inputs'!$I$8:$J$32,2,FALSE)</f>
        <v>4.0043611079802139E-3</v>
      </c>
      <c r="G52">
        <f t="shared" si="1"/>
        <v>0</v>
      </c>
    </row>
    <row r="53" spans="2:7">
      <c r="B53" s="133" t="s">
        <v>204</v>
      </c>
      <c r="C53" s="133">
        <f>'10A61 5" Calcs'!AP48</f>
        <v>110.54604033879055</v>
      </c>
      <c r="D53" s="133">
        <f t="shared" si="0"/>
        <v>11.054604033879055</v>
      </c>
      <c r="E53" s="133" t="str">
        <f>IF('VA Sizing'!$C$3="Gas",'10A61 5'!B53,
IF(AND('VA Sizing'!$C$3="Liquid",'10A61 5" Calcs'!AK48&lt;30),CONCATENATE(" ",'10A61 5'!B53),'10A61 5'!B53))</f>
        <v>1/8-25-SS</v>
      </c>
      <c r="F53">
        <f>C53*VLOOKUP('VA Sizing'!$D$12,'Modified Inputs'!$I$8:$J$32,2,FALSE)</f>
        <v>6.632762420327433E-3</v>
      </c>
      <c r="G53">
        <f t="shared" si="1"/>
        <v>0.01</v>
      </c>
    </row>
    <row r="54" spans="2:7">
      <c r="B54" s="133" t="s">
        <v>205</v>
      </c>
      <c r="C54" s="133">
        <f>'10A61 5" Calcs'!AP49</f>
        <v>163.46424760378716</v>
      </c>
      <c r="D54" s="133">
        <f t="shared" si="0"/>
        <v>16.346424760378717</v>
      </c>
      <c r="E54" s="133" t="str">
        <f>IF('VA Sizing'!$C$3="Gas",'10A61 5'!B54,
IF(AND('VA Sizing'!$C$3="Liquid",'10A61 5" Calcs'!AK49&lt;30),CONCATENATE(" ",'10A61 5'!B54),'10A61 5'!B54))</f>
        <v>1/8-25-CA</v>
      </c>
      <c r="F54">
        <f>C54*VLOOKUP('VA Sizing'!$D$12,'Modified Inputs'!$I$8:$J$32,2,FALSE)</f>
        <v>9.8078548562272293E-3</v>
      </c>
      <c r="G54">
        <f t="shared" si="1"/>
        <v>0.01</v>
      </c>
    </row>
    <row r="55" spans="2:7">
      <c r="B55" s="133" t="s">
        <v>206</v>
      </c>
      <c r="C55" s="133">
        <f>'10A61 5" Calcs'!AP50</f>
        <v>173.77216507476652</v>
      </c>
      <c r="D55" s="133">
        <f t="shared" si="0"/>
        <v>17.377216507476653</v>
      </c>
      <c r="E55" s="133" t="str">
        <f>IF('VA Sizing'!$C$3="Gas",'10A61 5'!B55,
IF(AND('VA Sizing'!$C$3="Liquid",'10A61 5" Calcs'!AK50&lt;30),CONCATENATE(" ",'10A61 5'!B55),'10A61 5'!B55))</f>
        <v>1/8-25-TA</v>
      </c>
      <c r="F55">
        <f>C55*VLOOKUP('VA Sizing'!$D$12,'Modified Inputs'!$I$8:$J$32,2,FALSE)</f>
        <v>1.0426329904485991E-2</v>
      </c>
      <c r="G55">
        <f t="shared" si="1"/>
        <v>0.01</v>
      </c>
    </row>
    <row r="56" spans="2:7">
      <c r="B56" s="133" t="s">
        <v>207</v>
      </c>
      <c r="C56" s="133">
        <f>'10A61 5" Calcs'!AP51</f>
        <v>43.729371174726758</v>
      </c>
      <c r="D56" s="133">
        <f t="shared" si="0"/>
        <v>4.3729371174726754</v>
      </c>
      <c r="E56" s="133" t="str">
        <f>IF('VA Sizing'!$C$3="Gas",'10A61 5'!B56,
IF(AND('VA Sizing'!$C$3="Liquid",'10A61 5" Calcs'!AK51&lt;30),CONCATENATE(" ",'10A61 5'!B56),'10A61 5'!B56))</f>
        <v>1/8-25-BG</v>
      </c>
      <c r="F56">
        <f>C56*VLOOKUP('VA Sizing'!$D$12,'Modified Inputs'!$I$8:$J$32,2,FALSE)</f>
        <v>2.6237622704836055E-3</v>
      </c>
      <c r="G56">
        <f t="shared" si="1"/>
        <v>0</v>
      </c>
    </row>
    <row r="57" spans="2:7">
      <c r="B57" s="133" t="s">
        <v>84</v>
      </c>
      <c r="C57" s="133">
        <f>'10A61 5" Calcs'!AP54</f>
        <v>49.188768707643014</v>
      </c>
      <c r="D57" s="133">
        <f t="shared" si="0"/>
        <v>4.9188768707643016</v>
      </c>
      <c r="E57" s="133" t="str">
        <f>IF('VA Sizing'!$C$3="Gas",'10A61 5'!B57,
IF(AND('VA Sizing'!$C$3="Liquid",'10A61 5" Calcs'!AK54&lt;30),CONCATENATE(" ",'10A61 5'!B57),'10A61 5'!B57))</f>
        <v>1/8-20-SA</v>
      </c>
      <c r="F57">
        <f>C57*VLOOKUP('VA Sizing'!$D$12,'Modified Inputs'!$I$8:$J$32,2,FALSE)</f>
        <v>2.9513261224585808E-3</v>
      </c>
      <c r="G57">
        <f t="shared" si="1"/>
        <v>0</v>
      </c>
    </row>
    <row r="58" spans="2:7">
      <c r="B58" s="133" t="s">
        <v>85</v>
      </c>
      <c r="C58" s="133">
        <f>'10A61 5" Calcs'!AP55</f>
        <v>81.726183334333783</v>
      </c>
      <c r="D58" s="133">
        <f t="shared" si="0"/>
        <v>8.1726183334333786</v>
      </c>
      <c r="E58" s="133" t="str">
        <f>IF('VA Sizing'!$C$3="Gas",'10A61 5'!B58,
IF(AND('VA Sizing'!$C$3="Liquid",'10A61 5" Calcs'!AK55&lt;30),CONCATENATE(" ",'10A61 5'!B58),'10A61 5'!B58))</f>
        <v>1/8-20-SS</v>
      </c>
      <c r="F58">
        <f>C58*VLOOKUP('VA Sizing'!$D$12,'Modified Inputs'!$I$8:$J$32,2,FALSE)</f>
        <v>4.9035710000600273E-3</v>
      </c>
      <c r="G58">
        <f t="shared" si="1"/>
        <v>0</v>
      </c>
    </row>
    <row r="59" spans="2:7">
      <c r="B59" s="133" t="s">
        <v>86</v>
      </c>
      <c r="C59" s="133">
        <f>'10A61 5" Calcs'!AP56</f>
        <v>122.54914590761311</v>
      </c>
      <c r="D59" s="133">
        <f t="shared" si="0"/>
        <v>12.254914590761311</v>
      </c>
      <c r="E59" s="133" t="str">
        <f>IF('VA Sizing'!$C$3="Gas",'10A61 5'!B59,
IF(AND('VA Sizing'!$C$3="Liquid",'10A61 5" Calcs'!AK56&lt;30),CONCATENATE(" ",'10A61 5'!B59),'10A61 5'!B59))</f>
        <v>1/8-20-CA</v>
      </c>
      <c r="F59">
        <f>C59*VLOOKUP('VA Sizing'!$D$12,'Modified Inputs'!$I$8:$J$32,2,FALSE)</f>
        <v>7.3529487544567868E-3</v>
      </c>
      <c r="G59">
        <f t="shared" si="1"/>
        <v>0.01</v>
      </c>
    </row>
    <row r="60" spans="2:7">
      <c r="B60" s="133" t="s">
        <v>87</v>
      </c>
      <c r="C60" s="133">
        <f>'10A61 5" Calcs'!AP57</f>
        <v>130.54576787140556</v>
      </c>
      <c r="D60" s="133">
        <f t="shared" si="0"/>
        <v>13.054576787140556</v>
      </c>
      <c r="E60" s="133" t="str">
        <f>IF('VA Sizing'!$C$3="Gas",'10A61 5'!B60,
IF(AND('VA Sizing'!$C$3="Liquid",'10A61 5" Calcs'!AK57&lt;30),CONCATENATE(" ",'10A61 5'!B60),'10A61 5'!B60))</f>
        <v>1/8-20-TA</v>
      </c>
      <c r="F60">
        <f>C60*VLOOKUP('VA Sizing'!$D$12,'Modified Inputs'!$I$8:$J$32,2,FALSE)</f>
        <v>7.8327460722843346E-3</v>
      </c>
      <c r="G60">
        <f t="shared" si="1"/>
        <v>0.01</v>
      </c>
    </row>
    <row r="61" spans="2:7">
      <c r="B61" s="133" t="s">
        <v>81</v>
      </c>
      <c r="C61" s="133">
        <f>'10A61 5" Calcs'!AP58</f>
        <v>31.581915291593891</v>
      </c>
      <c r="D61" s="133">
        <f t="shared" si="0"/>
        <v>3.1581915291593892</v>
      </c>
      <c r="E61" s="133" t="str">
        <f>IF('VA Sizing'!$C$3="Gas",'10A61 5'!B61,
IF(AND('VA Sizing'!$C$3="Liquid",'10A61 5" Calcs'!AK58&lt;30),CONCATENATE(" ",'10A61 5'!B61),'10A61 5'!B61))</f>
        <v>1/8-20-BG</v>
      </c>
      <c r="F61">
        <f>C61*VLOOKUP('VA Sizing'!$D$12,'Modified Inputs'!$I$8:$J$32,2,FALSE)</f>
        <v>1.8949149174956334E-3</v>
      </c>
      <c r="G61">
        <f t="shared" si="1"/>
        <v>0</v>
      </c>
    </row>
    <row r="62" spans="2:7">
      <c r="B62" s="133" t="s">
        <v>210</v>
      </c>
      <c r="C62" s="133">
        <f>'10A61 5" Calcs'!AP61</f>
        <v>34.44895025588432</v>
      </c>
      <c r="D62" s="133">
        <f t="shared" si="0"/>
        <v>3.4448950255884321</v>
      </c>
      <c r="E62" s="133" t="str">
        <f>IF('VA Sizing'!$C$3="Gas",'10A61 5'!B62,
IF(AND('VA Sizing'!$C$3="Liquid",'10A61 5" Calcs'!AK61&lt;30),CONCATENATE(" ",'10A61 5'!B62),'10A61 5'!B62))</f>
        <v>1/8-16-SA</v>
      </c>
      <c r="F62">
        <f>C62*VLOOKUP('VA Sizing'!$D$12,'Modified Inputs'!$I$8:$J$32,2,FALSE)</f>
        <v>2.0669370153530591E-3</v>
      </c>
      <c r="G62">
        <f t="shared" si="1"/>
        <v>0</v>
      </c>
    </row>
    <row r="63" spans="2:7">
      <c r="B63" s="133" t="s">
        <v>211</v>
      </c>
      <c r="C63" s="133">
        <f>'10A61 5" Calcs'!AP62</f>
        <v>58.702305648285346</v>
      </c>
      <c r="D63" s="133">
        <f t="shared" si="0"/>
        <v>5.8702305648285344</v>
      </c>
      <c r="E63" s="133" t="str">
        <f>IF('VA Sizing'!$C$3="Gas",'10A61 5'!B63,
IF(AND('VA Sizing'!$C$3="Liquid",'10A61 5" Calcs'!AK62&lt;30),CONCATENATE(" ",'10A61 5'!B63),'10A61 5'!B63))</f>
        <v>1/8-16-SS</v>
      </c>
      <c r="F63">
        <f>C63*VLOOKUP('VA Sizing'!$D$12,'Modified Inputs'!$I$8:$J$32,2,FALSE)</f>
        <v>3.522138338897121E-3</v>
      </c>
      <c r="G63">
        <f t="shared" si="1"/>
        <v>0</v>
      </c>
    </row>
    <row r="64" spans="2:7">
      <c r="B64" s="133" t="s">
        <v>212</v>
      </c>
      <c r="C64" s="133">
        <f>'10A61 5" Calcs'!AP63</f>
        <v>89.565273182242592</v>
      </c>
      <c r="D64" s="133">
        <f t="shared" si="0"/>
        <v>8.9565273182242588</v>
      </c>
      <c r="E64" s="133" t="str">
        <f>IF('VA Sizing'!$C$3="Gas",'10A61 5'!B64,
IF(AND('VA Sizing'!$C$3="Liquid",'10A61 5" Calcs'!AK63&lt;30),CONCATENATE(" ",'10A61 5'!B64),'10A61 5'!B64))</f>
        <v>1/8-16-CA</v>
      </c>
      <c r="F64">
        <f>C64*VLOOKUP('VA Sizing'!$D$12,'Modified Inputs'!$I$8:$J$32,2,FALSE)</f>
        <v>5.3739163909345558E-3</v>
      </c>
      <c r="G64">
        <f t="shared" si="1"/>
        <v>0.01</v>
      </c>
    </row>
    <row r="65" spans="2:7">
      <c r="B65" s="133" t="s">
        <v>213</v>
      </c>
      <c r="C65" s="133">
        <f>'10A61 5" Calcs'!AP64</f>
        <v>95.649710292951596</v>
      </c>
      <c r="D65" s="133">
        <f t="shared" si="0"/>
        <v>9.56497102929516</v>
      </c>
      <c r="E65" s="133" t="str">
        <f>IF('VA Sizing'!$C$3="Gas",'10A61 5'!B65,
IF(AND('VA Sizing'!$C$3="Liquid",'10A61 5" Calcs'!AK64&lt;30),CONCATENATE(" ",'10A61 5'!B65),'10A61 5'!B65))</f>
        <v>1/8-16-TA</v>
      </c>
      <c r="F65">
        <f>C65*VLOOKUP('VA Sizing'!$D$12,'Modified Inputs'!$I$8:$J$32,2,FALSE)</f>
        <v>5.7389826175770963E-3</v>
      </c>
      <c r="G65">
        <f t="shared" si="1"/>
        <v>0.01</v>
      </c>
    </row>
    <row r="66" spans="2:7">
      <c r="B66" s="133" t="s">
        <v>214</v>
      </c>
      <c r="C66" s="133">
        <f>'10A61 5" Calcs'!AP65</f>
        <v>22.681266315760325</v>
      </c>
      <c r="D66" s="133">
        <f t="shared" si="0"/>
        <v>2.2681266315760324</v>
      </c>
      <c r="E66" s="133" t="str">
        <f>IF('VA Sizing'!$C$3="Gas",'10A61 5'!B66,
IF(AND('VA Sizing'!$C$3="Liquid",'10A61 5" Calcs'!AK65&lt;30),CONCATENATE(" ",'10A61 5'!B66),'10A61 5'!B66))</f>
        <v>1/8-16-BG</v>
      </c>
      <c r="F66">
        <f>C66*VLOOKUP('VA Sizing'!$D$12,'Modified Inputs'!$I$8:$J$32,2,FALSE)</f>
        <v>1.3608759789456196E-3</v>
      </c>
      <c r="G66">
        <f t="shared" si="1"/>
        <v>0</v>
      </c>
    </row>
    <row r="67" spans="2:7">
      <c r="B67" s="133" t="s">
        <v>301</v>
      </c>
      <c r="C67" s="133">
        <f>'10A61 10"+6" Calcs'!T38</f>
        <v>584.51977200265299</v>
      </c>
      <c r="D67" s="133">
        <f t="shared" si="0"/>
        <v>58.451977200265297</v>
      </c>
      <c r="E67" s="133" t="str">
        <f>IF('VA Sizing'!$C$3="Gas",'10A61 5'!B67,
IF(AND('VA Sizing'!$C$3="Liquid",'10A61 10"+6" Calcs'!$L$8&gt;60),CONCATENATE(" ",'10A61 5'!B67),'10A61 5'!B67))</f>
        <v>1/4-40-G-6-BG</v>
      </c>
      <c r="F67">
        <f>C67*VLOOKUP('VA Sizing'!$D$12,'Modified Inputs'!$I$8:$J$32,2,FALSE)</f>
        <v>3.5071186320159181E-2</v>
      </c>
      <c r="G67">
        <f t="shared" si="1"/>
        <v>0.04</v>
      </c>
    </row>
    <row r="68" spans="2:7">
      <c r="B68" s="133" t="s">
        <v>302</v>
      </c>
      <c r="C68" s="133">
        <f>'10A61 10"+6" Calcs'!T39</f>
        <v>851.94885216100147</v>
      </c>
      <c r="D68" s="133">
        <f t="shared" ref="D68:D72" si="4">C68/10</f>
        <v>85.194885216100147</v>
      </c>
      <c r="E68" s="133" t="str">
        <f>IF('VA Sizing'!$C$3="Gas",'10A61 5'!B68,
IF(AND('VA Sizing'!$C$3="Liquid",'10A61 10"+6" Calcs'!$L$8&gt;60),CONCATENATE(" ",'10A61 5'!B68),'10A61 5'!B68))</f>
        <v>1/4-40-G-6-SA</v>
      </c>
      <c r="F68">
        <f>C68*VLOOKUP('VA Sizing'!$D$12,'Modified Inputs'!$I$8:$J$32,2,FALSE)</f>
        <v>5.1116931129660093E-2</v>
      </c>
      <c r="G68">
        <f t="shared" ref="G68:G72" si="5">IF(F68&lt;0.99999,ROUND(F68,2),
IF(F68&lt;9.999,ROUND(F68,2),
IF(F68&lt;99.99,ROUND(F68,1),
IF(F68&lt;999.99,ROUND(F68,0),
IF(F68&lt;9999.99,ROUND(F68,-1),
IF(F68&lt;99999,ROUND(F68,-2),ROUND(F68,2)))))))</f>
        <v>0.05</v>
      </c>
    </row>
    <row r="69" spans="2:7">
      <c r="B69" s="133" t="s">
        <v>303</v>
      </c>
      <c r="C69" s="133">
        <f>'10A61 10"+6" Calcs'!T40</f>
        <v>1367.5097634425938</v>
      </c>
      <c r="D69" s="133">
        <f t="shared" si="4"/>
        <v>136.75097634425939</v>
      </c>
      <c r="E69" s="133" t="str">
        <f>IF('VA Sizing'!$C$3="Gas",'10A61 5'!B69,
IF(AND('VA Sizing'!$C$3="Liquid",'10A61 10"+6" Calcs'!$L$8&gt;60),CONCATENATE(" ",'10A61 5'!B69),'10A61 5'!B69))</f>
        <v>1/4-40-G-6-SS</v>
      </c>
      <c r="F69">
        <f>C69*VLOOKUP('VA Sizing'!$D$12,'Modified Inputs'!$I$8:$J$32,2,FALSE)</f>
        <v>8.2050585806555623E-2</v>
      </c>
      <c r="G69">
        <f t="shared" si="5"/>
        <v>0.08</v>
      </c>
    </row>
    <row r="70" spans="2:7">
      <c r="B70" s="133" t="s">
        <v>304</v>
      </c>
      <c r="C70" s="133">
        <f>'10A61 10"+6" Calcs'!T41</f>
        <v>1981.4364981126805</v>
      </c>
      <c r="D70" s="133">
        <f t="shared" si="4"/>
        <v>198.14364981126806</v>
      </c>
      <c r="E70" s="133" t="str">
        <f>IF('VA Sizing'!$C$3="Gas",'10A61 5'!B70,
IF(AND('VA Sizing'!$C$3="Liquid",'10A61 10"+6" Calcs'!$L$8&gt;60),CONCATENATE(" ",'10A61 5'!B70),'10A61 5'!B70))</f>
        <v>1/4-40-G-6-CA</v>
      </c>
      <c r="F70">
        <f>C70*VLOOKUP('VA Sizing'!$D$12,'Modified Inputs'!$I$8:$J$32,2,FALSE)</f>
        <v>0.11888618988676083</v>
      </c>
      <c r="G70">
        <f t="shared" si="5"/>
        <v>0.12</v>
      </c>
    </row>
    <row r="71" spans="2:7">
      <c r="B71" s="133" t="s">
        <v>305</v>
      </c>
      <c r="C71" s="133">
        <f>'10A61 10"+6" Calcs'!T42</f>
        <v>2098.6026329148735</v>
      </c>
      <c r="D71" s="133">
        <f t="shared" si="4"/>
        <v>209.86026329148734</v>
      </c>
      <c r="E71" s="133" t="str">
        <f>IF('VA Sizing'!$C$3="Gas",'10A61 5'!B71,
IF(AND('VA Sizing'!$C$3="Liquid",'10A61 10"+6" Calcs'!$L$8&gt;60),CONCATENATE(" ",'10A61 5'!B71),'10A61 5'!B71))</f>
        <v>1/4-40-G-6-TA</v>
      </c>
      <c r="F71">
        <f>C71*VLOOKUP('VA Sizing'!$D$12,'Modified Inputs'!$I$8:$J$32,2,FALSE)</f>
        <v>0.12591615797489242</v>
      </c>
      <c r="G71">
        <f t="shared" si="5"/>
        <v>0.13</v>
      </c>
    </row>
    <row r="72" spans="2:7">
      <c r="B72" s="149" t="s">
        <v>911</v>
      </c>
      <c r="C72" s="1">
        <f>'10A61 10"+6" Calcs'!T43</f>
        <v>524.87310836099834</v>
      </c>
      <c r="D72" s="149">
        <f t="shared" si="4"/>
        <v>52.487310836099837</v>
      </c>
      <c r="E72" s="149" t="str">
        <f>IF('VA Sizing'!$C$3="Gas",'10A61 5'!B72,
IF(AND('VA Sizing'!$C$3="Liquid",'10A61 10"+6" Calcs'!$L$8&gt;60),CONCATENATE(" ",'10A61 5'!B72),'10A61 5'!B72))</f>
        <v>1/4-40-G-6-CD</v>
      </c>
      <c r="F72">
        <f>C72*VLOOKUP('VA Sizing'!$D$12,'Modified Inputs'!$I$8:$J$32,2,FALSE)</f>
        <v>3.1492386501659898E-2</v>
      </c>
      <c r="G72">
        <f t="shared" si="5"/>
        <v>0.03</v>
      </c>
    </row>
  </sheetData>
  <mergeCells count="1">
    <mergeCell ref="H11:I11"/>
  </mergeCells>
  <conditionalFormatting sqref="H13">
    <cfRule type="expression" dxfId="18" priority="4">
      <formula>LEFT($H$13,1)=" "</formula>
    </cfRule>
  </conditionalFormatting>
  <conditionalFormatting sqref="H14">
    <cfRule type="expression" dxfId="17" priority="3">
      <formula>LEFT($H$14,1)=" "</formula>
    </cfRule>
  </conditionalFormatting>
  <conditionalFormatting sqref="H15">
    <cfRule type="expression" dxfId="16" priority="2">
      <formula>LEFT($H$15,1)=" "</formula>
    </cfRule>
  </conditionalFormatting>
  <conditionalFormatting sqref="H16">
    <cfRule type="expression" dxfId="15" priority="1">
      <formula>LEFT($H$16,1)=" "</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B2:P39"/>
  <sheetViews>
    <sheetView topLeftCell="A6" workbookViewId="0">
      <selection activeCell="I11" sqref="I11"/>
    </sheetView>
  </sheetViews>
  <sheetFormatPr defaultRowHeight="15"/>
  <cols>
    <col min="2" max="2" width="12" bestFit="1" customWidth="1"/>
    <col min="3" max="3" width="16.140625" bestFit="1" customWidth="1"/>
    <col min="4" max="4" width="18.5703125" bestFit="1" customWidth="1"/>
    <col min="6" max="6" width="16.140625" bestFit="1" customWidth="1"/>
    <col min="7" max="7" width="23.85546875" bestFit="1" customWidth="1"/>
    <col min="8" max="8" width="11" bestFit="1" customWidth="1"/>
    <col min="9" max="9" width="15.5703125" bestFit="1" customWidth="1"/>
    <col min="10" max="10" width="22.7109375" bestFit="1" customWidth="1"/>
    <col min="15" max="15" width="12.85546875" bestFit="1" customWidth="1"/>
    <col min="16" max="16" width="13.42578125" bestFit="1" customWidth="1"/>
  </cols>
  <sheetData>
    <row r="2" spans="2:16">
      <c r="B2" s="66"/>
      <c r="C2" s="66"/>
    </row>
    <row r="3" spans="2:16">
      <c r="C3" s="134" t="s">
        <v>58</v>
      </c>
      <c r="D3" s="134" t="s">
        <v>55</v>
      </c>
      <c r="E3" s="134" t="s">
        <v>259</v>
      </c>
      <c r="F3" s="134" t="s">
        <v>58</v>
      </c>
      <c r="G3" s="138" t="s">
        <v>346</v>
      </c>
      <c r="H3" s="138" t="s">
        <v>730</v>
      </c>
    </row>
    <row r="4" spans="2:16">
      <c r="C4" s="133" t="s">
        <v>306</v>
      </c>
      <c r="D4" s="133">
        <f>'10A61 10"+6" Calcs'!Q8</f>
        <v>5.7844216061187579</v>
      </c>
      <c r="E4" s="133">
        <f>D4/10</f>
        <v>0.57844216061187581</v>
      </c>
      <c r="F4" s="133" t="str">
        <f>IF('VA Sizing'!$C$3="Gas",C4,
IF(AND('VA Sizing'!$C$3="Liquid",'10A61 10"+6" Calcs'!L8&gt;10),CONCATENATE(" ",'10A61 10'!C4),'10A61 10'!C4))</f>
        <v>1/8-077-G-10-BG</v>
      </c>
      <c r="G4">
        <f>D4*VLOOKUP('VA Sizing'!$D$12,'Modified Inputs'!$I$8:$J$32,2,FALSE)</f>
        <v>3.4706529636712547E-4</v>
      </c>
      <c r="H4">
        <f>IF(G4&lt;0.99999,ROUND(G4,2),
IF(G4&lt;9.999,ROUND(G4,2),
IF(G4&lt;99.99,ROUND(G4,1),
IF(G4&lt;999.99,ROUND(G4,0),
IF(G4&lt;9999.99,ROUND(G4,-1),
IF(G4&lt;99999,ROUND(G4,-2),ROUND(G4,2)))))))</f>
        <v>0</v>
      </c>
    </row>
    <row r="5" spans="2:16">
      <c r="C5" s="133" t="s">
        <v>307</v>
      </c>
      <c r="D5" s="133">
        <f>'10A61 10"+6" Calcs'!Q9</f>
        <v>10.017589535725875</v>
      </c>
      <c r="E5" s="133">
        <f t="shared" ref="E5:E39" si="0">D5/10</f>
        <v>1.0017589535725875</v>
      </c>
      <c r="F5" s="133" t="str">
        <f>IF('VA Sizing'!$C$3="Gas",C5,
IF(AND('VA Sizing'!$C$3="Liquid",'10A61 10"+6" Calcs'!L9&gt;10),CONCATENATE(" ",'10A61 10'!C5),'10A61 10'!C5))</f>
        <v>1/8-077-G-10-SA</v>
      </c>
      <c r="G5">
        <f>D5*VLOOKUP('VA Sizing'!$D$12,'Modified Inputs'!$I$8:$J$32,2,FALSE)</f>
        <v>6.0105537214355249E-4</v>
      </c>
      <c r="H5">
        <f t="shared" ref="H5:H38" si="1">IF(G5&lt;0.99999,ROUND(G5,2),
IF(G5&lt;9.999,ROUND(G5,2),
IF(G5&lt;99.99,ROUND(G5,1),
IF(G5&lt;999.99,ROUND(G5,0),
IF(G5&lt;9999.99,ROUND(G5,-1),
IF(G5&lt;99999,ROUND(G5,-2),ROUND(G5,2)))))))</f>
        <v>0</v>
      </c>
    </row>
    <row r="6" spans="2:16">
      <c r="C6" s="133" t="s">
        <v>308</v>
      </c>
      <c r="D6" s="133">
        <f>'10A61 10"+6" Calcs'!Q10</f>
        <v>19.76115581750474</v>
      </c>
      <c r="E6" s="133">
        <f t="shared" si="0"/>
        <v>1.9761155817504741</v>
      </c>
      <c r="F6" s="133" t="str">
        <f>IF('VA Sizing'!$C$3="Gas",C6,
IF(AND('VA Sizing'!$C$3="Liquid",'10A61 10"+6" Calcs'!L10&gt;10),CONCATENATE(" ",'10A61 10'!C6),'10A61 10'!C6))</f>
        <v>1/8-077-G-10-SS</v>
      </c>
      <c r="G6">
        <f>D6*VLOOKUP('VA Sizing'!$D$12,'Modified Inputs'!$I$8:$J$32,2,FALSE)</f>
        <v>1.1856693490502844E-3</v>
      </c>
      <c r="H6">
        <f t="shared" si="1"/>
        <v>0</v>
      </c>
    </row>
    <row r="7" spans="2:16">
      <c r="C7" s="133" t="s">
        <v>309</v>
      </c>
      <c r="D7" s="133">
        <f>'10A61 10"+6" Calcs'!Q11</f>
        <v>33.134861666380111</v>
      </c>
      <c r="E7" s="133">
        <f t="shared" si="0"/>
        <v>3.3134861666380111</v>
      </c>
      <c r="F7" s="133" t="str">
        <f>IF('VA Sizing'!$C$3="Gas",C7,
IF(AND('VA Sizing'!$C$3="Liquid",'10A61 10"+6" Calcs'!L11&gt;10),CONCATENATE(" ",'10A61 10'!C7),'10A61 10'!C7))</f>
        <v>1/8-077-G-10-CA</v>
      </c>
      <c r="G7">
        <f>D7*VLOOKUP('VA Sizing'!$D$12,'Modified Inputs'!$I$8:$J$32,2,FALSE)</f>
        <v>1.9880916999828065E-3</v>
      </c>
      <c r="H7">
        <f t="shared" si="1"/>
        <v>0</v>
      </c>
      <c r="I7" t="s">
        <v>58</v>
      </c>
      <c r="J7" t="s">
        <v>344</v>
      </c>
      <c r="K7" t="s">
        <v>345</v>
      </c>
      <c r="L7" t="s">
        <v>346</v>
      </c>
      <c r="M7" t="s">
        <v>347</v>
      </c>
      <c r="N7" t="s">
        <v>348</v>
      </c>
      <c r="O7" t="s">
        <v>349</v>
      </c>
      <c r="P7" t="s">
        <v>350</v>
      </c>
    </row>
    <row r="8" spans="2:16">
      <c r="C8" s="133" t="s">
        <v>310</v>
      </c>
      <c r="D8" s="133">
        <f>'10A61 10"+6" Calcs'!Q12</f>
        <v>35.819535827498612</v>
      </c>
      <c r="E8" s="133">
        <f t="shared" si="0"/>
        <v>3.5819535827498612</v>
      </c>
      <c r="F8" s="133" t="str">
        <f>IF('VA Sizing'!$C$3="Gas",C8,
IF(AND('VA Sizing'!$C$3="Liquid",'10A61 10"+6" Calcs'!L12&gt;10),CONCATENATE(" ",'10A61 10'!C8),'10A61 10'!C8))</f>
        <v>1/8-077-G-10-TA</v>
      </c>
      <c r="G8">
        <f>D8*VLOOKUP('VA Sizing'!$D$12,'Modified Inputs'!$I$8:$J$32,2,FALSE)</f>
        <v>2.1491721496499166E-3</v>
      </c>
      <c r="H8">
        <f t="shared" si="1"/>
        <v>0</v>
      </c>
      <c r="I8" t="str">
        <f>VLOOKUP(J8,$D$34:$F$39,3,FALSE)</f>
        <v>1/4-40-G-6-BG</v>
      </c>
      <c r="J8">
        <f t="array" ref="J8">MAX(IF($D$34:$D$39&lt;'Modified Inputs'!$O$2,D34:D39))</f>
        <v>584.51977200265299</v>
      </c>
      <c r="K8">
        <f>VLOOKUP(J8,$D$15:$E$39,2,FALSE)</f>
        <v>58.451977200265297</v>
      </c>
      <c r="L8">
        <f>J8*VLOOKUP('VA Sizing'!$D$12,'Modified Inputs'!$I$8:$J$32,2,FALSE)</f>
        <v>3.5071186320159181E-2</v>
      </c>
      <c r="M8">
        <f>K8*VLOOKUP('VA Sizing'!$D$12,'Modified Inputs'!$I$8:$J$32,2,FALSE)</f>
        <v>3.5071186320159179E-3</v>
      </c>
      <c r="N8">
        <f>IF(L8&lt;0.99999,ROUND(L8,2),
IF(L8&lt;9.999,ROUND(L8,2),
IF(L8&lt;99.99,ROUND(L8,1),
IF(L8&lt;999.99,ROUND(L8,0),
IF(L8&lt;9999.99,ROUND(L8,-1),
IF(L8&lt;99999,ROUND(L8,-2),ROUND(L8,2)))))))</f>
        <v>0.04</v>
      </c>
      <c r="O8">
        <f>ROUND(M8,2)</f>
        <v>0</v>
      </c>
      <c r="P8" s="132" t="str">
        <f>CONCATENATE(O8," ","-"," ",N8)</f>
        <v>0 - 0.04</v>
      </c>
    </row>
    <row r="9" spans="2:16">
      <c r="C9" s="133" t="s">
        <v>311</v>
      </c>
      <c r="D9" s="133">
        <f>'10A61 10"+6" Calcs'!Q14</f>
        <v>16.699359615874631</v>
      </c>
      <c r="E9" s="133">
        <f t="shared" si="0"/>
        <v>1.6699359615874632</v>
      </c>
      <c r="F9" s="133" t="str">
        <f>IF('VA Sizing'!$C$3="Gas",C9,
IF(AND('VA Sizing'!$C$3="Liquid",'10A61 10"+6" Calcs'!L8&gt;60),CONCATENATE(" ",'10A61 10'!C9),'10A61 10'!C9))</f>
        <v>1/8-13.3-G-10-BG</v>
      </c>
      <c r="G9">
        <f>D9*VLOOKUP('VA Sizing'!$D$12,'Modified Inputs'!$I$8:$J$32,2,FALSE)</f>
        <v>1.0019615769524778E-3</v>
      </c>
      <c r="H9">
        <f t="shared" si="1"/>
        <v>0</v>
      </c>
      <c r="I9" t="str">
        <f>VLOOKUP(J9,$D$34:$F$39,3,FALSE)</f>
        <v>1/4-40-G-6-SA</v>
      </c>
      <c r="J9">
        <f t="array" ref="J9">MIN(IF($D$34:$D$39&gt;'Modified Inputs'!$O$2,$D$34:$D$39))</f>
        <v>851.94885216100147</v>
      </c>
      <c r="K9">
        <f>VLOOKUP(J9,$D$15:$E$39,2,FALSE)</f>
        <v>85.194885216100147</v>
      </c>
      <c r="L9">
        <f>J9*VLOOKUP('VA Sizing'!$D$12,'Modified Inputs'!$I$8:$J$32,2,FALSE)</f>
        <v>5.1116931129660093E-2</v>
      </c>
      <c r="M9">
        <f>K9*VLOOKUP('VA Sizing'!$D$12,'Modified Inputs'!$I$8:$J$32,2,FALSE)</f>
        <v>5.1116931129660086E-3</v>
      </c>
      <c r="N9">
        <f t="shared" ref="N9:N11" si="2">IF(L9&lt;0.99999,ROUND(L9,2),
IF(L9&lt;9.999,ROUND(L9,2),
IF(L9&lt;99.99,ROUND(L9,1),
IF(L9&lt;999.99,ROUND(L9,0),
IF(L9&lt;9999.99,ROUND(L9,-1),
IF(L9&lt;99999,ROUND(L9,-2),ROUND(L9,2)))))))</f>
        <v>0.05</v>
      </c>
      <c r="O9">
        <f>ROUND(M9,1)</f>
        <v>0</v>
      </c>
      <c r="P9" s="132" t="str">
        <f>CONCATENATE(O9," ","-"," ",N9)</f>
        <v>0 - 0.05</v>
      </c>
    </row>
    <row r="10" spans="2:16">
      <c r="C10" s="133" t="s">
        <v>312</v>
      </c>
      <c r="D10" s="133">
        <f>'10A61 10"+6" Calcs'!Q15</f>
        <v>27.467455453564778</v>
      </c>
      <c r="E10" s="133">
        <f t="shared" si="0"/>
        <v>2.746745545356478</v>
      </c>
      <c r="F10" s="133" t="str">
        <f>IF('VA Sizing'!$C$3="Gas",C10,
IF(AND('VA Sizing'!$C$3="Liquid",'10A61 10"+6" Calcs'!L9&gt;60),CONCATENATE(" ",'10A61 10'!C10),'10A61 10'!C10))</f>
        <v>1/8-13.3-G-10-SA</v>
      </c>
      <c r="G10">
        <f>D10*VLOOKUP('VA Sizing'!$D$12,'Modified Inputs'!$I$8:$J$32,2,FALSE)</f>
        <v>1.6480473272138868E-3</v>
      </c>
      <c r="H10">
        <f t="shared" si="1"/>
        <v>0</v>
      </c>
      <c r="I10" t="str">
        <f>VLOOKUP(J10,$D$34:$F$39,3,FALSE)</f>
        <v>1/4-40-G-6-SS</v>
      </c>
      <c r="J10">
        <f t="array" ref="J10">MIN(IF($D$34:$D$39&gt;J9,$D$34:$D$39))</f>
        <v>1367.5097634425938</v>
      </c>
      <c r="K10">
        <f>VLOOKUP(J10,$D$15:$E$39,2,FALSE)</f>
        <v>136.75097634425939</v>
      </c>
      <c r="L10">
        <f>J10*VLOOKUP('VA Sizing'!$D$12,'Modified Inputs'!$I$8:$J$32,2,FALSE)</f>
        <v>8.2050585806555623E-2</v>
      </c>
      <c r="M10">
        <f>K10*VLOOKUP('VA Sizing'!$D$12,'Modified Inputs'!$I$8:$J$32,2,FALSE)</f>
        <v>8.205058580655563E-3</v>
      </c>
      <c r="N10">
        <f t="shared" si="2"/>
        <v>0.08</v>
      </c>
      <c r="O10">
        <f t="shared" ref="O10:O11" si="3">ROUND(M10,1)</f>
        <v>0</v>
      </c>
      <c r="P10" s="132" t="str">
        <f t="shared" ref="P10:P11" si="4">CONCATENATE(O10," ","-"," ",N10)</f>
        <v>0 - 0.08</v>
      </c>
    </row>
    <row r="11" spans="2:16">
      <c r="C11" s="133" t="s">
        <v>313</v>
      </c>
      <c r="D11" s="133">
        <f>'10A61 10"+6" Calcs'!Q16</f>
        <v>49.595253640254029</v>
      </c>
      <c r="E11" s="133">
        <f t="shared" si="0"/>
        <v>4.9595253640254029</v>
      </c>
      <c r="F11" s="133" t="str">
        <f>IF('VA Sizing'!$C$3="Gas",C11,
IF(AND('VA Sizing'!$C$3="Liquid",'10A61 10"+6" Calcs'!L10&gt;60),CONCATENATE(" ",'10A61 10'!C11),'10A61 10'!C11))</f>
        <v>1/8-13.3-G-10-SS</v>
      </c>
      <c r="G11">
        <f>D11*VLOOKUP('VA Sizing'!$D$12,'Modified Inputs'!$I$8:$J$32,2,FALSE)</f>
        <v>2.9757152184152419E-3</v>
      </c>
      <c r="H11">
        <f t="shared" si="1"/>
        <v>0</v>
      </c>
      <c r="I11" t="str">
        <f>VLOOKUP(J11,$D$34:$F$39,3,FALSE)</f>
        <v>1/4-40-G-6-CA</v>
      </c>
      <c r="J11">
        <f t="array" ref="J11">MIN(IF($D$34:$D$39&gt;J10,$D$34:$D$39))</f>
        <v>1981.4364981126805</v>
      </c>
      <c r="K11">
        <f>VLOOKUP(J11,$D$15:$E$39,2,FALSE)</f>
        <v>198.14364981126806</v>
      </c>
      <c r="L11">
        <f>J11*VLOOKUP('VA Sizing'!$D$12,'Modified Inputs'!$I$8:$J$32,2,FALSE)</f>
        <v>0.11888618988676083</v>
      </c>
      <c r="M11">
        <f>K11*VLOOKUP('VA Sizing'!$D$12,'Modified Inputs'!$I$8:$J$32,2,FALSE)</f>
        <v>1.1888618988676084E-2</v>
      </c>
      <c r="N11">
        <f t="shared" si="2"/>
        <v>0.12</v>
      </c>
      <c r="O11">
        <f t="shared" si="3"/>
        <v>0</v>
      </c>
      <c r="P11" s="132" t="str">
        <f t="shared" si="4"/>
        <v>0 - 0.12</v>
      </c>
    </row>
    <row r="12" spans="2:16">
      <c r="C12" s="133" t="s">
        <v>314</v>
      </c>
      <c r="D12" s="133">
        <f>'10A61 10"+6" Calcs'!Q17</f>
        <v>76.840884090716884</v>
      </c>
      <c r="E12" s="133">
        <f t="shared" si="0"/>
        <v>7.6840884090716886</v>
      </c>
      <c r="F12" s="133" t="str">
        <f>IF('VA Sizing'!$C$3="Gas",C12,
IF(AND('VA Sizing'!$C$3="Liquid",'10A61 10"+6" Calcs'!L11&gt;60),CONCATENATE(" ",'10A61 10'!C12),'10A61 10'!C12))</f>
        <v>1/8-13.3-G-10-CA</v>
      </c>
      <c r="G12">
        <f>D12*VLOOKUP('VA Sizing'!$D$12,'Modified Inputs'!$I$8:$J$32,2,FALSE)</f>
        <v>4.6104530454430135E-3</v>
      </c>
      <c r="H12">
        <f t="shared" si="1"/>
        <v>0</v>
      </c>
    </row>
    <row r="13" spans="2:16">
      <c r="C13" s="133" t="s">
        <v>315</v>
      </c>
      <c r="D13" s="133">
        <f>'10A61 10"+6" Calcs'!Q18</f>
        <v>82.093150585646285</v>
      </c>
      <c r="E13" s="133">
        <f t="shared" si="0"/>
        <v>8.2093150585646288</v>
      </c>
      <c r="F13" s="133" t="str">
        <f>IF('VA Sizing'!$C$3="Gas",C13,
IF(AND('VA Sizing'!$C$3="Liquid",'10A61 10"+6" Calcs'!L12&gt;60),CONCATENATE(" ",'10A61 10'!C13),'10A61 10'!C13))</f>
        <v>1/8-13.3-G-10-TA</v>
      </c>
      <c r="G13">
        <f>D13*VLOOKUP('VA Sizing'!$D$12,'Modified Inputs'!$I$8:$J$32,2,FALSE)</f>
        <v>4.9255890351387775E-3</v>
      </c>
      <c r="H13">
        <f t="shared" si="1"/>
        <v>0</v>
      </c>
    </row>
    <row r="14" spans="2:16">
      <c r="C14" s="133" t="s">
        <v>316</v>
      </c>
      <c r="D14" s="133">
        <f>'10A61 10"+6" Calcs'!Q20</f>
        <v>55.193500958053406</v>
      </c>
      <c r="E14" s="133">
        <f t="shared" si="0"/>
        <v>5.5193500958053408</v>
      </c>
      <c r="F14" s="133" t="str">
        <f>IF('VA Sizing'!$C$3="Gas",C14,
IF(AND('VA Sizing'!$C$3="Liquid",'10A61 10"+6" Calcs'!L8&gt;60),CONCATENATE(" ",'10A61 10'!C14),'10A61 10'!C14))</f>
        <v>1/8-32-G-10-BG</v>
      </c>
      <c r="G14">
        <f>D14*VLOOKUP('VA Sizing'!$D$12,'Modified Inputs'!$I$8:$J$32,2,FALSE)</f>
        <v>3.3116100574832044E-3</v>
      </c>
      <c r="H14">
        <f t="shared" si="1"/>
        <v>0</v>
      </c>
      <c r="I14" s="240" t="s">
        <v>351</v>
      </c>
      <c r="J14" s="240"/>
    </row>
    <row r="15" spans="2:16">
      <c r="C15" s="133" t="s">
        <v>317</v>
      </c>
      <c r="D15" s="133">
        <f>'10A61 10"+6" Calcs'!Q21</f>
        <v>82.606992688090031</v>
      </c>
      <c r="E15" s="133">
        <f t="shared" si="0"/>
        <v>8.2606992688090024</v>
      </c>
      <c r="F15" s="133" t="str">
        <f>IF('VA Sizing'!$C$3="Gas",C15,
IF(AND('VA Sizing'!$C$3="Liquid",'10A61 10"+6" Calcs'!L9&gt;60),CONCATENATE(" ",'10A61 10'!C15),'10A61 10'!C15))</f>
        <v>1/8-32-G-10-SA</v>
      </c>
      <c r="G15">
        <f>D15*VLOOKUP('VA Sizing'!$D$12,'Modified Inputs'!$I$8:$J$32,2,FALSE)</f>
        <v>4.9564195612854019E-3</v>
      </c>
      <c r="H15">
        <f t="shared" si="1"/>
        <v>0</v>
      </c>
      <c r="I15" s="134" t="s">
        <v>58</v>
      </c>
      <c r="J15" s="134" t="s">
        <v>343</v>
      </c>
    </row>
    <row r="16" spans="2:16">
      <c r="C16" s="133" t="s">
        <v>318</v>
      </c>
      <c r="D16" s="133">
        <f>'10A61 10"+6" Calcs'!Q22</f>
        <v>135.80923933136248</v>
      </c>
      <c r="E16" s="133">
        <f t="shared" si="0"/>
        <v>13.580923933136248</v>
      </c>
      <c r="F16" s="133" t="str">
        <f>IF('VA Sizing'!$C$3="Gas",C16,
IF(AND('VA Sizing'!$C$3="Liquid",'10A61 10"+6" Calcs'!L10&gt;60),CONCATENATE(" ",'10A61 10'!C16),'10A61 10'!C16))</f>
        <v>1/8-32-G-10-SS</v>
      </c>
      <c r="G16">
        <f>D16*VLOOKUP('VA Sizing'!$D$12,'Modified Inputs'!$I$8:$J$32,2,FALSE)</f>
        <v>8.1485543598817482E-3</v>
      </c>
      <c r="H16">
        <f t="shared" si="1"/>
        <v>0.01</v>
      </c>
      <c r="I16" s="133" t="str">
        <f>IFERROR(I8,"")</f>
        <v>1/4-40-G-6-BG</v>
      </c>
      <c r="J16" s="133" t="str">
        <f>IF(I16="","",P8)</f>
        <v>0 - 0.04</v>
      </c>
    </row>
    <row r="17" spans="3:10">
      <c r="C17" s="133" t="s">
        <v>319</v>
      </c>
      <c r="D17" s="133">
        <f>'10A61 10"+6" Calcs'!Q23</f>
        <v>199.3770206635061</v>
      </c>
      <c r="E17" s="133">
        <f t="shared" si="0"/>
        <v>19.93770206635061</v>
      </c>
      <c r="F17" s="133" t="str">
        <f>IF('VA Sizing'!$C$3="Gas",C17,
IF(AND('VA Sizing'!$C$3="Liquid",'10A61 10"+6" Calcs'!L11&gt;60),CONCATENATE(" ",'10A61 10'!C17),'10A61 10'!C17))</f>
        <v>1/8-32-G-10-CA</v>
      </c>
      <c r="G17">
        <f>D17*VLOOKUP('VA Sizing'!$D$12,'Modified Inputs'!$I$8:$J$32,2,FALSE)</f>
        <v>1.1962621239810366E-2</v>
      </c>
      <c r="H17">
        <f t="shared" si="1"/>
        <v>0.01</v>
      </c>
      <c r="I17" s="133" t="str">
        <f>IFERROR(I9,"")</f>
        <v>1/4-40-G-6-SA</v>
      </c>
      <c r="J17" s="133" t="str">
        <f>IF(I17="","",P9)</f>
        <v>0 - 0.05</v>
      </c>
    </row>
    <row r="18" spans="3:10">
      <c r="C18" s="133" t="s">
        <v>320</v>
      </c>
      <c r="D18" s="133">
        <f>'10A61 10"+6" Calcs'!Q24</f>
        <v>211.52084472925623</v>
      </c>
      <c r="E18" s="133">
        <f t="shared" si="0"/>
        <v>21.152084472925623</v>
      </c>
      <c r="F18" s="133" t="str">
        <f>IF('VA Sizing'!$C$3="Gas",C18,
IF(AND('VA Sizing'!$C$3="Liquid",'10A61 10"+6" Calcs'!L12&gt;60),CONCATENATE(" ",'10A61 10'!C18),'10A61 10'!C18))</f>
        <v>1/8-32-G-10-TA</v>
      </c>
      <c r="G18">
        <f>D18*VLOOKUP('VA Sizing'!$D$12,'Modified Inputs'!$I$8:$J$32,2,FALSE)</f>
        <v>1.2691250683755375E-2</v>
      </c>
      <c r="H18">
        <f t="shared" si="1"/>
        <v>0.01</v>
      </c>
      <c r="I18" s="133" t="str">
        <f>IFERROR(IF(I17="","",I10),"")</f>
        <v>1/4-40-G-6-SS</v>
      </c>
      <c r="J18" s="133" t="str">
        <f>IF(I18="","",P10)</f>
        <v>0 - 0.08</v>
      </c>
    </row>
    <row r="19" spans="3:10">
      <c r="C19" s="133" t="s">
        <v>321</v>
      </c>
      <c r="D19" s="133">
        <f>'10A61 10"+6" Calcs'!Q26</f>
        <v>93.082796317669974</v>
      </c>
      <c r="E19" s="133">
        <f t="shared" si="0"/>
        <v>9.3082796317669967</v>
      </c>
      <c r="F19" s="133" t="str">
        <f>IF('VA Sizing'!$C$3="Gas",C19,
IF(AND('VA Sizing'!$C$3="Liquid",'10A61 10"+6" Calcs'!L8&gt;60),CONCATENATE(" ",'10A61 10'!C19),'10A61 10'!C19))</f>
        <v>1/4-10-G-10-BG</v>
      </c>
      <c r="G19">
        <f>D19*VLOOKUP('VA Sizing'!$D$12,'Modified Inputs'!$I$8:$J$32,2,FALSE)</f>
        <v>5.5849677790601989E-3</v>
      </c>
      <c r="H19">
        <f t="shared" si="1"/>
        <v>0.01</v>
      </c>
      <c r="I19" s="133" t="str">
        <f>IFERROR(IF(OR(I17="",I18=""),"",I11),"")</f>
        <v>1/4-40-G-6-CA</v>
      </c>
      <c r="J19" s="133" t="str">
        <f>IF(I19="","",P11)</f>
        <v>0 - 0.12</v>
      </c>
    </row>
    <row r="20" spans="3:10">
      <c r="C20" s="133" t="s">
        <v>322</v>
      </c>
      <c r="D20" s="133">
        <f>'10A61 10"+6" Calcs'!Q27</f>
        <v>145.41790571628582</v>
      </c>
      <c r="E20" s="133">
        <f t="shared" si="0"/>
        <v>14.541790571628582</v>
      </c>
      <c r="F20" s="133" t="str">
        <f>IF('VA Sizing'!$C$3="Gas",C20,
IF(AND('VA Sizing'!$C$3="Liquid",'10A61 10"+6" Calcs'!L9&gt;60),CONCATENATE(" ",'10A61 10'!C20),'10A61 10'!C20))</f>
        <v>1/4-10-G-10-SA</v>
      </c>
      <c r="G20">
        <f>D20*VLOOKUP('VA Sizing'!$D$12,'Modified Inputs'!$I$8:$J$32,2,FALSE)</f>
        <v>8.7250743429771495E-3</v>
      </c>
      <c r="H20">
        <f t="shared" si="1"/>
        <v>0.01</v>
      </c>
    </row>
    <row r="21" spans="3:10">
      <c r="C21" s="133" t="s">
        <v>323</v>
      </c>
      <c r="D21" s="133">
        <f>'10A61 10"+6" Calcs'!Q28</f>
        <v>250.12447413031813</v>
      </c>
      <c r="E21" s="133">
        <f t="shared" si="0"/>
        <v>25.012447413031815</v>
      </c>
      <c r="F21" s="133" t="str">
        <f>IF('VA Sizing'!$C$3="Gas",C21,
IF(AND('VA Sizing'!$C$3="Liquid",'10A61 10"+6" Calcs'!L10&gt;60),CONCATENATE(" ",'10A61 10'!C21),'10A61 10'!C21))</f>
        <v>1/4-10-G-10-SS</v>
      </c>
      <c r="G21">
        <f>D21*VLOOKUP('VA Sizing'!$D$12,'Modified Inputs'!$I$8:$J$32,2,FALSE)</f>
        <v>1.5007468447819089E-2</v>
      </c>
      <c r="H21">
        <f t="shared" si="1"/>
        <v>0.02</v>
      </c>
    </row>
    <row r="22" spans="3:10">
      <c r="C22" s="133" t="s">
        <v>324</v>
      </c>
      <c r="D22" s="133">
        <f>'10A61 10"+6" Calcs'!Q29</f>
        <v>377.28504847493849</v>
      </c>
      <c r="E22" s="133">
        <f t="shared" si="0"/>
        <v>37.728504847493852</v>
      </c>
      <c r="F22" s="133" t="str">
        <f>IF('VA Sizing'!$C$3="Gas",C22,
IF(AND('VA Sizing'!$C$3="Liquid",'10A61 10"+6" Calcs'!L11&gt;60),CONCATENATE(" ",'10A61 10'!C22),'10A61 10'!C22))</f>
        <v>1/4-10-G-10-CA</v>
      </c>
      <c r="G22">
        <f>D22*VLOOKUP('VA Sizing'!$D$12,'Modified Inputs'!$I$8:$J$32,2,FALSE)</f>
        <v>2.2637102908496309E-2</v>
      </c>
      <c r="H22">
        <f t="shared" si="1"/>
        <v>0.02</v>
      </c>
    </row>
    <row r="23" spans="3:10">
      <c r="C23" s="133" t="s">
        <v>325</v>
      </c>
      <c r="D23" s="133">
        <f>'10A61 10"+6" Calcs'!Q30</f>
        <v>401.69783023916273</v>
      </c>
      <c r="E23" s="133">
        <f t="shared" si="0"/>
        <v>40.169783023916274</v>
      </c>
      <c r="F23" s="133" t="str">
        <f>IF('VA Sizing'!$C$3="Gas",C23,
IF(AND('VA Sizing'!$C$3="Liquid",'10A61 10"+6" Calcs'!L12&gt;60),CONCATENATE(" ",'10A61 10'!C23),'10A61 10'!C23))</f>
        <v>1/4-10-G-10-TA</v>
      </c>
      <c r="G23">
        <f>D23*VLOOKUP('VA Sizing'!$D$12,'Modified Inputs'!$I$8:$J$32,2,FALSE)</f>
        <v>2.4101869814349763E-2</v>
      </c>
      <c r="H23">
        <f t="shared" si="1"/>
        <v>0.02</v>
      </c>
    </row>
    <row r="24" spans="3:10">
      <c r="C24" s="133" t="s">
        <v>326</v>
      </c>
      <c r="D24" s="133">
        <f>'10A61 10"+6" Calcs'!Q32</f>
        <v>233.40491207288926</v>
      </c>
      <c r="E24" s="133">
        <f t="shared" si="0"/>
        <v>23.340491207288927</v>
      </c>
      <c r="F24" s="133" t="str">
        <f>IF('VA Sizing'!$C$3="Gas",C24,
IF(AND('VA Sizing'!$C$3="Liquid",'10A61 10"+6" Calcs'!L8&gt;60),CONCATENATE(" ",'10A61 10'!C24),'10A61 10'!C24))</f>
        <v>1/4-19-G-10-BG</v>
      </c>
      <c r="G24">
        <f>D24*VLOOKUP('VA Sizing'!$D$12,'Modified Inputs'!$I$8:$J$32,2,FALSE)</f>
        <v>1.4004294724373355E-2</v>
      </c>
      <c r="H24">
        <f t="shared" si="1"/>
        <v>0.01</v>
      </c>
    </row>
    <row r="25" spans="3:10">
      <c r="C25" s="133" t="s">
        <v>327</v>
      </c>
      <c r="D25" s="133">
        <f>'10A61 10"+6" Calcs'!Q33</f>
        <v>345.23972275284626</v>
      </c>
      <c r="E25" s="133">
        <f t="shared" si="0"/>
        <v>34.523972275284628</v>
      </c>
      <c r="F25" s="133" t="str">
        <f>IF('VA Sizing'!$C$3="Gas",C25,
IF(AND('VA Sizing'!$C$3="Liquid",'10A61 10"+6" Calcs'!L9&gt;60),CONCATENATE(" ",'10A61 10'!C25),'10A61 10'!C25))</f>
        <v>1/4-19-G-10-SA</v>
      </c>
      <c r="G25">
        <f>D25*VLOOKUP('VA Sizing'!$D$12,'Modified Inputs'!$I$8:$J$32,2,FALSE)</f>
        <v>2.0714383365170775E-2</v>
      </c>
      <c r="H25">
        <f t="shared" si="1"/>
        <v>0.02</v>
      </c>
    </row>
    <row r="26" spans="3:10">
      <c r="C26" s="133" t="s">
        <v>328</v>
      </c>
      <c r="D26" s="133">
        <f>'10A61 10"+6" Calcs'!Q34</f>
        <v>561.96985835162911</v>
      </c>
      <c r="E26" s="133">
        <f t="shared" si="0"/>
        <v>56.196985835162913</v>
      </c>
      <c r="F26" s="133" t="str">
        <f>IF('VA Sizing'!$C$3="Gas",C26,
IF(AND('VA Sizing'!$C$3="Liquid",'10A61 10"+6" Calcs'!L10&gt;60),CONCATENATE(" ",'10A61 10'!C26),'10A61 10'!C26))</f>
        <v>1/4-19-G-10-SS</v>
      </c>
      <c r="G26">
        <f>D26*VLOOKUP('VA Sizing'!$D$12,'Modified Inputs'!$I$8:$J$32,2,FALSE)</f>
        <v>3.3718191501097748E-2</v>
      </c>
      <c r="H26">
        <f t="shared" si="1"/>
        <v>0.03</v>
      </c>
    </row>
    <row r="27" spans="3:10">
      <c r="C27" s="133" t="s">
        <v>329</v>
      </c>
      <c r="D27" s="133">
        <f>'10A61 10"+6" Calcs'!Q35</f>
        <v>820.74239792113406</v>
      </c>
      <c r="E27" s="133">
        <f t="shared" si="0"/>
        <v>82.074239792113403</v>
      </c>
      <c r="F27" s="133" t="str">
        <f>IF('VA Sizing'!$C$3="Gas",C27,
IF(AND('VA Sizing'!$C$3="Liquid",'10A61 10"+6" Calcs'!L11&gt;60),CONCATENATE(" ",'10A61 10'!C27),'10A61 10'!C27))</f>
        <v>1/4-19-G-10-CA</v>
      </c>
      <c r="G27">
        <f>D27*VLOOKUP('VA Sizing'!$D$12,'Modified Inputs'!$I$8:$J$32,2,FALSE)</f>
        <v>4.9244543875268047E-2</v>
      </c>
      <c r="H27">
        <f t="shared" si="1"/>
        <v>0.05</v>
      </c>
    </row>
    <row r="28" spans="3:10">
      <c r="C28" s="133" t="s">
        <v>330</v>
      </c>
      <c r="D28" s="133">
        <f>'10A61 10"+6" Calcs'!Q36</f>
        <v>870.16745620512984</v>
      </c>
      <c r="E28" s="133">
        <f t="shared" si="0"/>
        <v>87.016745620512978</v>
      </c>
      <c r="F28" s="133" t="str">
        <f>IF('VA Sizing'!$C$3="Gas",C28,
IF(AND('VA Sizing'!$C$3="Liquid",'10A61 10"+6" Calcs'!L12&gt;60),CONCATENATE(" ",'10A61 10'!C28),'10A61 10'!C28))</f>
        <v>1/4-19-G-10-TA</v>
      </c>
      <c r="G28">
        <f>D28*VLOOKUP('VA Sizing'!$D$12,'Modified Inputs'!$I$8:$J$32,2,FALSE)</f>
        <v>5.2210047372307791E-2</v>
      </c>
      <c r="H28">
        <f t="shared" si="1"/>
        <v>0.05</v>
      </c>
    </row>
    <row r="29" spans="3:10">
      <c r="C29" s="133" t="s">
        <v>296</v>
      </c>
      <c r="D29" s="133">
        <f>'10A61 10"+6" Calcs'!Q38</f>
        <v>584.51977200265299</v>
      </c>
      <c r="E29" s="133">
        <f t="shared" si="0"/>
        <v>58.451977200265297</v>
      </c>
      <c r="F29" s="133" t="str">
        <f>IF('VA Sizing'!$C$3="Gas",C29,
IF(AND('VA Sizing'!$C$3="Liquid",'10A61 10"+6" Calcs'!L8&gt;60),CONCATENATE(" ",'10A61 10'!C29),'10A61 10'!C29))</f>
        <v>1/4-40-G-10-BG</v>
      </c>
      <c r="G29">
        <f>D29*VLOOKUP('VA Sizing'!$D$12,'Modified Inputs'!$I$8:$J$32,2,FALSE)</f>
        <v>3.5071186320159181E-2</v>
      </c>
      <c r="H29">
        <f t="shared" si="1"/>
        <v>0.04</v>
      </c>
    </row>
    <row r="30" spans="3:10">
      <c r="C30" s="133" t="s">
        <v>297</v>
      </c>
      <c r="D30" s="133">
        <f>'10A61 10"+6" Calcs'!Q39</f>
        <v>851.94885216100147</v>
      </c>
      <c r="E30" s="133">
        <f t="shared" si="0"/>
        <v>85.194885216100147</v>
      </c>
      <c r="F30" s="133" t="str">
        <f>IF('VA Sizing'!$C$3="Gas",C30,
IF(AND('VA Sizing'!$C$3="Liquid",'10A61 10"+6" Calcs'!L9&gt;60),CONCATENATE(" ",'10A61 10'!C30),'10A61 10'!C30))</f>
        <v>1/4-40-G-10-SA</v>
      </c>
      <c r="G30">
        <f>D30*VLOOKUP('VA Sizing'!$D$12,'Modified Inputs'!$I$8:$J$32,2,FALSE)</f>
        <v>5.1116931129660093E-2</v>
      </c>
      <c r="H30">
        <f t="shared" si="1"/>
        <v>0.05</v>
      </c>
    </row>
    <row r="31" spans="3:10">
      <c r="C31" s="133" t="s">
        <v>298</v>
      </c>
      <c r="D31" s="133">
        <f>'10A61 10"+6" Calcs'!Q40</f>
        <v>1367.5097634425938</v>
      </c>
      <c r="E31" s="133">
        <f t="shared" si="0"/>
        <v>136.75097634425939</v>
      </c>
      <c r="F31" s="133" t="str">
        <f>IF('VA Sizing'!$C$3="Gas",C31,
IF(AND('VA Sizing'!$C$3="Liquid",'10A61 10"+6" Calcs'!L10&gt;60),CONCATENATE(" ",'10A61 10'!C31),'10A61 10'!C31))</f>
        <v>1/4-40-G-10-SS</v>
      </c>
      <c r="G31">
        <f>D31*VLOOKUP('VA Sizing'!$D$12,'Modified Inputs'!$I$8:$J$32,2,FALSE)</f>
        <v>8.2050585806555623E-2</v>
      </c>
      <c r="H31">
        <f t="shared" si="1"/>
        <v>0.08</v>
      </c>
    </row>
    <row r="32" spans="3:10">
      <c r="C32" s="133" t="s">
        <v>299</v>
      </c>
      <c r="D32" s="133">
        <f>'10A61 10"+6" Calcs'!Q41</f>
        <v>1981.4364981126805</v>
      </c>
      <c r="E32" s="133">
        <f t="shared" si="0"/>
        <v>198.14364981126806</v>
      </c>
      <c r="F32" s="133" t="str">
        <f>IF('VA Sizing'!$C$3="Gas",C32,
IF(AND('VA Sizing'!$C$3="Liquid",'10A61 10"+6" Calcs'!L11&gt;60),CONCATENATE(" ",'10A61 10'!C32),'10A61 10'!C32))</f>
        <v>1/4-40-G-10-CA</v>
      </c>
      <c r="G32">
        <f>D32*VLOOKUP('VA Sizing'!$D$12,'Modified Inputs'!$I$8:$J$32,2,FALSE)</f>
        <v>0.11888618988676083</v>
      </c>
      <c r="H32">
        <f t="shared" si="1"/>
        <v>0.12</v>
      </c>
    </row>
    <row r="33" spans="3:8">
      <c r="C33" s="133" t="s">
        <v>300</v>
      </c>
      <c r="D33" s="133">
        <f>'10A61 10"+6" Calcs'!Q42</f>
        <v>2098.6026329148735</v>
      </c>
      <c r="E33" s="133">
        <f t="shared" si="0"/>
        <v>209.86026329148734</v>
      </c>
      <c r="F33" s="133" t="str">
        <f>IF('VA Sizing'!$C$3="Gas",C33,
IF(AND('VA Sizing'!$C$3="Liquid",'10A61 10"+6" Calcs'!L12&gt;60),CONCATENATE(" ",'10A61 10'!C33),'10A61 10'!C33))</f>
        <v>1/4-40-G-10-TA</v>
      </c>
      <c r="G33">
        <f>D33*VLOOKUP('VA Sizing'!$D$12,'Modified Inputs'!$I$8:$J$32,2,FALSE)</f>
        <v>0.12591615797489242</v>
      </c>
      <c r="H33">
        <f t="shared" si="1"/>
        <v>0.13</v>
      </c>
    </row>
    <row r="34" spans="3:8">
      <c r="C34" s="133" t="s">
        <v>301</v>
      </c>
      <c r="D34" s="133">
        <f>'10A61 10"+6" Calcs'!T38</f>
        <v>584.51977200265299</v>
      </c>
      <c r="E34" s="133">
        <f t="shared" si="0"/>
        <v>58.451977200265297</v>
      </c>
      <c r="F34" s="133" t="str">
        <f>IF('VA Sizing'!$C$3="Gas",C34,
IF(AND('VA Sizing'!$C$3="Liquid",'10A61 10"+6" Calcs'!L8&gt;60),CONCATENATE(" ",'10A61 10'!C34),'10A61 10'!C34))</f>
        <v>1/4-40-G-6-BG</v>
      </c>
      <c r="G34">
        <f>D34*VLOOKUP('VA Sizing'!$D$12,'Modified Inputs'!$I$8:$J$32,2,FALSE)</f>
        <v>3.5071186320159181E-2</v>
      </c>
      <c r="H34">
        <f t="shared" si="1"/>
        <v>0.04</v>
      </c>
    </row>
    <row r="35" spans="3:8">
      <c r="C35" s="133" t="s">
        <v>302</v>
      </c>
      <c r="D35" s="133">
        <f>'10A61 10"+6" Calcs'!T39</f>
        <v>851.94885216100147</v>
      </c>
      <c r="E35" s="133">
        <f t="shared" si="0"/>
        <v>85.194885216100147</v>
      </c>
      <c r="F35" s="133" t="str">
        <f>IF('VA Sizing'!$C$3="Gas",C35,
IF(AND('VA Sizing'!$C$3="Liquid",'10A61 10"+6" Calcs'!L9&gt;60),CONCATENATE(" ",'10A61 10'!C35),'10A61 10'!C35))</f>
        <v>1/4-40-G-6-SA</v>
      </c>
      <c r="G35">
        <f>D35*VLOOKUP('VA Sizing'!$D$12,'Modified Inputs'!$I$8:$J$32,2,FALSE)</f>
        <v>5.1116931129660093E-2</v>
      </c>
      <c r="H35">
        <f t="shared" si="1"/>
        <v>0.05</v>
      </c>
    </row>
    <row r="36" spans="3:8">
      <c r="C36" s="133" t="s">
        <v>303</v>
      </c>
      <c r="D36" s="133">
        <f>'10A61 10"+6" Calcs'!T40</f>
        <v>1367.5097634425938</v>
      </c>
      <c r="E36" s="133">
        <f t="shared" si="0"/>
        <v>136.75097634425939</v>
      </c>
      <c r="F36" s="133" t="str">
        <f>IF('VA Sizing'!$C$3="Gas",C36,
IF(AND('VA Sizing'!$C$3="Liquid",'10A61 10"+6" Calcs'!L10&gt;60),CONCATENATE(" ",'10A61 10'!C36),'10A61 10'!C36))</f>
        <v>1/4-40-G-6-SS</v>
      </c>
      <c r="G36">
        <f>D36*VLOOKUP('VA Sizing'!$D$12,'Modified Inputs'!$I$8:$J$32,2,FALSE)</f>
        <v>8.2050585806555623E-2</v>
      </c>
      <c r="H36">
        <f t="shared" si="1"/>
        <v>0.08</v>
      </c>
    </row>
    <row r="37" spans="3:8">
      <c r="C37" s="133" t="s">
        <v>304</v>
      </c>
      <c r="D37" s="133">
        <f>'10A61 10"+6" Calcs'!T41</f>
        <v>1981.4364981126805</v>
      </c>
      <c r="E37" s="133">
        <f t="shared" si="0"/>
        <v>198.14364981126806</v>
      </c>
      <c r="F37" s="133" t="str">
        <f>IF('VA Sizing'!$C$3="Gas",C37,
IF(AND('VA Sizing'!$C$3="Liquid",'10A61 10"+6" Calcs'!L11&gt;60),CONCATENATE(" ",'10A61 10'!C37),'10A61 10'!C37))</f>
        <v>1/4-40-G-6-CA</v>
      </c>
      <c r="G37">
        <f>D37*VLOOKUP('VA Sizing'!$D$12,'Modified Inputs'!$I$8:$J$32,2,FALSE)</f>
        <v>0.11888618988676083</v>
      </c>
      <c r="H37">
        <f t="shared" si="1"/>
        <v>0.12</v>
      </c>
    </row>
    <row r="38" spans="3:8">
      <c r="C38" s="133" t="s">
        <v>305</v>
      </c>
      <c r="D38" s="133">
        <f>'10A61 10"+6" Calcs'!T42</f>
        <v>2098.6026329148735</v>
      </c>
      <c r="E38" s="133">
        <f t="shared" si="0"/>
        <v>209.86026329148734</v>
      </c>
      <c r="F38" s="133" t="str">
        <f>IF('VA Sizing'!$C$3="Gas",C38,
IF(AND('VA Sizing'!$C$3="Liquid",'10A61 10"+6" Calcs'!L12&gt;60),CONCATENATE(" ",'10A61 10'!C38),'10A61 10'!C38))</f>
        <v>1/4-40-G-6-TA</v>
      </c>
      <c r="G38">
        <f>D38*VLOOKUP('VA Sizing'!$D$12,'Modified Inputs'!$I$8:$J$32,2,FALSE)</f>
        <v>0.12591615797489242</v>
      </c>
      <c r="H38">
        <f t="shared" si="1"/>
        <v>0.13</v>
      </c>
    </row>
    <row r="39" spans="3:8">
      <c r="C39" s="149" t="s">
        <v>911</v>
      </c>
      <c r="D39" s="149">
        <f>'10A61 10"+6" Calcs'!T43</f>
        <v>524.87310836099834</v>
      </c>
      <c r="E39" s="149">
        <f t="shared" si="0"/>
        <v>52.487310836099837</v>
      </c>
      <c r="F39" s="149" t="str">
        <f>IF('VA Sizing'!$C$3="Gas",C39,
IF(AND('VA Sizing'!$C$3="Liquid",'10A61 10"+6" Calcs'!L13&gt;60),CONCATENATE(" ",'10A61 10'!C39),'10A61 10'!C39))</f>
        <v>1/4-40-G-6-CD</v>
      </c>
      <c r="G39">
        <f>D39*VLOOKUP('VA Sizing'!$D$12,'Modified Inputs'!$I$8:$J$32,2,FALSE)</f>
        <v>3.1492386501659898E-2</v>
      </c>
      <c r="H39">
        <f t="shared" ref="H39" si="5">IF(G39&lt;0.99999,ROUND(G39,2),
IF(G39&lt;9.999,ROUND(G39,2),
IF(G39&lt;99.99,ROUND(G39,1),
IF(G39&lt;999.99,ROUND(G39,0),
IF(G39&lt;9999.99,ROUND(G39,-1),
IF(G39&lt;99999,ROUND(G39,-2),ROUND(G39,2)))))))</f>
        <v>0.03</v>
      </c>
    </row>
  </sheetData>
  <mergeCells count="1">
    <mergeCell ref="I14:J14"/>
  </mergeCells>
  <conditionalFormatting sqref="I16">
    <cfRule type="expression" dxfId="14" priority="4">
      <formula>LEFT($I$16,1)=" "</formula>
    </cfRule>
  </conditionalFormatting>
  <conditionalFormatting sqref="I17">
    <cfRule type="expression" dxfId="13" priority="3">
      <formula>LEFT($I$17,1)=" "</formula>
    </cfRule>
  </conditionalFormatting>
  <conditionalFormatting sqref="I18">
    <cfRule type="expression" dxfId="12" priority="2">
      <formula>LEFT($I$18,1)=" "</formula>
    </cfRule>
  </conditionalFormatting>
  <conditionalFormatting sqref="I19">
    <cfRule type="expression" dxfId="11" priority="1">
      <formula>LEFT($I$19,1)=" "</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3:B18"/>
  <sheetViews>
    <sheetView workbookViewId="0">
      <selection activeCell="N2" sqref="N2:Q3"/>
    </sheetView>
  </sheetViews>
  <sheetFormatPr defaultRowHeight="15"/>
  <sheetData>
    <row r="3" spans="1:2">
      <c r="A3" t="s">
        <v>745</v>
      </c>
      <c r="B3" t="s">
        <v>746</v>
      </c>
    </row>
    <row r="4" spans="1:2">
      <c r="A4">
        <v>1.41</v>
      </c>
      <c r="B4" t="s">
        <v>747</v>
      </c>
    </row>
    <row r="5" spans="1:2">
      <c r="B5" t="s">
        <v>748</v>
      </c>
    </row>
    <row r="6" spans="1:2">
      <c r="A6">
        <v>1.42</v>
      </c>
      <c r="B6" t="s">
        <v>749</v>
      </c>
    </row>
    <row r="7" spans="1:2">
      <c r="A7">
        <v>1.43</v>
      </c>
      <c r="B7" t="s">
        <v>751</v>
      </c>
    </row>
    <row r="8" spans="1:2">
      <c r="B8" t="s">
        <v>750</v>
      </c>
    </row>
    <row r="9" spans="1:2">
      <c r="B9" t="s">
        <v>752</v>
      </c>
    </row>
    <row r="10" spans="1:2">
      <c r="A10">
        <v>1.44</v>
      </c>
      <c r="B10" t="s">
        <v>753</v>
      </c>
    </row>
    <row r="11" spans="1:2">
      <c r="B11" t="s">
        <v>754</v>
      </c>
    </row>
    <row r="12" spans="1:2">
      <c r="B12" t="s">
        <v>755</v>
      </c>
    </row>
    <row r="13" spans="1:2">
      <c r="A13" t="s">
        <v>756</v>
      </c>
      <c r="B13" t="s">
        <v>757</v>
      </c>
    </row>
    <row r="14" spans="1:2">
      <c r="B14" t="s">
        <v>758</v>
      </c>
    </row>
    <row r="15" spans="1:2">
      <c r="A15">
        <v>2.2000000000000002</v>
      </c>
      <c r="B15" t="s">
        <v>759</v>
      </c>
    </row>
    <row r="16" spans="1:2">
      <c r="A16">
        <v>2.2999999999999998</v>
      </c>
      <c r="B16" t="s">
        <v>760</v>
      </c>
    </row>
    <row r="17" spans="2:2">
      <c r="B17" t="s">
        <v>816</v>
      </c>
    </row>
    <row r="18" spans="2:2">
      <c r="B18" t="s">
        <v>817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AQ107"/>
  <sheetViews>
    <sheetView topLeftCell="U32" workbookViewId="0">
      <selection activeCell="Y46" sqref="Y46"/>
    </sheetView>
  </sheetViews>
  <sheetFormatPr defaultRowHeight="15"/>
  <cols>
    <col min="1" max="1" width="14.28515625" bestFit="1" customWidth="1"/>
    <col min="2" max="2" width="13.7109375" bestFit="1" customWidth="1"/>
    <col min="3" max="3" width="12.7109375" bestFit="1" customWidth="1"/>
    <col min="4" max="4" width="11" bestFit="1" customWidth="1"/>
    <col min="6" max="6" width="11" bestFit="1" customWidth="1"/>
    <col min="9" max="9" width="5.42578125" bestFit="1" customWidth="1"/>
    <col min="10" max="10" width="20.85546875" bestFit="1" customWidth="1"/>
    <col min="11" max="11" width="22.42578125" bestFit="1" customWidth="1"/>
    <col min="12" max="12" width="23.7109375" bestFit="1" customWidth="1"/>
    <col min="13" max="13" width="16" bestFit="1" customWidth="1"/>
    <col min="14" max="14" width="17.28515625" bestFit="1" customWidth="1"/>
    <col min="15" max="16" width="17.42578125" bestFit="1" customWidth="1"/>
    <col min="17" max="17" width="10.7109375" bestFit="1" customWidth="1"/>
    <col min="18" max="18" width="6.5703125" customWidth="1"/>
    <col min="19" max="19" width="4.42578125" bestFit="1" customWidth="1"/>
    <col min="20" max="20" width="18.42578125" bestFit="1" customWidth="1"/>
    <col min="21" max="21" width="12" bestFit="1" customWidth="1"/>
    <col min="22" max="22" width="18.85546875" customWidth="1"/>
    <col min="23" max="23" width="10" bestFit="1" customWidth="1"/>
    <col min="24" max="24" width="8.85546875" customWidth="1"/>
    <col min="27" max="27" width="10" bestFit="1" customWidth="1"/>
    <col min="31" max="31" width="10.7109375" bestFit="1" customWidth="1"/>
    <col min="43" max="43" width="10.7109375" bestFit="1" customWidth="1"/>
  </cols>
  <sheetData>
    <row r="2" spans="1:15">
      <c r="A2" s="238" t="s">
        <v>141</v>
      </c>
      <c r="B2" s="238"/>
      <c r="D2" s="238" t="s">
        <v>143</v>
      </c>
      <c r="E2" s="238"/>
      <c r="F2" s="238"/>
      <c r="J2" s="46" t="s">
        <v>110</v>
      </c>
      <c r="K2" s="46" t="s">
        <v>160</v>
      </c>
      <c r="L2" s="46" t="s">
        <v>161</v>
      </c>
      <c r="M2" s="46" t="s">
        <v>13</v>
      </c>
      <c r="N2" s="46" t="s">
        <v>162</v>
      </c>
      <c r="O2" s="49" t="s">
        <v>444</v>
      </c>
    </row>
    <row r="3" spans="1:15">
      <c r="A3" s="7" t="s">
        <v>142</v>
      </c>
      <c r="B3" s="7">
        <v>2.2799999999999998</v>
      </c>
      <c r="D3" s="52"/>
      <c r="E3" s="7" t="s">
        <v>148</v>
      </c>
      <c r="F3" s="7" t="s">
        <v>149</v>
      </c>
      <c r="J3" s="7" t="s">
        <v>163</v>
      </c>
      <c r="K3" s="7">
        <v>1.1999999999999999E-3</v>
      </c>
      <c r="L3" s="7">
        <v>1.2930000000000001E-3</v>
      </c>
      <c r="M3" s="7">
        <v>1.8120000000000001E-2</v>
      </c>
      <c r="N3" s="7">
        <v>2.5999999999999998E-5</v>
      </c>
      <c r="O3" s="48">
        <v>28.97</v>
      </c>
    </row>
    <row r="4" spans="1:15">
      <c r="A4" s="7" t="s">
        <v>21</v>
      </c>
      <c r="B4" s="7">
        <v>3.98</v>
      </c>
      <c r="D4" s="52" t="s">
        <v>144</v>
      </c>
      <c r="E4" s="7">
        <v>143</v>
      </c>
      <c r="F4" s="7">
        <v>13.6</v>
      </c>
      <c r="J4" s="7" t="s">
        <v>702</v>
      </c>
      <c r="K4" s="7">
        <v>1.66E-3</v>
      </c>
      <c r="L4" s="7">
        <v>1.784E-3</v>
      </c>
      <c r="M4" s="7">
        <v>2.2200000000000001E-2</v>
      </c>
      <c r="N4" s="7">
        <v>3.1999999999999999E-5</v>
      </c>
      <c r="O4" s="48">
        <v>39.948</v>
      </c>
    </row>
    <row r="5" spans="1:15">
      <c r="A5" s="7" t="s">
        <v>23</v>
      </c>
      <c r="B5" s="7">
        <v>8.02</v>
      </c>
      <c r="D5" s="52" t="s">
        <v>145</v>
      </c>
      <c r="E5" s="7">
        <v>404</v>
      </c>
      <c r="F5" s="7">
        <v>76.8</v>
      </c>
      <c r="J5" s="7" t="s">
        <v>703</v>
      </c>
      <c r="K5" s="7">
        <v>2.4840000000000001E-3</v>
      </c>
      <c r="L5" s="7">
        <v>2.6679999999999998E-3</v>
      </c>
      <c r="M5" s="7">
        <v>8.4799999999999997E-3</v>
      </c>
      <c r="N5" s="7">
        <v>1.4E-5</v>
      </c>
      <c r="O5" s="48">
        <v>58.12</v>
      </c>
    </row>
    <row r="6" spans="1:15">
      <c r="A6" s="7" t="s">
        <v>26</v>
      </c>
      <c r="B6" s="7">
        <v>15</v>
      </c>
      <c r="D6" s="52" t="s">
        <v>146</v>
      </c>
      <c r="E6" s="7">
        <v>1142</v>
      </c>
      <c r="F6" s="7">
        <v>434</v>
      </c>
      <c r="J6" s="7" t="s">
        <v>704</v>
      </c>
      <c r="K6" s="7">
        <v>1.163E-3</v>
      </c>
      <c r="L6" s="7">
        <v>1.25E-3</v>
      </c>
      <c r="M6" s="7">
        <v>1.7500000000000002E-2</v>
      </c>
      <c r="N6" s="7">
        <v>2.4000000000000001E-5</v>
      </c>
      <c r="O6" s="48">
        <v>28.01</v>
      </c>
    </row>
    <row r="7" spans="1:15">
      <c r="A7" s="7" t="s">
        <v>126</v>
      </c>
      <c r="B7" s="7">
        <v>16.600000000000001</v>
      </c>
      <c r="D7" s="52" t="s">
        <v>147</v>
      </c>
      <c r="E7" s="7">
        <v>2095</v>
      </c>
      <c r="F7" s="7">
        <v>1200</v>
      </c>
      <c r="J7" s="7" t="s">
        <v>705</v>
      </c>
      <c r="K7" s="7">
        <v>1.2600000000000001E-3</v>
      </c>
      <c r="L7" s="7">
        <v>1.3569999999999999E-3</v>
      </c>
      <c r="M7" s="7">
        <v>9.0100000000000006E-3</v>
      </c>
      <c r="N7" s="7">
        <v>1.2999999999999999E-5</v>
      </c>
      <c r="O7" s="48">
        <v>30.07</v>
      </c>
    </row>
    <row r="8" spans="1:15">
      <c r="A8" s="48" t="s">
        <v>18</v>
      </c>
      <c r="B8" s="48">
        <v>2.54</v>
      </c>
      <c r="J8" s="7" t="s">
        <v>706</v>
      </c>
      <c r="K8" s="7">
        <v>1.17E-3</v>
      </c>
      <c r="L8" s="7">
        <v>1.2600000000000001E-3</v>
      </c>
      <c r="M8" s="7">
        <v>1.01E-2</v>
      </c>
      <c r="N8" s="7">
        <v>1.8E-5</v>
      </c>
      <c r="O8" s="48">
        <v>28.05</v>
      </c>
    </row>
    <row r="9" spans="1:15">
      <c r="J9" s="7" t="s">
        <v>707</v>
      </c>
      <c r="K9" s="7">
        <v>1.6559999999999999E-4</v>
      </c>
      <c r="L9" s="7">
        <v>1.785E-4</v>
      </c>
      <c r="M9" s="7">
        <v>1.9800000000000002E-2</v>
      </c>
      <c r="N9" s="7">
        <v>2.4000000000000001E-5</v>
      </c>
      <c r="O9" s="48">
        <v>4.0030000000000001</v>
      </c>
    </row>
    <row r="10" spans="1:15">
      <c r="J10" s="7" t="s">
        <v>708</v>
      </c>
      <c r="K10" s="7">
        <v>7.0899999999999999E-4</v>
      </c>
      <c r="L10" s="7">
        <v>7.6499999999999995E-4</v>
      </c>
      <c r="M10" s="7">
        <v>9.7999999999999997E-3</v>
      </c>
      <c r="N10" s="7">
        <f>1.9898*10^-5</f>
        <v>1.9898000000000002E-5</v>
      </c>
      <c r="O10" s="7">
        <v>17.030999999999999</v>
      </c>
    </row>
    <row r="11" spans="1:15">
      <c r="J11" s="7" t="s">
        <v>709</v>
      </c>
      <c r="K11" s="7">
        <v>2.983E-3</v>
      </c>
      <c r="L11" s="7">
        <v>3.2139999999999998E-3</v>
      </c>
      <c r="M11" s="7">
        <v>1.32E-2</v>
      </c>
      <c r="N11" s="7">
        <f>2.17*10^-5</f>
        <v>2.1700000000000002E-5</v>
      </c>
      <c r="O11" s="7">
        <v>35.453000000000003</v>
      </c>
    </row>
    <row r="12" spans="1:15">
      <c r="J12" s="7" t="s">
        <v>710</v>
      </c>
      <c r="K12" s="7">
        <v>2.6779999999999998E-3</v>
      </c>
      <c r="L12" s="7">
        <v>2.8900000000000002E-3</v>
      </c>
      <c r="M12" s="7">
        <v>1.2500000000000001E-2</v>
      </c>
      <c r="N12" s="7">
        <f>2.5848*10^-5</f>
        <v>2.5848000000000001E-5</v>
      </c>
      <c r="O12" s="7">
        <v>64.066000000000003</v>
      </c>
    </row>
    <row r="13" spans="1:15">
      <c r="J13" s="7" t="s">
        <v>711</v>
      </c>
      <c r="K13" s="7">
        <v>1.5219999999999999E-3</v>
      </c>
      <c r="L13" s="7">
        <v>1.639E-3</v>
      </c>
      <c r="M13" s="7">
        <v>1.43E-2</v>
      </c>
      <c r="N13" s="7">
        <v>2.9E-5</v>
      </c>
      <c r="O13" s="48">
        <v>36.460940000000001</v>
      </c>
    </row>
    <row r="14" spans="1:15">
      <c r="J14" s="7" t="s">
        <v>712</v>
      </c>
      <c r="K14" s="7">
        <v>8.3399999999999994E-5</v>
      </c>
      <c r="L14" s="7">
        <v>8.9900000000000003E-5</v>
      </c>
      <c r="M14" s="7">
        <v>8.5000000000000006E-3</v>
      </c>
      <c r="N14" s="7">
        <v>1.4E-5</v>
      </c>
      <c r="O14" s="48">
        <v>2.02</v>
      </c>
    </row>
    <row r="15" spans="1:15">
      <c r="J15" s="7" t="s">
        <v>713</v>
      </c>
      <c r="K15" s="7">
        <f>IF('Modified Inputs'!$I$2&gt;70,'10A61 5" Calcs'!F19,0.001833784)</f>
        <v>1.8309999999999999E-3</v>
      </c>
      <c r="L15" s="7">
        <f>IF('Modified Inputs'!$I$2&gt;70,'10A61 5" Calcs'!G19,0.001978157)</f>
        <v>1.9740000000000001E-3</v>
      </c>
      <c r="M15" s="7">
        <v>1.4853282000000001E-2</v>
      </c>
      <c r="N15" s="7">
        <v>2.4919599999999998E-5</v>
      </c>
      <c r="O15" s="48">
        <v>44.01</v>
      </c>
    </row>
    <row r="16" spans="1:15">
      <c r="J16" s="7" t="s">
        <v>714</v>
      </c>
      <c r="K16" s="7">
        <v>3.4788509999999998E-3</v>
      </c>
      <c r="L16" s="7">
        <v>3.7479499999999999E-3</v>
      </c>
      <c r="M16" s="7">
        <v>2.5736330000000002E-2</v>
      </c>
      <c r="N16" s="7">
        <v>4.1090399999999975E-5</v>
      </c>
      <c r="O16" s="48">
        <v>83.798000000000002</v>
      </c>
    </row>
    <row r="17" spans="1:15">
      <c r="J17" s="7" t="s">
        <v>715</v>
      </c>
      <c r="K17" s="7">
        <v>2.1277370000000002E-3</v>
      </c>
      <c r="L17" s="7">
        <v>2.3022089999999999E-3</v>
      </c>
      <c r="M17" s="7">
        <v>1.121953E-2</v>
      </c>
      <c r="N17" s="7">
        <v>2.1580799999999998E-5</v>
      </c>
      <c r="O17" s="48">
        <v>50.49</v>
      </c>
    </row>
    <row r="18" spans="1:15">
      <c r="B18" t="s">
        <v>540</v>
      </c>
      <c r="C18" t="s">
        <v>544</v>
      </c>
      <c r="D18" t="s">
        <v>545</v>
      </c>
      <c r="E18" t="s">
        <v>546</v>
      </c>
      <c r="F18" t="s">
        <v>550</v>
      </c>
      <c r="G18" t="s">
        <v>446</v>
      </c>
      <c r="J18" s="7" t="s">
        <v>716</v>
      </c>
      <c r="K18" s="7">
        <v>8.3569720000000001E-4</v>
      </c>
      <c r="L18" s="7">
        <v>8.998144E-4</v>
      </c>
      <c r="M18" s="7">
        <v>3.119272E-2</v>
      </c>
      <c r="N18" s="7">
        <v>3.7229100000000026E-5</v>
      </c>
      <c r="O18" s="48">
        <v>20.1797</v>
      </c>
    </row>
    <row r="19" spans="1:15">
      <c r="B19" t="s">
        <v>423</v>
      </c>
      <c r="C19">
        <v>0.36430000000000001</v>
      </c>
      <c r="D19">
        <v>4.2700000000000001E-5</v>
      </c>
      <c r="E19">
        <v>44.01</v>
      </c>
      <c r="F19">
        <v>1.8309999999999999E-3</v>
      </c>
      <c r="G19">
        <v>1.9740000000000001E-3</v>
      </c>
      <c r="J19" s="7" t="s">
        <v>717</v>
      </c>
      <c r="K19" s="7">
        <v>1.0864869999999999E-3</v>
      </c>
      <c r="L19" s="100">
        <v>1.172225E-3</v>
      </c>
      <c r="M19" s="100">
        <v>9.9490829999999992E-3</v>
      </c>
      <c r="N19" s="7">
        <v>1.7952870000000014E-5</v>
      </c>
      <c r="O19" s="48">
        <v>26.04</v>
      </c>
    </row>
    <row r="20" spans="1:15">
      <c r="B20" t="s">
        <v>541</v>
      </c>
      <c r="C20">
        <v>0.42330000000000001</v>
      </c>
      <c r="D20">
        <v>3.7299999999999999E-5</v>
      </c>
      <c r="E20">
        <v>17.030999999999999</v>
      </c>
      <c r="F20">
        <v>7.0899999999999999E-4</v>
      </c>
      <c r="G20">
        <v>7.6499999999999995E-4</v>
      </c>
      <c r="J20" s="7" t="s">
        <v>424</v>
      </c>
      <c r="K20" s="7" t="str">
        <f>IF(MixedGas!E2="Volume %",MixedGas!A15,
IF(MixedGas!E2="Mass %",MixedGas!B15,""))</f>
        <v/>
      </c>
      <c r="L20" s="100" t="str">
        <f>IF(MixedGas!E2="Volume %",MixedGas!C15,
IF(MixedGas!E2="Mass %",MixedGas!D15,""))</f>
        <v/>
      </c>
      <c r="M20" s="100">
        <f>MixedGas!E15</f>
        <v>1</v>
      </c>
      <c r="N20" s="7" t="b">
        <f>MixedGas!F15</f>
        <v>0</v>
      </c>
      <c r="O20" s="48"/>
    </row>
    <row r="21" spans="1:15">
      <c r="B21" t="s">
        <v>542</v>
      </c>
      <c r="C21">
        <v>0.65790000000000004</v>
      </c>
      <c r="D21">
        <v>5.622E-5</v>
      </c>
      <c r="E21">
        <v>35.453000000000003</v>
      </c>
      <c r="F21">
        <v>1.482E-3</v>
      </c>
      <c r="G21">
        <v>1.5989999999999999E-3</v>
      </c>
      <c r="J21" s="7" t="s">
        <v>718</v>
      </c>
      <c r="K21" s="7">
        <v>1.426E-3</v>
      </c>
      <c r="L21" s="7">
        <v>1.536E-3</v>
      </c>
      <c r="M21" s="7">
        <v>1.24E-2</v>
      </c>
      <c r="N21" s="7">
        <v>2.3E-5</v>
      </c>
      <c r="O21" s="48">
        <v>34.0809</v>
      </c>
    </row>
    <row r="22" spans="1:15">
      <c r="B22" t="s">
        <v>543</v>
      </c>
      <c r="C22">
        <v>0.68030000000000002</v>
      </c>
      <c r="D22">
        <v>5.6360000000000002E-5</v>
      </c>
      <c r="E22">
        <v>64.066000000000003</v>
      </c>
      <c r="F22">
        <v>2.6779999999999998E-3</v>
      </c>
      <c r="G22">
        <v>2.8900000000000002E-3</v>
      </c>
      <c r="J22" s="7" t="s">
        <v>719</v>
      </c>
      <c r="K22" s="7">
        <v>6.6529999999999996E-4</v>
      </c>
      <c r="L22" s="7">
        <v>7.1679999999999997E-4</v>
      </c>
      <c r="M22" s="7">
        <v>1.099E-2</v>
      </c>
      <c r="N22" s="7">
        <v>1.8E-5</v>
      </c>
      <c r="O22" s="48">
        <v>16.04</v>
      </c>
    </row>
    <row r="23" spans="1:15">
      <c r="J23" s="7" t="s">
        <v>164</v>
      </c>
      <c r="K23" s="7">
        <f>IF(AND('VA Sizing'!$C$4="Natural Gas",'VA Sizing'!$C$6="at Operating Conditions"),'10A61 5" Calcs'!$O$46/'10A61 5" Calcs'!$M$46,0.0007704)</f>
        <v>7.7039999999999997E-4</v>
      </c>
      <c r="L23" s="7">
        <f>IF(AND('VA Sizing'!$C$4="Natural Gas",'VA Sizing'!$C$6="at Operating Conditions"),'10A61 5" Calcs'!$O$46/'10A61 5" Calcs'!$N$46,0.00083)</f>
        <v>8.3000000000000001E-4</v>
      </c>
      <c r="M23" s="7">
        <v>1.04E-2</v>
      </c>
      <c r="N23" s="7">
        <v>1.7E-5</v>
      </c>
      <c r="O23" s="48">
        <v>19</v>
      </c>
    </row>
    <row r="24" spans="1:15">
      <c r="A24" t="s">
        <v>547</v>
      </c>
      <c r="B24" t="s">
        <v>548</v>
      </c>
      <c r="C24" t="s">
        <v>549</v>
      </c>
      <c r="D24" t="s">
        <v>130</v>
      </c>
      <c r="E24" t="s">
        <v>544</v>
      </c>
      <c r="F24" t="s">
        <v>545</v>
      </c>
      <c r="J24" s="7" t="s">
        <v>720</v>
      </c>
      <c r="K24" s="7">
        <v>1.2440000000000001E-3</v>
      </c>
      <c r="L24" s="7">
        <v>1.34E-3</v>
      </c>
      <c r="M24" s="7">
        <v>1.8800000000000001E-2</v>
      </c>
      <c r="N24" s="7">
        <v>2.5999999999999998E-5</v>
      </c>
      <c r="O24" s="48">
        <v>30.006</v>
      </c>
    </row>
    <row r="25" spans="1:15">
      <c r="A25">
        <f>'Modified Inputs'!$I$2*6894.75729</f>
        <v>999739.80704999994</v>
      </c>
      <c r="B25">
        <f>('Modified Inputs'!$K$2-32)*5/9+273.15</f>
        <v>333.15</v>
      </c>
      <c r="C25" t="e">
        <f>VLOOKUP('VA Sizing'!$C$4,'10A61 5" Calcs'!$B$19:$E$22,4,FALSE)</f>
        <v>#N/A</v>
      </c>
      <c r="D25">
        <v>8.3145100000000003</v>
      </c>
      <c r="E25" t="e">
        <f>VLOOKUP('VA Sizing'!$C$4,'10A61 5" Calcs'!$B$19:$E$22,2,FALSE)</f>
        <v>#N/A</v>
      </c>
      <c r="F25" t="e">
        <f>VLOOKUP('VA Sizing'!$C$4,'10A61 5" Calcs'!$B$19:$E$22,3,FALSE)</f>
        <v>#N/A</v>
      </c>
      <c r="J25" s="7" t="s">
        <v>721</v>
      </c>
      <c r="K25" s="7">
        <v>1.16E-3</v>
      </c>
      <c r="L25" s="7">
        <v>1.2509999999999999E-3</v>
      </c>
      <c r="M25" s="7">
        <v>1.7559999999999999E-2</v>
      </c>
      <c r="N25" s="7">
        <v>2.4000000000000001E-5</v>
      </c>
      <c r="O25" s="48">
        <v>28.013400000000001</v>
      </c>
    </row>
    <row r="26" spans="1:15">
      <c r="G26" s="7" t="s">
        <v>186</v>
      </c>
      <c r="J26" s="7" t="s">
        <v>722</v>
      </c>
      <c r="K26" s="7">
        <v>1.838E-3</v>
      </c>
      <c r="L26" s="7">
        <v>1.98E-3</v>
      </c>
      <c r="M26" s="7">
        <v>1.46E-2</v>
      </c>
      <c r="N26" s="7">
        <v>2.5999999999999998E-5</v>
      </c>
      <c r="O26" s="48">
        <v>44.012999999999998</v>
      </c>
    </row>
    <row r="27" spans="1:15">
      <c r="A27">
        <f>(D25^3)*B25^3</f>
        <v>21253449760.583981</v>
      </c>
      <c r="B27" t="e">
        <f>(D25^2)*A25*(B25^2)+E25*(A25^2)</f>
        <v>#N/A</v>
      </c>
      <c r="C27" t="e">
        <f>(A27/B27)+F25</f>
        <v>#N/A</v>
      </c>
      <c r="D27" t="e">
        <f>C27/C25</f>
        <v>#N/A</v>
      </c>
      <c r="E27" t="e">
        <f>1/D27</f>
        <v>#N/A</v>
      </c>
      <c r="F27" t="e">
        <f>E27/1000</f>
        <v>#N/A</v>
      </c>
      <c r="G27" s="7" t="e">
        <f>F27/1000</f>
        <v>#N/A</v>
      </c>
      <c r="J27" s="7" t="s">
        <v>723</v>
      </c>
      <c r="K27" s="7">
        <v>1.3259999999999999E-3</v>
      </c>
      <c r="L27" s="7">
        <v>1.4289999999999999E-3</v>
      </c>
      <c r="M27" s="7">
        <v>2.0299999999999999E-2</v>
      </c>
      <c r="N27" s="7">
        <v>2.9E-5</v>
      </c>
      <c r="O27" s="48">
        <v>32</v>
      </c>
    </row>
    <row r="28" spans="1:15">
      <c r="J28" s="7" t="s">
        <v>724</v>
      </c>
      <c r="K28" s="7">
        <v>1.8649999999999999E-3</v>
      </c>
      <c r="L28" s="7">
        <v>2.0100000000000001E-3</v>
      </c>
      <c r="M28" s="7">
        <v>8.0499999999999999E-3</v>
      </c>
      <c r="N28" s="7">
        <v>1.4E-5</v>
      </c>
      <c r="O28" s="48">
        <v>44.1</v>
      </c>
    </row>
    <row r="29" spans="1:15">
      <c r="J29" s="7" t="s">
        <v>725</v>
      </c>
      <c r="K29" s="7">
        <v>1.7769999999999999E-3</v>
      </c>
      <c r="L29" s="7">
        <v>1.9139999999999999E-3</v>
      </c>
      <c r="M29" s="7">
        <v>8.3999999999999995E-3</v>
      </c>
      <c r="N29" s="7">
        <v>1.5999999999999999E-5</v>
      </c>
      <c r="O29" s="48">
        <v>42.08</v>
      </c>
    </row>
    <row r="30" spans="1:15">
      <c r="J30">
        <v>0</v>
      </c>
      <c r="K30" s="108">
        <v>0</v>
      </c>
      <c r="L30" s="108">
        <v>0</v>
      </c>
      <c r="M30" s="108">
        <v>1</v>
      </c>
      <c r="N30" s="108">
        <v>0</v>
      </c>
      <c r="O30" s="108">
        <v>1</v>
      </c>
    </row>
    <row r="44" spans="1:43">
      <c r="A44" t="s">
        <v>65</v>
      </c>
      <c r="W44" s="240" t="s">
        <v>168</v>
      </c>
      <c r="X44" s="240"/>
      <c r="AA44" s="240" t="s">
        <v>169</v>
      </c>
      <c r="AB44" s="240"/>
      <c r="AD44" s="240" t="s">
        <v>200</v>
      </c>
      <c r="AE44" s="240"/>
      <c r="AI44" s="240" t="s">
        <v>168</v>
      </c>
      <c r="AJ44" s="240"/>
      <c r="AM44" s="240" t="s">
        <v>169</v>
      </c>
      <c r="AN44" s="240"/>
      <c r="AP44" s="240" t="s">
        <v>200</v>
      </c>
      <c r="AQ44" s="240"/>
    </row>
    <row r="45" spans="1:43">
      <c r="B45" s="237" t="s">
        <v>138</v>
      </c>
      <c r="C45" s="237"/>
      <c r="D45" s="237" t="s">
        <v>139</v>
      </c>
      <c r="E45" s="237"/>
      <c r="F45" s="237" t="s">
        <v>140</v>
      </c>
      <c r="G45" s="237"/>
      <c r="I45" t="s">
        <v>16</v>
      </c>
      <c r="J45" t="s">
        <v>150</v>
      </c>
      <c r="K45" t="s">
        <v>151</v>
      </c>
      <c r="L45" t="s">
        <v>152</v>
      </c>
      <c r="M45" t="s">
        <v>165</v>
      </c>
      <c r="N45" t="s">
        <v>166</v>
      </c>
      <c r="O45" t="s">
        <v>153</v>
      </c>
      <c r="P45" t="s">
        <v>154</v>
      </c>
      <c r="Q45" t="s">
        <v>155</v>
      </c>
      <c r="R45" t="s">
        <v>167</v>
      </c>
      <c r="S45" t="s">
        <v>135</v>
      </c>
      <c r="T45" t="s">
        <v>156</v>
      </c>
      <c r="U45" t="s">
        <v>123</v>
      </c>
      <c r="V45" t="s">
        <v>124</v>
      </c>
      <c r="W45" t="s">
        <v>157</v>
      </c>
      <c r="X45" t="s">
        <v>158</v>
      </c>
      <c r="Y45" t="s">
        <v>123</v>
      </c>
      <c r="Z45" t="s">
        <v>124</v>
      </c>
      <c r="AA45" t="s">
        <v>157</v>
      </c>
      <c r="AB45" t="s">
        <v>158</v>
      </c>
      <c r="AD45" s="46" t="s">
        <v>158</v>
      </c>
      <c r="AE45" s="46" t="s">
        <v>58</v>
      </c>
      <c r="AG45" t="s">
        <v>123</v>
      </c>
      <c r="AH45" t="s">
        <v>124</v>
      </c>
      <c r="AI45" t="s">
        <v>127</v>
      </c>
      <c r="AJ45" t="s">
        <v>201</v>
      </c>
      <c r="AK45" t="s">
        <v>123</v>
      </c>
      <c r="AL45" t="s">
        <v>124</v>
      </c>
      <c r="AM45" t="s">
        <v>157</v>
      </c>
      <c r="AN45" t="s">
        <v>158</v>
      </c>
      <c r="AP45" s="46" t="s">
        <v>158</v>
      </c>
      <c r="AQ45" s="46" t="s">
        <v>58</v>
      </c>
    </row>
    <row r="46" spans="1:43">
      <c r="A46" s="3" t="s">
        <v>121</v>
      </c>
      <c r="B46">
        <f t="array" ref="B46:C46">LINEST('10A61 5" Curves'!C4:I4,LN('10A61 5" Curves'!C3:I3))</f>
        <v>0.13693027110752118</v>
      </c>
      <c r="C46">
        <v>-0.39603758830901137</v>
      </c>
      <c r="D46">
        <f t="array" ref="D46:E46">LINEST('10A61 5" Curves'!I4:M4,LN('10A61 5" Curves'!I3:M3))</f>
        <v>7.4354677851053805E-2</v>
      </c>
      <c r="E46">
        <v>2.1796982542503951E-2</v>
      </c>
      <c r="F46">
        <f t="array" ref="F46:G46">LINEST('10A61 5" Curves'!M4:Q4,LN('10A61 5" Curves'!M3:Q3))</f>
        <v>3.4127758675246346E-2</v>
      </c>
      <c r="G46">
        <v>0.38541445135148822</v>
      </c>
      <c r="I46" t="s">
        <v>142</v>
      </c>
      <c r="J46">
        <f>'Modified Inputs'!$K$2</f>
        <v>140</v>
      </c>
      <c r="K46">
        <f>'Modified Inputs'!$I$2</f>
        <v>145</v>
      </c>
      <c r="L46" t="str">
        <f>IF(AND('VA Sizing'!$C$4=" Other",'VA Sizing'!$C$6="at Operating Conditions",'VA Sizing'!$C$5="Standard"),'10A61 5" Calcs'!O46/'10A61 5" Calcs'!M46,
IF(AND('VA Sizing'!$C$4=" Other",'VA Sizing'!$C$6="at Operating Conditions",OR('VA Sizing'!$C$5="Normal",'VA Sizing'!$C$5="Actual")),'10A61 5" Calcs'!O46/N46,
IF(AND('VA Sizing'!$C$4=" Other",'VA Sizing'!$C$6="at Reference Conditions"),'Modified Inputs'!$M$4,
IF(AND('VA Sizing'!$C$3="Gas",'VA Sizing'!$C$5="Standard"),VLOOKUP('VA Sizing'!$C$4,'10A61 5" Calcs'!$J$3:$K$29,2,FALSE),
IF(AND('VA Sizing'!$C$3="Gas",OR('VA Sizing'!$C$5="Actual",'VA Sizing'!$C$5="Normal")),VLOOKUP('VA Sizing'!$C$4,'10A61 5" Calcs'!$J$3:$L$29,3,FALSE),"")))))</f>
        <v/>
      </c>
      <c r="M46">
        <f>(K46/14.7)*(530/(460+J46))</f>
        <v>8.7131519274376412</v>
      </c>
      <c r="N46">
        <f>(K46/14.7)*(492/(460+J46))</f>
        <v>8.0884353741496593</v>
      </c>
      <c r="O46" t="str">
        <f>IFERROR(IF(AND('VA Sizing'!$C$3="Gas",'VA Sizing'!$C$6="at Operating Conditions"),'Modified Inputs'!$M$2,
IF(OR(AND('VA Sizing'!$C$4="Carbon Dioxide",'Modified Inputs'!$I$2&gt;70),'VA Sizing'!$C$4="Ammonia",'VA Sizing'!$C$4="Chlorine",'VA Sizing'!$C$4="Sulfur Dioxide"),'10A61 5" Calcs'!$G$27,
IF('VA Sizing'!$C$5="Standard",'10A61 5" Calcs'!M46*'10A61 5" Calcs'!L46,
IF(OR('VA Sizing'!$C$5="Normal",'VA Sizing'!$C$5="Actual"),'10A61 5" Calcs'!N46*'10A61 5" Calcs'!L46,"")))),IF('VA Sizing'!$C$4="Steam",Steam!$B$20,""))</f>
        <v/>
      </c>
      <c r="P46" t="e">
        <f>VLOOKUP('VA Sizing'!$C$4,'10A61 5" Calcs'!$J$3:$M$29,4,FALSE)</f>
        <v>#N/A</v>
      </c>
      <c r="Q46" t="e">
        <f>VLOOKUP('VA Sizing'!$C$4,'10A61 5" Calcs'!$J$3:$N$28,5,FALSE)</f>
        <v>#N/A</v>
      </c>
      <c r="R46">
        <f>J46-32</f>
        <v>108</v>
      </c>
      <c r="S46">
        <f>J46-70</f>
        <v>70</v>
      </c>
      <c r="T46" t="str">
        <f>IFERROR(IF(AND('VA Sizing'!$C$3="Gas",'VA Sizing'!$C$4=" Other"),'Modified Inputs'!$G$2,
IF('VA Sizing'!$C$5="Standard",'10A61 5" Calcs'!P46+'10A61 5" Calcs'!Q46*'10A61 5" Calcs'!S46,
IF(OR('VA Sizing'!$C$5="Normal",'VA Sizing'!$C$5="Actual"),'10A61 5" Calcs'!P46+'10A61 5" Calcs'!Q46*'10A61 5" Calcs'!R46,""))),IF('VA Sizing'!$C$4="Steam",Steam!$C$20,""))</f>
        <v/>
      </c>
      <c r="U46" t="e">
        <f>($E$6/T46)*SQRT((VLOOKUP(I46,$A$3:$B$8,2,FALSE)-O46)*O46)</f>
        <v>#VALUE!</v>
      </c>
      <c r="V46" t="e">
        <f>IF(U46&lt;($C$47+0.00001),$B$46*LN(U46)+$C$46,
IF(U46&lt;($E$47+0.00001),$D$46*LN(U46)+$E$46,
IF(U46&lt;($G$47+0.0001),$F$46*LN(U46)+$G$46,"")))</f>
        <v>#VALUE!</v>
      </c>
      <c r="W46" t="e">
        <f t="shared" ref="W46:W51" si="0">(V46*$F$6)*SQRT((VLOOKUP(I46,$A$3:$B$8,2,FALSE)-O46)*O46)</f>
        <v>#VALUE!</v>
      </c>
      <c r="X46" t="str">
        <f>IF(AND('VA Sizing'!$C$3="Gas",'VA Sizing'!$C$4=" Other",NOT('VA Sizing'!$C$5="Actual"),'VA Sizing'!$C$6="at Operating Conditions"),'10A61 5" Calcs'!W46/'10A61 5" Calcs'!L46,
IF(AND('VA Sizing'!$C$3="Gas",'VA Sizing'!$C$4=" Other",NOT('VA Sizing'!$C$5="Actual"),'VA Sizing'!$C$6="at Reference Conditions"),'10A61 5" Calcs'!W46/'Modified Inputs'!$M$4,
IF('VA Sizing'!$C$5="Standard",W46/VLOOKUP('VA Sizing'!$C$4,'10A61 5" Calcs'!$J$3:$K$29,2,FALSE),
IF('VA Sizing'!$C$5="Normal",'10A61 5" Calcs'!W46/VLOOKUP('VA Sizing'!$C$4,'10A61 5" Calcs'!$J$3:$L$29,3,FALSE),
IF('VA Sizing'!$C$5="Actual",'10A61 5" Calcs'!W46/'10A61 5" Calcs'!O46,"")))))</f>
        <v/>
      </c>
      <c r="Y46">
        <f>($E$6/'Modified Inputs'!$G$2)*SQRT((VLOOKUP('10A61 5" Calcs'!I46,'10A61 5" Calcs'!$A$3:$B$8,2,FALSE)-'Modified Inputs'!$M$2)*'Modified Inputs'!$M$2)</f>
        <v>1290.561057989896</v>
      </c>
      <c r="Z46">
        <f>IF(Y46&lt;700.00001,$B$46*LN(Y46)+$C$46,
IF(Y46&lt;10000.00001,$D$46*LN(Y46)+$E$46,
IF(Y46&lt;200000.0001,$F$46*LN(Y46)+$G$46,"")))</f>
        <v>0.55438707305051416</v>
      </c>
      <c r="AA46">
        <f>Z46*$F$6*SQRT((VLOOKUP(I46,$A$3:$B$8,2,FALSE)-'Modified Inputs'!$M$2)*'Modified Inputs'!$M$2)</f>
        <v>271.90379992021462</v>
      </c>
      <c r="AB46">
        <f>AA46/'Modified Inputs'!$M$2</f>
        <v>274.65030294971172</v>
      </c>
      <c r="AD46" s="7">
        <f>IF('VA Sizing'!$C$3="Gas",'10A61 5" Calcs'!X46,
IF('VA Sizing'!$C$3="Liquid",'10A61 5" Calcs'!AB46,""))</f>
        <v>274.65030294971172</v>
      </c>
      <c r="AE46" s="7" t="str">
        <f>CONCATENATE($A$46,"-",I46)</f>
        <v>1/4-25-CD</v>
      </c>
      <c r="AG46" t="e">
        <f>($E$5/T46)*SQRT((VLOOKUP(I46,$A$3:$B$8,2,FALSE)-O46)*O46)</f>
        <v>#VALUE!</v>
      </c>
      <c r="AH46" t="e">
        <f>IF(AG46&lt;($C$47+0.00001),$B$46*LN(AG46)+$C$46,
IF(AG46&lt;($E$47+0.00001),$D$46*LN(AG46)+$E$46,
IF(AG46&lt;($G$47+0.0001),$F$46*LN(AG46)+$G$46,"")))</f>
        <v>#VALUE!</v>
      </c>
      <c r="AI46" t="e">
        <f>(AH46*$F$5)*SQRT((VLOOKUP(I46,$A$3:$B$8,2,FALSE)-O46)*O46)</f>
        <v>#VALUE!</v>
      </c>
      <c r="AJ46" t="str">
        <f>IF(AND('VA Sizing'!$C$3="Gas",'VA Sizing'!$C$4=" Other",NOT('VA Sizing'!$C$5="Actual"),'VA Sizing'!$C$6="at Operating Conditions"),'10A61 5" Calcs'!AI46/'10A61 5" Calcs'!L46,
IF(AND('VA Sizing'!$C$3="Gas",'VA Sizing'!$C$4=" Other",NOT('VA Sizing'!$C$5="Actual"),'VA Sizing'!$C$6="at Reference Conditions"),'10A61 5" Calcs'!AI46/'Modified Inputs'!$M$4,
IF('VA Sizing'!$C$5="Standard",AI46/VLOOKUP('VA Sizing'!$C$4,'10A61 5" Calcs'!$J$3:$K$29,2,FALSE),
IF('VA Sizing'!$C$5="Normal",'10A61 5" Calcs'!AI46/VLOOKUP('VA Sizing'!$C$4,'10A61 5" Calcs'!$J$3:$L$29,3,FALSE),
IF('VA Sizing'!$C$5="Actual",'10A61 5" Calcs'!AI46/'10A61 5" Calcs'!O46,"")))))</f>
        <v/>
      </c>
      <c r="AK46">
        <f>($E$5/'Modified Inputs'!$G$2)*SQRT((VLOOKUP('10A61 5" Calcs'!I46,'10A61 5" Calcs'!$A$3:$B$8,2,FALSE)-'Modified Inputs'!$M$2)*'Modified Inputs'!$M$2)</f>
        <v>456.55575081253761</v>
      </c>
      <c r="AL46">
        <f>IF(AK46&lt;700.00001,$B$46*LN(AK46)+$C$46,
IF(AK46&lt;10000.00001,$D$46*LN(AK46)+$E$46,
IF(AK46&lt;200000.0001,$F$46*LN(AK46)+$G$46,"")))</f>
        <v>0.44248379435100671</v>
      </c>
      <c r="AM46">
        <f>AL46*$F$5*SQRT((VLOOKUP(I46,$A$3:$B$8,2,FALSE)-'Modified Inputs'!$M$2)*'Modified Inputs'!$M$2)</f>
        <v>38.403520814695483</v>
      </c>
      <c r="AN46">
        <f>AM46/'Modified Inputs'!$M$2</f>
        <v>38.791435166359072</v>
      </c>
      <c r="AP46" s="63">
        <f>IF('VA Sizing'!$C$3="Gas",'10A61 5" Calcs'!AJ46,
IF('VA Sizing'!$C$3="Liquid",'10A61 5" Calcs'!AN46,""))</f>
        <v>38.791435166359072</v>
      </c>
      <c r="AQ46" s="63" t="s">
        <v>202</v>
      </c>
    </row>
    <row r="47" spans="1:43">
      <c r="A47" t="s">
        <v>159</v>
      </c>
      <c r="B47">
        <v>30</v>
      </c>
      <c r="C47">
        <v>700</v>
      </c>
      <c r="D47">
        <v>700</v>
      </c>
      <c r="E47">
        <v>10000</v>
      </c>
      <c r="F47">
        <v>10000</v>
      </c>
      <c r="G47">
        <v>200000</v>
      </c>
      <c r="I47" t="s">
        <v>21</v>
      </c>
      <c r="J47">
        <f>'Modified Inputs'!$K$2</f>
        <v>140</v>
      </c>
      <c r="K47">
        <f>'Modified Inputs'!$I$2</f>
        <v>145</v>
      </c>
      <c r="L47" t="str">
        <f>IF(AND('VA Sizing'!$C$4=" Other",'VA Sizing'!$C$6="at Operating Conditions",'VA Sizing'!$C$5="Standard"),'10A61 5" Calcs'!O47/'10A61 5" Calcs'!M47,
IF(AND('VA Sizing'!$C$4=" Other",'VA Sizing'!$C$6="at Operating Conditions",OR('VA Sizing'!$C$5="Normal",'VA Sizing'!$C$5="Actual")),'10A61 5" Calcs'!O47/N47,
IF(AND('VA Sizing'!$C$4=" Other",'VA Sizing'!$C$6="at Reference Conditions"),'Modified Inputs'!$M$4,
IF(AND('VA Sizing'!$C$3="Gas",'VA Sizing'!$C$5="Standard"),VLOOKUP('VA Sizing'!$C$4,'10A61 5" Calcs'!$J$3:$K$29,2,FALSE),
IF(AND('VA Sizing'!$C$3="Gas",OR('VA Sizing'!$C$5="Actual",'VA Sizing'!$C$5="Normal")),VLOOKUP('VA Sizing'!$C$4,'10A61 5" Calcs'!$J$3:$L$29,3,FALSE),"")))))</f>
        <v/>
      </c>
      <c r="M47">
        <f>(K47/14.7)*(530/(460+J47))</f>
        <v>8.7131519274376412</v>
      </c>
      <c r="N47">
        <f t="shared" ref="N47:N107" si="1">(K47/14.7)*(492/(460+J47))</f>
        <v>8.0884353741496593</v>
      </c>
      <c r="O47" t="str">
        <f>IFERROR(IF(AND('VA Sizing'!$C$3="Gas",'VA Sizing'!$C$6="at Operating Conditions"),'Modified Inputs'!$M$2,
IF(OR(AND('VA Sizing'!$C$4="Carbon Dioxide",'Modified Inputs'!$I$2&gt;70),'VA Sizing'!$C$4="Ammonia",'VA Sizing'!$C$4="Chlorine",'VA Sizing'!$C$4="Sulfur Dioxide"),'10A61 5" Calcs'!$G$27,
IF('VA Sizing'!$C$5="Standard",'10A61 5" Calcs'!M47*'10A61 5" Calcs'!L47,
IF(OR('VA Sizing'!$C$5="Normal",'VA Sizing'!$C$5="Actual"),'10A61 5" Calcs'!N47*'10A61 5" Calcs'!L47,"")))),IF('VA Sizing'!$C$4="Steam",Steam!$B$20,""))</f>
        <v/>
      </c>
      <c r="P47" t="e">
        <f>VLOOKUP('VA Sizing'!$C$4,'10A61 5" Calcs'!$J$3:$M$29,4,FALSE)</f>
        <v>#N/A</v>
      </c>
      <c r="Q47" t="e">
        <f>VLOOKUP('VA Sizing'!$C$4,'10A61 5" Calcs'!$J$3:$N$28,5,FALSE)</f>
        <v>#N/A</v>
      </c>
      <c r="R47">
        <f>J47-32</f>
        <v>108</v>
      </c>
      <c r="S47">
        <f>J47-70</f>
        <v>70</v>
      </c>
      <c r="T47" t="str">
        <f>IFERROR(IF(AND('VA Sizing'!$C$3="Gas",'VA Sizing'!$C$4=" Other"),'Modified Inputs'!$G$2,
IF('VA Sizing'!$C$5="Standard",'10A61 5" Calcs'!P47+'10A61 5" Calcs'!Q47*'10A61 5" Calcs'!S47,
IF(OR('VA Sizing'!$C$5="Normal",'VA Sizing'!$C$5="Actual"),'10A61 5" Calcs'!P47+'10A61 5" Calcs'!Q47*'10A61 5" Calcs'!R47,""))),IF('VA Sizing'!$C$4="Steam",Steam!$C$20,""))</f>
        <v/>
      </c>
      <c r="U47" t="e">
        <f t="shared" ref="U47:U51" si="2">($E$6/T47)*SQRT((VLOOKUP(I47,$A$3:$B$8,2,FALSE)-O47)*O47)</f>
        <v>#VALUE!</v>
      </c>
      <c r="V47" t="e">
        <f t="shared" ref="V47:V51" si="3">IF(U47&lt;($C$47+0.00001),$B$46*LN(U47)+$C$46,
IF(U47&lt;($E$47+0.00001),$D$46*LN(U47)+$E$46,
IF(U47&lt;($G$47+0.0001),$F$46*LN(U47)+$G$46,"")))</f>
        <v>#VALUE!</v>
      </c>
      <c r="W47" t="e">
        <f t="shared" si="0"/>
        <v>#VALUE!</v>
      </c>
      <c r="X47" t="str">
        <f>IF(AND('VA Sizing'!$C$3="Gas",'VA Sizing'!$C$4=" Other",NOT('VA Sizing'!$C$5="Actual"),'VA Sizing'!$C$6="at Operating Conditions"),'10A61 5" Calcs'!W47/'10A61 5" Calcs'!L47,
IF(AND('VA Sizing'!$C$3="Gas",'VA Sizing'!$C$4=" Other",NOT('VA Sizing'!$C$5="Actual"),'VA Sizing'!$C$6="at Reference Conditions"),'10A61 5" Calcs'!W47/'Modified Inputs'!$M$4,
IF('VA Sizing'!$C$5="Standard",W47/VLOOKUP('VA Sizing'!$C$4,'10A61 5" Calcs'!$J$3:$K$29,2,FALSE),
IF('VA Sizing'!$C$5="Normal",'10A61 5" Calcs'!W47/VLOOKUP('VA Sizing'!$C$4,'10A61 5" Calcs'!$J$3:$L$29,3,FALSE),
IF('VA Sizing'!$C$5="Actual",'10A61 5" Calcs'!W47/'10A61 5" Calcs'!O47,"")))))</f>
        <v/>
      </c>
      <c r="Y47">
        <f>($E$6/'Modified Inputs'!$G$2)*SQRT((VLOOKUP('10A61 5" Calcs'!I47,'10A61 5" Calcs'!$A$3:$B$8,2,FALSE)-'Modified Inputs'!$M$2)*'Modified Inputs'!$M$2)</f>
        <v>1964.8042794130922</v>
      </c>
      <c r="Z47">
        <f t="shared" ref="Z47:Z50" si="4">IF(Y47&lt;700.00001,$B$46*LN(Y47)+$C$46,
IF(Y47&lt;10000.00001,$D$46*LN(Y47)+$E$46,
IF(Y47&lt;200000.0001,$F$46*LN(Y47)+$G$46,"")))</f>
        <v>0.58563950293286782</v>
      </c>
      <c r="AA47">
        <f>Z47*$F$6*SQRT((VLOOKUP(I47,$A$3:$B$8,2,FALSE)-'Modified Inputs'!$M$2)*'Modified Inputs'!$M$2)</f>
        <v>437.29376416395883</v>
      </c>
      <c r="AB47">
        <f>AA47/'Modified Inputs'!$M$2</f>
        <v>441.71087289288772</v>
      </c>
      <c r="AD47" s="7">
        <f>IF('VA Sizing'!$C$3="Gas",'10A61 5" Calcs'!X47,
IF('VA Sizing'!$C$3="Liquid",'10A61 5" Calcs'!AB47,""))</f>
        <v>441.71087289288772</v>
      </c>
      <c r="AE47" s="7" t="str">
        <f t="shared" ref="AE47:AE51" si="5">CONCATENATE($A$46,"-",I47)</f>
        <v>1/4-25-SA</v>
      </c>
      <c r="AG47" t="e">
        <f>($E$5/T47)*SQRT((VLOOKUP(I47,$A$3:$B$8,2,FALSE)-O47)*O47)</f>
        <v>#VALUE!</v>
      </c>
      <c r="AH47" t="e">
        <f t="shared" ref="AH47:AH51" si="6">IF(AG47&lt;($C$47+0.00001),$B$46*LN(AG47)+$C$46,
IF(AG47&lt;($E$47+0.00001),$D$46*LN(AG47)+$E$46,
IF(AG47&lt;($G$47+0.0001),$F$46*LN(AG47)+$G$46,"")))</f>
        <v>#VALUE!</v>
      </c>
      <c r="AI47" t="e">
        <f t="shared" ref="AI47:AI51" si="7">(AH47*$F$5)*SQRT((VLOOKUP(I47,$A$3:$B$8,2,FALSE)-O47)*O47)</f>
        <v>#VALUE!</v>
      </c>
      <c r="AJ47" t="str">
        <f>IF(AND('VA Sizing'!$C$3="Gas",'VA Sizing'!$C$4=" Other",NOT('VA Sizing'!$C$5="Actual"),'VA Sizing'!$C$6="at Operating Conditions"),'10A61 5" Calcs'!AI47/'10A61 5" Calcs'!L47,
IF(AND('VA Sizing'!$C$3="Gas",'VA Sizing'!$C$4=" Other",NOT('VA Sizing'!$C$5="Actual"),'VA Sizing'!$C$6="at Reference Conditions"),'10A61 5" Calcs'!AI47/'Modified Inputs'!$M$4,
IF('VA Sizing'!$C$5="Standard",AI47/VLOOKUP('VA Sizing'!$C$4,'10A61 5" Calcs'!$J$3:$K$29,2,FALSE),
IF('VA Sizing'!$C$5="Normal",'10A61 5" Calcs'!AI47/VLOOKUP('VA Sizing'!$C$4,'10A61 5" Calcs'!$J$3:$L$29,3,FALSE),
IF('VA Sizing'!$C$5="Actual",'10A61 5" Calcs'!AI47/'10A61 5" Calcs'!O47,"")))))</f>
        <v/>
      </c>
      <c r="AK47">
        <f>($E$5/'Modified Inputs'!$G$2)*SQRT((VLOOKUP('10A61 5" Calcs'!I47,'10A61 5" Calcs'!$A$3:$B$8,2,FALSE)-'Modified Inputs'!$M$2)*'Modified Inputs'!$M$2)</f>
        <v>695.07962248939509</v>
      </c>
      <c r="AL47">
        <f t="shared" ref="AL47:AL51" si="8">IF(AK47&lt;700.00001,$B$46*LN(AK47)+$C$46,
IF(AK47&lt;10000.00001,$D$46*LN(AK47)+$E$46,
IF(AK47&lt;200000.0001,$F$46*LN(AK47)+$G$46,"")))</f>
        <v>0.50003772128929447</v>
      </c>
      <c r="AM47">
        <f>AL47*$F$5*SQRT((VLOOKUP(I47,$A$3:$B$8,2,FALSE)-'Modified Inputs'!$M$2)*'Modified Inputs'!$M$2)</f>
        <v>66.071958281673531</v>
      </c>
      <c r="AN47">
        <f>AM47/'Modified Inputs'!$M$2</f>
        <v>66.739351799670231</v>
      </c>
      <c r="AP47" s="7">
        <f>IF('VA Sizing'!$C$3="Gas",'10A61 5" Calcs'!AJ47,
IF('VA Sizing'!$C$3="Liquid",'10A61 5" Calcs'!AN47,""))</f>
        <v>66.739351799670231</v>
      </c>
      <c r="AQ47" s="7" t="s">
        <v>203</v>
      </c>
    </row>
    <row r="48" spans="1:43">
      <c r="A48" s="3"/>
      <c r="I48" t="s">
        <v>23</v>
      </c>
      <c r="J48">
        <f>'Modified Inputs'!$K$2</f>
        <v>140</v>
      </c>
      <c r="K48">
        <f>'Modified Inputs'!$I$2</f>
        <v>145</v>
      </c>
      <c r="L48" t="str">
        <f>IF(AND('VA Sizing'!$C$4=" Other",'VA Sizing'!$C$6="at Operating Conditions",'VA Sizing'!$C$5="Standard"),'10A61 5" Calcs'!O48/'10A61 5" Calcs'!M48,
IF(AND('VA Sizing'!$C$4=" Other",'VA Sizing'!$C$6="at Operating Conditions",OR('VA Sizing'!$C$5="Normal",'VA Sizing'!$C$5="Actual")),'10A61 5" Calcs'!O48/N48,
IF(AND('VA Sizing'!$C$4=" Other",'VA Sizing'!$C$6="at Reference Conditions"),'Modified Inputs'!$M$4,
IF(AND('VA Sizing'!$C$3="Gas",'VA Sizing'!$C$5="Standard"),VLOOKUP('VA Sizing'!$C$4,'10A61 5" Calcs'!$J$3:$K$29,2,FALSE),
IF(AND('VA Sizing'!$C$3="Gas",OR('VA Sizing'!$C$5="Actual",'VA Sizing'!$C$5="Normal")),VLOOKUP('VA Sizing'!$C$4,'10A61 5" Calcs'!$J$3:$L$29,3,FALSE),"")))))</f>
        <v/>
      </c>
      <c r="M48">
        <f t="shared" ref="M48:M107" si="9">(K48/14.7)*(530/(460+J48))</f>
        <v>8.7131519274376412</v>
      </c>
      <c r="N48">
        <f>(K48/14.7)*(492/(460+J48))</f>
        <v>8.0884353741496593</v>
      </c>
      <c r="O48" t="str">
        <f>IFERROR(IF(AND('VA Sizing'!$C$3="Gas",'VA Sizing'!$C$6="at Operating Conditions"),'Modified Inputs'!$M$2,
IF(OR(AND('VA Sizing'!$C$4="Carbon Dioxide",'Modified Inputs'!$I$2&gt;70),'VA Sizing'!$C$4="Ammonia",'VA Sizing'!$C$4="Chlorine",'VA Sizing'!$C$4="Sulfur Dioxide"),'10A61 5" Calcs'!$G$27,
IF('VA Sizing'!$C$5="Standard",'10A61 5" Calcs'!M48*'10A61 5" Calcs'!L48,
IF(OR('VA Sizing'!$C$5="Normal",'VA Sizing'!$C$5="Actual"),'10A61 5" Calcs'!N48*'10A61 5" Calcs'!L48,"")))),IF('VA Sizing'!$C$4="Steam",Steam!$B$20,""))</f>
        <v/>
      </c>
      <c r="P48" t="e">
        <f>VLOOKUP('VA Sizing'!$C$4,'10A61 5" Calcs'!$J$3:$M$29,4,FALSE)</f>
        <v>#N/A</v>
      </c>
      <c r="Q48" t="e">
        <f>VLOOKUP('VA Sizing'!$C$4,'10A61 5" Calcs'!$J$3:$N$28,5,FALSE)</f>
        <v>#N/A</v>
      </c>
      <c r="R48">
        <f t="shared" ref="R48:R107" si="10">J48-32</f>
        <v>108</v>
      </c>
      <c r="S48">
        <f t="shared" ref="S48:S107" si="11">J48-70</f>
        <v>70</v>
      </c>
      <c r="T48" t="str">
        <f>IFERROR(IF(AND('VA Sizing'!$C$3="Gas",'VA Sizing'!$C$4=" Other"),'Modified Inputs'!$G$2,
IF('VA Sizing'!$C$5="Standard",'10A61 5" Calcs'!P48+'10A61 5" Calcs'!Q48*'10A61 5" Calcs'!S48,
IF(OR('VA Sizing'!$C$5="Normal",'VA Sizing'!$C$5="Actual"),'10A61 5" Calcs'!P48+'10A61 5" Calcs'!Q48*'10A61 5" Calcs'!R48,""))),IF('VA Sizing'!$C$4="Steam",Steam!$C$20,""))</f>
        <v/>
      </c>
      <c r="U48" t="e">
        <f t="shared" si="2"/>
        <v>#VALUE!</v>
      </c>
      <c r="V48" t="e">
        <f t="shared" si="3"/>
        <v>#VALUE!</v>
      </c>
      <c r="W48" t="e">
        <f t="shared" si="0"/>
        <v>#VALUE!</v>
      </c>
      <c r="X48" t="str">
        <f>IF(AND('VA Sizing'!$C$3="Gas",'VA Sizing'!$C$4=" Other",NOT('VA Sizing'!$C$5="Actual"),'VA Sizing'!$C$6="at Operating Conditions"),'10A61 5" Calcs'!W48/'10A61 5" Calcs'!L48,
IF(AND('VA Sizing'!$C$3="Gas",'VA Sizing'!$C$4=" Other",NOT('VA Sizing'!$C$5="Actual"),'VA Sizing'!$C$6="at Reference Conditions"),'10A61 5" Calcs'!W48/'Modified Inputs'!$M$4,
IF('VA Sizing'!$C$5="Standard",W48/VLOOKUP('VA Sizing'!$C$4,'10A61 5" Calcs'!$J$3:$K$29,2,FALSE),
IF('VA Sizing'!$C$5="Normal",'10A61 5" Calcs'!W48/VLOOKUP('VA Sizing'!$C$4,'10A61 5" Calcs'!$J$3:$L$29,3,FALSE),
IF('VA Sizing'!$C$5="Actual",'10A61 5" Calcs'!W48/'10A61 5" Calcs'!O48,"")))))</f>
        <v/>
      </c>
      <c r="Y48">
        <f>($E$6/'Modified Inputs'!$G$2)*SQRT((VLOOKUP('10A61 5" Calcs'!I48,'10A61 5" Calcs'!$A$3:$B$8,2,FALSE)-'Modified Inputs'!$M$2)*'Modified Inputs'!$M$2)</f>
        <v>3012.7379890723982</v>
      </c>
      <c r="Z48">
        <f t="shared" si="4"/>
        <v>0.61742290512371412</v>
      </c>
      <c r="AA48">
        <f>Z48*$F$6*SQRT((VLOOKUP(I48,$A$3:$B$8,2,FALSE)-'Modified Inputs'!$M$2)*'Modified Inputs'!$M$2)</f>
        <v>706.91586133967678</v>
      </c>
      <c r="AB48">
        <f>AA48/'Modified Inputs'!$M$2</f>
        <v>714.05642559563307</v>
      </c>
      <c r="AD48" s="7">
        <f>IF('VA Sizing'!$C$3="Gas",'10A61 5" Calcs'!X48,
IF('VA Sizing'!$C$3="Liquid",'10A61 5" Calcs'!AB48,""))</f>
        <v>714.05642559563307</v>
      </c>
      <c r="AE48" s="7" t="str">
        <f t="shared" si="5"/>
        <v>1/4-25-SS</v>
      </c>
      <c r="AG48" t="e">
        <f t="shared" ref="AG48:AG65" si="12">($E$5/T48)*SQRT((VLOOKUP(I48,$A$3:$B$8,2,FALSE)-O48)*O48)</f>
        <v>#VALUE!</v>
      </c>
      <c r="AH48" t="e">
        <f t="shared" si="6"/>
        <v>#VALUE!</v>
      </c>
      <c r="AI48" t="e">
        <f t="shared" si="7"/>
        <v>#VALUE!</v>
      </c>
      <c r="AJ48" t="str">
        <f>IF(AND('VA Sizing'!$C$3="Gas",'VA Sizing'!$C$4=" Other",NOT('VA Sizing'!$C$5="Actual"),'VA Sizing'!$C$6="at Operating Conditions"),'10A61 5" Calcs'!AI48/'10A61 5" Calcs'!L48,
IF(AND('VA Sizing'!$C$3="Gas",'VA Sizing'!$C$4=" Other",NOT('VA Sizing'!$C$5="Actual"),'VA Sizing'!$C$6="at Reference Conditions"),'10A61 5" Calcs'!AI48/'Modified Inputs'!$M$4,
IF('VA Sizing'!$C$5="Standard",AI48/VLOOKUP('VA Sizing'!$C$4,'10A61 5" Calcs'!$J$3:$K$29,2,FALSE),
IF('VA Sizing'!$C$5="Normal",'10A61 5" Calcs'!AI48/VLOOKUP('VA Sizing'!$C$4,'10A61 5" Calcs'!$J$3:$L$29,3,FALSE),
IF('VA Sizing'!$C$5="Actual",'10A61 5" Calcs'!AI48/'10A61 5" Calcs'!O48,"")))))</f>
        <v/>
      </c>
      <c r="AK48">
        <f>($E$5/'Modified Inputs'!$G$2)*SQRT((VLOOKUP('10A61 5" Calcs'!I48,'10A61 5" Calcs'!$A$3:$B$8,2,FALSE)-'Modified Inputs'!$M$2)*'Modified Inputs'!$M$2)</f>
        <v>1065.8022308102004</v>
      </c>
      <c r="AL48">
        <f t="shared" si="8"/>
        <v>0.54015935983190833</v>
      </c>
      <c r="AM48">
        <f>AL48*$F$5*SQRT((VLOOKUP(I48,$A$3:$B$8,2,FALSE)-'Modified Inputs'!$M$2)*'Modified Inputs'!$M$2)</f>
        <v>109.44057993540264</v>
      </c>
      <c r="AN48">
        <f>AM48/'Modified Inputs'!$M$2</f>
        <v>110.54604033879055</v>
      </c>
      <c r="AP48" s="7">
        <f>IF('VA Sizing'!$C$3="Gas",'10A61 5" Calcs'!AJ48,
IF('VA Sizing'!$C$3="Liquid",'10A61 5" Calcs'!AN48,""))</f>
        <v>110.54604033879055</v>
      </c>
      <c r="AQ48" s="7" t="s">
        <v>204</v>
      </c>
    </row>
    <row r="49" spans="1:43">
      <c r="I49" t="s">
        <v>26</v>
      </c>
      <c r="J49">
        <f>'Modified Inputs'!$K$2</f>
        <v>140</v>
      </c>
      <c r="K49">
        <f>'Modified Inputs'!$I$2</f>
        <v>145</v>
      </c>
      <c r="L49" t="str">
        <f>IF(AND('VA Sizing'!$C$4=" Other",'VA Sizing'!$C$6="at Operating Conditions",'VA Sizing'!$C$5="Standard"),'10A61 5" Calcs'!O49/'10A61 5" Calcs'!M49,
IF(AND('VA Sizing'!$C$4=" Other",'VA Sizing'!$C$6="at Operating Conditions",OR('VA Sizing'!$C$5="Normal",'VA Sizing'!$C$5="Actual")),'10A61 5" Calcs'!O49/N49,
IF(AND('VA Sizing'!$C$4=" Other",'VA Sizing'!$C$6="at Reference Conditions"),'Modified Inputs'!$M$4,
IF(AND('VA Sizing'!$C$3="Gas",'VA Sizing'!$C$5="Standard"),VLOOKUP('VA Sizing'!$C$4,'10A61 5" Calcs'!$J$3:$K$29,2,FALSE),
IF(AND('VA Sizing'!$C$3="Gas",OR('VA Sizing'!$C$5="Actual",'VA Sizing'!$C$5="Normal")),VLOOKUP('VA Sizing'!$C$4,'10A61 5" Calcs'!$J$3:$L$29,3,FALSE),"")))))</f>
        <v/>
      </c>
      <c r="M49">
        <f t="shared" si="9"/>
        <v>8.7131519274376412</v>
      </c>
      <c r="N49">
        <f t="shared" si="1"/>
        <v>8.0884353741496593</v>
      </c>
      <c r="O49" t="str">
        <f>IFERROR(IF(AND('VA Sizing'!$C$3="Gas",'VA Sizing'!$C$6="at Operating Conditions"),'Modified Inputs'!$M$2,
IF(OR(AND('VA Sizing'!$C$4="Carbon Dioxide",'Modified Inputs'!$I$2&gt;70),'VA Sizing'!$C$4="Ammonia",'VA Sizing'!$C$4="Chlorine",'VA Sizing'!$C$4="Sulfur Dioxide"),'10A61 5" Calcs'!$G$27,
IF('VA Sizing'!$C$5="Standard",'10A61 5" Calcs'!M49*'10A61 5" Calcs'!L49,
IF(OR('VA Sizing'!$C$5="Normal",'VA Sizing'!$C$5="Actual"),'10A61 5" Calcs'!N49*'10A61 5" Calcs'!L49,"")))),IF('VA Sizing'!$C$4="Steam",Steam!$B$20,""))</f>
        <v/>
      </c>
      <c r="P49" t="e">
        <f>VLOOKUP('VA Sizing'!$C$4,'10A61 5" Calcs'!$J$3:$M$29,4,FALSE)</f>
        <v>#N/A</v>
      </c>
      <c r="Q49" t="e">
        <f>VLOOKUP('VA Sizing'!$C$4,'10A61 5" Calcs'!$J$3:$N$28,5,FALSE)</f>
        <v>#N/A</v>
      </c>
      <c r="R49">
        <f t="shared" si="10"/>
        <v>108</v>
      </c>
      <c r="S49">
        <f t="shared" si="11"/>
        <v>70</v>
      </c>
      <c r="T49" t="str">
        <f>IFERROR(IF(AND('VA Sizing'!$C$3="Gas",'VA Sizing'!$C$4=" Other"),'Modified Inputs'!$G$2,
IF('VA Sizing'!$C$5="Standard",'10A61 5" Calcs'!P49+'10A61 5" Calcs'!Q49*'10A61 5" Calcs'!S49,
IF(OR('VA Sizing'!$C$5="Normal",'VA Sizing'!$C$5="Actual"),'10A61 5" Calcs'!P49+'10A61 5" Calcs'!Q49*'10A61 5" Calcs'!R49,""))),IF('VA Sizing'!$C$4="Steam",Steam!$C$20,""))</f>
        <v/>
      </c>
      <c r="U49" t="e">
        <f t="shared" si="2"/>
        <v>#VALUE!</v>
      </c>
      <c r="V49" t="e">
        <f t="shared" si="3"/>
        <v>#VALUE!</v>
      </c>
      <c r="W49" t="e">
        <f t="shared" si="0"/>
        <v>#VALUE!</v>
      </c>
      <c r="X49" t="str">
        <f>IF(AND('VA Sizing'!$C$3="Gas",'VA Sizing'!$C$4=" Other",NOT('VA Sizing'!$C$5="Actual"),'VA Sizing'!$C$6="at Operating Conditions"),'10A61 5" Calcs'!W49/'10A61 5" Calcs'!L49,
IF(AND('VA Sizing'!$C$3="Gas",'VA Sizing'!$C$4=" Other",NOT('VA Sizing'!$C$5="Actual"),'VA Sizing'!$C$6="at Reference Conditions"),'10A61 5" Calcs'!W49/'Modified Inputs'!$M$4,
IF('VA Sizing'!$C$5="Standard",W49/VLOOKUP('VA Sizing'!$C$4,'10A61 5" Calcs'!$J$3:$K$29,2,FALSE),
IF('VA Sizing'!$C$5="Normal",'10A61 5" Calcs'!W49/VLOOKUP('VA Sizing'!$C$4,'10A61 5" Calcs'!$J$3:$L$29,3,FALSE),
IF('VA Sizing'!$C$5="Actual",'10A61 5" Calcs'!W49/'10A61 5" Calcs'!O49,"")))))</f>
        <v/>
      </c>
      <c r="Y49">
        <f>($E$6/'Modified Inputs'!$G$2)*SQRT((VLOOKUP('10A61 5" Calcs'!I49,'10A61 5" Calcs'!$A$3:$B$8,2,FALSE)-'Modified Inputs'!$M$2)*'Modified Inputs'!$M$2)</f>
        <v>4253.0723322793365</v>
      </c>
      <c r="Z49">
        <f t="shared" si="4"/>
        <v>0.64305982754288238</v>
      </c>
      <c r="AA49">
        <f>Z49*$F$6*SQRT((VLOOKUP(I49,$A$3:$B$8,2,FALSE)-'Modified Inputs'!$M$2)*'Modified Inputs'!$M$2)</f>
        <v>1039.3881811444505</v>
      </c>
      <c r="AB49">
        <f>AA49/'Modified Inputs'!$M$2</f>
        <v>1049.8870516610612</v>
      </c>
      <c r="AD49" s="7">
        <f>IF('VA Sizing'!$C$3="Gas",'10A61 5" Calcs'!X49,
IF('VA Sizing'!$C$3="Liquid",'10A61 5" Calcs'!AB49,""))</f>
        <v>1049.8870516610612</v>
      </c>
      <c r="AE49" s="7" t="str">
        <f t="shared" si="5"/>
        <v>1/4-25-CA</v>
      </c>
      <c r="AG49" t="e">
        <f t="shared" si="12"/>
        <v>#VALUE!</v>
      </c>
      <c r="AH49" t="e">
        <f t="shared" si="6"/>
        <v>#VALUE!</v>
      </c>
      <c r="AI49" t="e">
        <f t="shared" si="7"/>
        <v>#VALUE!</v>
      </c>
      <c r="AJ49" t="str">
        <f>IF(AND('VA Sizing'!$C$3="Gas",'VA Sizing'!$C$4=" Other",NOT('VA Sizing'!$C$5="Actual"),'VA Sizing'!$C$6="at Operating Conditions"),'10A61 5" Calcs'!AI49/'10A61 5" Calcs'!L49,
IF(AND('VA Sizing'!$C$3="Gas",'VA Sizing'!$C$4=" Other",NOT('VA Sizing'!$C$5="Actual"),'VA Sizing'!$C$6="at Reference Conditions"),'10A61 5" Calcs'!AI49/'Modified Inputs'!$M$4,
IF('VA Sizing'!$C$5="Standard",AI49/VLOOKUP('VA Sizing'!$C$4,'10A61 5" Calcs'!$J$3:$K$29,2,FALSE),
IF('VA Sizing'!$C$5="Normal",'10A61 5" Calcs'!AI49/VLOOKUP('VA Sizing'!$C$4,'10A61 5" Calcs'!$J$3:$L$29,3,FALSE),
IF('VA Sizing'!$C$5="Actual",'10A61 5" Calcs'!AI49/'10A61 5" Calcs'!O49,"")))))</f>
        <v/>
      </c>
      <c r="AK49">
        <f>($E$5/'Modified Inputs'!$G$2)*SQRT((VLOOKUP('10A61 5" Calcs'!I49,'10A61 5" Calcs'!$A$3:$B$8,2,FALSE)-'Modified Inputs'!$M$2)*'Modified Inputs'!$M$2)</f>
        <v>1504.5895115944415</v>
      </c>
      <c r="AL49">
        <f t="shared" si="8"/>
        <v>0.56579628225107648</v>
      </c>
      <c r="AM49">
        <f>AL49*$F$5*SQRT((VLOOKUP(I49,$A$3:$B$8,2,FALSE)-'Modified Inputs'!$M$2)*'Modified Inputs'!$M$2)</f>
        <v>161.82960512774929</v>
      </c>
      <c r="AN49">
        <f>AM49/'Modified Inputs'!$M$2</f>
        <v>163.46424760378716</v>
      </c>
      <c r="AP49" s="7">
        <f>IF('VA Sizing'!$C$3="Gas",'10A61 5" Calcs'!AJ49,
IF('VA Sizing'!$C$3="Liquid",'10A61 5" Calcs'!AN49,""))</f>
        <v>163.46424760378716</v>
      </c>
      <c r="AQ49" s="7" t="s">
        <v>205</v>
      </c>
    </row>
    <row r="50" spans="1:43">
      <c r="I50" t="s">
        <v>126</v>
      </c>
      <c r="J50">
        <f>'Modified Inputs'!$K$2</f>
        <v>140</v>
      </c>
      <c r="K50">
        <f>'Modified Inputs'!$I$2</f>
        <v>145</v>
      </c>
      <c r="L50" t="str">
        <f>IF(AND('VA Sizing'!$C$4=" Other",'VA Sizing'!$C$6="at Operating Conditions",'VA Sizing'!$C$5="Standard"),'10A61 5" Calcs'!O50/'10A61 5" Calcs'!M50,
IF(AND('VA Sizing'!$C$4=" Other",'VA Sizing'!$C$6="at Operating Conditions",OR('VA Sizing'!$C$5="Normal",'VA Sizing'!$C$5="Actual")),'10A61 5" Calcs'!O50/N50,
IF(AND('VA Sizing'!$C$4=" Other",'VA Sizing'!$C$6="at Reference Conditions"),'Modified Inputs'!$M$4,
IF(AND('VA Sizing'!$C$3="Gas",'VA Sizing'!$C$5="Standard"),VLOOKUP('VA Sizing'!$C$4,'10A61 5" Calcs'!$J$3:$K$29,2,FALSE),
IF(AND('VA Sizing'!$C$3="Gas",OR('VA Sizing'!$C$5="Actual",'VA Sizing'!$C$5="Normal")),VLOOKUP('VA Sizing'!$C$4,'10A61 5" Calcs'!$J$3:$L$29,3,FALSE),"")))))</f>
        <v/>
      </c>
      <c r="M50">
        <f t="shared" si="9"/>
        <v>8.7131519274376412</v>
      </c>
      <c r="N50">
        <f t="shared" si="1"/>
        <v>8.0884353741496593</v>
      </c>
      <c r="O50" t="str">
        <f>IFERROR(IF(AND('VA Sizing'!$C$3="Gas",'VA Sizing'!$C$6="at Operating Conditions"),'Modified Inputs'!$M$2,
IF(OR(AND('VA Sizing'!$C$4="Carbon Dioxide",'Modified Inputs'!$I$2&gt;70),'VA Sizing'!$C$4="Ammonia",'VA Sizing'!$C$4="Chlorine",'VA Sizing'!$C$4="Sulfur Dioxide"),'10A61 5" Calcs'!$G$27,
IF('VA Sizing'!$C$5="Standard",'10A61 5" Calcs'!M50*'10A61 5" Calcs'!L50,
IF(OR('VA Sizing'!$C$5="Normal",'VA Sizing'!$C$5="Actual"),'10A61 5" Calcs'!N50*'10A61 5" Calcs'!L50,"")))),IF('VA Sizing'!$C$4="Steam",Steam!$B$20,""))</f>
        <v/>
      </c>
      <c r="P50" t="e">
        <f>VLOOKUP('VA Sizing'!$C$4,'10A61 5" Calcs'!$J$3:$M$29,4,FALSE)</f>
        <v>#N/A</v>
      </c>
      <c r="Q50" t="e">
        <f>VLOOKUP('VA Sizing'!$C$4,'10A61 5" Calcs'!$J$3:$N$28,5,FALSE)</f>
        <v>#N/A</v>
      </c>
      <c r="R50">
        <f t="shared" si="10"/>
        <v>108</v>
      </c>
      <c r="S50">
        <f t="shared" si="11"/>
        <v>70</v>
      </c>
      <c r="T50" t="str">
        <f>IFERROR(IF(AND('VA Sizing'!$C$3="Gas",'VA Sizing'!$C$4=" Other"),'Modified Inputs'!$G$2,
IF('VA Sizing'!$C$5="Standard",'10A61 5" Calcs'!P50+'10A61 5" Calcs'!Q50*'10A61 5" Calcs'!S50,
IF(OR('VA Sizing'!$C$5="Normal",'VA Sizing'!$C$5="Actual"),'10A61 5" Calcs'!P50+'10A61 5" Calcs'!Q50*'10A61 5" Calcs'!R50,""))),IF('VA Sizing'!$C$4="Steam",Steam!$C$20,""))</f>
        <v/>
      </c>
      <c r="U50" t="e">
        <f t="shared" si="2"/>
        <v>#VALUE!</v>
      </c>
      <c r="V50" t="e">
        <f t="shared" si="3"/>
        <v>#VALUE!</v>
      </c>
      <c r="W50" t="e">
        <f t="shared" si="0"/>
        <v>#VALUE!</v>
      </c>
      <c r="X50" t="str">
        <f>IF(AND('VA Sizing'!$C$3="Gas",'VA Sizing'!$C$4=" Other",NOT('VA Sizing'!$C$5="Actual"),'VA Sizing'!$C$6="at Operating Conditions"),'10A61 5" Calcs'!W50/'10A61 5" Calcs'!L50,
IF(AND('VA Sizing'!$C$3="Gas",'VA Sizing'!$C$4=" Other",NOT('VA Sizing'!$C$5="Actual"),'VA Sizing'!$C$6="at Reference Conditions"),'10A61 5" Calcs'!W50/'Modified Inputs'!$M$4,
IF('VA Sizing'!$C$5="Standard",W50/VLOOKUP('VA Sizing'!$C$4,'10A61 5" Calcs'!$J$3:$K$29,2,FALSE),
IF('VA Sizing'!$C$5="Normal",'10A61 5" Calcs'!W50/VLOOKUP('VA Sizing'!$C$4,'10A61 5" Calcs'!$J$3:$L$29,3,FALSE),
IF('VA Sizing'!$C$5="Actual",'10A61 5" Calcs'!W50/'10A61 5" Calcs'!O50,"")))))</f>
        <v/>
      </c>
      <c r="Y50">
        <f>($E$6/'Modified Inputs'!$G$2)*SQRT((VLOOKUP('10A61 5" Calcs'!I50,'10A61 5" Calcs'!$A$3:$B$8,2,FALSE)-'Modified Inputs'!$M$2)*'Modified Inputs'!$M$2)</f>
        <v>4489.3674431483114</v>
      </c>
      <c r="Z50">
        <f t="shared" si="4"/>
        <v>0.64708019888524704</v>
      </c>
      <c r="AA50">
        <f>Z50*$F$6*SQRT((VLOOKUP(I50,$A$3:$B$8,2,FALSE)-'Modified Inputs'!$M$2)*'Modified Inputs'!$M$2)</f>
        <v>1103.9944462731271</v>
      </c>
      <c r="AB50">
        <f>AA50/'Modified Inputs'!$M$2</f>
        <v>1115.1459053263909</v>
      </c>
      <c r="AD50" s="7">
        <f>IF('VA Sizing'!$C$3="Gas",'10A61 5" Calcs'!X50,
IF('VA Sizing'!$C$3="Liquid",'10A61 5" Calcs'!AB50,""))</f>
        <v>1115.1459053263909</v>
      </c>
      <c r="AE50" s="7" t="str">
        <f t="shared" si="5"/>
        <v>1/4-25-TA</v>
      </c>
      <c r="AG50" t="e">
        <f t="shared" si="12"/>
        <v>#VALUE!</v>
      </c>
      <c r="AH50" t="e">
        <f t="shared" si="6"/>
        <v>#VALUE!</v>
      </c>
      <c r="AI50" t="e">
        <f t="shared" si="7"/>
        <v>#VALUE!</v>
      </c>
      <c r="AJ50" t="str">
        <f>IF(AND('VA Sizing'!$C$3="Gas",'VA Sizing'!$C$4=" Other",NOT('VA Sizing'!$C$5="Actual"),'VA Sizing'!$C$6="at Operating Conditions"),'10A61 5" Calcs'!AI50/'10A61 5" Calcs'!L50,
IF(AND('VA Sizing'!$C$3="Gas",'VA Sizing'!$C$4=" Other",NOT('VA Sizing'!$C$5="Actual"),'VA Sizing'!$C$6="at Reference Conditions"),'10A61 5" Calcs'!AI50/'Modified Inputs'!$M$4,
IF('VA Sizing'!$C$5="Standard",AI50/VLOOKUP('VA Sizing'!$C$4,'10A61 5" Calcs'!$J$3:$K$29,2,FALSE),
IF('VA Sizing'!$C$5="Normal",'10A61 5" Calcs'!AI50/VLOOKUP('VA Sizing'!$C$4,'10A61 5" Calcs'!$J$3:$L$29,3,FALSE),
IF('VA Sizing'!$C$5="Actual",'10A61 5" Calcs'!AI50/'10A61 5" Calcs'!O50,"")))))</f>
        <v/>
      </c>
      <c r="AK50">
        <f>($E$5/'Modified Inputs'!$G$2)*SQRT((VLOOKUP('10A61 5" Calcs'!I50,'10A61 5" Calcs'!$A$3:$B$8,2,FALSE)-'Modified Inputs'!$M$2)*'Modified Inputs'!$M$2)</f>
        <v>1588.1825280489647</v>
      </c>
      <c r="AL50">
        <f t="shared" si="8"/>
        <v>0.56981665359344114</v>
      </c>
      <c r="AM50">
        <f>AL50*$F$5*SQRT((VLOOKUP(I50,$A$3:$B$8,2,FALSE)-'Modified Inputs'!$M$2)*'Modified Inputs'!$M$2)</f>
        <v>172.03444342401886</v>
      </c>
      <c r="AN50">
        <f>AM50/'Modified Inputs'!$M$2</f>
        <v>173.77216507476652</v>
      </c>
      <c r="AP50" s="7">
        <f>IF('VA Sizing'!$C$3="Gas",'10A61 5" Calcs'!AJ50,
IF('VA Sizing'!$C$3="Liquid",'10A61 5" Calcs'!AN50,""))</f>
        <v>173.77216507476652</v>
      </c>
      <c r="AQ50" s="7" t="s">
        <v>206</v>
      </c>
    </row>
    <row r="51" spans="1:43">
      <c r="I51" t="s">
        <v>18</v>
      </c>
      <c r="J51">
        <f>'Modified Inputs'!$K$2</f>
        <v>140</v>
      </c>
      <c r="K51">
        <f>'Modified Inputs'!$I$2</f>
        <v>145</v>
      </c>
      <c r="L51" t="str">
        <f>IF(AND('VA Sizing'!$C$4=" Other",'VA Sizing'!$C$6="at Operating Conditions",'VA Sizing'!$C$5="Standard"),'10A61 5" Calcs'!O51/'10A61 5" Calcs'!M51,
IF(AND('VA Sizing'!$C$4=" Other",'VA Sizing'!$C$6="at Operating Conditions",OR('VA Sizing'!$C$5="Normal",'VA Sizing'!$C$5="Actual")),'10A61 5" Calcs'!O51/N51,
IF(AND('VA Sizing'!$C$4=" Other",'VA Sizing'!$C$6="at Reference Conditions"),'Modified Inputs'!$M$4,
IF(AND('VA Sizing'!$C$3="Gas",'VA Sizing'!$C$5="Standard"),VLOOKUP('VA Sizing'!$C$4,'10A61 5" Calcs'!$J$3:$K$29,2,FALSE),
IF(AND('VA Sizing'!$C$3="Gas",OR('VA Sizing'!$C$5="Actual",'VA Sizing'!$C$5="Normal")),VLOOKUP('VA Sizing'!$C$4,'10A61 5" Calcs'!$J$3:$L$29,3,FALSE),"")))))</f>
        <v/>
      </c>
      <c r="M51">
        <f t="shared" si="9"/>
        <v>8.7131519274376412</v>
      </c>
      <c r="N51">
        <f t="shared" si="1"/>
        <v>8.0884353741496593</v>
      </c>
      <c r="O51" t="str">
        <f>IFERROR(IF(AND('VA Sizing'!$C$3="Gas",'VA Sizing'!$C$6="at Operating Conditions"),'Modified Inputs'!$M$2,
IF(OR(AND('VA Sizing'!$C$4="Carbon Dioxide",'Modified Inputs'!$I$2&gt;70),'VA Sizing'!$C$4="Ammonia",'VA Sizing'!$C$4="Chlorine",'VA Sizing'!$C$4="Sulfur Dioxide"),'10A61 5" Calcs'!$G$27,
IF('VA Sizing'!$C$5="Standard",'10A61 5" Calcs'!M51*'10A61 5" Calcs'!L51,
IF(OR('VA Sizing'!$C$5="Normal",'VA Sizing'!$C$5="Actual"),'10A61 5" Calcs'!N51*'10A61 5" Calcs'!L51,"")))),IF('VA Sizing'!$C$4="Steam",Steam!$B$20,""))</f>
        <v/>
      </c>
      <c r="P51" t="e">
        <f>VLOOKUP('VA Sizing'!$C$4,'10A61 5" Calcs'!$J$3:$M$29,4,FALSE)</f>
        <v>#N/A</v>
      </c>
      <c r="Q51" t="e">
        <f>VLOOKUP('VA Sizing'!$C$4,'10A61 5" Calcs'!$J$3:$N$28,5,FALSE)</f>
        <v>#N/A</v>
      </c>
      <c r="R51">
        <f t="shared" si="10"/>
        <v>108</v>
      </c>
      <c r="S51">
        <f t="shared" si="11"/>
        <v>70</v>
      </c>
      <c r="T51" t="str">
        <f>IFERROR(IF(AND('VA Sizing'!$C$3="Gas",'VA Sizing'!$C$4=" Other"),'Modified Inputs'!$G$2,
IF('VA Sizing'!$C$5="Standard",'10A61 5" Calcs'!P51+'10A61 5" Calcs'!Q51*'10A61 5" Calcs'!S51,
IF(OR('VA Sizing'!$C$5="Normal",'VA Sizing'!$C$5="Actual"),'10A61 5" Calcs'!P51+'10A61 5" Calcs'!Q51*'10A61 5" Calcs'!R51,""))),IF('VA Sizing'!$C$4="Steam",Steam!$C$20,""))</f>
        <v/>
      </c>
      <c r="U51" t="e">
        <f t="shared" si="2"/>
        <v>#VALUE!</v>
      </c>
      <c r="V51" t="e">
        <f t="shared" si="3"/>
        <v>#VALUE!</v>
      </c>
      <c r="W51" t="e">
        <f t="shared" si="0"/>
        <v>#VALUE!</v>
      </c>
      <c r="X51" t="str">
        <f>IF(AND('VA Sizing'!$C$3="Gas",'VA Sizing'!$C$4=" Other",NOT('VA Sizing'!$C$5="Actual"),'VA Sizing'!$C$6="at Operating Conditions"),'10A61 5" Calcs'!W51/'10A61 5" Calcs'!L51,
IF(AND('VA Sizing'!$C$3="Gas",'VA Sizing'!$C$4=" Other",NOT('VA Sizing'!$C$5="Actual"),'VA Sizing'!$C$6="at Reference Conditions"),'10A61 5" Calcs'!W51/'Modified Inputs'!$M$4,
IF('VA Sizing'!$C$5="Standard",W51/VLOOKUP('VA Sizing'!$C$4,'10A61 5" Calcs'!$J$3:$K$29,2,FALSE),
IF('VA Sizing'!$C$5="Normal",'10A61 5" Calcs'!W51/VLOOKUP('VA Sizing'!$C$4,'10A61 5" Calcs'!$J$3:$L$29,3,FALSE),
IF('VA Sizing'!$C$5="Actual",'10A61 5" Calcs'!W51/'10A61 5" Calcs'!O51,"")))))</f>
        <v/>
      </c>
      <c r="Y51">
        <f>($E$6/'Modified Inputs'!$G$2)*SQRT((VLOOKUP('10A61 5" Calcs'!I51,'10A61 5" Calcs'!$A$3:$B$8,2,FALSE)-'Modified Inputs'!$M$2)*'Modified Inputs'!$M$2)</f>
        <v>1414.6517797677279</v>
      </c>
      <c r="Z51">
        <f>IF(Y51&lt;700.00001,$B$46*LN(Y51)+$C$46,
IF(Y51&lt;10000.00001,$D$46*LN(Y51)+$E$46,
IF(Y51&lt;200000.0001,$F$46*LN(Y51)+$G$46,"")))</f>
        <v>0.56121330509630252</v>
      </c>
      <c r="AA51">
        <f>Z51*$F$6*SQRT((VLOOKUP(I51,$A$3:$B$8,2,FALSE)-'Modified Inputs'!$M$2)*'Modified Inputs'!$M$2)</f>
        <v>301.71794044095884</v>
      </c>
      <c r="AB51">
        <f>AA51/'Modified Inputs'!$M$2</f>
        <v>304.76559640500892</v>
      </c>
      <c r="AD51" s="7">
        <f>IF('VA Sizing'!$C$3="Gas",'10A61 5" Calcs'!X51,
IF('VA Sizing'!$C$3="Liquid",'10A61 5" Calcs'!AB51,""))</f>
        <v>304.76559640500892</v>
      </c>
      <c r="AE51" s="7" t="str">
        <f t="shared" si="5"/>
        <v>1/4-25-BG</v>
      </c>
      <c r="AG51" t="e">
        <f t="shared" si="12"/>
        <v>#VALUE!</v>
      </c>
      <c r="AH51" t="e">
        <f t="shared" si="6"/>
        <v>#VALUE!</v>
      </c>
      <c r="AI51" t="e">
        <f t="shared" si="7"/>
        <v>#VALUE!</v>
      </c>
      <c r="AJ51" t="str">
        <f>IF(AND('VA Sizing'!$C$3="Gas",'VA Sizing'!$C$4=" Other",NOT('VA Sizing'!$C$5="Actual"),'VA Sizing'!$C$6="at Operating Conditions"),'10A61 5" Calcs'!AI51/'10A61 5" Calcs'!L51,
IF(AND('VA Sizing'!$C$3="Gas",'VA Sizing'!$C$4=" Other",NOT('VA Sizing'!$C$5="Actual"),'VA Sizing'!$C$6="at Reference Conditions"),'10A61 5" Calcs'!AI51/'Modified Inputs'!$M$4,
IF('VA Sizing'!$C$5="Standard",AI51/VLOOKUP('VA Sizing'!$C$4,'10A61 5" Calcs'!$J$3:$K$29,2,FALSE),
IF('VA Sizing'!$C$5="Normal",'10A61 5" Calcs'!AI51/VLOOKUP('VA Sizing'!$C$4,'10A61 5" Calcs'!$J$3:$L$29,3,FALSE),
IF('VA Sizing'!$C$5="Actual",'10A61 5" Calcs'!AI51/'10A61 5" Calcs'!O51,"")))))</f>
        <v/>
      </c>
      <c r="AK51">
        <f>($E$5/'Modified Inputs'!$G$2)*SQRT((VLOOKUP('10A61 5" Calcs'!I51,'10A61 5" Calcs'!$A$3:$B$8,2,FALSE)-'Modified Inputs'!$M$2)*'Modified Inputs'!$M$2)</f>
        <v>500.45474520679693</v>
      </c>
      <c r="AL51">
        <f t="shared" si="8"/>
        <v>0.45505486360565484</v>
      </c>
      <c r="AM51">
        <f>AL51*$F$5*SQRT((VLOOKUP(I51,$A$3:$B$8,2,FALSE)-'Modified Inputs'!$M$2)*'Modified Inputs'!$M$2)</f>
        <v>43.292077462979492</v>
      </c>
      <c r="AN51">
        <f>AM51/'Modified Inputs'!$M$2</f>
        <v>43.729371174726758</v>
      </c>
      <c r="AP51" s="7">
        <f>IF('VA Sizing'!$C$3="Gas",'10A61 5" Calcs'!AJ51,
IF('VA Sizing'!$C$3="Liquid",'10A61 5" Calcs'!AN51,""))</f>
        <v>43.729371174726758</v>
      </c>
      <c r="AQ51" s="7" t="s">
        <v>207</v>
      </c>
    </row>
    <row r="52" spans="1:43">
      <c r="O52" t="str">
        <f>IFERROR(IF(AND('VA Sizing'!$C$3="Gas",'VA Sizing'!$C$6="at Operating Conditions"),'Modified Inputs'!$M$2,
IF(OR(AND('VA Sizing'!$C$4="Carbon Dioxide",'Modified Inputs'!$I$2&gt;70),'VA Sizing'!$C$4="Ammonia",'VA Sizing'!$C$4="Chlorine",'VA Sizing'!$C$4="Sulfur Dioxide"),'10A61 5" Calcs'!$G$27,
IF('VA Sizing'!$C$5="Standard",'10A61 5" Calcs'!M52*'10A61 5" Calcs'!L52,
IF(OR('VA Sizing'!$C$5="Normal",'VA Sizing'!$C$5="Actual"),'10A61 5" Calcs'!N52*'10A61 5" Calcs'!L52,"")))),IF('VA Sizing'!$C$4="Steam",Steam!$B$20,""))</f>
        <v/>
      </c>
      <c r="T52" t="str">
        <f>IFERROR(IF(AND('VA Sizing'!$C$3="Gas",'VA Sizing'!$C$4=" Other"),'Modified Inputs'!$G$2,
IF('VA Sizing'!$C$5="Standard",'10A61 5" Calcs'!P52+'10A61 5" Calcs'!Q52*'10A61 5" Calcs'!S52,
IF(OR('VA Sizing'!$C$5="Normal",'VA Sizing'!$C$5="Actual"),'10A61 5" Calcs'!P52+'10A61 5" Calcs'!Q52*'10A61 5" Calcs'!R52,""))),IF('VA Sizing'!$C$4="Steam",Steam!$C$20,""))</f>
        <v/>
      </c>
      <c r="AD52" s="7"/>
      <c r="AE52" s="7"/>
      <c r="AP52" s="7"/>
      <c r="AQ52" s="7"/>
    </row>
    <row r="53" spans="1:43">
      <c r="A53" s="3" t="s">
        <v>120</v>
      </c>
      <c r="B53">
        <f t="array" ref="B53:C53">LINEST('10A61 5" Curves'!C11:J11,LN('10A61 5" Curves'!C10:J10))</f>
        <v>0.10605421214896053</v>
      </c>
      <c r="C53">
        <v>-0.33053529151511751</v>
      </c>
      <c r="D53">
        <f t="array" ref="D53:E53">LINEST('10A61 5" Curves'!J11:N11,LN('10A61 5" Curves'!J10:N10))</f>
        <v>7.2043715615787665E-2</v>
      </c>
      <c r="E53">
        <v>-0.10291419257850365</v>
      </c>
      <c r="F53">
        <f t="array" ref="F53:G53">LINEST('10A61 5" Curves'!N11:R11,LN('10A61 5" Curves'!N10:R10))</f>
        <v>2.1074154591499333E-2</v>
      </c>
      <c r="G53">
        <v>0.35692031852738559</v>
      </c>
      <c r="I53" t="s">
        <v>142</v>
      </c>
      <c r="J53">
        <f>'Modified Inputs'!$K$2</f>
        <v>140</v>
      </c>
      <c r="K53">
        <f>'Modified Inputs'!$I$2</f>
        <v>145</v>
      </c>
      <c r="L53" t="str">
        <f>IF(AND('VA Sizing'!$C$4=" Other",'VA Sizing'!$C$6="at Operating Conditions",'VA Sizing'!$C$5="Standard"),'10A61 5" Calcs'!O53/'10A61 5" Calcs'!M53,
IF(AND('VA Sizing'!$C$4=" Other",'VA Sizing'!$C$6="at Operating Conditions",OR('VA Sizing'!$C$5="Normal",'VA Sizing'!$C$5="Actual")),'10A61 5" Calcs'!O53/N53,
IF(AND('VA Sizing'!$C$4=" Other",'VA Sizing'!$C$6="at Reference Conditions"),'Modified Inputs'!$M$4,
IF(AND('VA Sizing'!$C$3="Gas",'VA Sizing'!$C$5="Standard"),VLOOKUP('VA Sizing'!$C$4,'10A61 5" Calcs'!$J$3:$K$29,2,FALSE),
IF(AND('VA Sizing'!$C$3="Gas",OR('VA Sizing'!$C$5="Actual",'VA Sizing'!$C$5="Normal")),VLOOKUP('VA Sizing'!$C$4,'10A61 5" Calcs'!$J$3:$L$29,3,FALSE),"")))))</f>
        <v/>
      </c>
      <c r="M53">
        <f t="shared" si="9"/>
        <v>8.7131519274376412</v>
      </c>
      <c r="N53">
        <f t="shared" si="1"/>
        <v>8.0884353741496593</v>
      </c>
      <c r="O53" t="str">
        <f>IFERROR(IF(AND('VA Sizing'!$C$3="Gas",'VA Sizing'!$C$6="at Operating Conditions"),'Modified Inputs'!$M$2,
IF(OR(AND('VA Sizing'!$C$4="Carbon Dioxide",'Modified Inputs'!$I$2&gt;70),'VA Sizing'!$C$4="Ammonia",'VA Sizing'!$C$4="Chlorine",'VA Sizing'!$C$4="Sulfur Dioxide"),'10A61 5" Calcs'!$G$27,
IF('VA Sizing'!$C$5="Standard",'10A61 5" Calcs'!M53*'10A61 5" Calcs'!L53,
IF(OR('VA Sizing'!$C$5="Normal",'VA Sizing'!$C$5="Actual"),'10A61 5" Calcs'!N53*'10A61 5" Calcs'!L53,"")))),IF('VA Sizing'!$C$4="Steam",Steam!$B$20,""))</f>
        <v/>
      </c>
      <c r="P53" t="e">
        <f>VLOOKUP('VA Sizing'!$C$4,'10A61 5" Calcs'!$J$3:$M$29,4,FALSE)</f>
        <v>#N/A</v>
      </c>
      <c r="Q53" t="e">
        <f>VLOOKUP('VA Sizing'!$C$4,'10A61 5" Calcs'!$J$3:$N$28,5,FALSE)</f>
        <v>#N/A</v>
      </c>
      <c r="R53">
        <f t="shared" si="10"/>
        <v>108</v>
      </c>
      <c r="S53">
        <f t="shared" si="11"/>
        <v>70</v>
      </c>
      <c r="T53" t="str">
        <f>IFERROR(IF(AND('VA Sizing'!$C$3="Gas",'VA Sizing'!$C$4=" Other"),'Modified Inputs'!$G$2,
IF('VA Sizing'!$C$5="Standard",'10A61 5" Calcs'!P53+'10A61 5" Calcs'!Q53*'10A61 5" Calcs'!S53,
IF(OR('VA Sizing'!$C$5="Normal",'VA Sizing'!$C$5="Actual"),'10A61 5" Calcs'!P53+'10A61 5" Calcs'!Q53*'10A61 5" Calcs'!R53,""))),IF('VA Sizing'!$C$4="Steam",Steam!$C$20,""))</f>
        <v/>
      </c>
      <c r="U53" t="e">
        <f t="shared" ref="U53:U57" si="13">($E$6/T53)*SQRT((VLOOKUP(I53,$A$3:$B$8,2,FALSE)-O53)*O53)</f>
        <v>#VALUE!</v>
      </c>
      <c r="V53" t="e">
        <f>IF(U53&lt;($C$54+0.00001),$B$53*LN(U53)+$C$53,
IF(U53&lt;($E$54+0.00001),$D$53*LN(U53)+$E$53,
IF(U53&lt;($G$54+0.0001),$F$53*LN(U53)+$G$53,"")))</f>
        <v>#VALUE!</v>
      </c>
      <c r="W53" t="e">
        <f t="shared" ref="W53:W72" si="14">(V53*$F$6)*SQRT((VLOOKUP(I53,$A$3:$B$8,2,FALSE)-O53)*O53)</f>
        <v>#VALUE!</v>
      </c>
      <c r="X53" t="str">
        <f>IF(AND('VA Sizing'!$C$3="Gas",'VA Sizing'!$C$4=" Other",NOT('VA Sizing'!$C$5="Actual"),'VA Sizing'!$C$6="at Operating Conditions"),'10A61 5" Calcs'!W53/'10A61 5" Calcs'!L53,
IF(AND('VA Sizing'!$C$3="Gas",'VA Sizing'!$C$4=" Other",NOT('VA Sizing'!$C$5="Actual"),'VA Sizing'!$C$6="at Reference Conditions"),'10A61 5" Calcs'!W53/'Modified Inputs'!$M$4,
IF('VA Sizing'!$C$5="Standard",W53/VLOOKUP('VA Sizing'!$C$4,'10A61 5" Calcs'!$J$3:$K$29,2,FALSE),
IF('VA Sizing'!$C$5="Normal",'10A61 5" Calcs'!W53/VLOOKUP('VA Sizing'!$C$4,'10A61 5" Calcs'!$J$3:$L$29,3,FALSE),
IF('VA Sizing'!$C$5="Actual",'10A61 5" Calcs'!W53/'10A61 5" Calcs'!O53,"")))))</f>
        <v/>
      </c>
      <c r="Y53">
        <f>($E$6/'Modified Inputs'!$G$2)*SQRT((VLOOKUP('10A61 5" Calcs'!I53,'10A61 5" Calcs'!$A$3:$B$8,2,FALSE)-'Modified Inputs'!$M$2)*'Modified Inputs'!$M$2)</f>
        <v>1290.561057989896</v>
      </c>
      <c r="Z53">
        <f>IF(Y53&lt;600.00001,$B$53*LN(Y53)+$C$53,
IF(Y53&lt;8500.00001,$D$53*LN(Y53)+$E$53,
IF(Y53&lt;140000.0001,$F$53*LN(Y53)+$G$53,"")))</f>
        <v>0.41312286291392231</v>
      </c>
      <c r="AA53">
        <f>Z53*$F$6*SQRT((VLOOKUP(I53,$A$3:$B$8,2,FALSE)-'Modified Inputs'!$M$2)*'Modified Inputs'!$M$2)</f>
        <v>202.61958065169068</v>
      </c>
      <c r="AB53">
        <f>AA53/'Modified Inputs'!$M$2</f>
        <v>204.66624308251585</v>
      </c>
      <c r="AD53" s="7">
        <f>IF('VA Sizing'!$C$3="Gas",'10A61 5" Calcs'!X53,
IF('VA Sizing'!$C$3="Liquid",'10A61 5" Calcs'!AB53,""))</f>
        <v>204.66624308251585</v>
      </c>
      <c r="AE53" s="7" t="str">
        <f>CONCATENATE($A$53,"-",I53)</f>
        <v>1/4-20-CD</v>
      </c>
      <c r="AG53" t="e">
        <f>($E$5/T53)*SQRT((VLOOKUP(I53,$A$3:$B$8,2,FALSE)-O53)*O53)</f>
        <v>#VALUE!</v>
      </c>
      <c r="AH53" t="e">
        <f>IF(AG53&lt;($C$54+0.00001),$B$53*LN(AG53)+$C$53,
IF(AG53&lt;($E$54+0.00001),$D$53*LN(AG53)+$E$53,
IF(AG53&lt;($G$54+0.0001),$F$53*LN(AG53)+$G$53,"")))</f>
        <v>#VALUE!</v>
      </c>
      <c r="AI53" t="e">
        <f>(AH53*$F$5)*SQRT((VLOOKUP(I53,$A$3:$B$8,2,FALSE)-O53)*O53)</f>
        <v>#VALUE!</v>
      </c>
      <c r="AJ53" t="str">
        <f>IF(AND('VA Sizing'!$C$3="Gas",'VA Sizing'!$C$4=" Other",NOT('VA Sizing'!$C$5="Actual"),'VA Sizing'!$C$6="at Operating Conditions"),'10A61 5" Calcs'!AI53/'10A61 5" Calcs'!L53,
IF(AND('VA Sizing'!$C$3="Gas",'VA Sizing'!$C$4=" Other",NOT('VA Sizing'!$C$5="Actual"),'VA Sizing'!$C$6="at Reference Conditions"),'10A61 5" Calcs'!AI53/'Modified Inputs'!$M$4,
IF('VA Sizing'!$C$5="Standard",AI53/VLOOKUP('VA Sizing'!$C$4,'10A61 5" Calcs'!$J$3:$K$29,2,FALSE),
IF('VA Sizing'!$C$5="Normal",'10A61 5" Calcs'!AI53/VLOOKUP('VA Sizing'!$C$4,'10A61 5" Calcs'!$J$3:$L$29,3,FALSE),
IF('VA Sizing'!$C$5="Actual",'10A61 5" Calcs'!AI53/'10A61 5" Calcs'!O53,"")))))</f>
        <v/>
      </c>
      <c r="AK53">
        <f>($E$5/'Modified Inputs'!$G$2)*SQRT((VLOOKUP('10A61 5" Calcs'!I53,'10A61 5" Calcs'!$A$3:$B$8,2,FALSE)-'Modified Inputs'!$M$2)*'Modified Inputs'!$M$2)</f>
        <v>456.55575081253761</v>
      </c>
      <c r="AL53">
        <f>IF(AK53&lt;600.00001,$B$53*LN(AK53)+$C$53,
IF(AK53&lt;8500.00001,$D$53*LN(AK53)+$E$53,
IF(AK53&lt;140000.0001,$F$53*LN(AK53)+$G$53,"")))</f>
        <v>0.31891003484545144</v>
      </c>
      <c r="AM53">
        <f>AL53*$F$5*SQRT((VLOOKUP(I53,$A$3:$B$8,2,FALSE)-'Modified Inputs'!$M$2)*'Modified Inputs'!$M$2)</f>
        <v>27.678455838514239</v>
      </c>
      <c r="AN53">
        <f>AM53/'Modified Inputs'!$M$2</f>
        <v>27.958036200519434</v>
      </c>
      <c r="AP53" s="63">
        <f>IF('VA Sizing'!$C$3="Gas",'10A61 5" Calcs'!AJ53,
IF('VA Sizing'!$C$3="Liquid",'10A61 5" Calcs'!AN53,""))</f>
        <v>27.958036200519434</v>
      </c>
      <c r="AQ53" s="63" t="s">
        <v>208</v>
      </c>
    </row>
    <row r="54" spans="1:43">
      <c r="A54" t="s">
        <v>159</v>
      </c>
      <c r="B54">
        <v>30</v>
      </c>
      <c r="C54">
        <v>600</v>
      </c>
      <c r="D54">
        <v>600</v>
      </c>
      <c r="E54">
        <v>8500</v>
      </c>
      <c r="F54">
        <v>8500</v>
      </c>
      <c r="G54">
        <v>140000</v>
      </c>
      <c r="I54" t="s">
        <v>21</v>
      </c>
      <c r="J54">
        <f>'Modified Inputs'!$K$2</f>
        <v>140</v>
      </c>
      <c r="K54">
        <f>'Modified Inputs'!$I$2</f>
        <v>145</v>
      </c>
      <c r="L54" t="str">
        <f>IF(AND('VA Sizing'!$C$4=" Other",'VA Sizing'!$C$6="at Operating Conditions",'VA Sizing'!$C$5="Standard"),'10A61 5" Calcs'!O54/'10A61 5" Calcs'!M54,
IF(AND('VA Sizing'!$C$4=" Other",'VA Sizing'!$C$6="at Operating Conditions",OR('VA Sizing'!$C$5="Normal",'VA Sizing'!$C$5="Actual")),'10A61 5" Calcs'!O54/N54,
IF(AND('VA Sizing'!$C$4=" Other",'VA Sizing'!$C$6="at Reference Conditions"),'Modified Inputs'!$M$4,
IF(AND('VA Sizing'!$C$3="Gas",'VA Sizing'!$C$5="Standard"),VLOOKUP('VA Sizing'!$C$4,'10A61 5" Calcs'!$J$3:$K$29,2,FALSE),
IF(AND('VA Sizing'!$C$3="Gas",OR('VA Sizing'!$C$5="Actual",'VA Sizing'!$C$5="Normal")),VLOOKUP('VA Sizing'!$C$4,'10A61 5" Calcs'!$J$3:$L$29,3,FALSE),"")))))</f>
        <v/>
      </c>
      <c r="M54">
        <f t="shared" si="9"/>
        <v>8.7131519274376412</v>
      </c>
      <c r="N54">
        <f t="shared" si="1"/>
        <v>8.0884353741496593</v>
      </c>
      <c r="O54" t="str">
        <f>IFERROR(IF(AND('VA Sizing'!$C$3="Gas",'VA Sizing'!$C$6="at Operating Conditions"),'Modified Inputs'!$M$2,
IF(OR(AND('VA Sizing'!$C$4="Carbon Dioxide",'Modified Inputs'!$I$2&gt;70),'VA Sizing'!$C$4="Ammonia",'VA Sizing'!$C$4="Chlorine",'VA Sizing'!$C$4="Sulfur Dioxide"),'10A61 5" Calcs'!$G$27,
IF('VA Sizing'!$C$5="Standard",'10A61 5" Calcs'!M54*'10A61 5" Calcs'!L54,
IF(OR('VA Sizing'!$C$5="Normal",'VA Sizing'!$C$5="Actual"),'10A61 5" Calcs'!N54*'10A61 5" Calcs'!L54,"")))),IF('VA Sizing'!$C$4="Steam",Steam!$B$20,""))</f>
        <v/>
      </c>
      <c r="P54" t="e">
        <f>VLOOKUP('VA Sizing'!$C$4,'10A61 5" Calcs'!$J$3:$M$29,4,FALSE)</f>
        <v>#N/A</v>
      </c>
      <c r="Q54" t="e">
        <f>VLOOKUP('VA Sizing'!$C$4,'10A61 5" Calcs'!$J$3:$N$28,5,FALSE)</f>
        <v>#N/A</v>
      </c>
      <c r="R54">
        <f t="shared" si="10"/>
        <v>108</v>
      </c>
      <c r="S54">
        <f t="shared" si="11"/>
        <v>70</v>
      </c>
      <c r="T54" t="str">
        <f>IFERROR(IF(AND('VA Sizing'!$C$3="Gas",'VA Sizing'!$C$4=" Other"),'Modified Inputs'!$G$2,
IF('VA Sizing'!$C$5="Standard",'10A61 5" Calcs'!P54+'10A61 5" Calcs'!Q54*'10A61 5" Calcs'!S54,
IF(OR('VA Sizing'!$C$5="Normal",'VA Sizing'!$C$5="Actual"),'10A61 5" Calcs'!P54+'10A61 5" Calcs'!Q54*'10A61 5" Calcs'!R54,""))),IF('VA Sizing'!$C$4="Steam",Steam!$C$20,""))</f>
        <v/>
      </c>
      <c r="U54" t="e">
        <f t="shared" si="13"/>
        <v>#VALUE!</v>
      </c>
      <c r="V54" t="e">
        <f t="shared" ref="V54:V57" si="15">IF(U54&lt;($C$54+0.00001),$B$53*LN(U54)+$C$53,
IF(U54&lt;($E$54+0.00001),$D$53*LN(U54)+$E$53,
IF(U54&lt;($G$54+0.0001),$F$53*LN(U54)+$G$53,"")))</f>
        <v>#VALUE!</v>
      </c>
      <c r="W54" t="e">
        <f t="shared" si="14"/>
        <v>#VALUE!</v>
      </c>
      <c r="X54" t="str">
        <f>IF(AND('VA Sizing'!$C$3="Gas",'VA Sizing'!$C$4=" Other",NOT('VA Sizing'!$C$5="Actual"),'VA Sizing'!$C$6="at Operating Conditions"),'10A61 5" Calcs'!W54/'10A61 5" Calcs'!L54,
IF(AND('VA Sizing'!$C$3="Gas",'VA Sizing'!$C$4=" Other",NOT('VA Sizing'!$C$5="Actual"),'VA Sizing'!$C$6="at Reference Conditions"),'10A61 5" Calcs'!W54/'Modified Inputs'!$M$4,
IF('VA Sizing'!$C$5="Standard",W54/VLOOKUP('VA Sizing'!$C$4,'10A61 5" Calcs'!$J$3:$K$29,2,FALSE),
IF('VA Sizing'!$C$5="Normal",'10A61 5" Calcs'!W54/VLOOKUP('VA Sizing'!$C$4,'10A61 5" Calcs'!$J$3:$L$29,3,FALSE),
IF('VA Sizing'!$C$5="Actual",'10A61 5" Calcs'!W54/'10A61 5" Calcs'!O54,"")))))</f>
        <v/>
      </c>
      <c r="Y54">
        <f>($E$6/'Modified Inputs'!$G$2)*SQRT((VLOOKUP('10A61 5" Calcs'!I54,'10A61 5" Calcs'!$A$3:$B$8,2,FALSE)-'Modified Inputs'!$M$2)*'Modified Inputs'!$M$2)</f>
        <v>1964.8042794130922</v>
      </c>
      <c r="Z54">
        <f t="shared" ref="Z54:Z58" si="16">IF(Y54&lt;600.00001,$B$53*LN(Y54)+$C$53,
IF(Y54&lt;8500.00001,$D$53*LN(Y54)+$E$53,
IF(Y54&lt;140000.0001,$F$53*LN(Y54)+$G$53,"")))</f>
        <v>0.44340395935356902</v>
      </c>
      <c r="AA54">
        <f>Z54*$F$6*SQRT((VLOOKUP(I54,$A$3:$B$8,2,FALSE)-'Modified Inputs'!$M$2)*'Modified Inputs'!$M$2)</f>
        <v>331.08727375781518</v>
      </c>
      <c r="AB54">
        <f>AA54/'Modified Inputs'!$M$2</f>
        <v>334.43158965435879</v>
      </c>
      <c r="AD54" s="7">
        <f>IF('VA Sizing'!$C$3="Gas",'10A61 5" Calcs'!X54,
IF('VA Sizing'!$C$3="Liquid",'10A61 5" Calcs'!AB54,""))</f>
        <v>334.43158965435879</v>
      </c>
      <c r="AE54" s="7" t="str">
        <f t="shared" ref="AE54:AE58" si="17">CONCATENATE($A$53,"-",I54)</f>
        <v>1/4-20-SA</v>
      </c>
      <c r="AG54" t="e">
        <f t="shared" si="12"/>
        <v>#VALUE!</v>
      </c>
      <c r="AH54" t="e">
        <f t="shared" ref="AH54:AH58" si="18">IF(AG54&lt;($C$54+0.00001),$B$53*LN(AG54)+$C$53,
IF(AG54&lt;($E$54+0.00001),$D$53*LN(AG54)+$E$53,
IF(AG54&lt;($G$54+0.0001),$F$53*LN(AG54)+$G$53,"")))</f>
        <v>#VALUE!</v>
      </c>
      <c r="AI54" t="e">
        <f t="shared" ref="AI54:AI65" si="19">(AH54*$F$5)*SQRT((VLOOKUP(I54,$A$3:$B$8,2,FALSE)-O54)*O54)</f>
        <v>#VALUE!</v>
      </c>
      <c r="AJ54" t="str">
        <f>IF(AND('VA Sizing'!$C$3="Gas",'VA Sizing'!$C$4=" Other",NOT('VA Sizing'!$C$5="Actual"),'VA Sizing'!$C$6="at Operating Conditions"),'10A61 5" Calcs'!AI54/'10A61 5" Calcs'!L54,
IF(AND('VA Sizing'!$C$3="Gas",'VA Sizing'!$C$4=" Other",NOT('VA Sizing'!$C$5="Actual"),'VA Sizing'!$C$6="at Reference Conditions"),'10A61 5" Calcs'!AI54/'Modified Inputs'!$M$4,
IF('VA Sizing'!$C$5="Standard",AI54/VLOOKUP('VA Sizing'!$C$4,'10A61 5" Calcs'!$J$3:$K$29,2,FALSE),
IF('VA Sizing'!$C$5="Normal",'10A61 5" Calcs'!AI54/VLOOKUP('VA Sizing'!$C$4,'10A61 5" Calcs'!$J$3:$L$29,3,FALSE),
IF('VA Sizing'!$C$5="Actual",'10A61 5" Calcs'!AI54/'10A61 5" Calcs'!O54,"")))))</f>
        <v/>
      </c>
      <c r="AK54">
        <f>($E$5/'Modified Inputs'!$G$2)*SQRT((VLOOKUP('10A61 5" Calcs'!I54,'10A61 5" Calcs'!$A$3:$B$8,2,FALSE)-'Modified Inputs'!$M$2)*'Modified Inputs'!$M$2)</f>
        <v>695.07962248939509</v>
      </c>
      <c r="AL54">
        <f t="shared" ref="AL54:AL58" si="20">IF(AK54&lt;600.00001,$B$53*LN(AK54)+$C$53,
IF(AK54&lt;8500.00001,$D$53*LN(AK54)+$E$53,
IF(AK54&lt;140000.0001,$F$53*LN(AK54)+$G$53,"")))</f>
        <v>0.3685417846344366</v>
      </c>
      <c r="AM54">
        <f>AL54*$F$5*SQRT((VLOOKUP(I54,$A$3:$B$8,2,FALSE)-'Modified Inputs'!$M$2)*'Modified Inputs'!$M$2)</f>
        <v>48.696881020566586</v>
      </c>
      <c r="AN54">
        <f>AM54/'Modified Inputs'!$M$2</f>
        <v>49.188768707643014</v>
      </c>
      <c r="AP54" s="7">
        <f>IF('VA Sizing'!$C$3="Gas",'10A61 5" Calcs'!AJ54,
IF('VA Sizing'!$C$3="Liquid",'10A61 5" Calcs'!AN54,""))</f>
        <v>49.188768707643014</v>
      </c>
      <c r="AQ54" s="7" t="s">
        <v>84</v>
      </c>
    </row>
    <row r="55" spans="1:43">
      <c r="A55" s="3"/>
      <c r="I55" t="s">
        <v>23</v>
      </c>
      <c r="J55">
        <f>'Modified Inputs'!$K$2</f>
        <v>140</v>
      </c>
      <c r="K55">
        <f>'Modified Inputs'!$I$2</f>
        <v>145</v>
      </c>
      <c r="L55" t="str">
        <f>IF(AND('VA Sizing'!$C$4=" Other",'VA Sizing'!$C$6="at Operating Conditions",'VA Sizing'!$C$5="Standard"),'10A61 5" Calcs'!O55/'10A61 5" Calcs'!M55,
IF(AND('VA Sizing'!$C$4=" Other",'VA Sizing'!$C$6="at Operating Conditions",OR('VA Sizing'!$C$5="Normal",'VA Sizing'!$C$5="Actual")),'10A61 5" Calcs'!O55/N55,
IF(AND('VA Sizing'!$C$4=" Other",'VA Sizing'!$C$6="at Reference Conditions"),'Modified Inputs'!$M$4,
IF(AND('VA Sizing'!$C$3="Gas",'VA Sizing'!$C$5="Standard"),VLOOKUP('VA Sizing'!$C$4,'10A61 5" Calcs'!$J$3:$K$29,2,FALSE),
IF(AND('VA Sizing'!$C$3="Gas",OR('VA Sizing'!$C$5="Actual",'VA Sizing'!$C$5="Normal")),VLOOKUP('VA Sizing'!$C$4,'10A61 5" Calcs'!$J$3:$L$29,3,FALSE),"")))))</f>
        <v/>
      </c>
      <c r="M55">
        <f t="shared" si="9"/>
        <v>8.7131519274376412</v>
      </c>
      <c r="N55">
        <f t="shared" si="1"/>
        <v>8.0884353741496593</v>
      </c>
      <c r="O55" t="str">
        <f>IFERROR(IF(AND('VA Sizing'!$C$3="Gas",'VA Sizing'!$C$6="at Operating Conditions"),'Modified Inputs'!$M$2,
IF(OR(AND('VA Sizing'!$C$4="Carbon Dioxide",'Modified Inputs'!$I$2&gt;70),'VA Sizing'!$C$4="Ammonia",'VA Sizing'!$C$4="Chlorine",'VA Sizing'!$C$4="Sulfur Dioxide"),'10A61 5" Calcs'!$G$27,
IF('VA Sizing'!$C$5="Standard",'10A61 5" Calcs'!M55*'10A61 5" Calcs'!L55,
IF(OR('VA Sizing'!$C$5="Normal",'VA Sizing'!$C$5="Actual"),'10A61 5" Calcs'!N55*'10A61 5" Calcs'!L55,"")))),IF('VA Sizing'!$C$4="Steam",Steam!$B$20,""))</f>
        <v/>
      </c>
      <c r="P55" t="e">
        <f>VLOOKUP('VA Sizing'!$C$4,'10A61 5" Calcs'!$J$3:$M$29,4,FALSE)</f>
        <v>#N/A</v>
      </c>
      <c r="Q55" t="e">
        <f>VLOOKUP('VA Sizing'!$C$4,'10A61 5" Calcs'!$J$3:$N$28,5,FALSE)</f>
        <v>#N/A</v>
      </c>
      <c r="R55">
        <f t="shared" si="10"/>
        <v>108</v>
      </c>
      <c r="S55">
        <f t="shared" si="11"/>
        <v>70</v>
      </c>
      <c r="T55" t="str">
        <f>IFERROR(IF(AND('VA Sizing'!$C$3="Gas",'VA Sizing'!$C$4=" Other"),'Modified Inputs'!$G$2,
IF('VA Sizing'!$C$5="Standard",'10A61 5" Calcs'!P55+'10A61 5" Calcs'!Q55*'10A61 5" Calcs'!S55,
IF(OR('VA Sizing'!$C$5="Normal",'VA Sizing'!$C$5="Actual"),'10A61 5" Calcs'!P55+'10A61 5" Calcs'!Q55*'10A61 5" Calcs'!R55,""))),IF('VA Sizing'!$C$4="Steam",Steam!$C$20,""))</f>
        <v/>
      </c>
      <c r="U55" t="e">
        <f>($E$6/T55)*SQRT((VLOOKUP(I55,$A$3:$B$8,2,FALSE)-O55)*O55)</f>
        <v>#VALUE!</v>
      </c>
      <c r="V55" t="e">
        <f t="shared" si="15"/>
        <v>#VALUE!</v>
      </c>
      <c r="W55" t="e">
        <f t="shared" si="14"/>
        <v>#VALUE!</v>
      </c>
      <c r="X55" t="str">
        <f>IF(AND('VA Sizing'!$C$3="Gas",'VA Sizing'!$C$4=" Other",NOT('VA Sizing'!$C$5="Actual"),'VA Sizing'!$C$6="at Operating Conditions"),'10A61 5" Calcs'!W55/'10A61 5" Calcs'!L55,
IF(AND('VA Sizing'!$C$3="Gas",'VA Sizing'!$C$4=" Other",NOT('VA Sizing'!$C$5="Actual"),'VA Sizing'!$C$6="at Reference Conditions"),'10A61 5" Calcs'!W55/'Modified Inputs'!$M$4,
IF('VA Sizing'!$C$5="Standard",W55/VLOOKUP('VA Sizing'!$C$4,'10A61 5" Calcs'!$J$3:$K$29,2,FALSE),
IF('VA Sizing'!$C$5="Normal",'10A61 5" Calcs'!W55/VLOOKUP('VA Sizing'!$C$4,'10A61 5" Calcs'!$J$3:$L$29,3,FALSE),
IF('VA Sizing'!$C$5="Actual",'10A61 5" Calcs'!W55/'10A61 5" Calcs'!O55,"")))))</f>
        <v/>
      </c>
      <c r="Y55">
        <f>($E$6/'Modified Inputs'!$G$2)*SQRT((VLOOKUP('10A61 5" Calcs'!I55,'10A61 5" Calcs'!$A$3:$B$8,2,FALSE)-'Modified Inputs'!$M$2)*'Modified Inputs'!$M$2)</f>
        <v>3012.7379890723982</v>
      </c>
      <c r="Z55">
        <f t="shared" si="16"/>
        <v>0.4741995253477681</v>
      </c>
      <c r="AA55">
        <f>Z55*$F$6*SQRT((VLOOKUP(I55,$A$3:$B$8,2,FALSE)-'Modified Inputs'!$M$2)*'Modified Inputs'!$M$2)</f>
        <v>542.9328311700956</v>
      </c>
      <c r="AB55">
        <f>AA55/'Modified Inputs'!$M$2</f>
        <v>548.41700118191477</v>
      </c>
      <c r="AD55" s="7">
        <f>IF('VA Sizing'!$C$3="Gas",'10A61 5" Calcs'!X55,
IF('VA Sizing'!$C$3="Liquid",'10A61 5" Calcs'!AB55,""))</f>
        <v>548.41700118191477</v>
      </c>
      <c r="AE55" s="7" t="str">
        <f t="shared" si="17"/>
        <v>1/4-20-SS</v>
      </c>
      <c r="AG55" t="e">
        <f t="shared" si="12"/>
        <v>#VALUE!</v>
      </c>
      <c r="AH55" t="e">
        <f t="shared" si="18"/>
        <v>#VALUE!</v>
      </c>
      <c r="AI55" t="e">
        <f t="shared" si="19"/>
        <v>#VALUE!</v>
      </c>
      <c r="AJ55" t="str">
        <f>IF(AND('VA Sizing'!$C$3="Gas",'VA Sizing'!$C$4=" Other",NOT('VA Sizing'!$C$5="Actual"),'VA Sizing'!$C$6="at Operating Conditions"),'10A61 5" Calcs'!AI55/'10A61 5" Calcs'!L55,
IF(AND('VA Sizing'!$C$3="Gas",'VA Sizing'!$C$4=" Other",NOT('VA Sizing'!$C$5="Actual"),'VA Sizing'!$C$6="at Reference Conditions"),'10A61 5" Calcs'!AI55/'Modified Inputs'!$M$4,
IF('VA Sizing'!$C$5="Standard",AI55/VLOOKUP('VA Sizing'!$C$4,'10A61 5" Calcs'!$J$3:$K$29,2,FALSE),
IF('VA Sizing'!$C$5="Normal",'10A61 5" Calcs'!AI55/VLOOKUP('VA Sizing'!$C$4,'10A61 5" Calcs'!$J$3:$L$29,3,FALSE),
IF('VA Sizing'!$C$5="Actual",'10A61 5" Calcs'!AI55/'10A61 5" Calcs'!O55,"")))))</f>
        <v/>
      </c>
      <c r="AK55">
        <f>($E$5/'Modified Inputs'!$G$2)*SQRT((VLOOKUP('10A61 5" Calcs'!I55,'10A61 5" Calcs'!$A$3:$B$8,2,FALSE)-'Modified Inputs'!$M$2)*'Modified Inputs'!$M$2)</f>
        <v>1065.8022308102004</v>
      </c>
      <c r="AL55">
        <f>IF(AK55&lt;200.00001,(10^-8)*('10A61 5" Calcs'!$AK$55^3)-(7*(10^-6))*($AK$55^2)+(0.0022*$AK$55)-0.0175,
IF(AK55&lt;600.00001,$B$53*LN(AK55)+$C$53,
IF(AK55&lt;8500.00001,$D$53*LN(AK55)+$E$53,
IF(AK55&lt;140000.0001,$F$53*LN(AK55)+$G$53,""))))</f>
        <v>0.39933735062863573</v>
      </c>
      <c r="AM55">
        <f>AL55*$F$5*SQRT((VLOOKUP(I55,$A$3:$B$8,2,FALSE)-'Modified Inputs'!$M$2)*'Modified Inputs'!$M$2)</f>
        <v>80.908921500990445</v>
      </c>
      <c r="AN55">
        <f>AM55/'Modified Inputs'!$M$2</f>
        <v>81.726183334333783</v>
      </c>
      <c r="AP55" s="7">
        <f>IF('VA Sizing'!$C$3="Gas",'10A61 5" Calcs'!AJ55,
IF('VA Sizing'!$C$3="Liquid",'10A61 5" Calcs'!AN55,""))</f>
        <v>81.726183334333783</v>
      </c>
      <c r="AQ55" s="7" t="s">
        <v>85</v>
      </c>
    </row>
    <row r="56" spans="1:43">
      <c r="B56">
        <v>30</v>
      </c>
      <c r="C56">
        <v>200</v>
      </c>
      <c r="D56">
        <v>200</v>
      </c>
      <c r="E56">
        <v>600</v>
      </c>
      <c r="I56" t="s">
        <v>26</v>
      </c>
      <c r="J56">
        <f>'Modified Inputs'!$K$2</f>
        <v>140</v>
      </c>
      <c r="K56">
        <f>'Modified Inputs'!$I$2</f>
        <v>145</v>
      </c>
      <c r="L56" t="str">
        <f>IF(AND('VA Sizing'!$C$4=" Other",'VA Sizing'!$C$6="at Operating Conditions",'VA Sizing'!$C$5="Standard"),'10A61 5" Calcs'!O56/'10A61 5" Calcs'!M56,
IF(AND('VA Sizing'!$C$4=" Other",'VA Sizing'!$C$6="at Operating Conditions",OR('VA Sizing'!$C$5="Normal",'VA Sizing'!$C$5="Actual")),'10A61 5" Calcs'!O56/N56,
IF(AND('VA Sizing'!$C$4=" Other",'VA Sizing'!$C$6="at Reference Conditions"),'Modified Inputs'!$M$4,
IF(AND('VA Sizing'!$C$3="Gas",'VA Sizing'!$C$5="Standard"),VLOOKUP('VA Sizing'!$C$4,'10A61 5" Calcs'!$J$3:$K$29,2,FALSE),
IF(AND('VA Sizing'!$C$3="Gas",OR('VA Sizing'!$C$5="Actual",'VA Sizing'!$C$5="Normal")),VLOOKUP('VA Sizing'!$C$4,'10A61 5" Calcs'!$J$3:$L$29,3,FALSE),"")))))</f>
        <v/>
      </c>
      <c r="M56">
        <f t="shared" si="9"/>
        <v>8.7131519274376412</v>
      </c>
      <c r="N56">
        <f t="shared" si="1"/>
        <v>8.0884353741496593</v>
      </c>
      <c r="O56" t="str">
        <f>IFERROR(IF(AND('VA Sizing'!$C$3="Gas",'VA Sizing'!$C$6="at Operating Conditions"),'Modified Inputs'!$M$2,
IF(OR(AND('VA Sizing'!$C$4="Carbon Dioxide",'Modified Inputs'!$I$2&gt;70),'VA Sizing'!$C$4="Ammonia",'VA Sizing'!$C$4="Chlorine",'VA Sizing'!$C$4="Sulfur Dioxide"),'10A61 5" Calcs'!$G$27,
IF('VA Sizing'!$C$5="Standard",'10A61 5" Calcs'!M56*'10A61 5" Calcs'!L56,
IF(OR('VA Sizing'!$C$5="Normal",'VA Sizing'!$C$5="Actual"),'10A61 5" Calcs'!N56*'10A61 5" Calcs'!L56,"")))),IF('VA Sizing'!$C$4="Steam",Steam!$B$20,""))</f>
        <v/>
      </c>
      <c r="P56" t="e">
        <f>VLOOKUP('VA Sizing'!$C$4,'10A61 5" Calcs'!$J$3:$M$29,4,FALSE)</f>
        <v>#N/A</v>
      </c>
      <c r="Q56" t="e">
        <f>VLOOKUP('VA Sizing'!$C$4,'10A61 5" Calcs'!$J$3:$N$28,5,FALSE)</f>
        <v>#N/A</v>
      </c>
      <c r="R56">
        <f t="shared" si="10"/>
        <v>108</v>
      </c>
      <c r="S56">
        <f t="shared" si="11"/>
        <v>70</v>
      </c>
      <c r="T56" t="str">
        <f>IFERROR(IF(AND('VA Sizing'!$C$3="Gas",'VA Sizing'!$C$4=" Other"),'Modified Inputs'!$G$2,
IF('VA Sizing'!$C$5="Standard",'10A61 5" Calcs'!P56+'10A61 5" Calcs'!Q56*'10A61 5" Calcs'!S56,
IF(OR('VA Sizing'!$C$5="Normal",'VA Sizing'!$C$5="Actual"),'10A61 5" Calcs'!P56+'10A61 5" Calcs'!Q56*'10A61 5" Calcs'!R56,""))),IF('VA Sizing'!$C$4="Steam",Steam!$C$20,""))</f>
        <v/>
      </c>
      <c r="U56" t="e">
        <f t="shared" si="13"/>
        <v>#VALUE!</v>
      </c>
      <c r="V56" t="e">
        <f t="shared" si="15"/>
        <v>#VALUE!</v>
      </c>
      <c r="W56" t="e">
        <f t="shared" si="14"/>
        <v>#VALUE!</v>
      </c>
      <c r="X56" t="str">
        <f>IF(AND('VA Sizing'!$C$3="Gas",'VA Sizing'!$C$4=" Other",NOT('VA Sizing'!$C$5="Actual"),'VA Sizing'!$C$6="at Operating Conditions"),'10A61 5" Calcs'!W56/'10A61 5" Calcs'!L56,
IF(AND('VA Sizing'!$C$3="Gas",'VA Sizing'!$C$4=" Other",NOT('VA Sizing'!$C$5="Actual"),'VA Sizing'!$C$6="at Reference Conditions"),'10A61 5" Calcs'!W56/'Modified Inputs'!$M$4,
IF('VA Sizing'!$C$5="Standard",W56/VLOOKUP('VA Sizing'!$C$4,'10A61 5" Calcs'!$J$3:$K$29,2,FALSE),
IF('VA Sizing'!$C$5="Normal",'10A61 5" Calcs'!W56/VLOOKUP('VA Sizing'!$C$4,'10A61 5" Calcs'!$J$3:$L$29,3,FALSE),
IF('VA Sizing'!$C$5="Actual",'10A61 5" Calcs'!W56/'10A61 5" Calcs'!O56,"")))))</f>
        <v/>
      </c>
      <c r="Y56">
        <f>($E$6/'Modified Inputs'!$G$2)*SQRT((VLOOKUP('10A61 5" Calcs'!I56,'10A61 5" Calcs'!$A$3:$B$8,2,FALSE)-'Modified Inputs'!$M$2)*'Modified Inputs'!$M$2)</f>
        <v>4253.0723322793365</v>
      </c>
      <c r="Z56">
        <f t="shared" si="16"/>
        <v>0.49903964571962156</v>
      </c>
      <c r="AA56">
        <f>Z56*$F$6*SQRT((VLOOKUP(I56,$A$3:$B$8,2,FALSE)-'Modified Inputs'!$M$2)*'Modified Inputs'!$M$2)</f>
        <v>806.60599133585163</v>
      </c>
      <c r="AB56">
        <f>AA56/'Modified Inputs'!$M$2</f>
        <v>814.75352660187036</v>
      </c>
      <c r="AD56" s="7">
        <f>IF('VA Sizing'!$C$3="Gas",'10A61 5" Calcs'!X56,
IF('VA Sizing'!$C$3="Liquid",'10A61 5" Calcs'!AB56,""))</f>
        <v>814.75352660187036</v>
      </c>
      <c r="AE56" s="7" t="str">
        <f t="shared" si="17"/>
        <v>1/4-20-CA</v>
      </c>
      <c r="AG56" t="e">
        <f t="shared" si="12"/>
        <v>#VALUE!</v>
      </c>
      <c r="AH56" t="e">
        <f t="shared" si="18"/>
        <v>#VALUE!</v>
      </c>
      <c r="AI56" t="e">
        <f t="shared" si="19"/>
        <v>#VALUE!</v>
      </c>
      <c r="AJ56" t="str">
        <f>IF(AND('VA Sizing'!$C$3="Gas",'VA Sizing'!$C$4=" Other",NOT('VA Sizing'!$C$5="Actual"),'VA Sizing'!$C$6="at Operating Conditions"),'10A61 5" Calcs'!AI56/'10A61 5" Calcs'!L56,
IF(AND('VA Sizing'!$C$3="Gas",'VA Sizing'!$C$4=" Other",NOT('VA Sizing'!$C$5="Actual"),'VA Sizing'!$C$6="at Reference Conditions"),'10A61 5" Calcs'!AI56/'Modified Inputs'!$M$4,
IF('VA Sizing'!$C$5="Standard",AI56/VLOOKUP('VA Sizing'!$C$4,'10A61 5" Calcs'!$J$3:$K$29,2,FALSE),
IF('VA Sizing'!$C$5="Normal",'10A61 5" Calcs'!AI56/VLOOKUP('VA Sizing'!$C$4,'10A61 5" Calcs'!$J$3:$L$29,3,FALSE),
IF('VA Sizing'!$C$5="Actual",'10A61 5" Calcs'!AI56/'10A61 5" Calcs'!O56,"")))))</f>
        <v/>
      </c>
      <c r="AK56">
        <f>($E$5/'Modified Inputs'!$G$2)*SQRT((VLOOKUP('10A61 5" Calcs'!I56,'10A61 5" Calcs'!$A$3:$B$8,2,FALSE)-'Modified Inputs'!$M$2)*'Modified Inputs'!$M$2)</f>
        <v>1504.5895115944415</v>
      </c>
      <c r="AL56">
        <f t="shared" si="20"/>
        <v>0.42417747100048919</v>
      </c>
      <c r="AM56">
        <f>AL56*$F$5*SQRT((VLOOKUP(I56,$A$3:$B$8,2,FALSE)-'Modified Inputs'!$M$2)*'Modified Inputs'!$M$2)</f>
        <v>121.32365444853697</v>
      </c>
      <c r="AN56">
        <f>AM56/'Modified Inputs'!$M$2</f>
        <v>122.54914590761311</v>
      </c>
      <c r="AP56" s="7">
        <f>IF('VA Sizing'!$C$3="Gas",'10A61 5" Calcs'!AJ56,
IF('VA Sizing'!$C$3="Liquid",'10A61 5" Calcs'!AN56,""))</f>
        <v>122.54914590761311</v>
      </c>
      <c r="AQ56" s="7" t="s">
        <v>86</v>
      </c>
    </row>
    <row r="57" spans="1:43">
      <c r="I57" t="s">
        <v>126</v>
      </c>
      <c r="J57">
        <f>'Modified Inputs'!$K$2</f>
        <v>140</v>
      </c>
      <c r="K57">
        <f>'Modified Inputs'!$I$2</f>
        <v>145</v>
      </c>
      <c r="L57" t="str">
        <f>IF(AND('VA Sizing'!$C$4=" Other",'VA Sizing'!$C$6="at Operating Conditions",'VA Sizing'!$C$5="Standard"),'10A61 5" Calcs'!O57/'10A61 5" Calcs'!M57,
IF(AND('VA Sizing'!$C$4=" Other",'VA Sizing'!$C$6="at Operating Conditions",OR('VA Sizing'!$C$5="Normal",'VA Sizing'!$C$5="Actual")),'10A61 5" Calcs'!O57/N57,
IF(AND('VA Sizing'!$C$4=" Other",'VA Sizing'!$C$6="at Reference Conditions"),'Modified Inputs'!$M$4,
IF(AND('VA Sizing'!$C$3="Gas",'VA Sizing'!$C$5="Standard"),VLOOKUP('VA Sizing'!$C$4,'10A61 5" Calcs'!$J$3:$K$29,2,FALSE),
IF(AND('VA Sizing'!$C$3="Gas",OR('VA Sizing'!$C$5="Actual",'VA Sizing'!$C$5="Normal")),VLOOKUP('VA Sizing'!$C$4,'10A61 5" Calcs'!$J$3:$L$29,3,FALSE),"")))))</f>
        <v/>
      </c>
      <c r="M57">
        <f t="shared" si="9"/>
        <v>8.7131519274376412</v>
      </c>
      <c r="N57">
        <f t="shared" si="1"/>
        <v>8.0884353741496593</v>
      </c>
      <c r="O57" t="str">
        <f>IFERROR(IF(AND('VA Sizing'!$C$3="Gas",'VA Sizing'!$C$6="at Operating Conditions"),'Modified Inputs'!$M$2,
IF(OR(AND('VA Sizing'!$C$4="Carbon Dioxide",'Modified Inputs'!$I$2&gt;70),'VA Sizing'!$C$4="Ammonia",'VA Sizing'!$C$4="Chlorine",'VA Sizing'!$C$4="Sulfur Dioxide"),'10A61 5" Calcs'!$G$27,
IF('VA Sizing'!$C$5="Standard",'10A61 5" Calcs'!M57*'10A61 5" Calcs'!L57,
IF(OR('VA Sizing'!$C$5="Normal",'VA Sizing'!$C$5="Actual"),'10A61 5" Calcs'!N57*'10A61 5" Calcs'!L57,"")))),IF('VA Sizing'!$C$4="Steam",Steam!$B$20,""))</f>
        <v/>
      </c>
      <c r="P57" t="e">
        <f>VLOOKUP('VA Sizing'!$C$4,'10A61 5" Calcs'!$J$3:$M$29,4,FALSE)</f>
        <v>#N/A</v>
      </c>
      <c r="Q57" t="e">
        <f>VLOOKUP('VA Sizing'!$C$4,'10A61 5" Calcs'!$J$3:$N$28,5,FALSE)</f>
        <v>#N/A</v>
      </c>
      <c r="R57">
        <f t="shared" si="10"/>
        <v>108</v>
      </c>
      <c r="S57">
        <f t="shared" si="11"/>
        <v>70</v>
      </c>
      <c r="T57" t="str">
        <f>IFERROR(IF(AND('VA Sizing'!$C$3="Gas",'VA Sizing'!$C$4=" Other"),'Modified Inputs'!$G$2,
IF('VA Sizing'!$C$5="Standard",'10A61 5" Calcs'!P57+'10A61 5" Calcs'!Q57*'10A61 5" Calcs'!S57,
IF(OR('VA Sizing'!$C$5="Normal",'VA Sizing'!$C$5="Actual"),'10A61 5" Calcs'!P57+'10A61 5" Calcs'!Q57*'10A61 5" Calcs'!R57,""))),IF('VA Sizing'!$C$4="Steam",Steam!$C$20,""))</f>
        <v/>
      </c>
      <c r="U57" t="e">
        <f t="shared" si="13"/>
        <v>#VALUE!</v>
      </c>
      <c r="V57" t="e">
        <f t="shared" si="15"/>
        <v>#VALUE!</v>
      </c>
      <c r="W57" t="e">
        <f t="shared" si="14"/>
        <v>#VALUE!</v>
      </c>
      <c r="X57" t="str">
        <f>IF(AND('VA Sizing'!$C$3="Gas",'VA Sizing'!$C$4=" Other",NOT('VA Sizing'!$C$5="Actual"),'VA Sizing'!$C$6="at Operating Conditions"),'10A61 5" Calcs'!W57/'10A61 5" Calcs'!L57,
IF(AND('VA Sizing'!$C$3="Gas",'VA Sizing'!$C$4=" Other",NOT('VA Sizing'!$C$5="Actual"),'VA Sizing'!$C$6="at Reference Conditions"),'10A61 5" Calcs'!W57/'Modified Inputs'!$M$4,
IF('VA Sizing'!$C$5="Standard",W57/VLOOKUP('VA Sizing'!$C$4,'10A61 5" Calcs'!$J$3:$K$29,2,FALSE),
IF('VA Sizing'!$C$5="Normal",'10A61 5" Calcs'!W57/VLOOKUP('VA Sizing'!$C$4,'10A61 5" Calcs'!$J$3:$L$29,3,FALSE),
IF('VA Sizing'!$C$5="Actual",'10A61 5" Calcs'!W57/'10A61 5" Calcs'!O57,"")))))</f>
        <v/>
      </c>
      <c r="Y57">
        <f>($E$6/'Modified Inputs'!$G$2)*SQRT((VLOOKUP('10A61 5" Calcs'!I57,'10A61 5" Calcs'!$A$3:$B$8,2,FALSE)-'Modified Inputs'!$M$2)*'Modified Inputs'!$M$2)</f>
        <v>4489.3674431483114</v>
      </c>
      <c r="Z57">
        <f t="shared" si="16"/>
        <v>0.5029350629015692</v>
      </c>
      <c r="AA57">
        <f>Z57*$F$6*SQRT((VLOOKUP(I57,$A$3:$B$8,2,FALSE)-'Modified Inputs'!$M$2)*'Modified Inputs'!$M$2)</f>
        <v>858.06599743878712</v>
      </c>
      <c r="AB57">
        <f>AA57/'Modified Inputs'!$M$2</f>
        <v>866.73333074624964</v>
      </c>
      <c r="AD57" s="7">
        <f>IF('VA Sizing'!$C$3="Gas",'10A61 5" Calcs'!X57,
IF('VA Sizing'!$C$3="Liquid",'10A61 5" Calcs'!AB57,""))</f>
        <v>866.73333074624964</v>
      </c>
      <c r="AE57" s="7" t="str">
        <f t="shared" si="17"/>
        <v>1/4-20-TA</v>
      </c>
      <c r="AG57" t="e">
        <f t="shared" si="12"/>
        <v>#VALUE!</v>
      </c>
      <c r="AH57" t="e">
        <f t="shared" si="18"/>
        <v>#VALUE!</v>
      </c>
      <c r="AI57" t="e">
        <f t="shared" si="19"/>
        <v>#VALUE!</v>
      </c>
      <c r="AJ57" t="str">
        <f>IF(AND('VA Sizing'!$C$3="Gas",'VA Sizing'!$C$4=" Other",NOT('VA Sizing'!$C$5="Actual"),'VA Sizing'!$C$6="at Operating Conditions"),'10A61 5" Calcs'!AI57/'10A61 5" Calcs'!L57,
IF(AND('VA Sizing'!$C$3="Gas",'VA Sizing'!$C$4=" Other",NOT('VA Sizing'!$C$5="Actual"),'VA Sizing'!$C$6="at Reference Conditions"),'10A61 5" Calcs'!AI57/'Modified Inputs'!$M$4,
IF('VA Sizing'!$C$5="Standard",AI57/VLOOKUP('VA Sizing'!$C$4,'10A61 5" Calcs'!$J$3:$K$29,2,FALSE),
IF('VA Sizing'!$C$5="Normal",'10A61 5" Calcs'!AI57/VLOOKUP('VA Sizing'!$C$4,'10A61 5" Calcs'!$J$3:$L$29,3,FALSE),
IF('VA Sizing'!$C$5="Actual",'10A61 5" Calcs'!AI57/'10A61 5" Calcs'!O57,"")))))</f>
        <v/>
      </c>
      <c r="AK57">
        <f>($E$5/'Modified Inputs'!$G$2)*SQRT((VLOOKUP('10A61 5" Calcs'!I57,'10A61 5" Calcs'!$A$3:$B$8,2,FALSE)-'Modified Inputs'!$M$2)*'Modified Inputs'!$M$2)</f>
        <v>1588.1825280489647</v>
      </c>
      <c r="AL57">
        <f t="shared" si="20"/>
        <v>0.42807288818243683</v>
      </c>
      <c r="AM57">
        <f>AL57*$F$5*SQRT((VLOOKUP(I57,$A$3:$B$8,2,FALSE)-'Modified Inputs'!$M$2)*'Modified Inputs'!$M$2)</f>
        <v>129.24031019269151</v>
      </c>
      <c r="AN57">
        <f>AM57/'Modified Inputs'!$M$2</f>
        <v>130.54576787140556</v>
      </c>
      <c r="AP57" s="7">
        <f>IF('VA Sizing'!$C$3="Gas",'10A61 5" Calcs'!AJ57,
IF('VA Sizing'!$C$3="Liquid",'10A61 5" Calcs'!AN57,""))</f>
        <v>130.54576787140556</v>
      </c>
      <c r="AQ57" s="7" t="s">
        <v>87</v>
      </c>
    </row>
    <row r="58" spans="1:43">
      <c r="I58" t="s">
        <v>18</v>
      </c>
      <c r="J58">
        <f>'Modified Inputs'!$K$2</f>
        <v>140</v>
      </c>
      <c r="K58">
        <f>'Modified Inputs'!$I$2</f>
        <v>145</v>
      </c>
      <c r="L58" t="str">
        <f>IF(AND('VA Sizing'!$C$4=" Other",'VA Sizing'!$C$6="at Operating Conditions",'VA Sizing'!$C$5="Standard"),'10A61 5" Calcs'!O58/'10A61 5" Calcs'!M58,
IF(AND('VA Sizing'!$C$4=" Other",'VA Sizing'!$C$6="at Operating Conditions",OR('VA Sizing'!$C$5="Normal",'VA Sizing'!$C$5="Actual")),'10A61 5" Calcs'!O58/N58,
IF(AND('VA Sizing'!$C$4=" Other",'VA Sizing'!$C$6="at Reference Conditions"),'Modified Inputs'!$M$4,
IF(AND('VA Sizing'!$C$3="Gas",'VA Sizing'!$C$5="Standard"),VLOOKUP('VA Sizing'!$C$4,'10A61 5" Calcs'!$J$3:$K$29,2,FALSE),
IF(AND('VA Sizing'!$C$3="Gas",OR('VA Sizing'!$C$5="Actual",'VA Sizing'!$C$5="Normal")),VLOOKUP('VA Sizing'!$C$4,'10A61 5" Calcs'!$J$3:$L$29,3,FALSE),"")))))</f>
        <v/>
      </c>
      <c r="M58">
        <f t="shared" si="9"/>
        <v>8.7131519274376412</v>
      </c>
      <c r="N58">
        <f t="shared" si="1"/>
        <v>8.0884353741496593</v>
      </c>
      <c r="O58" t="str">
        <f>IFERROR(IF(AND('VA Sizing'!$C$3="Gas",'VA Sizing'!$C$6="at Operating Conditions"),'Modified Inputs'!$M$2,
IF(OR(AND('VA Sizing'!$C$4="Carbon Dioxide",'Modified Inputs'!$I$2&gt;70),'VA Sizing'!$C$4="Ammonia",'VA Sizing'!$C$4="Chlorine",'VA Sizing'!$C$4="Sulfur Dioxide"),'10A61 5" Calcs'!$G$27,
IF('VA Sizing'!$C$5="Standard",'10A61 5" Calcs'!M58*'10A61 5" Calcs'!L58,
IF(OR('VA Sizing'!$C$5="Normal",'VA Sizing'!$C$5="Actual"),'10A61 5" Calcs'!N58*'10A61 5" Calcs'!L58,"")))),IF('VA Sizing'!$C$4="Steam",Steam!$B$20,""))</f>
        <v/>
      </c>
      <c r="P58" t="e">
        <f>VLOOKUP('VA Sizing'!$C$4,'10A61 5" Calcs'!$J$3:$M$29,4,FALSE)</f>
        <v>#N/A</v>
      </c>
      <c r="Q58" t="e">
        <f>VLOOKUP('VA Sizing'!$C$4,'10A61 5" Calcs'!$J$3:$N$28,5,FALSE)</f>
        <v>#N/A</v>
      </c>
      <c r="R58">
        <f t="shared" si="10"/>
        <v>108</v>
      </c>
      <c r="S58">
        <f t="shared" si="11"/>
        <v>70</v>
      </c>
      <c r="T58" t="str">
        <f>IFERROR(IF(AND('VA Sizing'!$C$3="Gas",'VA Sizing'!$C$4=" Other"),'Modified Inputs'!$G$2,
IF('VA Sizing'!$C$5="Standard",'10A61 5" Calcs'!P58+'10A61 5" Calcs'!Q58*'10A61 5" Calcs'!S58,
IF(OR('VA Sizing'!$C$5="Normal",'VA Sizing'!$C$5="Actual"),'10A61 5" Calcs'!P58+'10A61 5" Calcs'!Q58*'10A61 5" Calcs'!R58,""))),IF('VA Sizing'!$C$4="Steam",Steam!$C$20,""))</f>
        <v/>
      </c>
      <c r="U58" t="e">
        <f>($E$6/T58)*SQRT((VLOOKUP(I58,$A$3:$B$8,2,FALSE)-O58)*O58)</f>
        <v>#VALUE!</v>
      </c>
      <c r="V58" t="e">
        <f>IF(U58&lt;($C$54+0.00001),$B$53*LN(U58)+$C$53,
IF(U58&lt;($E$54+0.00001),$D$53*LN(U58)+$E$53,
IF(U58&lt;($G$54+0.0001),$F$53*LN(U58)+$G$53,"")))</f>
        <v>#VALUE!</v>
      </c>
      <c r="W58" t="e">
        <f t="shared" si="14"/>
        <v>#VALUE!</v>
      </c>
      <c r="X58" t="str">
        <f>IF(AND('VA Sizing'!$C$3="Gas",'VA Sizing'!$C$4=" Other",NOT('VA Sizing'!$C$5="Actual"),'VA Sizing'!$C$6="at Operating Conditions"),'10A61 5" Calcs'!W58/'10A61 5" Calcs'!L58,
IF(AND('VA Sizing'!$C$3="Gas",'VA Sizing'!$C$4=" Other",NOT('VA Sizing'!$C$5="Actual"),'VA Sizing'!$C$6="at Reference Conditions"),'10A61 5" Calcs'!W58/'Modified Inputs'!$M$4,
IF('VA Sizing'!$C$5="Standard",W58/VLOOKUP('VA Sizing'!$C$4,'10A61 5" Calcs'!$J$3:$K$29,2,FALSE),
IF('VA Sizing'!$C$5="Normal",'10A61 5" Calcs'!W58/VLOOKUP('VA Sizing'!$C$4,'10A61 5" Calcs'!$J$3:$L$29,3,FALSE),
IF('VA Sizing'!$C$5="Actual",'10A61 5" Calcs'!W58/'10A61 5" Calcs'!O58,"")))))</f>
        <v/>
      </c>
      <c r="Y58">
        <f>($E$6/'Modified Inputs'!$G$2)*SQRT((VLOOKUP('10A61 5" Calcs'!I58,'10A61 5" Calcs'!$A$3:$B$8,2,FALSE)-'Modified Inputs'!$M$2)*'Modified Inputs'!$M$2)</f>
        <v>1414.6517797677279</v>
      </c>
      <c r="Z58">
        <f t="shared" si="16"/>
        <v>0.41973693393739298</v>
      </c>
      <c r="AA58">
        <f>Z58*$F$6*SQRT((VLOOKUP(I58,$A$3:$B$8,2,FALSE)-'Modified Inputs'!$M$2)*'Modified Inputs'!$M$2)</f>
        <v>225.65780619342513</v>
      </c>
      <c r="AB58">
        <f>AA58/'Modified Inputs'!$M$2</f>
        <v>227.93717797315671</v>
      </c>
      <c r="AD58" s="7">
        <f>IF('VA Sizing'!$C$3="Gas",'10A61 5" Calcs'!X58,
IF('VA Sizing'!$C$3="Liquid",'10A61 5" Calcs'!AB58,""))</f>
        <v>227.93717797315671</v>
      </c>
      <c r="AE58" s="7" t="str">
        <f t="shared" si="17"/>
        <v>1/4-20-BG</v>
      </c>
      <c r="AG58" t="e">
        <f t="shared" si="12"/>
        <v>#VALUE!</v>
      </c>
      <c r="AH58" t="e">
        <f t="shared" si="18"/>
        <v>#VALUE!</v>
      </c>
      <c r="AI58" t="e">
        <f t="shared" si="19"/>
        <v>#VALUE!</v>
      </c>
      <c r="AJ58" t="str">
        <f>IF(AND('VA Sizing'!$C$3="Gas",'VA Sizing'!$C$4=" Other",NOT('VA Sizing'!$C$5="Actual"),'VA Sizing'!$C$6="at Operating Conditions"),'10A61 5" Calcs'!AI58/'10A61 5" Calcs'!L58,
IF(AND('VA Sizing'!$C$3="Gas",'VA Sizing'!$C$4=" Other",NOT('VA Sizing'!$C$5="Actual"),'VA Sizing'!$C$6="at Reference Conditions"),'10A61 5" Calcs'!AI58/'Modified Inputs'!$M$4,
IF('VA Sizing'!$C$5="Standard",AI58/VLOOKUP('VA Sizing'!$C$4,'10A61 5" Calcs'!$J$3:$K$29,2,FALSE),
IF('VA Sizing'!$C$5="Normal",'10A61 5" Calcs'!AI58/VLOOKUP('VA Sizing'!$C$4,'10A61 5" Calcs'!$J$3:$L$29,3,FALSE),
IF('VA Sizing'!$C$5="Actual",'10A61 5" Calcs'!AI58/'10A61 5" Calcs'!O58,"")))))</f>
        <v/>
      </c>
      <c r="AK58">
        <f>($E$5/'Modified Inputs'!$G$2)*SQRT((VLOOKUP('10A61 5" Calcs'!I58,'10A61 5" Calcs'!$A$3:$B$8,2,FALSE)-'Modified Inputs'!$M$2)*'Modified Inputs'!$M$2)</f>
        <v>500.45474520679693</v>
      </c>
      <c r="AL58">
        <f t="shared" si="20"/>
        <v>0.32864648563086507</v>
      </c>
      <c r="AM58">
        <f>AL58*$F$5*SQRT((VLOOKUP(I58,$A$3:$B$8,2,FALSE)-'Modified Inputs'!$M$2)*'Modified Inputs'!$M$2)</f>
        <v>31.266096138677952</v>
      </c>
      <c r="AN58">
        <f>AM58/'Modified Inputs'!$M$2</f>
        <v>31.581915291593891</v>
      </c>
      <c r="AP58" s="7">
        <f>IF('VA Sizing'!$C$3="Gas",'10A61 5" Calcs'!AJ58,
IF('VA Sizing'!$C$3="Liquid",'10A61 5" Calcs'!AN58,""))</f>
        <v>31.581915291593891</v>
      </c>
      <c r="AQ58" s="7" t="s">
        <v>81</v>
      </c>
    </row>
    <row r="59" spans="1:43">
      <c r="O59" t="str">
        <f>IFERROR(IF(AND('VA Sizing'!$C$3="Gas",'VA Sizing'!$C$6="at Operating Conditions"),'Modified Inputs'!$M$2,
IF(OR(AND('VA Sizing'!$C$4="Carbon Dioxide",'Modified Inputs'!$I$2&gt;70),'VA Sizing'!$C$4="Ammonia",'VA Sizing'!$C$4="Chlorine",'VA Sizing'!$C$4="Sulfur Dioxide"),'10A61 5" Calcs'!$G$27,
IF('VA Sizing'!$C$5="Standard",'10A61 5" Calcs'!M59*'10A61 5" Calcs'!L59,
IF(OR('VA Sizing'!$C$5="Normal",'VA Sizing'!$C$5="Actual"),'10A61 5" Calcs'!N59*'10A61 5" Calcs'!L59,"")))),IF('VA Sizing'!$C$4="Steam",Steam!$B$20,""))</f>
        <v/>
      </c>
      <c r="T59" t="str">
        <f>IFERROR(IF(AND('VA Sizing'!$C$3="Gas",'VA Sizing'!$C$4=" Other"),'Modified Inputs'!$G$2,
IF('VA Sizing'!$C$5="Standard",'10A61 5" Calcs'!P59+'10A61 5" Calcs'!Q59*'10A61 5" Calcs'!S59,
IF(OR('VA Sizing'!$C$5="Normal",'VA Sizing'!$C$5="Actual"),'10A61 5" Calcs'!P59+'10A61 5" Calcs'!Q59*'10A61 5" Calcs'!R59,""))),IF('VA Sizing'!$C$4="Steam",Steam!$C$20,""))</f>
        <v/>
      </c>
      <c r="AD59" s="7"/>
      <c r="AE59" s="7"/>
      <c r="AP59" s="7"/>
      <c r="AQ59" s="7"/>
    </row>
    <row r="60" spans="1:43">
      <c r="A60" s="3" t="s">
        <v>119</v>
      </c>
      <c r="B60">
        <f t="array" ref="B60:C60">LINEST('10A61 5" Curves'!C18:I18,LN('10A61 5" Curves'!C17:I17))</f>
        <v>7.6534645743448371E-2</v>
      </c>
      <c r="C60">
        <v>-0.25200878207267718</v>
      </c>
      <c r="D60">
        <f t="array" ref="D60:E60">LINEST('10A61 5" Curves'!H18:M18,LN('10A61 5" Curves'!H17:M17))</f>
        <v>6.721366903477323E-2</v>
      </c>
      <c r="E60">
        <v>-0.18174281222972793</v>
      </c>
      <c r="F60">
        <f t="array" ref="F60:G60">LINEST('10A61 5" Curves'!M18:Q18,LN('10A61 5" Curves'!M17:Q17))</f>
        <v>2.586865038101787E-2</v>
      </c>
      <c r="G60">
        <v>0.18081707489285032</v>
      </c>
      <c r="I60" t="s">
        <v>142</v>
      </c>
      <c r="J60">
        <f>'Modified Inputs'!$K$2</f>
        <v>140</v>
      </c>
      <c r="K60">
        <f>'Modified Inputs'!$I$2</f>
        <v>145</v>
      </c>
      <c r="L60" t="str">
        <f>IF(AND('VA Sizing'!$C$4=" Other",'VA Sizing'!$C$6="at Operating Conditions",'VA Sizing'!$C$5="Standard"),'10A61 5" Calcs'!O60/'10A61 5" Calcs'!M60,
IF(AND('VA Sizing'!$C$4=" Other",'VA Sizing'!$C$6="at Operating Conditions",OR('VA Sizing'!$C$5="Normal",'VA Sizing'!$C$5="Actual")),'10A61 5" Calcs'!O60/N60,
IF(AND('VA Sizing'!$C$4=" Other",'VA Sizing'!$C$6="at Reference Conditions"),'Modified Inputs'!$M$4,
IF(AND('VA Sizing'!$C$3="Gas",'VA Sizing'!$C$5="Standard"),VLOOKUP('VA Sizing'!$C$4,'10A61 5" Calcs'!$J$3:$K$29,2,FALSE),
IF(AND('VA Sizing'!$C$3="Gas",OR('VA Sizing'!$C$5="Actual",'VA Sizing'!$C$5="Normal")),VLOOKUP('VA Sizing'!$C$4,'10A61 5" Calcs'!$J$3:$L$29,3,FALSE),"")))))</f>
        <v/>
      </c>
      <c r="M60">
        <f t="shared" si="9"/>
        <v>8.7131519274376412</v>
      </c>
      <c r="N60">
        <f t="shared" si="1"/>
        <v>8.0884353741496593</v>
      </c>
      <c r="O60" t="str">
        <f>IFERROR(IF(AND('VA Sizing'!$C$3="Gas",'VA Sizing'!$C$6="at Operating Conditions"),'Modified Inputs'!$M$2,
IF(OR(AND('VA Sizing'!$C$4="Carbon Dioxide",'Modified Inputs'!$I$2&gt;70),'VA Sizing'!$C$4="Ammonia",'VA Sizing'!$C$4="Chlorine",'VA Sizing'!$C$4="Sulfur Dioxide"),'10A61 5" Calcs'!$G$27,
IF('VA Sizing'!$C$5="Standard",'10A61 5" Calcs'!M60*'10A61 5" Calcs'!L60,
IF(OR('VA Sizing'!$C$5="Normal",'VA Sizing'!$C$5="Actual"),'10A61 5" Calcs'!N60*'10A61 5" Calcs'!L60,"")))),IF('VA Sizing'!$C$4="Steam",Steam!$B$20,""))</f>
        <v/>
      </c>
      <c r="P60" t="e">
        <f>VLOOKUP('VA Sizing'!$C$4,'10A61 5" Calcs'!$J$3:$M$29,4,FALSE)</f>
        <v>#N/A</v>
      </c>
      <c r="Q60" t="e">
        <f>VLOOKUP('VA Sizing'!$C$4,'10A61 5" Calcs'!$J$3:$N$28,5,FALSE)</f>
        <v>#N/A</v>
      </c>
      <c r="R60">
        <f t="shared" si="10"/>
        <v>108</v>
      </c>
      <c r="S60">
        <f t="shared" si="11"/>
        <v>70</v>
      </c>
      <c r="T60" t="str">
        <f>IFERROR(IF(AND('VA Sizing'!$C$3="Gas",'VA Sizing'!$C$4=" Other"),'Modified Inputs'!$G$2,
IF('VA Sizing'!$C$5="Standard",'10A61 5" Calcs'!P60+'10A61 5" Calcs'!Q60*'10A61 5" Calcs'!S60,
IF(OR('VA Sizing'!$C$5="Normal",'VA Sizing'!$C$5="Actual"),'10A61 5" Calcs'!P60+'10A61 5" Calcs'!Q60*'10A61 5" Calcs'!R60,""))),IF('VA Sizing'!$C$4="Steam",Steam!$C$20,""))</f>
        <v/>
      </c>
      <c r="U60" t="e">
        <f t="shared" ref="U60:U72" si="21">($E$6/T60)*SQRT((VLOOKUP(I60,$A$3:$B$8,2,FALSE)-O60)*O60)</f>
        <v>#VALUE!</v>
      </c>
      <c r="V60" t="e">
        <f>IF(U60&lt;($C$61+0.00001),-0.00000130626*(U60^2)+0.001049*U60-0.0068,
IF(U60&lt;($E$61+0.00001),$D$60*LN(U60)+$E$60,
IF(U60&lt;($G$61+0.0001),$F$60*LN(U60)+$G$60,"")))</f>
        <v>#VALUE!</v>
      </c>
      <c r="W60" t="e">
        <f t="shared" si="14"/>
        <v>#VALUE!</v>
      </c>
      <c r="X60" t="str">
        <f>IF(AND('VA Sizing'!$C$3="Gas",'VA Sizing'!$C$4=" Other",NOT('VA Sizing'!$C$5="Actual"),'VA Sizing'!$C$6="at Operating Conditions"),'10A61 5" Calcs'!W60/'10A61 5" Calcs'!L60,
IF(AND('VA Sizing'!$C$3="Gas",'VA Sizing'!$C$4=" Other",NOT('VA Sizing'!$C$5="Actual"),'VA Sizing'!$C$6="at Reference Conditions"),'10A61 5" Calcs'!W60/'Modified Inputs'!$M$4,
IF('VA Sizing'!$C$5="Standard",W60/VLOOKUP('VA Sizing'!$C$4,'10A61 5" Calcs'!$J$3:$K$29,2,FALSE),
IF('VA Sizing'!$C$5="Normal",'10A61 5" Calcs'!W60/VLOOKUP('VA Sizing'!$C$4,'10A61 5" Calcs'!$J$3:$L$29,3,FALSE),
IF('VA Sizing'!$C$5="Actual",'10A61 5" Calcs'!W60/'10A61 5" Calcs'!O60,"")))))</f>
        <v/>
      </c>
      <c r="Y60">
        <f>($E$6/'Modified Inputs'!$G$2)*SQRT((VLOOKUP('10A61 5" Calcs'!I60,'10A61 5" Calcs'!$A$3:$B$8,2,FALSE)-'Modified Inputs'!$M$2)*'Modified Inputs'!$M$2)</f>
        <v>1290.561057989896</v>
      </c>
      <c r="Z60">
        <f>IF(Y60&lt;($C$61+0.00001),-0.00000130626*(Y60^2)+0.001049*Y60-0.0068,
IF(Y60&lt;($E$61+0.00001),$D$60*LN(Y60)+$E$60,
IF(Y60&lt;($G$61+0.0001),$F$60*LN(Y60)+$G$60,"")))</f>
        <v>0.2996974294496727</v>
      </c>
      <c r="AA60">
        <f>Z60*$F$6*SQRT((VLOOKUP(I60,$A$3:$B$8,2,FALSE)-'Modified Inputs'!$M$2)*'Modified Inputs'!$M$2)</f>
        <v>146.98912340306575</v>
      </c>
      <c r="AB60">
        <f>AA60/'Modified Inputs'!$M$2</f>
        <v>148.47386202329875</v>
      </c>
      <c r="AD60" s="7">
        <f>IF('VA Sizing'!$C$3="Gas",'10A61 5" Calcs'!X60,
IF('VA Sizing'!$C$3="Liquid",'10A61 5" Calcs'!AB60,""))</f>
        <v>148.47386202329875</v>
      </c>
      <c r="AE60" s="7" t="str">
        <f>CONCATENATE($A$60,"-",I60)</f>
        <v>1/4-16-CD</v>
      </c>
      <c r="AG60" t="e">
        <f>($E$5/T60)*SQRT((VLOOKUP(I60,$A$3:$B$8,2,FALSE)-O60)*O60)</f>
        <v>#VALUE!</v>
      </c>
      <c r="AH60" t="e">
        <f>IF(AG60&lt;($C$61+0.00001),0.0012*(AG60^(0.9159)),
IF(AG60&lt;($E$61+0.00001),$D$60*LN(AG60)+$E$60,
IF(AG60&lt;($G$61+0.0001),$F$60*LN(AG60)+$G$60,"")))</f>
        <v>#VALUE!</v>
      </c>
      <c r="AI60" t="e">
        <f>(AH60*$F$5)*SQRT((VLOOKUP(I60,$A$3:$B$8,2,FALSE)-O60)*O60)</f>
        <v>#VALUE!</v>
      </c>
      <c r="AJ60" t="str">
        <f>IF(AND('VA Sizing'!$C$3="Gas",'VA Sizing'!$C$4=" Other",NOT('VA Sizing'!$C$5="Actual"),'VA Sizing'!$C$6="at Operating Conditions"),'10A61 5" Calcs'!AI60/'10A61 5" Calcs'!L60,
IF(AND('VA Sizing'!$C$3="Gas",'VA Sizing'!$C$4=" Other",NOT('VA Sizing'!$C$5="Actual"),'VA Sizing'!$C$6="at Reference Conditions"),'10A61 5" Calcs'!AI60/'Modified Inputs'!$M$4,
IF('VA Sizing'!$C$5="Standard",AI60/VLOOKUP('VA Sizing'!$C$4,'10A61 5" Calcs'!$J$3:$K$29,2,FALSE),
IF('VA Sizing'!$C$5="Normal",'10A61 5" Calcs'!AI60/VLOOKUP('VA Sizing'!$C$4,'10A61 5" Calcs'!$J$3:$L$29,3,FALSE),
IF('VA Sizing'!$C$5="Actual",'10A61 5" Calcs'!AI60/'10A61 5" Calcs'!O60,"")))))</f>
        <v/>
      </c>
      <c r="AK60">
        <f>($E$5/'Modified Inputs'!$G$2)*SQRT((VLOOKUP('10A61 5" Calcs'!I60,'10A61 5" Calcs'!$A$3:$B$8,2,FALSE)-'Modified Inputs'!$M$2)*'Modified Inputs'!$M$2)</f>
        <v>456.55575081253761</v>
      </c>
      <c r="AL60">
        <f>IF(AK60&lt;($C$61+0.00001),-0.00000130626*(AK60^2)+0.001049*AK60-0.0068,
IF(AK60&lt;($E$61+0.00001),$D$60*LN(AK60)+$E$60,
IF(AK60&lt;($G$61+0.0001),$F$60*LN(AK60)+$G$60,"")))</f>
        <v>0.22985426003806514</v>
      </c>
      <c r="AM60">
        <f>AL60*$F$5*SQRT((VLOOKUP(I60,$A$3:$B$8,2,FALSE)-'Modified Inputs'!$M$2)*'Modified Inputs'!$M$2)</f>
        <v>19.949234237301688</v>
      </c>
      <c r="AN60">
        <f>AM60/'Modified Inputs'!$M$2</f>
        <v>20.15074165384009</v>
      </c>
      <c r="AP60" s="63">
        <f>IF('VA Sizing'!$C$3="Gas",'10A61 5" Calcs'!AJ60,
IF('VA Sizing'!$C$3="Liquid",'10A61 5" Calcs'!AN60,""))</f>
        <v>20.15074165384009</v>
      </c>
      <c r="AQ60" s="63" t="s">
        <v>209</v>
      </c>
    </row>
    <row r="61" spans="1:43">
      <c r="A61" t="s">
        <v>159</v>
      </c>
      <c r="B61">
        <v>30</v>
      </c>
      <c r="C61">
        <v>300</v>
      </c>
      <c r="D61">
        <v>300</v>
      </c>
      <c r="E61">
        <v>8000</v>
      </c>
      <c r="F61">
        <v>8000</v>
      </c>
      <c r="G61">
        <v>75000</v>
      </c>
      <c r="I61" t="s">
        <v>21</v>
      </c>
      <c r="J61">
        <f>'Modified Inputs'!$K$2</f>
        <v>140</v>
      </c>
      <c r="K61">
        <f>'Modified Inputs'!$I$2</f>
        <v>145</v>
      </c>
      <c r="L61" t="str">
        <f>IF(AND('VA Sizing'!$C$4=" Other",'VA Sizing'!$C$6="at Operating Conditions",'VA Sizing'!$C$5="Standard"),'10A61 5" Calcs'!O61/'10A61 5" Calcs'!M61,
IF(AND('VA Sizing'!$C$4=" Other",'VA Sizing'!$C$6="at Operating Conditions",OR('VA Sizing'!$C$5="Normal",'VA Sizing'!$C$5="Actual")),'10A61 5" Calcs'!O61/N61,
IF(AND('VA Sizing'!$C$4=" Other",'VA Sizing'!$C$6="at Reference Conditions"),'Modified Inputs'!$M$4,
IF(AND('VA Sizing'!$C$3="Gas",'VA Sizing'!$C$5="Standard"),VLOOKUP('VA Sizing'!$C$4,'10A61 5" Calcs'!$J$3:$K$29,2,FALSE),
IF(AND('VA Sizing'!$C$3="Gas",OR('VA Sizing'!$C$5="Actual",'VA Sizing'!$C$5="Normal")),VLOOKUP('VA Sizing'!$C$4,'10A61 5" Calcs'!$J$3:$L$29,3,FALSE),"")))))</f>
        <v/>
      </c>
      <c r="M61">
        <f t="shared" si="9"/>
        <v>8.7131519274376412</v>
      </c>
      <c r="N61">
        <f t="shared" si="1"/>
        <v>8.0884353741496593</v>
      </c>
      <c r="O61" t="str">
        <f>IFERROR(IF(AND('VA Sizing'!$C$3="Gas",'VA Sizing'!$C$6="at Operating Conditions"),'Modified Inputs'!$M$2,
IF(OR(AND('VA Sizing'!$C$4="Carbon Dioxide",'Modified Inputs'!$I$2&gt;70),'VA Sizing'!$C$4="Ammonia",'VA Sizing'!$C$4="Chlorine",'VA Sizing'!$C$4="Sulfur Dioxide"),'10A61 5" Calcs'!$G$27,
IF('VA Sizing'!$C$5="Standard",'10A61 5" Calcs'!M61*'10A61 5" Calcs'!L61,
IF(OR('VA Sizing'!$C$5="Normal",'VA Sizing'!$C$5="Actual"),'10A61 5" Calcs'!N61*'10A61 5" Calcs'!L61,"")))),IF('VA Sizing'!$C$4="Steam",Steam!$B$20,""))</f>
        <v/>
      </c>
      <c r="P61" t="e">
        <f>VLOOKUP('VA Sizing'!$C$4,'10A61 5" Calcs'!$J$3:$M$29,4,FALSE)</f>
        <v>#N/A</v>
      </c>
      <c r="Q61" t="e">
        <f>VLOOKUP('VA Sizing'!$C$4,'10A61 5" Calcs'!$J$3:$N$28,5,FALSE)</f>
        <v>#N/A</v>
      </c>
      <c r="R61">
        <f t="shared" si="10"/>
        <v>108</v>
      </c>
      <c r="S61">
        <f t="shared" si="11"/>
        <v>70</v>
      </c>
      <c r="T61" t="str">
        <f>IFERROR(IF(AND('VA Sizing'!$C$3="Gas",'VA Sizing'!$C$4=" Other"),'Modified Inputs'!$G$2,
IF('VA Sizing'!$C$5="Standard",'10A61 5" Calcs'!P61+'10A61 5" Calcs'!Q61*'10A61 5" Calcs'!S61,
IF(OR('VA Sizing'!$C$5="Normal",'VA Sizing'!$C$5="Actual"),'10A61 5" Calcs'!P61+'10A61 5" Calcs'!Q61*'10A61 5" Calcs'!R61,""))),IF('VA Sizing'!$C$4="Steam",Steam!$C$20,""))</f>
        <v/>
      </c>
      <c r="U61" t="e">
        <f t="shared" si="21"/>
        <v>#VALUE!</v>
      </c>
      <c r="V61" t="e">
        <f t="shared" ref="V61:V65" si="22">IF(U61&lt;($C$61+0.00001),-0.00000130626*(U61^2)+0.001049*U61-0.0068,
IF(U61&lt;($E$61+0.00001),$D$60*LN(U61)+$E$60,
IF(U61&lt;($G$61+0.0001),$F$60*LN(U61)+$G$60,"")))</f>
        <v>#VALUE!</v>
      </c>
      <c r="W61" t="e">
        <f t="shared" si="14"/>
        <v>#VALUE!</v>
      </c>
      <c r="X61" t="str">
        <f>IF(AND('VA Sizing'!$C$3="Gas",'VA Sizing'!$C$4=" Other",NOT('VA Sizing'!$C$5="Actual"),'VA Sizing'!$C$6="at Operating Conditions"),'10A61 5" Calcs'!W61/'10A61 5" Calcs'!L61,
IF(AND('VA Sizing'!$C$3="Gas",'VA Sizing'!$C$4=" Other",NOT('VA Sizing'!$C$5="Actual"),'VA Sizing'!$C$6="at Reference Conditions"),'10A61 5" Calcs'!W61/'Modified Inputs'!$M$4,
IF('VA Sizing'!$C$5="Standard",W61/VLOOKUP('VA Sizing'!$C$4,'10A61 5" Calcs'!$J$3:$K$29,2,FALSE),
IF('VA Sizing'!$C$5="Normal",'10A61 5" Calcs'!W61/VLOOKUP('VA Sizing'!$C$4,'10A61 5" Calcs'!$J$3:$L$29,3,FALSE),
IF('VA Sizing'!$C$5="Actual",'10A61 5" Calcs'!W61/'10A61 5" Calcs'!O61,"")))))</f>
        <v/>
      </c>
      <c r="Y61">
        <f>($E$6/'Modified Inputs'!$G$2)*SQRT((VLOOKUP('10A61 5" Calcs'!I61,'10A61 5" Calcs'!$A$3:$B$8,2,FALSE)-'Modified Inputs'!$M$2)*'Modified Inputs'!$M$2)</f>
        <v>1964.8042794130922</v>
      </c>
      <c r="Z61">
        <f t="shared" ref="Z61:Z65" si="23">IF(Y61&lt;($C$61+0.00001),-0.00000130626*(Y61^2)+0.001049*Y61-0.0068,
IF(Y61&lt;($E$61+0.00001),$D$60*LN(Y61)+$E$60,
IF(Y61&lt;($G$61+0.0001),$F$60*LN(Y61)+$G$60,"")))</f>
        <v>0.32794838203738802</v>
      </c>
      <c r="AA61">
        <f>Z61*$F$6*SQRT((VLOOKUP(I61,$A$3:$B$8,2,FALSE)-'Modified Inputs'!$M$2)*'Modified Inputs'!$M$2)</f>
        <v>244.87723542284439</v>
      </c>
      <c r="AB61">
        <f>AA61/'Modified Inputs'!$M$2</f>
        <v>247.35074285135798</v>
      </c>
      <c r="AD61" s="7">
        <f>IF('VA Sizing'!$C$3="Gas",'10A61 5" Calcs'!X61,
IF('VA Sizing'!$C$3="Liquid",'10A61 5" Calcs'!AB61,""))</f>
        <v>247.35074285135798</v>
      </c>
      <c r="AE61" s="7" t="str">
        <f t="shared" ref="AE61:AE65" si="24">CONCATENATE($A$60,"-",I61)</f>
        <v>1/4-16-SA</v>
      </c>
      <c r="AG61" t="e">
        <f t="shared" si="12"/>
        <v>#VALUE!</v>
      </c>
      <c r="AH61" t="e">
        <f t="shared" ref="AH61:AH65" si="25">IF(AG61&lt;($C$61+0.00001),0.0012*(AG61^(0.9159)),
IF(AG61&lt;($E$61+0.00001),$D$60*LN(AG61)+$E$60,
IF(AG61&lt;($G$61+0.0001),$F$60*LN(AG61)+$G$60,"")))</f>
        <v>#VALUE!</v>
      </c>
      <c r="AI61" t="e">
        <f t="shared" si="19"/>
        <v>#VALUE!</v>
      </c>
      <c r="AJ61" t="str">
        <f>IF(AND('VA Sizing'!$C$3="Gas",'VA Sizing'!$C$4=" Other",NOT('VA Sizing'!$C$5="Actual"),'VA Sizing'!$C$6="at Operating Conditions"),'10A61 5" Calcs'!AI61/'10A61 5" Calcs'!L61,
IF(AND('VA Sizing'!$C$3="Gas",'VA Sizing'!$C$4=" Other",NOT('VA Sizing'!$C$5="Actual"),'VA Sizing'!$C$6="at Reference Conditions"),'10A61 5" Calcs'!AI61/'Modified Inputs'!$M$4,
IF('VA Sizing'!$C$5="Standard",AI61/VLOOKUP('VA Sizing'!$C$4,'10A61 5" Calcs'!$J$3:$K$29,2,FALSE),
IF('VA Sizing'!$C$5="Normal",'10A61 5" Calcs'!AI61/VLOOKUP('VA Sizing'!$C$4,'10A61 5" Calcs'!$J$3:$L$29,3,FALSE),
IF('VA Sizing'!$C$5="Actual",'10A61 5" Calcs'!AI61/'10A61 5" Calcs'!O61,"")))))</f>
        <v/>
      </c>
      <c r="AK61">
        <f>($E$5/'Modified Inputs'!$G$2)*SQRT((VLOOKUP('10A61 5" Calcs'!I61,'10A61 5" Calcs'!$A$3:$B$8,2,FALSE)-'Modified Inputs'!$M$2)*'Modified Inputs'!$M$2)</f>
        <v>695.07962248939509</v>
      </c>
      <c r="AL61">
        <f t="shared" ref="AL61:AL65" si="26">IF(AK61&lt;($C$61+0.00001),-0.00000130626*(AK61^2)+0.001049*AK61-0.0068,
IF(AK61&lt;($E$61+0.00001),$D$60*LN(AK61)+$E$60,
IF(AK61&lt;($G$61+0.0001),$F$60*LN(AK61)+$G$60,"")))</f>
        <v>0.25810521262578051</v>
      </c>
      <c r="AM61">
        <f>AL61*$F$5*SQRT((VLOOKUP(I61,$A$3:$B$8,2,FALSE)-'Modified Inputs'!$M$2)*'Modified Inputs'!$M$2)</f>
        <v>34.104460753325476</v>
      </c>
      <c r="AN61">
        <f>AM61/'Modified Inputs'!$M$2</f>
        <v>34.44895025588432</v>
      </c>
      <c r="AP61" s="7">
        <f>IF('VA Sizing'!$C$3="Gas",'10A61 5" Calcs'!AJ61,
IF('VA Sizing'!$C$3="Liquid",'10A61 5" Calcs'!AN61,""))</f>
        <v>34.44895025588432</v>
      </c>
      <c r="AQ61" s="7" t="s">
        <v>210</v>
      </c>
    </row>
    <row r="62" spans="1:43">
      <c r="A62" s="3"/>
      <c r="I62" t="s">
        <v>23</v>
      </c>
      <c r="J62">
        <f>'Modified Inputs'!$K$2</f>
        <v>140</v>
      </c>
      <c r="K62">
        <f>'Modified Inputs'!$I$2</f>
        <v>145</v>
      </c>
      <c r="L62" t="str">
        <f>IF(AND('VA Sizing'!$C$4=" Other",'VA Sizing'!$C$6="at Operating Conditions",'VA Sizing'!$C$5="Standard"),'10A61 5" Calcs'!O62/'10A61 5" Calcs'!M62,
IF(AND('VA Sizing'!$C$4=" Other",'VA Sizing'!$C$6="at Operating Conditions",OR('VA Sizing'!$C$5="Normal",'VA Sizing'!$C$5="Actual")),'10A61 5" Calcs'!O62/N62,
IF(AND('VA Sizing'!$C$4=" Other",'VA Sizing'!$C$6="at Reference Conditions"),'Modified Inputs'!$M$4,
IF(AND('VA Sizing'!$C$3="Gas",'VA Sizing'!$C$5="Standard"),VLOOKUP('VA Sizing'!$C$4,'10A61 5" Calcs'!$J$3:$K$29,2,FALSE),
IF(AND('VA Sizing'!$C$3="Gas",OR('VA Sizing'!$C$5="Actual",'VA Sizing'!$C$5="Normal")),VLOOKUP('VA Sizing'!$C$4,'10A61 5" Calcs'!$J$3:$L$29,3,FALSE),"")))))</f>
        <v/>
      </c>
      <c r="M62">
        <f t="shared" si="9"/>
        <v>8.7131519274376412</v>
      </c>
      <c r="N62">
        <f t="shared" si="1"/>
        <v>8.0884353741496593</v>
      </c>
      <c r="O62" t="str">
        <f>IFERROR(IF(AND('VA Sizing'!$C$3="Gas",'VA Sizing'!$C$6="at Operating Conditions"),'Modified Inputs'!$M$2,
IF(OR(AND('VA Sizing'!$C$4="Carbon Dioxide",'Modified Inputs'!$I$2&gt;70),'VA Sizing'!$C$4="Ammonia",'VA Sizing'!$C$4="Chlorine",'VA Sizing'!$C$4="Sulfur Dioxide"),'10A61 5" Calcs'!$G$27,
IF('VA Sizing'!$C$5="Standard",'10A61 5" Calcs'!M62*'10A61 5" Calcs'!L62,
IF(OR('VA Sizing'!$C$5="Normal",'VA Sizing'!$C$5="Actual"),'10A61 5" Calcs'!N62*'10A61 5" Calcs'!L62,"")))),IF('VA Sizing'!$C$4="Steam",Steam!$B$20,""))</f>
        <v/>
      </c>
      <c r="P62" t="e">
        <f>VLOOKUP('VA Sizing'!$C$4,'10A61 5" Calcs'!$J$3:$M$29,4,FALSE)</f>
        <v>#N/A</v>
      </c>
      <c r="Q62" t="e">
        <f>VLOOKUP('VA Sizing'!$C$4,'10A61 5" Calcs'!$J$3:$N$28,5,FALSE)</f>
        <v>#N/A</v>
      </c>
      <c r="R62">
        <f t="shared" si="10"/>
        <v>108</v>
      </c>
      <c r="S62">
        <f t="shared" si="11"/>
        <v>70</v>
      </c>
      <c r="T62" t="str">
        <f>IFERROR(IF(AND('VA Sizing'!$C$3="Gas",'VA Sizing'!$C$4=" Other"),'Modified Inputs'!$G$2,
IF('VA Sizing'!$C$5="Standard",'10A61 5" Calcs'!P62+'10A61 5" Calcs'!Q62*'10A61 5" Calcs'!S62,
IF(OR('VA Sizing'!$C$5="Normal",'VA Sizing'!$C$5="Actual"),'10A61 5" Calcs'!P62+'10A61 5" Calcs'!Q62*'10A61 5" Calcs'!R62,""))),IF('VA Sizing'!$C$4="Steam",Steam!$C$20,""))</f>
        <v/>
      </c>
      <c r="U62" t="e">
        <f t="shared" si="21"/>
        <v>#VALUE!</v>
      </c>
      <c r="V62" t="e">
        <f t="shared" si="22"/>
        <v>#VALUE!</v>
      </c>
      <c r="W62" t="e">
        <f t="shared" si="14"/>
        <v>#VALUE!</v>
      </c>
      <c r="X62" t="str">
        <f>IF(AND('VA Sizing'!$C$3="Gas",'VA Sizing'!$C$4=" Other",NOT('VA Sizing'!$C$5="Actual"),'VA Sizing'!$C$6="at Operating Conditions"),'10A61 5" Calcs'!W62/'10A61 5" Calcs'!L62,
IF(AND('VA Sizing'!$C$3="Gas",'VA Sizing'!$C$4=" Other",NOT('VA Sizing'!$C$5="Actual"),'VA Sizing'!$C$6="at Reference Conditions"),'10A61 5" Calcs'!W62/'Modified Inputs'!$M$4,
IF('VA Sizing'!$C$5="Standard",W62/VLOOKUP('VA Sizing'!$C$4,'10A61 5" Calcs'!$J$3:$K$29,2,FALSE),
IF('VA Sizing'!$C$5="Normal",'10A61 5" Calcs'!W62/VLOOKUP('VA Sizing'!$C$4,'10A61 5" Calcs'!$J$3:$L$29,3,FALSE),
IF('VA Sizing'!$C$5="Actual",'10A61 5" Calcs'!W62/'10A61 5" Calcs'!O62,"")))))</f>
        <v/>
      </c>
      <c r="Y62">
        <f>($E$6/'Modified Inputs'!$G$2)*SQRT((VLOOKUP('10A61 5" Calcs'!I62,'10A61 5" Calcs'!$A$3:$B$8,2,FALSE)-'Modified Inputs'!$M$2)*'Modified Inputs'!$M$2)</f>
        <v>3012.7379890723982</v>
      </c>
      <c r="Z62">
        <f t="shared" si="23"/>
        <v>0.35667931245623802</v>
      </c>
      <c r="AA62">
        <f>Z62*$F$6*SQRT((VLOOKUP(I62,$A$3:$B$8,2,FALSE)-'Modified Inputs'!$M$2)*'Modified Inputs'!$M$2)</f>
        <v>408.37853810513076</v>
      </c>
      <c r="AB62">
        <f>AA62/'Modified Inputs'!$M$2</f>
        <v>412.50357384356641</v>
      </c>
      <c r="AD62" s="7">
        <f>IF('VA Sizing'!$C$3="Gas",'10A61 5" Calcs'!X62,
IF('VA Sizing'!$C$3="Liquid",'10A61 5" Calcs'!AB62,""))</f>
        <v>412.50357384356641</v>
      </c>
      <c r="AE62" s="7" t="str">
        <f t="shared" si="24"/>
        <v>1/4-16-SS</v>
      </c>
      <c r="AG62" t="e">
        <f t="shared" si="12"/>
        <v>#VALUE!</v>
      </c>
      <c r="AH62" t="e">
        <f t="shared" si="25"/>
        <v>#VALUE!</v>
      </c>
      <c r="AI62" t="e">
        <f t="shared" si="19"/>
        <v>#VALUE!</v>
      </c>
      <c r="AJ62" t="str">
        <f>IF(AND('VA Sizing'!$C$3="Gas",'VA Sizing'!$C$4=" Other",NOT('VA Sizing'!$C$5="Actual"),'VA Sizing'!$C$6="at Operating Conditions"),'10A61 5" Calcs'!AI62/'10A61 5" Calcs'!L62,
IF(AND('VA Sizing'!$C$3="Gas",'VA Sizing'!$C$4=" Other",NOT('VA Sizing'!$C$5="Actual"),'VA Sizing'!$C$6="at Reference Conditions"),'10A61 5" Calcs'!AI62/'Modified Inputs'!$M$4,
IF('VA Sizing'!$C$5="Standard",AI62/VLOOKUP('VA Sizing'!$C$4,'10A61 5" Calcs'!$J$3:$K$29,2,FALSE),
IF('VA Sizing'!$C$5="Normal",'10A61 5" Calcs'!AI62/VLOOKUP('VA Sizing'!$C$4,'10A61 5" Calcs'!$J$3:$L$29,3,FALSE),
IF('VA Sizing'!$C$5="Actual",'10A61 5" Calcs'!AI62/'10A61 5" Calcs'!O62,"")))))</f>
        <v/>
      </c>
      <c r="AK62">
        <f>($E$5/'Modified Inputs'!$G$2)*SQRT((VLOOKUP('10A61 5" Calcs'!I62,'10A61 5" Calcs'!$A$3:$B$8,2,FALSE)-'Modified Inputs'!$M$2)*'Modified Inputs'!$M$2)</f>
        <v>1065.8022308102004</v>
      </c>
      <c r="AL62">
        <f t="shared" si="26"/>
        <v>0.28683614304463056</v>
      </c>
      <c r="AM62">
        <f>AL62*$F$5*SQRT((VLOOKUP(I62,$A$3:$B$8,2,FALSE)-'Modified Inputs'!$M$2)*'Modified Inputs'!$M$2)</f>
        <v>58.11528259180249</v>
      </c>
      <c r="AN62">
        <f>AM62/'Modified Inputs'!$M$2</f>
        <v>58.702305648285346</v>
      </c>
      <c r="AP62" s="7">
        <f>IF('VA Sizing'!$C$3="Gas",'10A61 5" Calcs'!AJ62,
IF('VA Sizing'!$C$3="Liquid",'10A61 5" Calcs'!AN62,""))</f>
        <v>58.702305648285346</v>
      </c>
      <c r="AQ62" s="7" t="s">
        <v>211</v>
      </c>
    </row>
    <row r="63" spans="1:43">
      <c r="I63" t="s">
        <v>26</v>
      </c>
      <c r="J63">
        <f>'Modified Inputs'!$K$2</f>
        <v>140</v>
      </c>
      <c r="K63">
        <f>'Modified Inputs'!$I$2</f>
        <v>145</v>
      </c>
      <c r="L63" t="str">
        <f>IF(AND('VA Sizing'!$C$4=" Other",'VA Sizing'!$C$6="at Operating Conditions",'VA Sizing'!$C$5="Standard"),'10A61 5" Calcs'!O63/'10A61 5" Calcs'!M63,
IF(AND('VA Sizing'!$C$4=" Other",'VA Sizing'!$C$6="at Operating Conditions",OR('VA Sizing'!$C$5="Normal",'VA Sizing'!$C$5="Actual")),'10A61 5" Calcs'!O63/N63,
IF(AND('VA Sizing'!$C$4=" Other",'VA Sizing'!$C$6="at Reference Conditions"),'Modified Inputs'!$M$4,
IF(AND('VA Sizing'!$C$3="Gas",'VA Sizing'!$C$5="Standard"),VLOOKUP('VA Sizing'!$C$4,'10A61 5" Calcs'!$J$3:$K$29,2,FALSE),
IF(AND('VA Sizing'!$C$3="Gas",OR('VA Sizing'!$C$5="Actual",'VA Sizing'!$C$5="Normal")),VLOOKUP('VA Sizing'!$C$4,'10A61 5" Calcs'!$J$3:$L$29,3,FALSE),"")))))</f>
        <v/>
      </c>
      <c r="M63">
        <f t="shared" si="9"/>
        <v>8.7131519274376412</v>
      </c>
      <c r="N63">
        <f t="shared" si="1"/>
        <v>8.0884353741496593</v>
      </c>
      <c r="O63" t="str">
        <f>IFERROR(IF(AND('VA Sizing'!$C$3="Gas",'VA Sizing'!$C$6="at Operating Conditions"),'Modified Inputs'!$M$2,
IF(OR(AND('VA Sizing'!$C$4="Carbon Dioxide",'Modified Inputs'!$I$2&gt;70),'VA Sizing'!$C$4="Ammonia",'VA Sizing'!$C$4="Chlorine",'VA Sizing'!$C$4="Sulfur Dioxide"),'10A61 5" Calcs'!$G$27,
IF('VA Sizing'!$C$5="Standard",'10A61 5" Calcs'!M63*'10A61 5" Calcs'!L63,
IF(OR('VA Sizing'!$C$5="Normal",'VA Sizing'!$C$5="Actual"),'10A61 5" Calcs'!N63*'10A61 5" Calcs'!L63,"")))),IF('VA Sizing'!$C$4="Steam",Steam!$B$20,""))</f>
        <v/>
      </c>
      <c r="P63" t="e">
        <f>VLOOKUP('VA Sizing'!$C$4,'10A61 5" Calcs'!$J$3:$M$29,4,FALSE)</f>
        <v>#N/A</v>
      </c>
      <c r="Q63" t="e">
        <f>VLOOKUP('VA Sizing'!$C$4,'10A61 5" Calcs'!$J$3:$N$28,5,FALSE)</f>
        <v>#N/A</v>
      </c>
      <c r="R63">
        <f t="shared" si="10"/>
        <v>108</v>
      </c>
      <c r="S63">
        <f t="shared" si="11"/>
        <v>70</v>
      </c>
      <c r="T63" t="str">
        <f>IFERROR(IF(AND('VA Sizing'!$C$3="Gas",'VA Sizing'!$C$4=" Other"),'Modified Inputs'!$G$2,
IF('VA Sizing'!$C$5="Standard",'10A61 5" Calcs'!P63+'10A61 5" Calcs'!Q63*'10A61 5" Calcs'!S63,
IF(OR('VA Sizing'!$C$5="Normal",'VA Sizing'!$C$5="Actual"),'10A61 5" Calcs'!P63+'10A61 5" Calcs'!Q63*'10A61 5" Calcs'!R63,""))),IF('VA Sizing'!$C$4="Steam",Steam!$C$20,""))</f>
        <v/>
      </c>
      <c r="U63" t="e">
        <f t="shared" si="21"/>
        <v>#VALUE!</v>
      </c>
      <c r="V63" t="e">
        <f>IF(U63&lt;($C$61+0.00001),-0.00000130626*(U63^2)+0.001049*U63-0.0068,
IF(U63&lt;($E$61+0.00001),$D$60*LN(U63)+$E$60,
IF(U63&lt;(80000+0.0001),$F$60*LN(U63)+$G$60,"")))</f>
        <v>#VALUE!</v>
      </c>
      <c r="W63" t="e">
        <f t="shared" si="14"/>
        <v>#VALUE!</v>
      </c>
      <c r="X63" t="str">
        <f>IF(AND('VA Sizing'!$C$3="Gas",'VA Sizing'!$C$4=" Other",NOT('VA Sizing'!$C$5="Actual"),'VA Sizing'!$C$6="at Operating Conditions"),'10A61 5" Calcs'!W63/'10A61 5" Calcs'!L63,
IF(AND('VA Sizing'!$C$3="Gas",'VA Sizing'!$C$4=" Other",NOT('VA Sizing'!$C$5="Actual"),'VA Sizing'!$C$6="at Reference Conditions"),'10A61 5" Calcs'!W63/'Modified Inputs'!$M$4,
IF('VA Sizing'!$C$5="Standard",W63/VLOOKUP('VA Sizing'!$C$4,'10A61 5" Calcs'!$J$3:$K$29,2,FALSE),
IF('VA Sizing'!$C$5="Normal",'10A61 5" Calcs'!W63/VLOOKUP('VA Sizing'!$C$4,'10A61 5" Calcs'!$J$3:$L$29,3,FALSE),
IF('VA Sizing'!$C$5="Actual",'10A61 5" Calcs'!W63/'10A61 5" Calcs'!O63,"")))))</f>
        <v/>
      </c>
      <c r="Y63">
        <f>($E$6/'Modified Inputs'!$G$2)*SQRT((VLOOKUP('10A61 5" Calcs'!I63,'10A61 5" Calcs'!$A$3:$B$8,2,FALSE)-'Modified Inputs'!$M$2)*'Modified Inputs'!$M$2)</f>
        <v>4253.0723322793365</v>
      </c>
      <c r="Z63">
        <f t="shared" si="23"/>
        <v>0.379854069826634</v>
      </c>
      <c r="AA63">
        <f>Z63*$F$6*SQRT((VLOOKUP(I63,$A$3:$B$8,2,FALSE)-'Modified Inputs'!$M$2)*'Modified Inputs'!$M$2)</f>
        <v>613.96438375882519</v>
      </c>
      <c r="AB63">
        <f>AA63/'Modified Inputs'!$M$2</f>
        <v>620.16604420083354</v>
      </c>
      <c r="AD63" s="7">
        <f>IF('VA Sizing'!$C$3="Gas",'10A61 5" Calcs'!X63,
IF('VA Sizing'!$C$3="Liquid",'10A61 5" Calcs'!AB63,""))</f>
        <v>620.16604420083354</v>
      </c>
      <c r="AE63" s="7" t="str">
        <f t="shared" si="24"/>
        <v>1/4-16-CA</v>
      </c>
      <c r="AG63" t="e">
        <f t="shared" si="12"/>
        <v>#VALUE!</v>
      </c>
      <c r="AH63" t="e">
        <f t="shared" si="25"/>
        <v>#VALUE!</v>
      </c>
      <c r="AI63" t="e">
        <f t="shared" si="19"/>
        <v>#VALUE!</v>
      </c>
      <c r="AJ63" t="str">
        <f>IF(AND('VA Sizing'!$C$3="Gas",'VA Sizing'!$C$4=" Other",NOT('VA Sizing'!$C$5="Actual"),'VA Sizing'!$C$6="at Operating Conditions"),'10A61 5" Calcs'!AI63/'10A61 5" Calcs'!L63,
IF(AND('VA Sizing'!$C$3="Gas",'VA Sizing'!$C$4=" Other",NOT('VA Sizing'!$C$5="Actual"),'VA Sizing'!$C$6="at Reference Conditions"),'10A61 5" Calcs'!AI63/'Modified Inputs'!$M$4,
IF('VA Sizing'!$C$5="Standard",AI63/VLOOKUP('VA Sizing'!$C$4,'10A61 5" Calcs'!$J$3:$K$29,2,FALSE),
IF('VA Sizing'!$C$5="Normal",'10A61 5" Calcs'!AI63/VLOOKUP('VA Sizing'!$C$4,'10A61 5" Calcs'!$J$3:$L$29,3,FALSE),
IF('VA Sizing'!$C$5="Actual",'10A61 5" Calcs'!AI63/'10A61 5" Calcs'!O63,"")))))</f>
        <v/>
      </c>
      <c r="AK63">
        <f>($E$5/'Modified Inputs'!$G$2)*SQRT((VLOOKUP('10A61 5" Calcs'!I63,'10A61 5" Calcs'!$A$3:$B$8,2,FALSE)-'Modified Inputs'!$M$2)*'Modified Inputs'!$M$2)</f>
        <v>1504.5895115944415</v>
      </c>
      <c r="AL63">
        <f t="shared" si="26"/>
        <v>0.31001090041502655</v>
      </c>
      <c r="AM63">
        <f>AL63*$F$5*SQRT((VLOOKUP(I63,$A$3:$B$8,2,FALSE)-'Modified Inputs'!$M$2)*'Modified Inputs'!$M$2)</f>
        <v>88.669620450420169</v>
      </c>
      <c r="AN63">
        <f>AM63/'Modified Inputs'!$M$2</f>
        <v>89.565273182242592</v>
      </c>
      <c r="AP63" s="7">
        <f>IF('VA Sizing'!$C$3="Gas",'10A61 5" Calcs'!AJ63,
IF('VA Sizing'!$C$3="Liquid",'10A61 5" Calcs'!AN63,""))</f>
        <v>89.565273182242592</v>
      </c>
      <c r="AQ63" s="7" t="s">
        <v>212</v>
      </c>
    </row>
    <row r="64" spans="1:43">
      <c r="I64" t="s">
        <v>126</v>
      </c>
      <c r="J64">
        <f>'Modified Inputs'!$K$2</f>
        <v>140</v>
      </c>
      <c r="K64">
        <f>'Modified Inputs'!$I$2</f>
        <v>145</v>
      </c>
      <c r="L64" t="str">
        <f>IF(AND('VA Sizing'!$C$4=" Other",'VA Sizing'!$C$6="at Operating Conditions",'VA Sizing'!$C$5="Standard"),'10A61 5" Calcs'!O64/'10A61 5" Calcs'!M64,
IF(AND('VA Sizing'!$C$4=" Other",'VA Sizing'!$C$6="at Operating Conditions",OR('VA Sizing'!$C$5="Normal",'VA Sizing'!$C$5="Actual")),'10A61 5" Calcs'!O64/N64,
IF(AND('VA Sizing'!$C$4=" Other",'VA Sizing'!$C$6="at Reference Conditions"),'Modified Inputs'!$M$4,
IF(AND('VA Sizing'!$C$3="Gas",'VA Sizing'!$C$5="Standard"),VLOOKUP('VA Sizing'!$C$4,'10A61 5" Calcs'!$J$3:$K$29,2,FALSE),
IF(AND('VA Sizing'!$C$3="Gas",OR('VA Sizing'!$C$5="Actual",'VA Sizing'!$C$5="Normal")),VLOOKUP('VA Sizing'!$C$4,'10A61 5" Calcs'!$J$3:$L$29,3,FALSE),"")))))</f>
        <v/>
      </c>
      <c r="M64">
        <f t="shared" si="9"/>
        <v>8.7131519274376412</v>
      </c>
      <c r="N64">
        <f t="shared" si="1"/>
        <v>8.0884353741496593</v>
      </c>
      <c r="O64" t="str">
        <f>IFERROR(IF(AND('VA Sizing'!$C$3="Gas",'VA Sizing'!$C$6="at Operating Conditions"),'Modified Inputs'!$M$2,
IF(OR(AND('VA Sizing'!$C$4="Carbon Dioxide",'Modified Inputs'!$I$2&gt;70),'VA Sizing'!$C$4="Ammonia",'VA Sizing'!$C$4="Chlorine",'VA Sizing'!$C$4="Sulfur Dioxide"),'10A61 5" Calcs'!$G$27,
IF('VA Sizing'!$C$5="Standard",'10A61 5" Calcs'!M64*'10A61 5" Calcs'!L64,
IF(OR('VA Sizing'!$C$5="Normal",'VA Sizing'!$C$5="Actual"),'10A61 5" Calcs'!N64*'10A61 5" Calcs'!L64,"")))),IF('VA Sizing'!$C$4="Steam",Steam!$B$20,""))</f>
        <v/>
      </c>
      <c r="P64" t="e">
        <f>VLOOKUP('VA Sizing'!$C$4,'10A61 5" Calcs'!$J$3:$M$29,4,FALSE)</f>
        <v>#N/A</v>
      </c>
      <c r="Q64" t="e">
        <f>VLOOKUP('VA Sizing'!$C$4,'10A61 5" Calcs'!$J$3:$N$28,5,FALSE)</f>
        <v>#N/A</v>
      </c>
      <c r="R64">
        <f t="shared" si="10"/>
        <v>108</v>
      </c>
      <c r="S64">
        <f t="shared" si="11"/>
        <v>70</v>
      </c>
      <c r="T64" t="str">
        <f>IFERROR(IF(AND('VA Sizing'!$C$3="Gas",'VA Sizing'!$C$4=" Other"),'Modified Inputs'!$G$2,
IF('VA Sizing'!$C$5="Standard",'10A61 5" Calcs'!P64+'10A61 5" Calcs'!Q64*'10A61 5" Calcs'!S64,
IF(OR('VA Sizing'!$C$5="Normal",'VA Sizing'!$C$5="Actual"),'10A61 5" Calcs'!P64+'10A61 5" Calcs'!Q64*'10A61 5" Calcs'!R64,""))),IF('VA Sizing'!$C$4="Steam",Steam!$C$20,""))</f>
        <v/>
      </c>
      <c r="U64" t="e">
        <f t="shared" si="21"/>
        <v>#VALUE!</v>
      </c>
      <c r="V64" t="e">
        <f>IF(U64&lt;($C$61+0.00001),-0.00000130626*(U64^2)+0.001049*U64-0.0068,
IF(U64&lt;($E$61+0.00001),$D$60*LN(U64)+$E$60,
IF(U64&lt;(80000+0.0001),$F$60*LN(U64)+$G$60,"")))</f>
        <v>#VALUE!</v>
      </c>
      <c r="W64" t="e">
        <f t="shared" si="14"/>
        <v>#VALUE!</v>
      </c>
      <c r="X64" t="str">
        <f>IF(AND('VA Sizing'!$C$3="Gas",'VA Sizing'!$C$4=" Other",NOT('VA Sizing'!$C$5="Actual"),'VA Sizing'!$C$6="at Operating Conditions"),'10A61 5" Calcs'!W64/'10A61 5" Calcs'!L64,
IF(AND('VA Sizing'!$C$3="Gas",'VA Sizing'!$C$4=" Other",NOT('VA Sizing'!$C$5="Actual"),'VA Sizing'!$C$6="at Reference Conditions"),'10A61 5" Calcs'!W64/'Modified Inputs'!$M$4,
IF('VA Sizing'!$C$5="Standard",W64/VLOOKUP('VA Sizing'!$C$4,'10A61 5" Calcs'!$J$3:$K$29,2,FALSE),
IF('VA Sizing'!$C$5="Normal",'10A61 5" Calcs'!W64/VLOOKUP('VA Sizing'!$C$4,'10A61 5" Calcs'!$J$3:$L$29,3,FALSE),
IF('VA Sizing'!$C$5="Actual",'10A61 5" Calcs'!W64/'10A61 5" Calcs'!O64,"")))))</f>
        <v/>
      </c>
      <c r="Y64">
        <f>($E$6/'Modified Inputs'!$G$2)*SQRT((VLOOKUP('10A61 5" Calcs'!I64,'10A61 5" Calcs'!$A$3:$B$8,2,FALSE)-'Modified Inputs'!$M$2)*'Modified Inputs'!$M$2)</f>
        <v>4489.3674431483114</v>
      </c>
      <c r="Z64">
        <f t="shared" si="23"/>
        <v>0.38348832548629669</v>
      </c>
      <c r="AA64">
        <f>Z64*$F$6*SQRT((VLOOKUP(I64,$A$3:$B$8,2,FALSE)-'Modified Inputs'!$M$2)*'Modified Inputs'!$M$2)</f>
        <v>654.27590316750366</v>
      </c>
      <c r="AB64">
        <f>AA64/'Modified Inputs'!$M$2</f>
        <v>660.88475067424611</v>
      </c>
      <c r="AD64" s="7">
        <f>IF('VA Sizing'!$C$3="Gas",'10A61 5" Calcs'!X64,
IF('VA Sizing'!$C$3="Liquid",'10A61 5" Calcs'!AB64,""))</f>
        <v>660.88475067424611</v>
      </c>
      <c r="AE64" s="7" t="str">
        <f t="shared" si="24"/>
        <v>1/4-16-TA</v>
      </c>
      <c r="AG64" t="e">
        <f t="shared" si="12"/>
        <v>#VALUE!</v>
      </c>
      <c r="AH64" t="e">
        <f t="shared" si="25"/>
        <v>#VALUE!</v>
      </c>
      <c r="AI64" t="e">
        <f t="shared" si="19"/>
        <v>#VALUE!</v>
      </c>
      <c r="AJ64" t="str">
        <f>IF(AND('VA Sizing'!$C$3="Gas",'VA Sizing'!$C$4=" Other",NOT('VA Sizing'!$C$5="Actual"),'VA Sizing'!$C$6="at Operating Conditions"),'10A61 5" Calcs'!AI64/'10A61 5" Calcs'!L64,
IF(AND('VA Sizing'!$C$3="Gas",'VA Sizing'!$C$4=" Other",NOT('VA Sizing'!$C$5="Actual"),'VA Sizing'!$C$6="at Reference Conditions"),'10A61 5" Calcs'!AI64/'Modified Inputs'!$M$4,
IF('VA Sizing'!$C$5="Standard",AI64/VLOOKUP('VA Sizing'!$C$4,'10A61 5" Calcs'!$J$3:$K$29,2,FALSE),
IF('VA Sizing'!$C$5="Normal",'10A61 5" Calcs'!AI64/VLOOKUP('VA Sizing'!$C$4,'10A61 5" Calcs'!$J$3:$L$29,3,FALSE),
IF('VA Sizing'!$C$5="Actual",'10A61 5" Calcs'!AI64/'10A61 5" Calcs'!O64,"")))))</f>
        <v/>
      </c>
      <c r="AK64">
        <f>($E$5/'Modified Inputs'!$G$2)*SQRT((VLOOKUP('10A61 5" Calcs'!I64,'10A61 5" Calcs'!$A$3:$B$8,2,FALSE)-'Modified Inputs'!$M$2)*'Modified Inputs'!$M$2)</f>
        <v>1588.1825280489647</v>
      </c>
      <c r="AL64">
        <f t="shared" si="26"/>
        <v>0.31364515607468918</v>
      </c>
      <c r="AM64">
        <f>AL64*$F$5*SQRT((VLOOKUP(I64,$A$3:$B$8,2,FALSE)-'Modified Inputs'!$M$2)*'Modified Inputs'!$M$2)</f>
        <v>94.693213190022078</v>
      </c>
      <c r="AN64">
        <f>AM64/'Modified Inputs'!$M$2</f>
        <v>95.649710292951596</v>
      </c>
      <c r="AP64" s="7">
        <f>IF('VA Sizing'!$C$3="Gas",'10A61 5" Calcs'!AJ64,
IF('VA Sizing'!$C$3="Liquid",'10A61 5" Calcs'!AN64,""))</f>
        <v>95.649710292951596</v>
      </c>
      <c r="AQ64" s="7" t="s">
        <v>213</v>
      </c>
    </row>
    <row r="65" spans="1:43">
      <c r="I65" t="s">
        <v>18</v>
      </c>
      <c r="J65">
        <f>'Modified Inputs'!$K$2</f>
        <v>140</v>
      </c>
      <c r="K65">
        <f>'Modified Inputs'!$I$2</f>
        <v>145</v>
      </c>
      <c r="L65" t="str">
        <f>IF(AND('VA Sizing'!$C$4=" Other",'VA Sizing'!$C$6="at Operating Conditions",'VA Sizing'!$C$5="Standard"),'10A61 5" Calcs'!O65/'10A61 5" Calcs'!M65,
IF(AND('VA Sizing'!$C$4=" Other",'VA Sizing'!$C$6="at Operating Conditions",OR('VA Sizing'!$C$5="Normal",'VA Sizing'!$C$5="Actual")),'10A61 5" Calcs'!O65/N65,
IF(AND('VA Sizing'!$C$4=" Other",'VA Sizing'!$C$6="at Reference Conditions"),'Modified Inputs'!$M$4,
IF(AND('VA Sizing'!$C$3="Gas",'VA Sizing'!$C$5="Standard"),VLOOKUP('VA Sizing'!$C$4,'10A61 5" Calcs'!$J$3:$K$29,2,FALSE),
IF(AND('VA Sizing'!$C$3="Gas",OR('VA Sizing'!$C$5="Actual",'VA Sizing'!$C$5="Normal")),VLOOKUP('VA Sizing'!$C$4,'10A61 5" Calcs'!$J$3:$L$29,3,FALSE),"")))))</f>
        <v/>
      </c>
      <c r="M65">
        <f t="shared" si="9"/>
        <v>8.7131519274376412</v>
      </c>
      <c r="N65">
        <f t="shared" si="1"/>
        <v>8.0884353741496593</v>
      </c>
      <c r="O65" t="str">
        <f>IFERROR(IF(AND('VA Sizing'!$C$3="Gas",'VA Sizing'!$C$6="at Operating Conditions"),'Modified Inputs'!$M$2,
IF(OR(AND('VA Sizing'!$C$4="Carbon Dioxide",'Modified Inputs'!$I$2&gt;70),'VA Sizing'!$C$4="Ammonia",'VA Sizing'!$C$4="Chlorine",'VA Sizing'!$C$4="Sulfur Dioxide"),'10A61 5" Calcs'!$G$27,
IF('VA Sizing'!$C$5="Standard",'10A61 5" Calcs'!M65*'10A61 5" Calcs'!L65,
IF(OR('VA Sizing'!$C$5="Normal",'VA Sizing'!$C$5="Actual"),'10A61 5" Calcs'!N65*'10A61 5" Calcs'!L65,"")))),IF('VA Sizing'!$C$4="Steam",Steam!$B$20,""))</f>
        <v/>
      </c>
      <c r="P65" t="e">
        <f>VLOOKUP('VA Sizing'!$C$4,'10A61 5" Calcs'!$J$3:$M$29,4,FALSE)</f>
        <v>#N/A</v>
      </c>
      <c r="Q65" t="e">
        <f>VLOOKUP('VA Sizing'!$C$4,'10A61 5" Calcs'!$J$3:$N$28,5,FALSE)</f>
        <v>#N/A</v>
      </c>
      <c r="R65">
        <f t="shared" si="10"/>
        <v>108</v>
      </c>
      <c r="S65">
        <f t="shared" si="11"/>
        <v>70</v>
      </c>
      <c r="T65" t="str">
        <f>IFERROR(IF(AND('VA Sizing'!$C$3="Gas",'VA Sizing'!$C$4=" Other"),'Modified Inputs'!$G$2,
IF('VA Sizing'!$C$5="Standard",'10A61 5" Calcs'!P65+'10A61 5" Calcs'!Q65*'10A61 5" Calcs'!S65,
IF(OR('VA Sizing'!$C$5="Normal",'VA Sizing'!$C$5="Actual"),'10A61 5" Calcs'!P65+'10A61 5" Calcs'!Q65*'10A61 5" Calcs'!R65,""))),IF('VA Sizing'!$C$4="Steam",Steam!$C$20,""))</f>
        <v/>
      </c>
      <c r="U65" t="e">
        <f t="shared" si="21"/>
        <v>#VALUE!</v>
      </c>
      <c r="V65" t="e">
        <f t="shared" si="22"/>
        <v>#VALUE!</v>
      </c>
      <c r="W65" t="e">
        <f t="shared" si="14"/>
        <v>#VALUE!</v>
      </c>
      <c r="X65" t="str">
        <f>IF(AND('VA Sizing'!$C$3="Gas",'VA Sizing'!$C$4=" Other",NOT('VA Sizing'!$C$5="Actual"),'VA Sizing'!$C$6="at Operating Conditions"),'10A61 5" Calcs'!W65/'10A61 5" Calcs'!L65,
IF(AND('VA Sizing'!$C$3="Gas",'VA Sizing'!$C$4=" Other",NOT('VA Sizing'!$C$5="Actual"),'VA Sizing'!$C$6="at Reference Conditions"),'10A61 5" Calcs'!W65/'Modified Inputs'!$M$4,
IF('VA Sizing'!$C$5="Standard",W65/VLOOKUP('VA Sizing'!$C$4,'10A61 5" Calcs'!$J$3:$K$29,2,FALSE),
IF('VA Sizing'!$C$5="Normal",'10A61 5" Calcs'!W65/VLOOKUP('VA Sizing'!$C$4,'10A61 5" Calcs'!$J$3:$L$29,3,FALSE),
IF('VA Sizing'!$C$5="Actual",'10A61 5" Calcs'!W65/'10A61 5" Calcs'!O65,"")))))</f>
        <v/>
      </c>
      <c r="Y65">
        <f>($E$6/'Modified Inputs'!$G$2)*SQRT((VLOOKUP('10A61 5" Calcs'!I65,'10A61 5" Calcs'!$A$3:$B$8,2,FALSE)-'Modified Inputs'!$M$2)*'Modified Inputs'!$M$2)</f>
        <v>1414.6517797677279</v>
      </c>
      <c r="Z65">
        <f t="shared" si="23"/>
        <v>0.30586807149588363</v>
      </c>
      <c r="AA65">
        <f>Z65*$F$6*SQRT((VLOOKUP(I65,$A$3:$B$8,2,FALSE)-'Modified Inputs'!$M$2)*'Modified Inputs'!$M$2)</f>
        <v>164.43994420722075</v>
      </c>
      <c r="AB65">
        <f>AA65/'Modified Inputs'!$M$2</f>
        <v>166.10095374466744</v>
      </c>
      <c r="AD65" s="7">
        <f>IF('VA Sizing'!$C$3="Gas",'10A61 5" Calcs'!X65,
IF('VA Sizing'!$C$3="Liquid",'10A61 5" Calcs'!AB65,""))</f>
        <v>166.10095374466744</v>
      </c>
      <c r="AE65" s="7" t="str">
        <f t="shared" si="24"/>
        <v>1/4-16-BG</v>
      </c>
      <c r="AG65" t="e">
        <f t="shared" si="12"/>
        <v>#VALUE!</v>
      </c>
      <c r="AH65" t="e">
        <f t="shared" si="25"/>
        <v>#VALUE!</v>
      </c>
      <c r="AI65" t="e">
        <f t="shared" si="19"/>
        <v>#VALUE!</v>
      </c>
      <c r="AJ65" t="str">
        <f>IF(AND('VA Sizing'!$C$3="Gas",'VA Sizing'!$C$4=" Other",NOT('VA Sizing'!$C$5="Actual"),'VA Sizing'!$C$6="at Operating Conditions"),'10A61 5" Calcs'!AI65/'10A61 5" Calcs'!L65,
IF(AND('VA Sizing'!$C$3="Gas",'VA Sizing'!$C$4=" Other",NOT('VA Sizing'!$C$5="Actual"),'VA Sizing'!$C$6="at Reference Conditions"),'10A61 5" Calcs'!AI65/'Modified Inputs'!$M$4,
IF('VA Sizing'!$C$5="Standard",AI65/VLOOKUP('VA Sizing'!$C$4,'10A61 5" Calcs'!$J$3:$K$29,2,FALSE),
IF('VA Sizing'!$C$5="Normal",'10A61 5" Calcs'!AI65/VLOOKUP('VA Sizing'!$C$4,'10A61 5" Calcs'!$J$3:$L$29,3,FALSE),
IF('VA Sizing'!$C$5="Actual",'10A61 5" Calcs'!AI65/'10A61 5" Calcs'!O65,"")))))</f>
        <v/>
      </c>
      <c r="AK65">
        <f>($E$5/'Modified Inputs'!$G$2)*SQRT((VLOOKUP('10A61 5" Calcs'!I65,'10A61 5" Calcs'!$A$3:$B$8,2,FALSE)-'Modified Inputs'!$M$2)*'Modified Inputs'!$M$2)</f>
        <v>500.45474520679693</v>
      </c>
      <c r="AL65">
        <f t="shared" si="26"/>
        <v>0.23602490208427607</v>
      </c>
      <c r="AM65">
        <f>AL65*$F$5*SQRT((VLOOKUP(I65,$A$3:$B$8,2,FALSE)-'Modified Inputs'!$M$2)*'Modified Inputs'!$M$2)</f>
        <v>22.454453652602723</v>
      </c>
      <c r="AN65">
        <f>AM65/'Modified Inputs'!$M$2</f>
        <v>22.681266315760325</v>
      </c>
      <c r="AP65" s="7">
        <f>IF('VA Sizing'!$C$3="Gas",'10A61 5" Calcs'!AJ65,
IF('VA Sizing'!$C$3="Liquid",'10A61 5" Calcs'!AN65,""))</f>
        <v>22.681266315760325</v>
      </c>
      <c r="AQ65" s="7" t="s">
        <v>214</v>
      </c>
    </row>
    <row r="66" spans="1:43">
      <c r="O66" t="str">
        <f>IFERROR(IF(AND('VA Sizing'!$C$3="Gas",'VA Sizing'!$C$6="at Operating Conditions"),'Modified Inputs'!$M$2,
IF(OR(AND('VA Sizing'!$C$4="Carbon Dioxide",'Modified Inputs'!$I$2&gt;70),'VA Sizing'!$C$4="Ammonia",'VA Sizing'!$C$4="Chlorine",'VA Sizing'!$C$4="Sulfur Dioxide"),'10A61 5" Calcs'!$G$27,
IF('VA Sizing'!$C$5="Standard",'10A61 5" Calcs'!M66*'10A61 5" Calcs'!L66,
IF(OR('VA Sizing'!$C$5="Normal",'VA Sizing'!$C$5="Actual"),'10A61 5" Calcs'!N66*'10A61 5" Calcs'!L66,"")))),IF('VA Sizing'!$C$4="Steam",Steam!$B$20,""))</f>
        <v/>
      </c>
      <c r="T66" t="str">
        <f>IFERROR(IF(AND('VA Sizing'!$C$3="Gas",'VA Sizing'!$C$4=" Other"),'Modified Inputs'!$G$2,
IF('VA Sizing'!$C$5="Standard",'10A61 5" Calcs'!P66+'10A61 5" Calcs'!Q66*'10A61 5" Calcs'!S66,
IF(OR('VA Sizing'!$C$5="Normal",'VA Sizing'!$C$5="Actual"),'10A61 5" Calcs'!P66+'10A61 5" Calcs'!Q66*'10A61 5" Calcs'!R66,""))),IF('VA Sizing'!$C$4="Steam",Steam!$C$20,""))</f>
        <v/>
      </c>
      <c r="AD66" s="7"/>
      <c r="AE66" s="7"/>
    </row>
    <row r="67" spans="1:43">
      <c r="A67" s="3" t="s">
        <v>118</v>
      </c>
      <c r="B67">
        <f t="array" ref="B67:C67">LINEST('10A61 5" Curves'!C25:I25,LN('10A61 5" Curves'!C24:I24))</f>
        <v>3.8881296361878995E-2</v>
      </c>
      <c r="C67">
        <v>-0.13870160570633588</v>
      </c>
      <c r="D67">
        <f t="array" ref="D67:E67">LINEST('10A61 5" Curves'!H25:M25,LN('10A61 5" Curves'!H24:M24))</f>
        <v>4.6536783643606437E-2</v>
      </c>
      <c r="E67">
        <v>-0.17698438438977909</v>
      </c>
      <c r="F67">
        <f t="array" ref="F67:G67">LINEST('10A61 5" Curves'!M25:Q25,LN('10A61 5" Curves'!M24:Q24))</f>
        <v>1.764149215888693E-2</v>
      </c>
      <c r="G67">
        <v>7.6956909161375597E-2</v>
      </c>
      <c r="I67" t="s">
        <v>142</v>
      </c>
      <c r="J67">
        <f>'Modified Inputs'!$K$2</f>
        <v>140</v>
      </c>
      <c r="K67">
        <f>'Modified Inputs'!$I$2</f>
        <v>145</v>
      </c>
      <c r="L67" t="str">
        <f>IF(AND('VA Sizing'!$C$4=" Other",'VA Sizing'!$C$6="at Operating Conditions",'VA Sizing'!$C$5="Standard"),'10A61 5" Calcs'!O67/'10A61 5" Calcs'!M67,
IF(AND('VA Sizing'!$C$4=" Other",'VA Sizing'!$C$6="at Operating Conditions",OR('VA Sizing'!$C$5="Normal",'VA Sizing'!$C$5="Actual")),'10A61 5" Calcs'!O67/N67,
IF(AND('VA Sizing'!$C$4=" Other",'VA Sizing'!$C$6="at Reference Conditions"),'Modified Inputs'!$M$4,
IF(AND('VA Sizing'!$C$3="Gas",'VA Sizing'!$C$5="Standard"),VLOOKUP('VA Sizing'!$C$4,'10A61 5" Calcs'!$J$3:$K$29,2,FALSE),
IF(AND('VA Sizing'!$C$3="Gas",OR('VA Sizing'!$C$5="Actual",'VA Sizing'!$C$5="Normal")),VLOOKUP('VA Sizing'!$C$4,'10A61 5" Calcs'!$J$3:$L$29,3,FALSE),"")))))</f>
        <v/>
      </c>
      <c r="M67">
        <f t="shared" si="9"/>
        <v>8.7131519274376412</v>
      </c>
      <c r="N67">
        <f t="shared" si="1"/>
        <v>8.0884353741496593</v>
      </c>
      <c r="O67" t="str">
        <f>IFERROR(IF(AND('VA Sizing'!$C$3="Gas",'VA Sizing'!$C$6="at Operating Conditions"),'Modified Inputs'!$M$2,
IF(OR(AND('VA Sizing'!$C$4="Carbon Dioxide",'Modified Inputs'!$I$2&gt;70),'VA Sizing'!$C$4="Ammonia",'VA Sizing'!$C$4="Chlorine",'VA Sizing'!$C$4="Sulfur Dioxide"),'10A61 5" Calcs'!$G$27,
IF('VA Sizing'!$C$5="Standard",'10A61 5" Calcs'!M67*'10A61 5" Calcs'!L67,
IF(OR('VA Sizing'!$C$5="Normal",'VA Sizing'!$C$5="Actual"),'10A61 5" Calcs'!N67*'10A61 5" Calcs'!L67,"")))),IF('VA Sizing'!$C$4="Steam",Steam!$B$20,""))</f>
        <v/>
      </c>
      <c r="P67" t="e">
        <f>VLOOKUP('VA Sizing'!$C$4,'10A61 5" Calcs'!$J$3:$M$29,4,FALSE)</f>
        <v>#N/A</v>
      </c>
      <c r="Q67" t="e">
        <f>VLOOKUP('VA Sizing'!$C$4,'10A61 5" Calcs'!$J$3:$N$28,5,FALSE)</f>
        <v>#N/A</v>
      </c>
      <c r="R67">
        <f t="shared" si="10"/>
        <v>108</v>
      </c>
      <c r="S67">
        <f t="shared" si="11"/>
        <v>70</v>
      </c>
      <c r="T67" t="str">
        <f>IFERROR(IF(AND('VA Sizing'!$C$3="Gas",'VA Sizing'!$C$4=" Other"),'Modified Inputs'!$G$2,
IF('VA Sizing'!$C$5="Standard",'10A61 5" Calcs'!P67+'10A61 5" Calcs'!Q67*'10A61 5" Calcs'!S67,
IF(OR('VA Sizing'!$C$5="Normal",'VA Sizing'!$C$5="Actual"),'10A61 5" Calcs'!P67+'10A61 5" Calcs'!Q67*'10A61 5" Calcs'!R67,""))),IF('VA Sizing'!$C$4="Steam",Steam!$C$20,""))</f>
        <v/>
      </c>
      <c r="U67" t="e">
        <f t="shared" si="21"/>
        <v>#VALUE!</v>
      </c>
      <c r="V67" t="e">
        <f>IF(U67&lt;($C$68+0.00001),-0.000000136062*(U67^2)+0.000276*U67-0.00185,
IF(U67&lt;($E$68+0.00001),$D$67*LN(U67)+$E$67,
IF(U67&lt;($G$68+0.0001),$F$67*LN(U67)+$G$67,"")))</f>
        <v>#VALUE!</v>
      </c>
      <c r="W67" t="e">
        <f t="shared" si="14"/>
        <v>#VALUE!</v>
      </c>
      <c r="X67" t="str">
        <f>IF(AND('VA Sizing'!$C$3="Gas",'VA Sizing'!$C$4=" Other",NOT('VA Sizing'!$C$5="Actual"),'VA Sizing'!$C$6="at Operating Conditions"),'10A61 5" Calcs'!W67/'10A61 5" Calcs'!L67,
IF(AND('VA Sizing'!$C$3="Gas",'VA Sizing'!$C$4=" Other",NOT('VA Sizing'!$C$5="Actual"),'VA Sizing'!$C$6="at Reference Conditions"),'10A61 5" Calcs'!W67/'Modified Inputs'!$M$4,
IF('VA Sizing'!$C$5="Standard",W67/VLOOKUP('VA Sizing'!$C$4,'10A61 5" Calcs'!$J$3:$K$29,2,FALSE),
IF('VA Sizing'!$C$5="Normal",'10A61 5" Calcs'!W67/VLOOKUP('VA Sizing'!$C$4,'10A61 5" Calcs'!$J$3:$L$29,3,FALSE),
IF('VA Sizing'!$C$5="Actual",'10A61 5" Calcs'!W67/'10A61 5" Calcs'!O67,"")))))</f>
        <v/>
      </c>
      <c r="Y67">
        <f>($E$6/'Modified Inputs'!$G$2)*SQRT((VLOOKUP('10A61 5" Calcs'!I67,'10A61 5" Calcs'!$A$3:$B$8,2,FALSE)-'Modified Inputs'!$M$2)*'Modified Inputs'!$M$2)</f>
        <v>1290.561057989896</v>
      </c>
      <c r="Z67">
        <f>IF(Y67&lt;($C$68+0.00001),-0.000000136062*(Y67^2)+0.000276*Y67-0.00185,
IF(Y67&lt;($E$68+0.00001),$D$67*LN(Y67)+$E$67,
IF(Y67&lt;($G$68+0.0001),$F$67*LN(Y67)+$G$67,"")))</f>
        <v>0.15635079409554836</v>
      </c>
      <c r="AA67">
        <f>Z67*$F$6*SQRT((VLOOKUP(I67,$A$3:$B$8,2,FALSE)-'Modified Inputs'!$M$2)*'Modified Inputs'!$M$2)</f>
        <v>76.683561182619883</v>
      </c>
      <c r="AB67">
        <f>AA67/'Modified Inputs'!$M$2</f>
        <v>77.45814260870695</v>
      </c>
      <c r="AD67" s="7">
        <f>IF('VA Sizing'!$C$3="Gas",'10A61 5" Calcs'!X67,
IF('VA Sizing'!$C$3="Liquid",'10A61 5" Calcs'!AB67,""))</f>
        <v>77.45814260870695</v>
      </c>
      <c r="AE67" s="7" t="str">
        <f>CONCATENATE($A$67,"-",I67)</f>
        <v>1/4-10-CD</v>
      </c>
    </row>
    <row r="68" spans="1:43">
      <c r="A68" t="s">
        <v>159</v>
      </c>
      <c r="B68">
        <v>30</v>
      </c>
      <c r="C68">
        <v>650</v>
      </c>
      <c r="D68">
        <v>650</v>
      </c>
      <c r="E68">
        <v>7000</v>
      </c>
      <c r="F68">
        <v>7000</v>
      </c>
      <c r="G68">
        <v>120000</v>
      </c>
      <c r="I68" t="s">
        <v>21</v>
      </c>
      <c r="J68">
        <f>'Modified Inputs'!$K$2</f>
        <v>140</v>
      </c>
      <c r="K68">
        <f>'Modified Inputs'!$I$2</f>
        <v>145</v>
      </c>
      <c r="L68" t="str">
        <f>IF(AND('VA Sizing'!$C$4=" Other",'VA Sizing'!$C$6="at Operating Conditions",'VA Sizing'!$C$5="Standard"),'10A61 5" Calcs'!O68/'10A61 5" Calcs'!M68,
IF(AND('VA Sizing'!$C$4=" Other",'VA Sizing'!$C$6="at Operating Conditions",OR('VA Sizing'!$C$5="Normal",'VA Sizing'!$C$5="Actual")),'10A61 5" Calcs'!O68/N68,
IF(AND('VA Sizing'!$C$4=" Other",'VA Sizing'!$C$6="at Reference Conditions"),'Modified Inputs'!$M$4,
IF(AND('VA Sizing'!$C$3="Gas",'VA Sizing'!$C$5="Standard"),VLOOKUP('VA Sizing'!$C$4,'10A61 5" Calcs'!$J$3:$K$29,2,FALSE),
IF(AND('VA Sizing'!$C$3="Gas",OR('VA Sizing'!$C$5="Actual",'VA Sizing'!$C$5="Normal")),VLOOKUP('VA Sizing'!$C$4,'10A61 5" Calcs'!$J$3:$L$29,3,FALSE),"")))))</f>
        <v/>
      </c>
      <c r="M68">
        <f t="shared" si="9"/>
        <v>8.7131519274376412</v>
      </c>
      <c r="N68">
        <f t="shared" si="1"/>
        <v>8.0884353741496593</v>
      </c>
      <c r="O68" t="str">
        <f>IFERROR(IF(AND('VA Sizing'!$C$3="Gas",'VA Sizing'!$C$6="at Operating Conditions"),'Modified Inputs'!$M$2,
IF(OR(AND('VA Sizing'!$C$4="Carbon Dioxide",'Modified Inputs'!$I$2&gt;70),'VA Sizing'!$C$4="Ammonia",'VA Sizing'!$C$4="Chlorine",'VA Sizing'!$C$4="Sulfur Dioxide"),'10A61 5" Calcs'!$G$27,
IF('VA Sizing'!$C$5="Standard",'10A61 5" Calcs'!M68*'10A61 5" Calcs'!L68,
IF(OR('VA Sizing'!$C$5="Normal",'VA Sizing'!$C$5="Actual"),'10A61 5" Calcs'!N68*'10A61 5" Calcs'!L68,"")))),IF('VA Sizing'!$C$4="Steam",Steam!$B$20,""))</f>
        <v/>
      </c>
      <c r="P68" t="e">
        <f>VLOOKUP('VA Sizing'!$C$4,'10A61 5" Calcs'!$J$3:$M$29,4,FALSE)</f>
        <v>#N/A</v>
      </c>
      <c r="Q68" t="e">
        <f>VLOOKUP('VA Sizing'!$C$4,'10A61 5" Calcs'!$J$3:$N$28,5,FALSE)</f>
        <v>#N/A</v>
      </c>
      <c r="R68">
        <f t="shared" si="10"/>
        <v>108</v>
      </c>
      <c r="S68">
        <f t="shared" si="11"/>
        <v>70</v>
      </c>
      <c r="T68" t="str">
        <f>IFERROR(IF(AND('VA Sizing'!$C$3="Gas",'VA Sizing'!$C$4=" Other"),'Modified Inputs'!$G$2,
IF('VA Sizing'!$C$5="Standard",'10A61 5" Calcs'!P68+'10A61 5" Calcs'!Q68*'10A61 5" Calcs'!S68,
IF(OR('VA Sizing'!$C$5="Normal",'VA Sizing'!$C$5="Actual"),'10A61 5" Calcs'!P68+'10A61 5" Calcs'!Q68*'10A61 5" Calcs'!R68,""))),IF('VA Sizing'!$C$4="Steam",Steam!$C$20,""))</f>
        <v/>
      </c>
      <c r="U68" t="e">
        <f t="shared" si="21"/>
        <v>#VALUE!</v>
      </c>
      <c r="V68" t="e">
        <f t="shared" ref="V68:V72" si="27">IF(U68&lt;($C$68+0.00001),-0.000000136062*(U68^2)+0.000276*U68-0.00185,
IF(U68&lt;($E$68+0.00001),$D$67*LN(U68)+$E$67,
IF(U68&lt;($G$68+0.0001),$F$67*LN(U68)+$G$67,"")))</f>
        <v>#VALUE!</v>
      </c>
      <c r="W68" t="e">
        <f t="shared" si="14"/>
        <v>#VALUE!</v>
      </c>
      <c r="X68" t="str">
        <f>IF(AND('VA Sizing'!$C$3="Gas",'VA Sizing'!$C$4=" Other",NOT('VA Sizing'!$C$5="Actual"),'VA Sizing'!$C$6="at Operating Conditions"),'10A61 5" Calcs'!W68/'10A61 5" Calcs'!L68,
IF(AND('VA Sizing'!$C$3="Gas",'VA Sizing'!$C$4=" Other",NOT('VA Sizing'!$C$5="Actual"),'VA Sizing'!$C$6="at Reference Conditions"),'10A61 5" Calcs'!W68/'Modified Inputs'!$M$4,
IF('VA Sizing'!$C$5="Standard",W68/VLOOKUP('VA Sizing'!$C$4,'10A61 5" Calcs'!$J$3:$K$29,2,FALSE),
IF('VA Sizing'!$C$5="Normal",'10A61 5" Calcs'!W68/VLOOKUP('VA Sizing'!$C$4,'10A61 5" Calcs'!$J$3:$L$29,3,FALSE),
IF('VA Sizing'!$C$5="Actual",'10A61 5" Calcs'!W68/'10A61 5" Calcs'!O68,"")))))</f>
        <v/>
      </c>
      <c r="Y68">
        <f>($E$6/'Modified Inputs'!$G$2)*SQRT((VLOOKUP('10A61 5" Calcs'!I68,'10A61 5" Calcs'!$A$3:$B$8,2,FALSE)-'Modified Inputs'!$M$2)*'Modified Inputs'!$M$2)</f>
        <v>1964.8042794130922</v>
      </c>
      <c r="Z68">
        <f t="shared" ref="Z68:Z72" si="28">IF(Y68&lt;($C$68+0.00001),-0.000000136062*(Y68^2)+0.000276*Y68-0.00185,
IF(Y68&lt;($E$68+0.00001),$D$67*LN(Y68)+$E$67,
IF(Y68&lt;($G$68+0.0001),$F$67*LN(Y68)+$G$67,"")))</f>
        <v>0.17591092951413595</v>
      </c>
      <c r="AA68">
        <f>Z68*$F$6*SQRT((VLOOKUP(I68,$A$3:$B$8,2,FALSE)-'Modified Inputs'!$M$2)*'Modified Inputs'!$M$2)</f>
        <v>131.35171404862569</v>
      </c>
      <c r="AB68">
        <f>AA68/'Modified Inputs'!$M$2</f>
        <v>132.67849903901586</v>
      </c>
      <c r="AD68" s="7">
        <f>IF('VA Sizing'!$C$3="Gas",'10A61 5" Calcs'!X68,
IF('VA Sizing'!$C$3="Liquid",'10A61 5" Calcs'!AB68,""))</f>
        <v>132.67849903901586</v>
      </c>
      <c r="AE68" s="7" t="str">
        <f t="shared" ref="AE68:AE72" si="29">CONCATENATE($A$67,"-",I68)</f>
        <v>1/4-10-SA</v>
      </c>
    </row>
    <row r="69" spans="1:43">
      <c r="I69" t="s">
        <v>23</v>
      </c>
      <c r="J69">
        <f>'Modified Inputs'!$K$2</f>
        <v>140</v>
      </c>
      <c r="K69">
        <f>'Modified Inputs'!$I$2</f>
        <v>145</v>
      </c>
      <c r="L69" t="str">
        <f>IF(AND('VA Sizing'!$C$4=" Other",'VA Sizing'!$C$6="at Operating Conditions",'VA Sizing'!$C$5="Standard"),'10A61 5" Calcs'!O69/'10A61 5" Calcs'!M69,
IF(AND('VA Sizing'!$C$4=" Other",'VA Sizing'!$C$6="at Operating Conditions",OR('VA Sizing'!$C$5="Normal",'VA Sizing'!$C$5="Actual")),'10A61 5" Calcs'!O69/N69,
IF(AND('VA Sizing'!$C$4=" Other",'VA Sizing'!$C$6="at Reference Conditions"),'Modified Inputs'!$M$4,
IF(AND('VA Sizing'!$C$3="Gas",'VA Sizing'!$C$5="Standard"),VLOOKUP('VA Sizing'!$C$4,'10A61 5" Calcs'!$J$3:$K$29,2,FALSE),
IF(AND('VA Sizing'!$C$3="Gas",OR('VA Sizing'!$C$5="Actual",'VA Sizing'!$C$5="Normal")),VLOOKUP('VA Sizing'!$C$4,'10A61 5" Calcs'!$J$3:$L$29,3,FALSE),"")))))</f>
        <v/>
      </c>
      <c r="M69">
        <f t="shared" si="9"/>
        <v>8.7131519274376412</v>
      </c>
      <c r="N69">
        <f t="shared" si="1"/>
        <v>8.0884353741496593</v>
      </c>
      <c r="O69" t="str">
        <f>IFERROR(IF(AND('VA Sizing'!$C$3="Gas",'VA Sizing'!$C$6="at Operating Conditions"),'Modified Inputs'!$M$2,
IF(OR(AND('VA Sizing'!$C$4="Carbon Dioxide",'Modified Inputs'!$I$2&gt;70),'VA Sizing'!$C$4="Ammonia",'VA Sizing'!$C$4="Chlorine",'VA Sizing'!$C$4="Sulfur Dioxide"),'10A61 5" Calcs'!$G$27,
IF('VA Sizing'!$C$5="Standard",'10A61 5" Calcs'!M69*'10A61 5" Calcs'!L69,
IF(OR('VA Sizing'!$C$5="Normal",'VA Sizing'!$C$5="Actual"),'10A61 5" Calcs'!N69*'10A61 5" Calcs'!L69,"")))),IF('VA Sizing'!$C$4="Steam",Steam!$B$20,""))</f>
        <v/>
      </c>
      <c r="P69" t="e">
        <f>VLOOKUP('VA Sizing'!$C$4,'10A61 5" Calcs'!$J$3:$M$29,4,FALSE)</f>
        <v>#N/A</v>
      </c>
      <c r="Q69" t="e">
        <f>VLOOKUP('VA Sizing'!$C$4,'10A61 5" Calcs'!$J$3:$N$28,5,FALSE)</f>
        <v>#N/A</v>
      </c>
      <c r="R69">
        <f t="shared" si="10"/>
        <v>108</v>
      </c>
      <c r="S69">
        <f t="shared" si="11"/>
        <v>70</v>
      </c>
      <c r="T69" t="str">
        <f>IFERROR(IF(AND('VA Sizing'!$C$3="Gas",'VA Sizing'!$C$4=" Other"),'Modified Inputs'!$G$2,
IF('VA Sizing'!$C$5="Standard",'10A61 5" Calcs'!P69+'10A61 5" Calcs'!Q69*'10A61 5" Calcs'!S69,
IF(OR('VA Sizing'!$C$5="Normal",'VA Sizing'!$C$5="Actual"),'10A61 5" Calcs'!P69+'10A61 5" Calcs'!Q69*'10A61 5" Calcs'!R69,""))),IF('VA Sizing'!$C$4="Steam",Steam!$C$20,""))</f>
        <v/>
      </c>
      <c r="U69" t="e">
        <f t="shared" si="21"/>
        <v>#VALUE!</v>
      </c>
      <c r="V69" t="e">
        <f t="shared" si="27"/>
        <v>#VALUE!</v>
      </c>
      <c r="W69" t="e">
        <f t="shared" si="14"/>
        <v>#VALUE!</v>
      </c>
      <c r="X69" t="str">
        <f>IF(AND('VA Sizing'!$C$3="Gas",'VA Sizing'!$C$4=" Other",NOT('VA Sizing'!$C$5="Actual"),'VA Sizing'!$C$6="at Operating Conditions"),'10A61 5" Calcs'!W69/'10A61 5" Calcs'!L69,
IF(AND('VA Sizing'!$C$3="Gas",'VA Sizing'!$C$4=" Other",NOT('VA Sizing'!$C$5="Actual"),'VA Sizing'!$C$6="at Reference Conditions"),'10A61 5" Calcs'!W69/'Modified Inputs'!$M$4,
IF('VA Sizing'!$C$5="Standard",W69/VLOOKUP('VA Sizing'!$C$4,'10A61 5" Calcs'!$J$3:$K$29,2,FALSE),
IF('VA Sizing'!$C$5="Normal",'10A61 5" Calcs'!W69/VLOOKUP('VA Sizing'!$C$4,'10A61 5" Calcs'!$J$3:$L$29,3,FALSE),
IF('VA Sizing'!$C$5="Actual",'10A61 5" Calcs'!W69/'10A61 5" Calcs'!O69,"")))))</f>
        <v/>
      </c>
      <c r="Y69">
        <f>($E$6/'Modified Inputs'!$G$2)*SQRT((VLOOKUP('10A61 5" Calcs'!I69,'10A61 5" Calcs'!$A$3:$B$8,2,FALSE)-'Modified Inputs'!$M$2)*'Modified Inputs'!$M$2)</f>
        <v>3012.7379890723982</v>
      </c>
      <c r="Z69">
        <f t="shared" si="28"/>
        <v>0.19580338758081001</v>
      </c>
      <c r="AA69">
        <f>Z69*$F$6*SQRT((VLOOKUP(I69,$A$3:$B$8,2,FALSE)-'Modified Inputs'!$M$2)*'Modified Inputs'!$M$2)</f>
        <v>224.18429772568953</v>
      </c>
      <c r="AB69">
        <f>AA69/'Modified Inputs'!$M$2</f>
        <v>226.44878558150458</v>
      </c>
      <c r="AD69" s="7">
        <f>IF('VA Sizing'!$C$3="Gas",'10A61 5" Calcs'!X69,
IF('VA Sizing'!$C$3="Liquid",'10A61 5" Calcs'!AB69,""))</f>
        <v>226.44878558150458</v>
      </c>
      <c r="AE69" s="7" t="str">
        <f t="shared" si="29"/>
        <v>1/4-10-SS</v>
      </c>
    </row>
    <row r="70" spans="1:43">
      <c r="I70" t="s">
        <v>26</v>
      </c>
      <c r="J70">
        <f>'Modified Inputs'!$K$2</f>
        <v>140</v>
      </c>
      <c r="K70">
        <f>'Modified Inputs'!$I$2</f>
        <v>145</v>
      </c>
      <c r="L70" t="str">
        <f>IF(AND('VA Sizing'!$C$4=" Other",'VA Sizing'!$C$6="at Operating Conditions",'VA Sizing'!$C$5="Standard"),'10A61 5" Calcs'!O70/'10A61 5" Calcs'!M70,
IF(AND('VA Sizing'!$C$4=" Other",'VA Sizing'!$C$6="at Operating Conditions",OR('VA Sizing'!$C$5="Normal",'VA Sizing'!$C$5="Actual")),'10A61 5" Calcs'!O70/N70,
IF(AND('VA Sizing'!$C$4=" Other",'VA Sizing'!$C$6="at Reference Conditions"),'Modified Inputs'!$M$4,
IF(AND('VA Sizing'!$C$3="Gas",'VA Sizing'!$C$5="Standard"),VLOOKUP('VA Sizing'!$C$4,'10A61 5" Calcs'!$J$3:$K$29,2,FALSE),
IF(AND('VA Sizing'!$C$3="Gas",OR('VA Sizing'!$C$5="Actual",'VA Sizing'!$C$5="Normal")),VLOOKUP('VA Sizing'!$C$4,'10A61 5" Calcs'!$J$3:$L$29,3,FALSE),"")))))</f>
        <v/>
      </c>
      <c r="M70">
        <f t="shared" si="9"/>
        <v>8.7131519274376412</v>
      </c>
      <c r="N70">
        <f t="shared" si="1"/>
        <v>8.0884353741496593</v>
      </c>
      <c r="O70" t="str">
        <f>IFERROR(IF(AND('VA Sizing'!$C$3="Gas",'VA Sizing'!$C$6="at Operating Conditions"),'Modified Inputs'!$M$2,
IF(OR(AND('VA Sizing'!$C$4="Carbon Dioxide",'Modified Inputs'!$I$2&gt;70),'VA Sizing'!$C$4="Ammonia",'VA Sizing'!$C$4="Chlorine",'VA Sizing'!$C$4="Sulfur Dioxide"),'10A61 5" Calcs'!$G$27,
IF('VA Sizing'!$C$5="Standard",'10A61 5" Calcs'!M70*'10A61 5" Calcs'!L70,
IF(OR('VA Sizing'!$C$5="Normal",'VA Sizing'!$C$5="Actual"),'10A61 5" Calcs'!N70*'10A61 5" Calcs'!L70,"")))),IF('VA Sizing'!$C$4="Steam",Steam!$B$20,""))</f>
        <v/>
      </c>
      <c r="P70" t="e">
        <f>VLOOKUP('VA Sizing'!$C$4,'10A61 5" Calcs'!$J$3:$M$29,4,FALSE)</f>
        <v>#N/A</v>
      </c>
      <c r="Q70" t="e">
        <f>VLOOKUP('VA Sizing'!$C$4,'10A61 5" Calcs'!$J$3:$N$28,5,FALSE)</f>
        <v>#N/A</v>
      </c>
      <c r="R70">
        <f t="shared" si="10"/>
        <v>108</v>
      </c>
      <c r="S70">
        <f t="shared" si="11"/>
        <v>70</v>
      </c>
      <c r="T70" t="str">
        <f>IFERROR(IF(AND('VA Sizing'!$C$3="Gas",'VA Sizing'!$C$4=" Other"),'Modified Inputs'!$G$2,
IF('VA Sizing'!$C$5="Standard",'10A61 5" Calcs'!P70+'10A61 5" Calcs'!Q70*'10A61 5" Calcs'!S70,
IF(OR('VA Sizing'!$C$5="Normal",'VA Sizing'!$C$5="Actual"),'10A61 5" Calcs'!P70+'10A61 5" Calcs'!Q70*'10A61 5" Calcs'!R70,""))),IF('VA Sizing'!$C$4="Steam",Steam!$C$20,""))</f>
        <v/>
      </c>
      <c r="U70" t="e">
        <f t="shared" si="21"/>
        <v>#VALUE!</v>
      </c>
      <c r="V70" t="e">
        <f t="shared" si="27"/>
        <v>#VALUE!</v>
      </c>
      <c r="W70" t="e">
        <f t="shared" si="14"/>
        <v>#VALUE!</v>
      </c>
      <c r="X70" t="str">
        <f>IF(AND('VA Sizing'!$C$3="Gas",'VA Sizing'!$C$4=" Other",NOT('VA Sizing'!$C$5="Actual"),'VA Sizing'!$C$6="at Operating Conditions"),'10A61 5" Calcs'!W70/'10A61 5" Calcs'!L70,
IF(AND('VA Sizing'!$C$3="Gas",'VA Sizing'!$C$4=" Other",NOT('VA Sizing'!$C$5="Actual"),'VA Sizing'!$C$6="at Reference Conditions"),'10A61 5" Calcs'!W70/'Modified Inputs'!$M$4,
IF('VA Sizing'!$C$5="Standard",W70/VLOOKUP('VA Sizing'!$C$4,'10A61 5" Calcs'!$J$3:$K$29,2,FALSE),
IF('VA Sizing'!$C$5="Normal",'10A61 5" Calcs'!W70/VLOOKUP('VA Sizing'!$C$4,'10A61 5" Calcs'!$J$3:$L$29,3,FALSE),
IF('VA Sizing'!$C$5="Actual",'10A61 5" Calcs'!W70/'10A61 5" Calcs'!O70,"")))))</f>
        <v/>
      </c>
      <c r="Y70">
        <f>($E$6/'Modified Inputs'!$G$2)*SQRT((VLOOKUP('10A61 5" Calcs'!I70,'10A61 5" Calcs'!$A$3:$B$8,2,FALSE)-'Modified Inputs'!$M$2)*'Modified Inputs'!$M$2)</f>
        <v>4253.0723322793365</v>
      </c>
      <c r="Z70">
        <f t="shared" si="28"/>
        <v>0.21184891351663171</v>
      </c>
      <c r="AA70">
        <f>Z70*$F$6*SQRT((VLOOKUP(I70,$A$3:$B$8,2,FALSE)-'Modified Inputs'!$M$2)*'Modified Inputs'!$M$2)</f>
        <v>342.4148850019655</v>
      </c>
      <c r="AB70">
        <f>AA70/'Modified Inputs'!$M$2</f>
        <v>345.87362121410655</v>
      </c>
      <c r="AD70" s="7">
        <f>IF('VA Sizing'!$C$3="Gas",'10A61 5" Calcs'!X70,
IF('VA Sizing'!$C$3="Liquid",'10A61 5" Calcs'!AB70,""))</f>
        <v>345.87362121410655</v>
      </c>
      <c r="AE70" s="7" t="str">
        <f t="shared" si="29"/>
        <v>1/4-10-CA</v>
      </c>
    </row>
    <row r="71" spans="1:43">
      <c r="I71" t="s">
        <v>126</v>
      </c>
      <c r="J71">
        <f>'Modified Inputs'!$K$2</f>
        <v>140</v>
      </c>
      <c r="K71">
        <f>'Modified Inputs'!$I$2</f>
        <v>145</v>
      </c>
      <c r="L71" t="str">
        <f>IF(AND('VA Sizing'!$C$4=" Other",'VA Sizing'!$C$6="at Operating Conditions",'VA Sizing'!$C$5="Standard"),'10A61 5" Calcs'!O71/'10A61 5" Calcs'!M71,
IF(AND('VA Sizing'!$C$4=" Other",'VA Sizing'!$C$6="at Operating Conditions",OR('VA Sizing'!$C$5="Normal",'VA Sizing'!$C$5="Actual")),'10A61 5" Calcs'!O71/N71,
IF(AND('VA Sizing'!$C$4=" Other",'VA Sizing'!$C$6="at Reference Conditions"),'Modified Inputs'!$M$4,
IF(AND('VA Sizing'!$C$3="Gas",'VA Sizing'!$C$5="Standard"),VLOOKUP('VA Sizing'!$C$4,'10A61 5" Calcs'!$J$3:$K$29,2,FALSE),
IF(AND('VA Sizing'!$C$3="Gas",OR('VA Sizing'!$C$5="Actual",'VA Sizing'!$C$5="Normal")),VLOOKUP('VA Sizing'!$C$4,'10A61 5" Calcs'!$J$3:$L$29,3,FALSE),"")))))</f>
        <v/>
      </c>
      <c r="M71">
        <f t="shared" si="9"/>
        <v>8.7131519274376412</v>
      </c>
      <c r="N71">
        <f t="shared" si="1"/>
        <v>8.0884353741496593</v>
      </c>
      <c r="O71" t="str">
        <f>IFERROR(IF(AND('VA Sizing'!$C$3="Gas",'VA Sizing'!$C$6="at Operating Conditions"),'Modified Inputs'!$M$2,
IF(OR(AND('VA Sizing'!$C$4="Carbon Dioxide",'Modified Inputs'!$I$2&gt;70),'VA Sizing'!$C$4="Ammonia",'VA Sizing'!$C$4="Chlorine",'VA Sizing'!$C$4="Sulfur Dioxide"),'10A61 5" Calcs'!$G$27,
IF('VA Sizing'!$C$5="Standard",'10A61 5" Calcs'!M71*'10A61 5" Calcs'!L71,
IF(OR('VA Sizing'!$C$5="Normal",'VA Sizing'!$C$5="Actual"),'10A61 5" Calcs'!N71*'10A61 5" Calcs'!L71,"")))),IF('VA Sizing'!$C$4="Steam",Steam!$B$20,""))</f>
        <v/>
      </c>
      <c r="P71" t="e">
        <f>VLOOKUP('VA Sizing'!$C$4,'10A61 5" Calcs'!$J$3:$M$29,4,FALSE)</f>
        <v>#N/A</v>
      </c>
      <c r="Q71" t="e">
        <f>VLOOKUP('VA Sizing'!$C$4,'10A61 5" Calcs'!$J$3:$N$28,5,FALSE)</f>
        <v>#N/A</v>
      </c>
      <c r="R71">
        <f t="shared" si="10"/>
        <v>108</v>
      </c>
      <c r="S71">
        <f t="shared" si="11"/>
        <v>70</v>
      </c>
      <c r="T71" t="str">
        <f>IFERROR(IF(AND('VA Sizing'!$C$3="Gas",'VA Sizing'!$C$4=" Other"),'Modified Inputs'!$G$2,
IF('VA Sizing'!$C$5="Standard",'10A61 5" Calcs'!P71+'10A61 5" Calcs'!Q71*'10A61 5" Calcs'!S71,
IF(OR('VA Sizing'!$C$5="Normal",'VA Sizing'!$C$5="Actual"),'10A61 5" Calcs'!P71+'10A61 5" Calcs'!Q71*'10A61 5" Calcs'!R71,""))),IF('VA Sizing'!$C$4="Steam",Steam!$C$20,""))</f>
        <v/>
      </c>
      <c r="U71" t="e">
        <f t="shared" si="21"/>
        <v>#VALUE!</v>
      </c>
      <c r="V71" t="e">
        <f t="shared" si="27"/>
        <v>#VALUE!</v>
      </c>
      <c r="W71" t="e">
        <f t="shared" si="14"/>
        <v>#VALUE!</v>
      </c>
      <c r="X71" t="str">
        <f>IF(AND('VA Sizing'!$C$3="Gas",'VA Sizing'!$C$4=" Other",NOT('VA Sizing'!$C$5="Actual"),'VA Sizing'!$C$6="at Operating Conditions"),'10A61 5" Calcs'!W71/'10A61 5" Calcs'!L71,
IF(AND('VA Sizing'!$C$3="Gas",'VA Sizing'!$C$4=" Other",NOT('VA Sizing'!$C$5="Actual"),'VA Sizing'!$C$6="at Reference Conditions"),'10A61 5" Calcs'!W71/'Modified Inputs'!$M$4,
IF('VA Sizing'!$C$5="Standard",W71/VLOOKUP('VA Sizing'!$C$4,'10A61 5" Calcs'!$J$3:$K$29,2,FALSE),
IF('VA Sizing'!$C$5="Normal",'10A61 5" Calcs'!W71/VLOOKUP('VA Sizing'!$C$4,'10A61 5" Calcs'!$J$3:$L$29,3,FALSE),
IF('VA Sizing'!$C$5="Actual",'10A61 5" Calcs'!W71/'10A61 5" Calcs'!O71,"")))))</f>
        <v/>
      </c>
      <c r="Y71">
        <f>($E$6/'Modified Inputs'!$G$2)*SQRT((VLOOKUP('10A61 5" Calcs'!I71,'10A61 5" Calcs'!$A$3:$B$8,2,FALSE)-'Modified Inputs'!$M$2)*'Modified Inputs'!$M$2)</f>
        <v>4489.3674431483114</v>
      </c>
      <c r="Z71">
        <f t="shared" si="28"/>
        <v>0.21436516611477174</v>
      </c>
      <c r="AA71">
        <f>Z71*$F$6*SQRT((VLOOKUP(I71,$A$3:$B$8,2,FALSE)-'Modified Inputs'!$M$2)*'Modified Inputs'!$M$2)</f>
        <v>365.73202714721481</v>
      </c>
      <c r="AB71">
        <f>AA71/'Modified Inputs'!$M$2</f>
        <v>369.42629004769174</v>
      </c>
      <c r="AD71" s="7">
        <f>IF('VA Sizing'!$C$3="Gas",'10A61 5" Calcs'!X71,
IF('VA Sizing'!$C$3="Liquid",'10A61 5" Calcs'!AB71,""))</f>
        <v>369.42629004769174</v>
      </c>
      <c r="AE71" s="7" t="str">
        <f t="shared" si="29"/>
        <v>1/4-10-TA</v>
      </c>
    </row>
    <row r="72" spans="1:43">
      <c r="I72" t="s">
        <v>18</v>
      </c>
      <c r="J72">
        <f>'Modified Inputs'!$K$2</f>
        <v>140</v>
      </c>
      <c r="K72">
        <f>'Modified Inputs'!$I$2</f>
        <v>145</v>
      </c>
      <c r="L72" t="str">
        <f>IF(AND('VA Sizing'!$C$4=" Other",'VA Sizing'!$C$6="at Operating Conditions",'VA Sizing'!$C$5="Standard"),'10A61 5" Calcs'!O72/'10A61 5" Calcs'!M72,
IF(AND('VA Sizing'!$C$4=" Other",'VA Sizing'!$C$6="at Operating Conditions",OR('VA Sizing'!$C$5="Normal",'VA Sizing'!$C$5="Actual")),'10A61 5" Calcs'!O72/N72,
IF(AND('VA Sizing'!$C$4=" Other",'VA Sizing'!$C$6="at Reference Conditions"),'Modified Inputs'!$M$4,
IF(AND('VA Sizing'!$C$3="Gas",'VA Sizing'!$C$5="Standard"),VLOOKUP('VA Sizing'!$C$4,'10A61 5" Calcs'!$J$3:$K$29,2,FALSE),
IF(AND('VA Sizing'!$C$3="Gas",OR('VA Sizing'!$C$5="Actual",'VA Sizing'!$C$5="Normal")),VLOOKUP('VA Sizing'!$C$4,'10A61 5" Calcs'!$J$3:$L$29,3,FALSE),"")))))</f>
        <v/>
      </c>
      <c r="M72">
        <f t="shared" si="9"/>
        <v>8.7131519274376412</v>
      </c>
      <c r="N72">
        <f t="shared" si="1"/>
        <v>8.0884353741496593</v>
      </c>
      <c r="O72" t="str">
        <f>IFERROR(IF(AND('VA Sizing'!$C$3="Gas",'VA Sizing'!$C$6="at Operating Conditions"),'Modified Inputs'!$M$2,
IF(OR(AND('VA Sizing'!$C$4="Carbon Dioxide",'Modified Inputs'!$I$2&gt;70),'VA Sizing'!$C$4="Ammonia",'VA Sizing'!$C$4="Chlorine",'VA Sizing'!$C$4="Sulfur Dioxide"),'10A61 5" Calcs'!$G$27,
IF('VA Sizing'!$C$5="Standard",'10A61 5" Calcs'!M72*'10A61 5" Calcs'!L72,
IF(OR('VA Sizing'!$C$5="Normal",'VA Sizing'!$C$5="Actual"),'10A61 5" Calcs'!N72*'10A61 5" Calcs'!L72,"")))),IF('VA Sizing'!$C$4="Steam",Steam!$B$20,""))</f>
        <v/>
      </c>
      <c r="P72" t="e">
        <f>VLOOKUP('VA Sizing'!$C$4,'10A61 5" Calcs'!$J$3:$M$29,4,FALSE)</f>
        <v>#N/A</v>
      </c>
      <c r="Q72" t="e">
        <f>VLOOKUP('VA Sizing'!$C$4,'10A61 5" Calcs'!$J$3:$N$28,5,FALSE)</f>
        <v>#N/A</v>
      </c>
      <c r="R72">
        <f t="shared" si="10"/>
        <v>108</v>
      </c>
      <c r="S72">
        <f t="shared" si="11"/>
        <v>70</v>
      </c>
      <c r="T72" t="str">
        <f>IFERROR(IF(AND('VA Sizing'!$C$3="Gas",'VA Sizing'!$C$4=" Other"),'Modified Inputs'!$G$2,
IF('VA Sizing'!$C$5="Standard",'10A61 5" Calcs'!P72+'10A61 5" Calcs'!Q72*'10A61 5" Calcs'!S72,
IF(OR('VA Sizing'!$C$5="Normal",'VA Sizing'!$C$5="Actual"),'10A61 5" Calcs'!P72+'10A61 5" Calcs'!Q72*'10A61 5" Calcs'!R72,""))),IF('VA Sizing'!$C$4="Steam",Steam!$C$20,""))</f>
        <v/>
      </c>
      <c r="U72" t="e">
        <f t="shared" si="21"/>
        <v>#VALUE!</v>
      </c>
      <c r="V72" t="e">
        <f t="shared" si="27"/>
        <v>#VALUE!</v>
      </c>
      <c r="W72" t="e">
        <f t="shared" si="14"/>
        <v>#VALUE!</v>
      </c>
      <c r="X72" t="str">
        <f>IF(AND('VA Sizing'!$C$3="Gas",'VA Sizing'!$C$4=" Other",NOT('VA Sizing'!$C$5="Actual"),'VA Sizing'!$C$6="at Operating Conditions"),'10A61 5" Calcs'!W72/'10A61 5" Calcs'!L72,
IF(AND('VA Sizing'!$C$3="Gas",'VA Sizing'!$C$4=" Other",NOT('VA Sizing'!$C$5="Actual"),'VA Sizing'!$C$6="at Reference Conditions"),'10A61 5" Calcs'!W72/'Modified Inputs'!$M$4,
IF('VA Sizing'!$C$5="Standard",W72/VLOOKUP('VA Sizing'!$C$4,'10A61 5" Calcs'!$J$3:$K$29,2,FALSE),
IF('VA Sizing'!$C$5="Normal",'10A61 5" Calcs'!W72/VLOOKUP('VA Sizing'!$C$4,'10A61 5" Calcs'!$J$3:$L$29,3,FALSE),
IF('VA Sizing'!$C$5="Actual",'10A61 5" Calcs'!W72/'10A61 5" Calcs'!O72,"")))))</f>
        <v/>
      </c>
      <c r="Y72">
        <f>($E$6/'Modified Inputs'!$G$2)*SQRT((VLOOKUP('10A61 5" Calcs'!I72,'10A61 5" Calcs'!$A$3:$B$8,2,FALSE)-'Modified Inputs'!$M$2)*'Modified Inputs'!$M$2)</f>
        <v>1414.6517797677279</v>
      </c>
      <c r="Z72">
        <f t="shared" si="28"/>
        <v>0.16062316663480214</v>
      </c>
      <c r="AA72">
        <f>Z72*$F$6*SQRT((VLOOKUP(I72,$A$3:$B$8,2,FALSE)-'Modified Inputs'!$M$2)*'Modified Inputs'!$M$2)</f>
        <v>86.353781323558152</v>
      </c>
      <c r="AB72">
        <f>AA72/'Modified Inputs'!$M$2</f>
        <v>87.22604174096783</v>
      </c>
      <c r="AD72" s="7">
        <f>IF('VA Sizing'!$C$3="Gas",'10A61 5" Calcs'!X72,
IF('VA Sizing'!$C$3="Liquid",'10A61 5" Calcs'!AB72,""))</f>
        <v>87.22604174096783</v>
      </c>
      <c r="AE72" s="7" t="str">
        <f t="shared" si="29"/>
        <v>1/4-10-BG</v>
      </c>
    </row>
    <row r="73" spans="1:43">
      <c r="O73" t="str">
        <f>IFERROR(IF(AND('VA Sizing'!$C$3="Gas",'VA Sizing'!$C$6="at Operating Conditions"),'Modified Inputs'!$M$2,
IF(OR(AND('VA Sizing'!$C$4="Carbon Dioxide",'Modified Inputs'!$I$2&gt;70),'VA Sizing'!$C$4="Ammonia",'VA Sizing'!$C$4="Chlorine",'VA Sizing'!$C$4="Sulfur Dioxide"),'10A61 5" Calcs'!$G$27,
IF('VA Sizing'!$C$5="Standard",'10A61 5" Calcs'!M73*'10A61 5" Calcs'!L73,
IF(OR('VA Sizing'!$C$5="Normal",'VA Sizing'!$C$5="Actual"),'10A61 5" Calcs'!N73*'10A61 5" Calcs'!L73,"")))),IF('VA Sizing'!$C$4="Steam",Steam!$B$20,""))</f>
        <v/>
      </c>
      <c r="T73" t="str">
        <f>IFERROR(IF(AND('VA Sizing'!$C$3="Gas",'VA Sizing'!$C$4=" Other"),'Modified Inputs'!$G$2,
IF('VA Sizing'!$C$5="Standard",'10A61 5" Calcs'!P73+'10A61 5" Calcs'!Q73*'10A61 5" Calcs'!S73,
IF(OR('VA Sizing'!$C$5="Normal",'VA Sizing'!$C$5="Actual"),'10A61 5" Calcs'!P73+'10A61 5" Calcs'!Q73*'10A61 5" Calcs'!R73,""))),IF('VA Sizing'!$C$4="Steam",Steam!$C$20,""))</f>
        <v/>
      </c>
      <c r="AD73" s="7"/>
      <c r="AE73" s="7"/>
    </row>
    <row r="74" spans="1:43">
      <c r="A74" s="3" t="s">
        <v>215</v>
      </c>
      <c r="B74">
        <f t="array" ref="B74:C74">LINEST('10A61 5" Curves'!C32:G32,LN('10A61 5" Curves'!C31:G31))</f>
        <v>4.7255852732625454E-2</v>
      </c>
      <c r="C74">
        <v>-0.16646068504766809</v>
      </c>
      <c r="D74">
        <f t="array" ref="D74:E74">LINEST('10A61 5" Curves'!G32:L32,LN('10A61 5" Curves'!G31:L31))</f>
        <v>5.5560320912742454E-2</v>
      </c>
      <c r="E74">
        <v>-0.19661152684529073</v>
      </c>
      <c r="F74">
        <f t="array" ref="F74:G74">LINEST('10A61 5" Curves'!L32:Q32,LN('10A61 5" Curves'!L31:Q31))</f>
        <v>2.3705608932839174E-2</v>
      </c>
      <c r="G74">
        <v>7.7415135109961536E-2</v>
      </c>
      <c r="I74" t="s">
        <v>142</v>
      </c>
      <c r="J74">
        <f>'Modified Inputs'!$K$2</f>
        <v>140</v>
      </c>
      <c r="K74">
        <f>'Modified Inputs'!$I$2</f>
        <v>145</v>
      </c>
      <c r="L74" t="str">
        <f>IF(AND('VA Sizing'!$C$4=" Other",'VA Sizing'!$C$6="at Operating Conditions",'VA Sizing'!$C$5="Standard"),'10A61 5" Calcs'!O74/'10A61 5" Calcs'!M74,
IF(AND('VA Sizing'!$C$4=" Other",'VA Sizing'!$C$6="at Operating Conditions",OR('VA Sizing'!$C$5="Normal",'VA Sizing'!$C$5="Actual")),'10A61 5" Calcs'!O74/N74,
IF(AND('VA Sizing'!$C$4=" Other",'VA Sizing'!$C$6="at Reference Conditions"),'Modified Inputs'!$M$4,
IF(AND('VA Sizing'!$C$3="Gas",'VA Sizing'!$C$5="Standard"),VLOOKUP('VA Sizing'!$C$4,'10A61 5" Calcs'!$J$3:$K$29,2,FALSE),
IF(AND('VA Sizing'!$C$3="Gas",OR('VA Sizing'!$C$5="Actual",'VA Sizing'!$C$5="Normal")),VLOOKUP('VA Sizing'!$C$4,'10A61 5" Calcs'!$J$3:$L$29,3,FALSE),"")))))</f>
        <v/>
      </c>
      <c r="M74">
        <f t="shared" si="9"/>
        <v>8.7131519274376412</v>
      </c>
      <c r="N74">
        <f t="shared" si="1"/>
        <v>8.0884353741496593</v>
      </c>
      <c r="O74" t="str">
        <f>IFERROR(IF(AND('VA Sizing'!$C$3="Gas",'VA Sizing'!$C$6="at Operating Conditions"),'Modified Inputs'!$M$2,
IF(OR(AND('VA Sizing'!$C$4="Carbon Dioxide",'Modified Inputs'!$I$2&gt;70),'VA Sizing'!$C$4="Ammonia",'VA Sizing'!$C$4="Chlorine",'VA Sizing'!$C$4="Sulfur Dioxide"),'10A61 5" Calcs'!$G$27,
IF('VA Sizing'!$C$5="Standard",'10A61 5" Calcs'!M74*'10A61 5" Calcs'!L74,
IF(OR('VA Sizing'!$C$5="Normal",'VA Sizing'!$C$5="Actual"),'10A61 5" Calcs'!N74*'10A61 5" Calcs'!L74,"")))),IF('VA Sizing'!$C$4="Steam",Steam!$B$20,""))</f>
        <v/>
      </c>
      <c r="P74" t="e">
        <f>VLOOKUP('VA Sizing'!$C$4,'10A61 5" Calcs'!$J$3:$M$29,4,FALSE)</f>
        <v>#N/A</v>
      </c>
      <c r="Q74" t="e">
        <f>VLOOKUP('VA Sizing'!$C$4,'10A61 5" Calcs'!$J$3:$N$28,5,FALSE)</f>
        <v>#N/A</v>
      </c>
      <c r="R74">
        <f t="shared" si="10"/>
        <v>108</v>
      </c>
      <c r="S74">
        <f t="shared" si="11"/>
        <v>70</v>
      </c>
      <c r="T74" t="str">
        <f>IFERROR(IF(AND('VA Sizing'!$C$3="Gas",'VA Sizing'!$C$4=" Other"),'Modified Inputs'!$G$2,
IF('VA Sizing'!$C$5="Standard",'10A61 5" Calcs'!P74+'10A61 5" Calcs'!Q74*'10A61 5" Calcs'!S74,
IF(OR('VA Sizing'!$C$5="Normal",'VA Sizing'!$C$5="Actual"),'10A61 5" Calcs'!P74+'10A61 5" Calcs'!Q74*'10A61 5" Calcs'!R74,""))),IF('VA Sizing'!$C$4="Steam",Steam!$C$20,""))</f>
        <v/>
      </c>
      <c r="U74" t="e">
        <f>($E$5/T74)*SQRT((VLOOKUP(I74,$A$3:$B$8,2,FALSE)-O74)*O74)</f>
        <v>#VALUE!</v>
      </c>
      <c r="V74" t="e">
        <f>IF(U74&lt;($C$75+0.00001),-0.000000388581*(U74^2)+0.000491-0.0039,
IF(U74&lt;($E$75+0.00001),$D$74*LN(U74)+$E$74,
IF(U74&lt;($G$75+0.0001),$F$74*LN(U74)+$G$74,"")))</f>
        <v>#VALUE!</v>
      </c>
      <c r="W74" t="e">
        <f>(V74*$F$5)*SQRT((VLOOKUP(I74,$A$3:$B$8,2,FALSE)-O74)*O74)</f>
        <v>#VALUE!</v>
      </c>
      <c r="X74" t="str">
        <f>IF(AND('VA Sizing'!$C$3="Gas",'VA Sizing'!$C$4=" Other",NOT('VA Sizing'!$C$5="Actual"),'VA Sizing'!$C$6="at Operating Conditions"),'10A61 5" Calcs'!W74/'10A61 5" Calcs'!L74,
IF(AND('VA Sizing'!$C$3="Gas",'VA Sizing'!$C$4=" Other",NOT('VA Sizing'!$C$5="Actual"),'VA Sizing'!$C$6="at Reference Conditions"),'10A61 5" Calcs'!W74/'Modified Inputs'!$M$4,
IF('VA Sizing'!$C$5="Standard",W74/VLOOKUP('VA Sizing'!$C$4,'10A61 5" Calcs'!$J$3:$K$29,2,FALSE),
IF('VA Sizing'!$C$5="Normal",'10A61 5" Calcs'!W74/VLOOKUP('VA Sizing'!$C$4,'10A61 5" Calcs'!$J$3:$L$29,3,FALSE),
IF('VA Sizing'!$C$5="Actual",'10A61 5" Calcs'!W74/'10A61 5" Calcs'!O74,"")))))</f>
        <v/>
      </c>
      <c r="Y74">
        <f>($E$5/'Modified Inputs'!$G$2)*SQRT((VLOOKUP('10A61 5" Calcs'!I74,'10A61 5" Calcs'!$A$3:$B$8,2,FALSE)-'Modified Inputs'!$M$2)*'Modified Inputs'!$M$2)</f>
        <v>456.55575081253761</v>
      </c>
      <c r="Z74">
        <f>IF(Y74&lt;($C$75+0.00001),-0.000000388581*(Y74^2)+0.000491*Y74-0.0039,
IF(Y74&lt;($E$75+0.00001),$D$74*LN(Y74)+$E$74,
IF(Y74&lt;($G$75+0.0001),$F$74*LN(Y74)+$G$74,"")))</f>
        <v>0.14362381144747152</v>
      </c>
      <c r="AA74">
        <f>Z74*$F$5*SQRT((VLOOKUP(I74,$A$3:$B$8,2,FALSE)-'Modified Inputs'!$M$2)*'Modified Inputs'!$M$2)</f>
        <v>12.465224947952544</v>
      </c>
      <c r="AB74">
        <f>AA74/'Modified Inputs'!$M$2</f>
        <v>12.591136311063176</v>
      </c>
      <c r="AD74" s="63">
        <f>IF('VA Sizing'!$C$3="Gas",'10A61 5" Calcs'!X74,
IF('VA Sizing'!$C$3="Liquid",'10A61 5" Calcs'!AB74,""))</f>
        <v>12.591136311063176</v>
      </c>
      <c r="AE74" s="63" t="str">
        <f>CONCATENATE($A$74,"-",I74)</f>
        <v>1/8-12-CD</v>
      </c>
    </row>
    <row r="75" spans="1:43">
      <c r="A75" t="s">
        <v>159</v>
      </c>
      <c r="B75">
        <v>36</v>
      </c>
      <c r="C75">
        <v>400</v>
      </c>
      <c r="D75">
        <v>400</v>
      </c>
      <c r="E75">
        <v>6000</v>
      </c>
      <c r="F75">
        <v>6000</v>
      </c>
      <c r="G75">
        <v>120000</v>
      </c>
      <c r="I75" t="s">
        <v>21</v>
      </c>
      <c r="J75">
        <f>'Modified Inputs'!$K$2</f>
        <v>140</v>
      </c>
      <c r="K75">
        <f>'Modified Inputs'!$I$2</f>
        <v>145</v>
      </c>
      <c r="L75" t="str">
        <f>IF(AND('VA Sizing'!$C$4=" Other",'VA Sizing'!$C$6="at Operating Conditions",'VA Sizing'!$C$5="Standard"),'10A61 5" Calcs'!O75/'10A61 5" Calcs'!M75,
IF(AND('VA Sizing'!$C$4=" Other",'VA Sizing'!$C$6="at Operating Conditions",OR('VA Sizing'!$C$5="Normal",'VA Sizing'!$C$5="Actual")),'10A61 5" Calcs'!O75/N75,
IF(AND('VA Sizing'!$C$4=" Other",'VA Sizing'!$C$6="at Reference Conditions"),'Modified Inputs'!$M$4,
IF(AND('VA Sizing'!$C$3="Gas",'VA Sizing'!$C$5="Standard"),VLOOKUP('VA Sizing'!$C$4,'10A61 5" Calcs'!$J$3:$K$29,2,FALSE),
IF(AND('VA Sizing'!$C$3="Gas",OR('VA Sizing'!$C$5="Actual",'VA Sizing'!$C$5="Normal")),VLOOKUP('VA Sizing'!$C$4,'10A61 5" Calcs'!$J$3:$L$29,3,FALSE),"")))))</f>
        <v/>
      </c>
      <c r="M75">
        <f t="shared" si="9"/>
        <v>8.7131519274376412</v>
      </c>
      <c r="N75">
        <f t="shared" si="1"/>
        <v>8.0884353741496593</v>
      </c>
      <c r="O75" t="str">
        <f>IFERROR(IF(AND('VA Sizing'!$C$3="Gas",'VA Sizing'!$C$6="at Operating Conditions"),'Modified Inputs'!$M$2,
IF(OR(AND('VA Sizing'!$C$4="Carbon Dioxide",'Modified Inputs'!$I$2&gt;70),'VA Sizing'!$C$4="Ammonia",'VA Sizing'!$C$4="Chlorine",'VA Sizing'!$C$4="Sulfur Dioxide"),'10A61 5" Calcs'!$G$27,
IF('VA Sizing'!$C$5="Standard",'10A61 5" Calcs'!M75*'10A61 5" Calcs'!L75,
IF(OR('VA Sizing'!$C$5="Normal",'VA Sizing'!$C$5="Actual"),'10A61 5" Calcs'!N75*'10A61 5" Calcs'!L75,"")))),IF('VA Sizing'!$C$4="Steam",Steam!$B$20,""))</f>
        <v/>
      </c>
      <c r="P75" t="e">
        <f>VLOOKUP('VA Sizing'!$C$4,'10A61 5" Calcs'!$J$3:$M$29,4,FALSE)</f>
        <v>#N/A</v>
      </c>
      <c r="Q75" t="e">
        <f>VLOOKUP('VA Sizing'!$C$4,'10A61 5" Calcs'!$J$3:$N$28,5,FALSE)</f>
        <v>#N/A</v>
      </c>
      <c r="R75">
        <f t="shared" si="10"/>
        <v>108</v>
      </c>
      <c r="S75">
        <f t="shared" si="11"/>
        <v>70</v>
      </c>
      <c r="T75" t="str">
        <f>IFERROR(IF(AND('VA Sizing'!$C$3="Gas",'VA Sizing'!$C$4=" Other"),'Modified Inputs'!$G$2,
IF('VA Sizing'!$C$5="Standard",'10A61 5" Calcs'!P75+'10A61 5" Calcs'!Q75*'10A61 5" Calcs'!S75,
IF(OR('VA Sizing'!$C$5="Normal",'VA Sizing'!$C$5="Actual"),'10A61 5" Calcs'!P75+'10A61 5" Calcs'!Q75*'10A61 5" Calcs'!R75,""))),IF('VA Sizing'!$C$4="Steam",Steam!$C$20,""))</f>
        <v/>
      </c>
      <c r="U75" t="e">
        <f t="shared" ref="U75:U85" si="30">($E$5/T75)*SQRT((VLOOKUP(I75,$A$3:$B$8,2,FALSE)-O75)*O75)</f>
        <v>#VALUE!</v>
      </c>
      <c r="V75" t="e">
        <f t="shared" ref="V75:V79" si="31">IF(U75&lt;($C$75+0.00001),-0.000000388581*(U75^2)+0.000491-0.0039,
IF(U75&lt;($E$75+0.00001),$D$74*LN(U75)+$E$74,
IF(U75&lt;($G$75+0.0001),$F$74*LN(U75)+$G$74,"")))</f>
        <v>#VALUE!</v>
      </c>
      <c r="W75" t="e">
        <f t="shared" ref="W75:W86" si="32">(V75*$F$5)*SQRT((VLOOKUP(I75,$A$3:$B$8,2,FALSE)-O75)*O75)</f>
        <v>#VALUE!</v>
      </c>
      <c r="X75" t="str">
        <f>IF(AND('VA Sizing'!$C$3="Gas",'VA Sizing'!$C$4=" Other",NOT('VA Sizing'!$C$5="Actual"),'VA Sizing'!$C$6="at Operating Conditions"),'10A61 5" Calcs'!W75/'10A61 5" Calcs'!L75,
IF(AND('VA Sizing'!$C$3="Gas",'VA Sizing'!$C$4=" Other",NOT('VA Sizing'!$C$5="Actual"),'VA Sizing'!$C$6="at Reference Conditions"),'10A61 5" Calcs'!W75/'Modified Inputs'!$M$4,
IF('VA Sizing'!$C$5="Standard",W75/VLOOKUP('VA Sizing'!$C$4,'10A61 5" Calcs'!$J$3:$K$29,2,FALSE),
IF('VA Sizing'!$C$5="Normal",'10A61 5" Calcs'!W75/VLOOKUP('VA Sizing'!$C$4,'10A61 5" Calcs'!$J$3:$L$29,3,FALSE),
IF('VA Sizing'!$C$5="Actual",'10A61 5" Calcs'!W75/'10A61 5" Calcs'!O75,"")))))</f>
        <v/>
      </c>
      <c r="Y75">
        <f>($E$5/'Modified Inputs'!$G$2)*SQRT((VLOOKUP('10A61 5" Calcs'!I75,'10A61 5" Calcs'!$A$3:$B$8,2,FALSE)-'Modified Inputs'!$M$2)*'Modified Inputs'!$M$2)</f>
        <v>695.07962248939509</v>
      </c>
      <c r="Z75">
        <f t="shared" ref="Z75:Z79" si="33">IF(Y75&lt;($C$75+0.00001),-0.000000388581*(Y75^2)+0.000491*Y75-0.0039,
IF(Y75&lt;($E$75+0.00001),$D$74*LN(Y75)+$E$74,
IF(Y75&lt;($G$75+0.0001),$F$74*LN(Y75)+$G$74,"")))</f>
        <v>0.16697668020772452</v>
      </c>
      <c r="AA75">
        <f>Z75*$F$5*SQRT((VLOOKUP(I75,$A$3:$B$8,2,FALSE)-'Modified Inputs'!$M$2)*'Modified Inputs'!$M$2)</f>
        <v>22.063287986056416</v>
      </c>
      <c r="AB75">
        <f>AA75/'Modified Inputs'!$M$2</f>
        <v>22.286149480865067</v>
      </c>
      <c r="AD75" s="7">
        <f>IF('VA Sizing'!$C$3="Gas",'10A61 5" Calcs'!X75,
IF('VA Sizing'!$C$3="Liquid",'10A61 5" Calcs'!AB75,""))</f>
        <v>22.286149480865067</v>
      </c>
      <c r="AE75" s="7" t="str">
        <f t="shared" ref="AE75:AE79" si="34">CONCATENATE($A$74,"-",I75)</f>
        <v>1/8-12-SA</v>
      </c>
    </row>
    <row r="76" spans="1:43">
      <c r="I76" t="s">
        <v>23</v>
      </c>
      <c r="J76">
        <f>'Modified Inputs'!$K$2</f>
        <v>140</v>
      </c>
      <c r="K76">
        <f>'Modified Inputs'!$I$2</f>
        <v>145</v>
      </c>
      <c r="L76" t="str">
        <f>IF(AND('VA Sizing'!$C$4=" Other",'VA Sizing'!$C$6="at Operating Conditions",'VA Sizing'!$C$5="Standard"),'10A61 5" Calcs'!O76/'10A61 5" Calcs'!M76,
IF(AND('VA Sizing'!$C$4=" Other",'VA Sizing'!$C$6="at Operating Conditions",OR('VA Sizing'!$C$5="Normal",'VA Sizing'!$C$5="Actual")),'10A61 5" Calcs'!O76/N76,
IF(AND('VA Sizing'!$C$4=" Other",'VA Sizing'!$C$6="at Reference Conditions"),'Modified Inputs'!$M$4,
IF(AND('VA Sizing'!$C$3="Gas",'VA Sizing'!$C$5="Standard"),VLOOKUP('VA Sizing'!$C$4,'10A61 5" Calcs'!$J$3:$K$29,2,FALSE),
IF(AND('VA Sizing'!$C$3="Gas",OR('VA Sizing'!$C$5="Actual",'VA Sizing'!$C$5="Normal")),VLOOKUP('VA Sizing'!$C$4,'10A61 5" Calcs'!$J$3:$L$29,3,FALSE),"")))))</f>
        <v/>
      </c>
      <c r="M76">
        <f t="shared" si="9"/>
        <v>8.7131519274376412</v>
      </c>
      <c r="N76">
        <f t="shared" si="1"/>
        <v>8.0884353741496593</v>
      </c>
      <c r="O76" t="str">
        <f>IFERROR(IF(AND('VA Sizing'!$C$3="Gas",'VA Sizing'!$C$6="at Operating Conditions"),'Modified Inputs'!$M$2,
IF(OR(AND('VA Sizing'!$C$4="Carbon Dioxide",'Modified Inputs'!$I$2&gt;70),'VA Sizing'!$C$4="Ammonia",'VA Sizing'!$C$4="Chlorine",'VA Sizing'!$C$4="Sulfur Dioxide"),'10A61 5" Calcs'!$G$27,
IF('VA Sizing'!$C$5="Standard",'10A61 5" Calcs'!M76*'10A61 5" Calcs'!L76,
IF(OR('VA Sizing'!$C$5="Normal",'VA Sizing'!$C$5="Actual"),'10A61 5" Calcs'!N76*'10A61 5" Calcs'!L76,"")))),IF('VA Sizing'!$C$4="Steam",Steam!$B$20,""))</f>
        <v/>
      </c>
      <c r="P76" t="e">
        <f>VLOOKUP('VA Sizing'!$C$4,'10A61 5" Calcs'!$J$3:$M$29,4,FALSE)</f>
        <v>#N/A</v>
      </c>
      <c r="Q76" t="e">
        <f>VLOOKUP('VA Sizing'!$C$4,'10A61 5" Calcs'!$J$3:$N$28,5,FALSE)</f>
        <v>#N/A</v>
      </c>
      <c r="R76">
        <f t="shared" si="10"/>
        <v>108</v>
      </c>
      <c r="S76">
        <f t="shared" si="11"/>
        <v>70</v>
      </c>
      <c r="T76" t="str">
        <f>IFERROR(IF(AND('VA Sizing'!$C$3="Gas",'VA Sizing'!$C$4=" Other"),'Modified Inputs'!$G$2,
IF('VA Sizing'!$C$5="Standard",'10A61 5" Calcs'!P76+'10A61 5" Calcs'!Q76*'10A61 5" Calcs'!S76,
IF(OR('VA Sizing'!$C$5="Normal",'VA Sizing'!$C$5="Actual"),'10A61 5" Calcs'!P76+'10A61 5" Calcs'!Q76*'10A61 5" Calcs'!R76,""))),IF('VA Sizing'!$C$4="Steam",Steam!$C$20,""))</f>
        <v/>
      </c>
      <c r="U76" t="e">
        <f t="shared" si="30"/>
        <v>#VALUE!</v>
      </c>
      <c r="V76" t="e">
        <f t="shared" si="31"/>
        <v>#VALUE!</v>
      </c>
      <c r="W76" t="e">
        <f t="shared" si="32"/>
        <v>#VALUE!</v>
      </c>
      <c r="X76" t="str">
        <f>IF(AND('VA Sizing'!$C$3="Gas",'VA Sizing'!$C$4=" Other",NOT('VA Sizing'!$C$5="Actual"),'VA Sizing'!$C$6="at Operating Conditions"),'10A61 5" Calcs'!W76/'10A61 5" Calcs'!L76,
IF(AND('VA Sizing'!$C$3="Gas",'VA Sizing'!$C$4=" Other",NOT('VA Sizing'!$C$5="Actual"),'VA Sizing'!$C$6="at Reference Conditions"),'10A61 5" Calcs'!W76/'Modified Inputs'!$M$4,
IF('VA Sizing'!$C$5="Standard",W76/VLOOKUP('VA Sizing'!$C$4,'10A61 5" Calcs'!$J$3:$K$29,2,FALSE),
IF('VA Sizing'!$C$5="Normal",'10A61 5" Calcs'!W76/VLOOKUP('VA Sizing'!$C$4,'10A61 5" Calcs'!$J$3:$L$29,3,FALSE),
IF('VA Sizing'!$C$5="Actual",'10A61 5" Calcs'!W76/'10A61 5" Calcs'!O76,"")))))</f>
        <v/>
      </c>
      <c r="Y76">
        <f>($E$5/'Modified Inputs'!$G$2)*SQRT((VLOOKUP('10A61 5" Calcs'!I76,'10A61 5" Calcs'!$A$3:$B$8,2,FALSE)-'Modified Inputs'!$M$2)*'Modified Inputs'!$M$2)</f>
        <v>1065.8022308102004</v>
      </c>
      <c r="Z76">
        <f t="shared" si="33"/>
        <v>0.19072630936972026</v>
      </c>
      <c r="AA76">
        <f>Z76*$F$5*SQRT((VLOOKUP(I76,$A$3:$B$8,2,FALSE)-'Modified Inputs'!$M$2)*'Modified Inputs'!$M$2)</f>
        <v>38.642666328797326</v>
      </c>
      <c r="AB76">
        <f>AA76/'Modified Inputs'!$M$2</f>
        <v>39.032996291714468</v>
      </c>
      <c r="AD76" s="7">
        <f>IF('VA Sizing'!$C$3="Gas",'10A61 5" Calcs'!X76,
IF('VA Sizing'!$C$3="Liquid",'10A61 5" Calcs'!AB76,""))</f>
        <v>39.032996291714468</v>
      </c>
      <c r="AE76" s="7" t="str">
        <f t="shared" si="34"/>
        <v>1/8-12-SS</v>
      </c>
    </row>
    <row r="77" spans="1:43">
      <c r="I77" t="s">
        <v>26</v>
      </c>
      <c r="J77">
        <f>'Modified Inputs'!$K$2</f>
        <v>140</v>
      </c>
      <c r="K77">
        <f>'Modified Inputs'!$I$2</f>
        <v>145</v>
      </c>
      <c r="L77" t="str">
        <f>IF(AND('VA Sizing'!$C$4=" Other",'VA Sizing'!$C$6="at Operating Conditions",'VA Sizing'!$C$5="Standard"),'10A61 5" Calcs'!O77/'10A61 5" Calcs'!M77,
IF(AND('VA Sizing'!$C$4=" Other",'VA Sizing'!$C$6="at Operating Conditions",OR('VA Sizing'!$C$5="Normal",'VA Sizing'!$C$5="Actual")),'10A61 5" Calcs'!O77/N77,
IF(AND('VA Sizing'!$C$4=" Other",'VA Sizing'!$C$6="at Reference Conditions"),'Modified Inputs'!$M$4,
IF(AND('VA Sizing'!$C$3="Gas",'VA Sizing'!$C$5="Standard"),VLOOKUP('VA Sizing'!$C$4,'10A61 5" Calcs'!$J$3:$K$29,2,FALSE),
IF(AND('VA Sizing'!$C$3="Gas",OR('VA Sizing'!$C$5="Actual",'VA Sizing'!$C$5="Normal")),VLOOKUP('VA Sizing'!$C$4,'10A61 5" Calcs'!$J$3:$L$29,3,FALSE),"")))))</f>
        <v/>
      </c>
      <c r="M77">
        <f t="shared" si="9"/>
        <v>8.7131519274376412</v>
      </c>
      <c r="N77">
        <f t="shared" si="1"/>
        <v>8.0884353741496593</v>
      </c>
      <c r="O77" t="str">
        <f>IFERROR(IF(AND('VA Sizing'!$C$3="Gas",'VA Sizing'!$C$6="at Operating Conditions"),'Modified Inputs'!$M$2,
IF(OR(AND('VA Sizing'!$C$4="Carbon Dioxide",'Modified Inputs'!$I$2&gt;70),'VA Sizing'!$C$4="Ammonia",'VA Sizing'!$C$4="Chlorine",'VA Sizing'!$C$4="Sulfur Dioxide"),'10A61 5" Calcs'!$G$27,
IF('VA Sizing'!$C$5="Standard",'10A61 5" Calcs'!M77*'10A61 5" Calcs'!L77,
IF(OR('VA Sizing'!$C$5="Normal",'VA Sizing'!$C$5="Actual"),'10A61 5" Calcs'!N77*'10A61 5" Calcs'!L77,"")))),IF('VA Sizing'!$C$4="Steam",Steam!$B$20,""))</f>
        <v/>
      </c>
      <c r="P77" t="e">
        <f>VLOOKUP('VA Sizing'!$C$4,'10A61 5" Calcs'!$J$3:$M$29,4,FALSE)</f>
        <v>#N/A</v>
      </c>
      <c r="Q77" t="e">
        <f>VLOOKUP('VA Sizing'!$C$4,'10A61 5" Calcs'!$J$3:$N$28,5,FALSE)</f>
        <v>#N/A</v>
      </c>
      <c r="R77">
        <f t="shared" si="10"/>
        <v>108</v>
      </c>
      <c r="S77">
        <f t="shared" si="11"/>
        <v>70</v>
      </c>
      <c r="T77" t="str">
        <f>IFERROR(IF(AND('VA Sizing'!$C$3="Gas",'VA Sizing'!$C$4=" Other"),'Modified Inputs'!$G$2,
IF('VA Sizing'!$C$5="Standard",'10A61 5" Calcs'!P77+'10A61 5" Calcs'!Q77*'10A61 5" Calcs'!S77,
IF(OR('VA Sizing'!$C$5="Normal",'VA Sizing'!$C$5="Actual"),'10A61 5" Calcs'!P77+'10A61 5" Calcs'!Q77*'10A61 5" Calcs'!R77,""))),IF('VA Sizing'!$C$4="Steam",Steam!$C$20,""))</f>
        <v/>
      </c>
      <c r="U77" t="e">
        <f t="shared" si="30"/>
        <v>#VALUE!</v>
      </c>
      <c r="V77" t="e">
        <f t="shared" si="31"/>
        <v>#VALUE!</v>
      </c>
      <c r="W77" t="e">
        <f t="shared" si="32"/>
        <v>#VALUE!</v>
      </c>
      <c r="X77" t="str">
        <f>IF(AND('VA Sizing'!$C$3="Gas",'VA Sizing'!$C$4=" Other",NOT('VA Sizing'!$C$5="Actual"),'VA Sizing'!$C$6="at Operating Conditions"),'10A61 5" Calcs'!W77/'10A61 5" Calcs'!L77,
IF(AND('VA Sizing'!$C$3="Gas",'VA Sizing'!$C$4=" Other",NOT('VA Sizing'!$C$5="Actual"),'VA Sizing'!$C$6="at Reference Conditions"),'10A61 5" Calcs'!W77/'Modified Inputs'!$M$4,
IF('VA Sizing'!$C$5="Standard",W77/VLOOKUP('VA Sizing'!$C$4,'10A61 5" Calcs'!$J$3:$K$29,2,FALSE),
IF('VA Sizing'!$C$5="Normal",'10A61 5" Calcs'!W77/VLOOKUP('VA Sizing'!$C$4,'10A61 5" Calcs'!$J$3:$L$29,3,FALSE),
IF('VA Sizing'!$C$5="Actual",'10A61 5" Calcs'!W77/'10A61 5" Calcs'!O77,"")))))</f>
        <v/>
      </c>
      <c r="Y77">
        <f>($E$5/'Modified Inputs'!$G$2)*SQRT((VLOOKUP('10A61 5" Calcs'!I77,'10A61 5" Calcs'!$A$3:$B$8,2,FALSE)-'Modified Inputs'!$M$2)*'Modified Inputs'!$M$2)</f>
        <v>1504.5895115944415</v>
      </c>
      <c r="Z77">
        <f t="shared" si="33"/>
        <v>0.20988308172071338</v>
      </c>
      <c r="AA77">
        <f>Z77*$F$5*SQRT((VLOOKUP(I77,$A$3:$B$8,2,FALSE)-'Modified Inputs'!$M$2)*'Modified Inputs'!$M$2)</f>
        <v>60.030963976510925</v>
      </c>
      <c r="AB77">
        <f>AA77/'Modified Inputs'!$M$2</f>
        <v>60.637337350011038</v>
      </c>
      <c r="AD77" s="7">
        <f>IF('VA Sizing'!$C$3="Gas",'10A61 5" Calcs'!X77,
IF('VA Sizing'!$C$3="Liquid",'10A61 5" Calcs'!AB77,""))</f>
        <v>60.637337350011038</v>
      </c>
      <c r="AE77" s="7" t="str">
        <f t="shared" si="34"/>
        <v>1/8-12-CA</v>
      </c>
    </row>
    <row r="78" spans="1:43">
      <c r="I78" t="s">
        <v>126</v>
      </c>
      <c r="J78">
        <f>'Modified Inputs'!$K$2</f>
        <v>140</v>
      </c>
      <c r="K78">
        <f>'Modified Inputs'!$I$2</f>
        <v>145</v>
      </c>
      <c r="L78" t="str">
        <f>IF(AND('VA Sizing'!$C$4=" Other",'VA Sizing'!$C$6="at Operating Conditions",'VA Sizing'!$C$5="Standard"),'10A61 5" Calcs'!O78/'10A61 5" Calcs'!M78,
IF(AND('VA Sizing'!$C$4=" Other",'VA Sizing'!$C$6="at Operating Conditions",OR('VA Sizing'!$C$5="Normal",'VA Sizing'!$C$5="Actual")),'10A61 5" Calcs'!O78/N78,
IF(AND('VA Sizing'!$C$4=" Other",'VA Sizing'!$C$6="at Reference Conditions"),'Modified Inputs'!$M$4,
IF(AND('VA Sizing'!$C$3="Gas",'VA Sizing'!$C$5="Standard"),VLOOKUP('VA Sizing'!$C$4,'10A61 5" Calcs'!$J$3:$K$29,2,FALSE),
IF(AND('VA Sizing'!$C$3="Gas",OR('VA Sizing'!$C$5="Actual",'VA Sizing'!$C$5="Normal")),VLOOKUP('VA Sizing'!$C$4,'10A61 5" Calcs'!$J$3:$L$29,3,FALSE),"")))))</f>
        <v/>
      </c>
      <c r="M78">
        <f t="shared" si="9"/>
        <v>8.7131519274376412</v>
      </c>
      <c r="N78">
        <f t="shared" si="1"/>
        <v>8.0884353741496593</v>
      </c>
      <c r="O78" t="str">
        <f>IFERROR(IF(AND('VA Sizing'!$C$3="Gas",'VA Sizing'!$C$6="at Operating Conditions"),'Modified Inputs'!$M$2,
IF(OR(AND('VA Sizing'!$C$4="Carbon Dioxide",'Modified Inputs'!$I$2&gt;70),'VA Sizing'!$C$4="Ammonia",'VA Sizing'!$C$4="Chlorine",'VA Sizing'!$C$4="Sulfur Dioxide"),'10A61 5" Calcs'!$G$27,
IF('VA Sizing'!$C$5="Standard",'10A61 5" Calcs'!M78*'10A61 5" Calcs'!L78,
IF(OR('VA Sizing'!$C$5="Normal",'VA Sizing'!$C$5="Actual"),'10A61 5" Calcs'!N78*'10A61 5" Calcs'!L78,"")))),IF('VA Sizing'!$C$4="Steam",Steam!$B$20,""))</f>
        <v/>
      </c>
      <c r="P78" t="e">
        <f>VLOOKUP('VA Sizing'!$C$4,'10A61 5" Calcs'!$J$3:$M$29,4,FALSE)</f>
        <v>#N/A</v>
      </c>
      <c r="Q78" t="e">
        <f>VLOOKUP('VA Sizing'!$C$4,'10A61 5" Calcs'!$J$3:$N$28,5,FALSE)</f>
        <v>#N/A</v>
      </c>
      <c r="R78">
        <f t="shared" si="10"/>
        <v>108</v>
      </c>
      <c r="S78">
        <f t="shared" si="11"/>
        <v>70</v>
      </c>
      <c r="T78" t="str">
        <f>IFERROR(IF(AND('VA Sizing'!$C$3="Gas",'VA Sizing'!$C$4=" Other"),'Modified Inputs'!$G$2,
IF('VA Sizing'!$C$5="Standard",'10A61 5" Calcs'!P78+'10A61 5" Calcs'!Q78*'10A61 5" Calcs'!S78,
IF(OR('VA Sizing'!$C$5="Normal",'VA Sizing'!$C$5="Actual"),'10A61 5" Calcs'!P78+'10A61 5" Calcs'!Q78*'10A61 5" Calcs'!R78,""))),IF('VA Sizing'!$C$4="Steam",Steam!$C$20,""))</f>
        <v/>
      </c>
      <c r="U78" t="e">
        <f t="shared" si="30"/>
        <v>#VALUE!</v>
      </c>
      <c r="V78" t="e">
        <f t="shared" si="31"/>
        <v>#VALUE!</v>
      </c>
      <c r="W78" t="e">
        <f t="shared" si="32"/>
        <v>#VALUE!</v>
      </c>
      <c r="X78" t="str">
        <f>IF(AND('VA Sizing'!$C$3="Gas",'VA Sizing'!$C$4=" Other",NOT('VA Sizing'!$C$5="Actual"),'VA Sizing'!$C$6="at Operating Conditions"),'10A61 5" Calcs'!W78/'10A61 5" Calcs'!L78,
IF(AND('VA Sizing'!$C$3="Gas",'VA Sizing'!$C$4=" Other",NOT('VA Sizing'!$C$5="Actual"),'VA Sizing'!$C$6="at Reference Conditions"),'10A61 5" Calcs'!W78/'Modified Inputs'!$M$4,
IF('VA Sizing'!$C$5="Standard",W78/VLOOKUP('VA Sizing'!$C$4,'10A61 5" Calcs'!$J$3:$K$29,2,FALSE),
IF('VA Sizing'!$C$5="Normal",'10A61 5" Calcs'!W78/VLOOKUP('VA Sizing'!$C$4,'10A61 5" Calcs'!$J$3:$L$29,3,FALSE),
IF('VA Sizing'!$C$5="Actual",'10A61 5" Calcs'!W78/'10A61 5" Calcs'!O78,"")))))</f>
        <v/>
      </c>
      <c r="Y78">
        <f>($E$5/'Modified Inputs'!$G$2)*SQRT((VLOOKUP('10A61 5" Calcs'!I78,'10A61 5" Calcs'!$A$3:$B$8,2,FALSE)-'Modified Inputs'!$M$2)*'Modified Inputs'!$M$2)</f>
        <v>1588.1825280489647</v>
      </c>
      <c r="Z78">
        <f t="shared" si="33"/>
        <v>0.21288723866720208</v>
      </c>
      <c r="AA78">
        <f>Z78*$F$5*SQRT((VLOOKUP(I78,$A$3:$B$8,2,FALSE)-'Modified Inputs'!$M$2)*'Modified Inputs'!$M$2)</f>
        <v>64.273196273268638</v>
      </c>
      <c r="AB78">
        <f>AA78/'Modified Inputs'!$M$2</f>
        <v>64.922420478049133</v>
      </c>
      <c r="AD78" s="7">
        <f>IF('VA Sizing'!$C$3="Gas",'10A61 5" Calcs'!X78,
IF('VA Sizing'!$C$3="Liquid",'10A61 5" Calcs'!AB78,""))</f>
        <v>64.922420478049133</v>
      </c>
      <c r="AE78" s="7" t="str">
        <f t="shared" si="34"/>
        <v>1/8-12-TA</v>
      </c>
    </row>
    <row r="79" spans="1:43">
      <c r="I79" t="s">
        <v>18</v>
      </c>
      <c r="J79">
        <f>'Modified Inputs'!$K$2</f>
        <v>140</v>
      </c>
      <c r="K79">
        <f>'Modified Inputs'!$I$2</f>
        <v>145</v>
      </c>
      <c r="L79" t="str">
        <f>IF(AND('VA Sizing'!$C$4=" Other",'VA Sizing'!$C$6="at Operating Conditions",'VA Sizing'!$C$5="Standard"),'10A61 5" Calcs'!O79/'10A61 5" Calcs'!M79,
IF(AND('VA Sizing'!$C$4=" Other",'VA Sizing'!$C$6="at Operating Conditions",OR('VA Sizing'!$C$5="Normal",'VA Sizing'!$C$5="Actual")),'10A61 5" Calcs'!O79/N79,
IF(AND('VA Sizing'!$C$4=" Other",'VA Sizing'!$C$6="at Reference Conditions"),'Modified Inputs'!$M$4,
IF(AND('VA Sizing'!$C$3="Gas",'VA Sizing'!$C$5="Standard"),VLOOKUP('VA Sizing'!$C$4,'10A61 5" Calcs'!$J$3:$K$29,2,FALSE),
IF(AND('VA Sizing'!$C$3="Gas",OR('VA Sizing'!$C$5="Actual",'VA Sizing'!$C$5="Normal")),VLOOKUP('VA Sizing'!$C$4,'10A61 5" Calcs'!$J$3:$L$29,3,FALSE),"")))))</f>
        <v/>
      </c>
      <c r="M79">
        <f t="shared" si="9"/>
        <v>8.7131519274376412</v>
      </c>
      <c r="N79">
        <f t="shared" si="1"/>
        <v>8.0884353741496593</v>
      </c>
      <c r="O79" t="str">
        <f>IFERROR(IF(AND('VA Sizing'!$C$3="Gas",'VA Sizing'!$C$6="at Operating Conditions"),'Modified Inputs'!$M$2,
IF(OR(AND('VA Sizing'!$C$4="Carbon Dioxide",'Modified Inputs'!$I$2&gt;70),'VA Sizing'!$C$4="Ammonia",'VA Sizing'!$C$4="Chlorine",'VA Sizing'!$C$4="Sulfur Dioxide"),'10A61 5" Calcs'!$G$27,
IF('VA Sizing'!$C$5="Standard",'10A61 5" Calcs'!M79*'10A61 5" Calcs'!L79,
IF(OR('VA Sizing'!$C$5="Normal",'VA Sizing'!$C$5="Actual"),'10A61 5" Calcs'!N79*'10A61 5" Calcs'!L79,"")))),IF('VA Sizing'!$C$4="Steam",Steam!$B$20,""))</f>
        <v/>
      </c>
      <c r="P79" t="e">
        <f>VLOOKUP('VA Sizing'!$C$4,'10A61 5" Calcs'!$J$3:$M$29,4,FALSE)</f>
        <v>#N/A</v>
      </c>
      <c r="Q79" t="e">
        <f>VLOOKUP('VA Sizing'!$C$4,'10A61 5" Calcs'!$J$3:$N$28,5,FALSE)</f>
        <v>#N/A</v>
      </c>
      <c r="R79">
        <f t="shared" si="10"/>
        <v>108</v>
      </c>
      <c r="S79">
        <f t="shared" si="11"/>
        <v>70</v>
      </c>
      <c r="T79" t="str">
        <f>IFERROR(IF(AND('VA Sizing'!$C$3="Gas",'VA Sizing'!$C$4=" Other"),'Modified Inputs'!$G$2,
IF('VA Sizing'!$C$5="Standard",'10A61 5" Calcs'!P79+'10A61 5" Calcs'!Q79*'10A61 5" Calcs'!S79,
IF(OR('VA Sizing'!$C$5="Normal",'VA Sizing'!$C$5="Actual"),'10A61 5" Calcs'!P79+'10A61 5" Calcs'!Q79*'10A61 5" Calcs'!R79,""))),IF('VA Sizing'!$C$4="Steam",Steam!$C$20,""))</f>
        <v/>
      </c>
      <c r="U79" t="e">
        <f t="shared" si="30"/>
        <v>#VALUE!</v>
      </c>
      <c r="V79" t="e">
        <f t="shared" si="31"/>
        <v>#VALUE!</v>
      </c>
      <c r="W79" t="e">
        <f t="shared" si="32"/>
        <v>#VALUE!</v>
      </c>
      <c r="X79" t="str">
        <f>IF(AND('VA Sizing'!$C$3="Gas",'VA Sizing'!$C$4=" Other",NOT('VA Sizing'!$C$5="Actual"),'VA Sizing'!$C$6="at Operating Conditions"),'10A61 5" Calcs'!W79/'10A61 5" Calcs'!L79,
IF(AND('VA Sizing'!$C$3="Gas",'VA Sizing'!$C$4=" Other",NOT('VA Sizing'!$C$5="Actual"),'VA Sizing'!$C$6="at Reference Conditions"),'10A61 5" Calcs'!W79/'Modified Inputs'!$M$4,
IF('VA Sizing'!$C$5="Standard",W79/VLOOKUP('VA Sizing'!$C$4,'10A61 5" Calcs'!$J$3:$K$29,2,FALSE),
IF('VA Sizing'!$C$5="Normal",'10A61 5" Calcs'!W79/VLOOKUP('VA Sizing'!$C$4,'10A61 5" Calcs'!$J$3:$L$29,3,FALSE),
IF('VA Sizing'!$C$5="Actual",'10A61 5" Calcs'!W79/'10A61 5" Calcs'!O79,"")))))</f>
        <v/>
      </c>
      <c r="Y79">
        <f>($E$5/'Modified Inputs'!$G$2)*SQRT((VLOOKUP('10A61 5" Calcs'!I79,'10A61 5" Calcs'!$A$3:$B$8,2,FALSE)-'Modified Inputs'!$M$2)*'Modified Inputs'!$M$2)</f>
        <v>500.45474520679693</v>
      </c>
      <c r="Z79">
        <f t="shared" si="33"/>
        <v>0.14872460206415059</v>
      </c>
      <c r="AA79">
        <f>Z79*$F$5*SQRT((VLOOKUP(I79,$A$3:$B$8,2,FALSE)-'Modified Inputs'!$M$2)*'Modified Inputs'!$M$2)</f>
        <v>14.149056538359778</v>
      </c>
      <c r="AB79">
        <f>AA79/'Modified Inputs'!$M$2</f>
        <v>14.291976301373513</v>
      </c>
      <c r="AD79" s="7">
        <f>IF('VA Sizing'!$C$3="Gas",'10A61 5" Calcs'!X79,
IF('VA Sizing'!$C$3="Liquid",'10A61 5" Calcs'!AB79,""))</f>
        <v>14.291976301373513</v>
      </c>
      <c r="AE79" s="7" t="str">
        <f t="shared" si="34"/>
        <v>1/8-12-BG</v>
      </c>
    </row>
    <row r="80" spans="1:43">
      <c r="O80" t="str">
        <f>IFERROR(IF(AND('VA Sizing'!$C$3="Gas",'VA Sizing'!$C$6="at Operating Conditions"),'Modified Inputs'!$M$2,
IF(OR(AND('VA Sizing'!$C$4="Carbon Dioxide",'Modified Inputs'!$I$2&gt;70),'VA Sizing'!$C$4="Ammonia",'VA Sizing'!$C$4="Chlorine",'VA Sizing'!$C$4="Sulfur Dioxide"),'10A61 5" Calcs'!$G$27,
IF('VA Sizing'!$C$5="Standard",'10A61 5" Calcs'!M80*'10A61 5" Calcs'!L80,
IF(OR('VA Sizing'!$C$5="Normal",'VA Sizing'!$C$5="Actual"),'10A61 5" Calcs'!N80*'10A61 5" Calcs'!L80,"")))),IF('VA Sizing'!$C$4="Steam",Steam!$B$20,""))</f>
        <v/>
      </c>
      <c r="T80" t="str">
        <f>IFERROR(IF(AND('VA Sizing'!$C$3="Gas",'VA Sizing'!$C$4=" Other"),'Modified Inputs'!$G$2,
IF('VA Sizing'!$C$5="Standard",'10A61 5" Calcs'!P80+'10A61 5" Calcs'!Q80*'10A61 5" Calcs'!S80,
IF(OR('VA Sizing'!$C$5="Normal",'VA Sizing'!$C$5="Actual"),'10A61 5" Calcs'!P80+'10A61 5" Calcs'!Q80*'10A61 5" Calcs'!R80,""))),IF('VA Sizing'!$C$4="Steam",Steam!$C$20,""))</f>
        <v/>
      </c>
      <c r="AD80" s="7"/>
      <c r="AE80" s="7"/>
    </row>
    <row r="81" spans="1:31">
      <c r="A81" s="3" t="s">
        <v>216</v>
      </c>
      <c r="B81">
        <f t="array" ref="B81:C81">LINEST('10A61 5" Curves'!C39:I39,LN('10A61 5" Curves'!C38:I38))</f>
        <v>2.7090217810864719E-2</v>
      </c>
      <c r="C81">
        <v>-0.10552270173101685</v>
      </c>
      <c r="D81">
        <f t="array" ref="D81:E81">LINEST('10A61 5" Curves'!I39:N39,LN('10A61 5" Curves'!I38:N38))</f>
        <v>3.6864230379455472E-2</v>
      </c>
      <c r="E81">
        <v>-0.15303689113769881</v>
      </c>
      <c r="F81">
        <f t="array" ref="F81:G81">LINEST('10A61 5" Curves'!N39:Q39,LN('10A61 5" Curves'!N38:Q38))</f>
        <v>1.5449270343535326E-2</v>
      </c>
      <c r="G81">
        <v>4.1407611540326239E-2</v>
      </c>
      <c r="I81" t="s">
        <v>142</v>
      </c>
      <c r="J81">
        <f>'Modified Inputs'!$K$2</f>
        <v>140</v>
      </c>
      <c r="K81">
        <f>'Modified Inputs'!$I$2</f>
        <v>145</v>
      </c>
      <c r="L81" t="str">
        <f>IF(AND('VA Sizing'!$C$4=" Other",'VA Sizing'!$C$6="at Operating Conditions",'VA Sizing'!$C$5="Standard"),'10A61 5" Calcs'!O81/'10A61 5" Calcs'!M81,
IF(AND('VA Sizing'!$C$4=" Other",'VA Sizing'!$C$6="at Operating Conditions",OR('VA Sizing'!$C$5="Normal",'VA Sizing'!$C$5="Actual")),'10A61 5" Calcs'!O81/N81,
IF(AND('VA Sizing'!$C$4=" Other",'VA Sizing'!$C$6="at Reference Conditions"),'Modified Inputs'!$M$4,
IF(AND('VA Sizing'!$C$3="Gas",'VA Sizing'!$C$5="Standard"),VLOOKUP('VA Sizing'!$C$4,'10A61 5" Calcs'!$J$3:$K$29,2,FALSE),
IF(AND('VA Sizing'!$C$3="Gas",OR('VA Sizing'!$C$5="Actual",'VA Sizing'!$C$5="Normal")),VLOOKUP('VA Sizing'!$C$4,'10A61 5" Calcs'!$J$3:$L$29,3,FALSE),"")))))</f>
        <v/>
      </c>
      <c r="M81">
        <f t="shared" si="9"/>
        <v>8.7131519274376412</v>
      </c>
      <c r="N81">
        <f t="shared" si="1"/>
        <v>8.0884353741496593</v>
      </c>
      <c r="O81" t="str">
        <f>IFERROR(IF(AND('VA Sizing'!$C$3="Gas",'VA Sizing'!$C$6="at Operating Conditions"),'Modified Inputs'!$M$2,
IF(OR(AND('VA Sizing'!$C$4="Carbon Dioxide",'Modified Inputs'!$I$2&gt;70),'VA Sizing'!$C$4="Ammonia",'VA Sizing'!$C$4="Chlorine",'VA Sizing'!$C$4="Sulfur Dioxide"),'10A61 5" Calcs'!$G$27,
IF('VA Sizing'!$C$5="Standard",'10A61 5" Calcs'!M81*'10A61 5" Calcs'!L81,
IF(OR('VA Sizing'!$C$5="Normal",'VA Sizing'!$C$5="Actual"),'10A61 5" Calcs'!N81*'10A61 5" Calcs'!L81,"")))),IF('VA Sizing'!$C$4="Steam",Steam!$B$20,""))</f>
        <v/>
      </c>
      <c r="P81" t="e">
        <f>VLOOKUP('VA Sizing'!$C$4,'10A61 5" Calcs'!$J$3:$M$29,4,FALSE)</f>
        <v>#N/A</v>
      </c>
      <c r="Q81" t="e">
        <f>VLOOKUP('VA Sizing'!$C$4,'10A61 5" Calcs'!$J$3:$N$28,5,FALSE)</f>
        <v>#N/A</v>
      </c>
      <c r="R81">
        <f t="shared" si="10"/>
        <v>108</v>
      </c>
      <c r="S81">
        <f t="shared" si="11"/>
        <v>70</v>
      </c>
      <c r="T81" t="str">
        <f>IFERROR(IF(AND('VA Sizing'!$C$3="Gas",'VA Sizing'!$C$4=" Other"),'Modified Inputs'!$G$2,
IF('VA Sizing'!$C$5="Standard",'10A61 5" Calcs'!P81+'10A61 5" Calcs'!Q81*'10A61 5" Calcs'!S81,
IF(OR('VA Sizing'!$C$5="Normal",'VA Sizing'!$C$5="Actual"),'10A61 5" Calcs'!P81+'10A61 5" Calcs'!Q81*'10A61 5" Calcs'!R81,""))),IF('VA Sizing'!$C$4="Steam",Steam!$C$20,""))</f>
        <v/>
      </c>
      <c r="U81" t="e">
        <f>($E$5/T81)*SQRT((VLOOKUP(I81,$A$3:$B$8,2,FALSE)-O81)*O81)</f>
        <v>#VALUE!</v>
      </c>
      <c r="V81" t="e">
        <f>IF(U81&lt;($C$82+0.00001),-5.28542*(10^(-8))*('10A61 5" Calcs'!U81^2)+(0.000153*'10A61 5" Calcs'!U81)-0.00184,
IF(U81&lt;($E$82+0.00001),$D$81*LN(U81)+$E$81,
IF(U81&lt;($G$82+0.0001),$F$81*LN(U81)+$G$81,"")))</f>
        <v>#VALUE!</v>
      </c>
      <c r="W81" t="e">
        <f>(V81*$F$5)*SQRT((VLOOKUP(I81,$A$3:$B$8,2,FALSE)-O81)*O81)</f>
        <v>#VALUE!</v>
      </c>
      <c r="X81" t="str">
        <f>IF(AND('VA Sizing'!$C$3="Gas",'VA Sizing'!$C$4=" Other",NOT('VA Sizing'!$C$5="Actual"),'VA Sizing'!$C$6="at Operating Conditions"),'10A61 5" Calcs'!W81/'10A61 5" Calcs'!L81,
IF(AND('VA Sizing'!$C$3="Gas",'VA Sizing'!$C$4=" Other",NOT('VA Sizing'!$C$5="Actual"),'VA Sizing'!$C$6="at Reference Conditions"),'10A61 5" Calcs'!W81/'Modified Inputs'!$M$4,
IF('VA Sizing'!$C$5="Standard",W81/VLOOKUP('VA Sizing'!$C$4,'10A61 5" Calcs'!$J$3:$K$29,2,FALSE),
IF('VA Sizing'!$C$5="Normal",'10A61 5" Calcs'!W81/VLOOKUP('VA Sizing'!$C$4,'10A61 5" Calcs'!$J$3:$L$29,3,FALSE),
IF('VA Sizing'!$C$5="Actual",'10A61 5" Calcs'!W81/'10A61 5" Calcs'!O81,"")))))</f>
        <v/>
      </c>
      <c r="Y81">
        <f>($E$5/'Modified Inputs'!$G$2)*SQRT((VLOOKUP('10A61 5" Calcs'!I81,'10A61 5" Calcs'!$A$3:$B$8,2,FALSE)-'Modified Inputs'!$M$2)*'Modified Inputs'!$M$2)</f>
        <v>456.55575081253761</v>
      </c>
      <c r="Z81">
        <f>IF(Y81&lt;($C$82+0.00001),(-5.28542*(10^(-8))*('10A61 5" Calcs'!Y81^2)+(0.000153*'10A61 5" Calcs'!Y81)-0.00184),
IF(Y81&lt;($E$82+0.00001),$D$81*LN(Y81)+$E$81,
IF(Y81&lt;($G$82+0.0001),$F$81*LN(Y81)+$G$81,"")))</f>
        <v>5.6995933745313136E-2</v>
      </c>
      <c r="AA81">
        <f>Z81*$F$5*SQRT((VLOOKUP(I81,$A$3:$B$8,2,FALSE)-'Modified Inputs'!$M$2)*'Modified Inputs'!$M$2)</f>
        <v>4.946722469579993</v>
      </c>
      <c r="AB81">
        <f>AA81/'Modified Inputs'!$M$2</f>
        <v>4.9966893632121145</v>
      </c>
      <c r="AD81" s="63">
        <f>IF('VA Sizing'!$C$3="Gas",'10A61 5" Calcs'!X81,
IF('VA Sizing'!$C$3="Liquid",'10A61 5" Calcs'!AB81,""))</f>
        <v>4.9966893632121145</v>
      </c>
      <c r="AE81" s="63" t="str">
        <f>CONCATENATE($A$81,"-",I81)</f>
        <v>1/8-08-CD</v>
      </c>
    </row>
    <row r="82" spans="1:31">
      <c r="A82" t="s">
        <v>159</v>
      </c>
      <c r="B82">
        <v>32</v>
      </c>
      <c r="C82">
        <v>1000</v>
      </c>
      <c r="D82">
        <v>1000</v>
      </c>
      <c r="E82">
        <v>9000</v>
      </c>
      <c r="F82">
        <v>9000</v>
      </c>
      <c r="G82">
        <v>120000</v>
      </c>
      <c r="I82" t="s">
        <v>21</v>
      </c>
      <c r="J82">
        <f>'Modified Inputs'!$K$2</f>
        <v>140</v>
      </c>
      <c r="K82">
        <f>'Modified Inputs'!$I$2</f>
        <v>145</v>
      </c>
      <c r="L82" t="str">
        <f>IF(AND('VA Sizing'!$C$4=" Other",'VA Sizing'!$C$6="at Operating Conditions",'VA Sizing'!$C$5="Standard"),'10A61 5" Calcs'!O82/'10A61 5" Calcs'!M82,
IF(AND('VA Sizing'!$C$4=" Other",'VA Sizing'!$C$6="at Operating Conditions",OR('VA Sizing'!$C$5="Normal",'VA Sizing'!$C$5="Actual")),'10A61 5" Calcs'!O82/N82,
IF(AND('VA Sizing'!$C$4=" Other",'VA Sizing'!$C$6="at Reference Conditions"),'Modified Inputs'!$M$4,
IF(AND('VA Sizing'!$C$3="Gas",'VA Sizing'!$C$5="Standard"),VLOOKUP('VA Sizing'!$C$4,'10A61 5" Calcs'!$J$3:$K$29,2,FALSE),
IF(AND('VA Sizing'!$C$3="Gas",OR('VA Sizing'!$C$5="Actual",'VA Sizing'!$C$5="Normal")),VLOOKUP('VA Sizing'!$C$4,'10A61 5" Calcs'!$J$3:$L$29,3,FALSE),"")))))</f>
        <v/>
      </c>
      <c r="M82">
        <f t="shared" si="9"/>
        <v>8.7131519274376412</v>
      </c>
      <c r="N82">
        <f t="shared" si="1"/>
        <v>8.0884353741496593</v>
      </c>
      <c r="O82" t="str">
        <f>IFERROR(IF(AND('VA Sizing'!$C$3="Gas",'VA Sizing'!$C$6="at Operating Conditions"),'Modified Inputs'!$M$2,
IF(OR(AND('VA Sizing'!$C$4="Carbon Dioxide",'Modified Inputs'!$I$2&gt;70),'VA Sizing'!$C$4="Ammonia",'VA Sizing'!$C$4="Chlorine",'VA Sizing'!$C$4="Sulfur Dioxide"),'10A61 5" Calcs'!$G$27,
IF('VA Sizing'!$C$5="Standard",'10A61 5" Calcs'!M82*'10A61 5" Calcs'!L82,
IF(OR('VA Sizing'!$C$5="Normal",'VA Sizing'!$C$5="Actual"),'10A61 5" Calcs'!N82*'10A61 5" Calcs'!L82,"")))),IF('VA Sizing'!$C$4="Steam",Steam!$B$20,""))</f>
        <v/>
      </c>
      <c r="P82" t="e">
        <f>VLOOKUP('VA Sizing'!$C$4,'10A61 5" Calcs'!$J$3:$M$29,4,FALSE)</f>
        <v>#N/A</v>
      </c>
      <c r="Q82" t="e">
        <f>VLOOKUP('VA Sizing'!$C$4,'10A61 5" Calcs'!$J$3:$N$28,5,FALSE)</f>
        <v>#N/A</v>
      </c>
      <c r="R82">
        <f t="shared" si="10"/>
        <v>108</v>
      </c>
      <c r="S82">
        <f t="shared" si="11"/>
        <v>70</v>
      </c>
      <c r="T82" t="str">
        <f>IFERROR(IF(AND('VA Sizing'!$C$3="Gas",'VA Sizing'!$C$4=" Other"),'Modified Inputs'!$G$2,
IF('VA Sizing'!$C$5="Standard",'10A61 5" Calcs'!P82+'10A61 5" Calcs'!Q82*'10A61 5" Calcs'!S82,
IF(OR('VA Sizing'!$C$5="Normal",'VA Sizing'!$C$5="Actual"),'10A61 5" Calcs'!P82+'10A61 5" Calcs'!Q82*'10A61 5" Calcs'!R82,""))),IF('VA Sizing'!$C$4="Steam",Steam!$C$20,""))</f>
        <v/>
      </c>
      <c r="U82" t="e">
        <f t="shared" si="30"/>
        <v>#VALUE!</v>
      </c>
      <c r="V82" t="e">
        <f>IF(U82&lt;($C$82+0.00001),-5.28542*(10^(-8))*('10A61 5" Calcs'!U82^2)+(0.000153*'10A61 5" Calcs'!U82)-0.00184,
IF(U82&lt;($E$82+0.00001),$D$81*LN(U82)+$E$81,
IF(U82&lt;($G$82+0.0001),$F$81*LN(U82)+$G$81,"")))</f>
        <v>#VALUE!</v>
      </c>
      <c r="W82" t="e">
        <f t="shared" si="32"/>
        <v>#VALUE!</v>
      </c>
      <c r="X82" t="str">
        <f>IF(AND('VA Sizing'!$C$3="Gas",'VA Sizing'!$C$4=" Other",NOT('VA Sizing'!$C$5="Actual"),'VA Sizing'!$C$6="at Operating Conditions"),'10A61 5" Calcs'!W82/'10A61 5" Calcs'!L82,
IF(AND('VA Sizing'!$C$3="Gas",'VA Sizing'!$C$4=" Other",NOT('VA Sizing'!$C$5="Actual"),'VA Sizing'!$C$6="at Reference Conditions"),'10A61 5" Calcs'!W82/'Modified Inputs'!$M$4,
IF('VA Sizing'!$C$5="Standard",W82/VLOOKUP('VA Sizing'!$C$4,'10A61 5" Calcs'!$J$3:$K$29,2,FALSE),
IF('VA Sizing'!$C$5="Normal",'10A61 5" Calcs'!W82/VLOOKUP('VA Sizing'!$C$4,'10A61 5" Calcs'!$J$3:$L$29,3,FALSE),
IF('VA Sizing'!$C$5="Actual",'10A61 5" Calcs'!W82/'10A61 5" Calcs'!O82,"")))))</f>
        <v/>
      </c>
      <c r="Y82">
        <f>($E$5/'Modified Inputs'!$G$2)*SQRT((VLOOKUP('10A61 5" Calcs'!I82,'10A61 5" Calcs'!$A$3:$B$8,2,FALSE)-'Modified Inputs'!$M$2)*'Modified Inputs'!$M$2)</f>
        <v>695.07962248939509</v>
      </c>
      <c r="Z82">
        <f>IF(Y82&lt;($C$82+0.00001),(-5.28542*(10^(-8))*('10A61 5" Calcs'!Y82^2)+(0.000153*'10A61 5" Calcs'!Y82)-0.00184),
IF(Y82&lt;($E$82+0.00001),$D$81*LN(Y82)+$E$81,
IF(Y82&lt;($G$82+0.0001),$F$81*LN(Y82)+$G$81,"")))</f>
        <v>7.8971432298454741E-2</v>
      </c>
      <c r="AA82">
        <f>Z82*$F$5*SQRT((VLOOKUP(I82,$A$3:$B$8,2,FALSE)-'Modified Inputs'!$M$2)*'Modified Inputs'!$M$2)</f>
        <v>10.434807131777916</v>
      </c>
      <c r="AB82">
        <f>AA82/'Modified Inputs'!$M$2</f>
        <v>10.540209224018097</v>
      </c>
      <c r="AD82" s="7">
        <f>IF('VA Sizing'!$C$3="Gas",'10A61 5" Calcs'!X82,
IF('VA Sizing'!$C$3="Liquid",'10A61 5" Calcs'!AB82,""))</f>
        <v>10.540209224018097</v>
      </c>
      <c r="AE82" s="7" t="str">
        <f t="shared" ref="AE82:AE86" si="35">CONCATENATE($A$81,"-",I82)</f>
        <v>1/8-08-SA</v>
      </c>
    </row>
    <row r="83" spans="1:31">
      <c r="I83" t="s">
        <v>23</v>
      </c>
      <c r="J83">
        <f>'Modified Inputs'!$K$2</f>
        <v>140</v>
      </c>
      <c r="K83">
        <f>'Modified Inputs'!$I$2</f>
        <v>145</v>
      </c>
      <c r="L83" t="str">
        <f>IF(AND('VA Sizing'!$C$4=" Other",'VA Sizing'!$C$6="at Operating Conditions",'VA Sizing'!$C$5="Standard"),'10A61 5" Calcs'!O83/'10A61 5" Calcs'!M83,
IF(AND('VA Sizing'!$C$4=" Other",'VA Sizing'!$C$6="at Operating Conditions",OR('VA Sizing'!$C$5="Normal",'VA Sizing'!$C$5="Actual")),'10A61 5" Calcs'!O83/N83,
IF(AND('VA Sizing'!$C$4=" Other",'VA Sizing'!$C$6="at Reference Conditions"),'Modified Inputs'!$M$4,
IF(AND('VA Sizing'!$C$3="Gas",'VA Sizing'!$C$5="Standard"),VLOOKUP('VA Sizing'!$C$4,'10A61 5" Calcs'!$J$3:$K$29,2,FALSE),
IF(AND('VA Sizing'!$C$3="Gas",OR('VA Sizing'!$C$5="Actual",'VA Sizing'!$C$5="Normal")),VLOOKUP('VA Sizing'!$C$4,'10A61 5" Calcs'!$J$3:$L$29,3,FALSE),"")))))</f>
        <v/>
      </c>
      <c r="M83">
        <f t="shared" si="9"/>
        <v>8.7131519274376412</v>
      </c>
      <c r="N83">
        <f t="shared" si="1"/>
        <v>8.0884353741496593</v>
      </c>
      <c r="O83" t="str">
        <f>IFERROR(IF(AND('VA Sizing'!$C$3="Gas",'VA Sizing'!$C$6="at Operating Conditions"),'Modified Inputs'!$M$2,
IF(OR(AND('VA Sizing'!$C$4="Carbon Dioxide",'Modified Inputs'!$I$2&gt;70),'VA Sizing'!$C$4="Ammonia",'VA Sizing'!$C$4="Chlorine",'VA Sizing'!$C$4="Sulfur Dioxide"),'10A61 5" Calcs'!$G$27,
IF('VA Sizing'!$C$5="Standard",'10A61 5" Calcs'!M83*'10A61 5" Calcs'!L83,
IF(OR('VA Sizing'!$C$5="Normal",'VA Sizing'!$C$5="Actual"),'10A61 5" Calcs'!N83*'10A61 5" Calcs'!L83,"")))),IF('VA Sizing'!$C$4="Steam",Steam!$B$20,""))</f>
        <v/>
      </c>
      <c r="P83" t="e">
        <f>VLOOKUP('VA Sizing'!$C$4,'10A61 5" Calcs'!$J$3:$M$29,4,FALSE)</f>
        <v>#N/A</v>
      </c>
      <c r="Q83" t="e">
        <f>VLOOKUP('VA Sizing'!$C$4,'10A61 5" Calcs'!$J$3:$N$28,5,FALSE)</f>
        <v>#N/A</v>
      </c>
      <c r="R83">
        <f t="shared" si="10"/>
        <v>108</v>
      </c>
      <c r="S83">
        <f t="shared" si="11"/>
        <v>70</v>
      </c>
      <c r="T83" t="str">
        <f>IFERROR(IF(AND('VA Sizing'!$C$3="Gas",'VA Sizing'!$C$4=" Other"),'Modified Inputs'!$G$2,
IF('VA Sizing'!$C$5="Standard",'10A61 5" Calcs'!P83+'10A61 5" Calcs'!Q83*'10A61 5" Calcs'!S83,
IF(OR('VA Sizing'!$C$5="Normal",'VA Sizing'!$C$5="Actual"),'10A61 5" Calcs'!P83+'10A61 5" Calcs'!Q83*'10A61 5" Calcs'!R83,""))),IF('VA Sizing'!$C$4="Steam",Steam!$C$20,""))</f>
        <v/>
      </c>
      <c r="U83" t="e">
        <f t="shared" si="30"/>
        <v>#VALUE!</v>
      </c>
      <c r="V83" t="e">
        <f>IF(U83&lt;($C$82+0.00001),-5.28542*(10^(-8))*('10A61 5" Calcs'!U83^2)+(0.000153*'10A61 5" Calcs'!U83)-0.00184,
IF(U83&lt;($E$82+0.00001),$D$81*LN(U83)+$E$81,
IF(U83&lt;($G$82+0.0001),$F$81*LN(U83)+$G$81,"")))</f>
        <v>#VALUE!</v>
      </c>
      <c r="W83" t="e">
        <f t="shared" si="32"/>
        <v>#VALUE!</v>
      </c>
      <c r="X83" t="str">
        <f>IF(AND('VA Sizing'!$C$3="Gas",'VA Sizing'!$C$4=" Other",NOT('VA Sizing'!$C$5="Actual"),'VA Sizing'!$C$6="at Operating Conditions"),'10A61 5" Calcs'!W83/'10A61 5" Calcs'!L83,
IF(AND('VA Sizing'!$C$3="Gas",'VA Sizing'!$C$4=" Other",NOT('VA Sizing'!$C$5="Actual"),'VA Sizing'!$C$6="at Reference Conditions"),'10A61 5" Calcs'!W83/'Modified Inputs'!$M$4,
IF('VA Sizing'!$C$5="Standard",W83/VLOOKUP('VA Sizing'!$C$4,'10A61 5" Calcs'!$J$3:$K$29,2,FALSE),
IF('VA Sizing'!$C$5="Normal",'10A61 5" Calcs'!W83/VLOOKUP('VA Sizing'!$C$4,'10A61 5" Calcs'!$J$3:$L$29,3,FALSE),
IF('VA Sizing'!$C$5="Actual",'10A61 5" Calcs'!W83/'10A61 5" Calcs'!O83,"")))))</f>
        <v/>
      </c>
      <c r="Y83">
        <f>($E$5/'Modified Inputs'!$G$2)*SQRT((VLOOKUP('10A61 5" Calcs'!I83,'10A61 5" Calcs'!$A$3:$B$8,2,FALSE)-'Modified Inputs'!$M$2)*'Modified Inputs'!$M$2)</f>
        <v>1065.8022308102004</v>
      </c>
      <c r="Z83">
        <f>IF(Y83&lt;($C$82+0.00001),(-5.28542*(10^(-8))*('10A61 5" Calcs'!Y83^2)+(0.000153*'10A61 5" Calcs'!Y83)-0.00184),
IF(Y83&lt;($E$82+0.00001),$D$81*LN(Y83)+$E$81,
IF(Y83&lt;($G$82+0.0001),$F$81*LN(Y83)+$G$81,"")))</f>
        <v>0.10396146658120287</v>
      </c>
      <c r="AA83">
        <f>Z83*$F$5*SQRT((VLOOKUP(I83,$A$3:$B$8,2,FALSE)-'Modified Inputs'!$M$2)*'Modified Inputs'!$M$2)</f>
        <v>21.063419501093914</v>
      </c>
      <c r="AB83">
        <f>AA83/'Modified Inputs'!$M$2</f>
        <v>21.276181314236279</v>
      </c>
      <c r="AD83" s="7">
        <f>IF('VA Sizing'!$C$3="Gas",'10A61 5" Calcs'!X83,
IF('VA Sizing'!$C$3="Liquid",'10A61 5" Calcs'!AB83,""))</f>
        <v>21.276181314236279</v>
      </c>
      <c r="AE83" s="7" t="str">
        <f t="shared" si="35"/>
        <v>1/8-08-SS</v>
      </c>
    </row>
    <row r="84" spans="1:31">
      <c r="I84" t="s">
        <v>26</v>
      </c>
      <c r="J84">
        <f>'Modified Inputs'!$K$2</f>
        <v>140</v>
      </c>
      <c r="K84">
        <f>'Modified Inputs'!$I$2</f>
        <v>145</v>
      </c>
      <c r="L84" t="str">
        <f>IF(AND('VA Sizing'!$C$4=" Other",'VA Sizing'!$C$6="at Operating Conditions",'VA Sizing'!$C$5="Standard"),'10A61 5" Calcs'!O84/'10A61 5" Calcs'!M84,
IF(AND('VA Sizing'!$C$4=" Other",'VA Sizing'!$C$6="at Operating Conditions",OR('VA Sizing'!$C$5="Normal",'VA Sizing'!$C$5="Actual")),'10A61 5" Calcs'!O84/N84,
IF(AND('VA Sizing'!$C$4=" Other",'VA Sizing'!$C$6="at Reference Conditions"),'Modified Inputs'!$M$4,
IF(AND('VA Sizing'!$C$3="Gas",'VA Sizing'!$C$5="Standard"),VLOOKUP('VA Sizing'!$C$4,'10A61 5" Calcs'!$J$3:$K$29,2,FALSE),
IF(AND('VA Sizing'!$C$3="Gas",OR('VA Sizing'!$C$5="Actual",'VA Sizing'!$C$5="Normal")),VLOOKUP('VA Sizing'!$C$4,'10A61 5" Calcs'!$J$3:$L$29,3,FALSE),"")))))</f>
        <v/>
      </c>
      <c r="M84">
        <f t="shared" si="9"/>
        <v>8.7131519274376412</v>
      </c>
      <c r="N84">
        <f t="shared" si="1"/>
        <v>8.0884353741496593</v>
      </c>
      <c r="O84" t="str">
        <f>IFERROR(IF(AND('VA Sizing'!$C$3="Gas",'VA Sizing'!$C$6="at Operating Conditions"),'Modified Inputs'!$M$2,
IF(OR(AND('VA Sizing'!$C$4="Carbon Dioxide",'Modified Inputs'!$I$2&gt;70),'VA Sizing'!$C$4="Ammonia",'VA Sizing'!$C$4="Chlorine",'VA Sizing'!$C$4="Sulfur Dioxide"),'10A61 5" Calcs'!$G$27,
IF('VA Sizing'!$C$5="Standard",'10A61 5" Calcs'!M84*'10A61 5" Calcs'!L84,
IF(OR('VA Sizing'!$C$5="Normal",'VA Sizing'!$C$5="Actual"),'10A61 5" Calcs'!N84*'10A61 5" Calcs'!L84,"")))),IF('VA Sizing'!$C$4="Steam",Steam!$B$20,""))</f>
        <v/>
      </c>
      <c r="P84" t="e">
        <f>VLOOKUP('VA Sizing'!$C$4,'10A61 5" Calcs'!$J$3:$M$29,4,FALSE)</f>
        <v>#N/A</v>
      </c>
      <c r="Q84" t="e">
        <f>VLOOKUP('VA Sizing'!$C$4,'10A61 5" Calcs'!$J$3:$N$28,5,FALSE)</f>
        <v>#N/A</v>
      </c>
      <c r="R84">
        <f t="shared" si="10"/>
        <v>108</v>
      </c>
      <c r="S84">
        <f t="shared" si="11"/>
        <v>70</v>
      </c>
      <c r="T84" t="str">
        <f>IFERROR(IF(AND('VA Sizing'!$C$3="Gas",'VA Sizing'!$C$4=" Other"),'Modified Inputs'!$G$2,
IF('VA Sizing'!$C$5="Standard",'10A61 5" Calcs'!P84+'10A61 5" Calcs'!Q84*'10A61 5" Calcs'!S84,
IF(OR('VA Sizing'!$C$5="Normal",'VA Sizing'!$C$5="Actual"),'10A61 5" Calcs'!P84+'10A61 5" Calcs'!Q84*'10A61 5" Calcs'!R84,""))),IF('VA Sizing'!$C$4="Steam",Steam!$C$20,""))</f>
        <v/>
      </c>
      <c r="U84" t="e">
        <f t="shared" si="30"/>
        <v>#VALUE!</v>
      </c>
      <c r="V84" t="e">
        <f>IF(U84&lt;($C$82+0.00001),-5.28542*(10^(-8))*('10A61 5" Calcs'!U84^2)+(0.000153*'10A61 5" Calcs'!U84)-0.00184,
IF(U84&lt;($E$82+0.00001),$D$81*LN(U84)+$E$81,
IF(U84&lt;($G$82+0.0001),$F$81*LN(U84)+$G$81,"")))</f>
        <v>#VALUE!</v>
      </c>
      <c r="W84" t="e">
        <f t="shared" si="32"/>
        <v>#VALUE!</v>
      </c>
      <c r="X84" t="str">
        <f>IF(AND('VA Sizing'!$C$3="Gas",'VA Sizing'!$C$4=" Other",NOT('VA Sizing'!$C$5="Actual"),'VA Sizing'!$C$6="at Operating Conditions"),'10A61 5" Calcs'!W84/'10A61 5" Calcs'!L84,
IF(AND('VA Sizing'!$C$3="Gas",'VA Sizing'!$C$4=" Other",NOT('VA Sizing'!$C$5="Actual"),'VA Sizing'!$C$6="at Reference Conditions"),'10A61 5" Calcs'!W84/'Modified Inputs'!$M$4,
IF('VA Sizing'!$C$5="Standard",W84/VLOOKUP('VA Sizing'!$C$4,'10A61 5" Calcs'!$J$3:$K$29,2,FALSE),
IF('VA Sizing'!$C$5="Normal",'10A61 5" Calcs'!W84/VLOOKUP('VA Sizing'!$C$4,'10A61 5" Calcs'!$J$3:$L$29,3,FALSE),
IF('VA Sizing'!$C$5="Actual",'10A61 5" Calcs'!W84/'10A61 5" Calcs'!O84,"")))))</f>
        <v/>
      </c>
      <c r="Y84">
        <f>($E$5/'Modified Inputs'!$G$2)*SQRT((VLOOKUP('10A61 5" Calcs'!I84,'10A61 5" Calcs'!$A$3:$B$8,2,FALSE)-'Modified Inputs'!$M$2)*'Modified Inputs'!$M$2)</f>
        <v>1504.5895115944415</v>
      </c>
      <c r="Z84">
        <f>IF(Y84&lt;($C$82+0.00001),(-5.28542*(10^(-8))*('10A61 5" Calcs'!Y84^2)+(0.000153*'10A61 5" Calcs'!Y84)-0.00184),
IF(Y84&lt;($E$82+0.00001),$D$81*LN(Y84)+$E$81,
IF(Y84&lt;($G$82+0.0001),$F$81*LN(Y84)+$G$81,"")))</f>
        <v>0.11667197036650101</v>
      </c>
      <c r="AA84">
        <f>Z84*$F$5*SQRT((VLOOKUP(I84,$A$3:$B$8,2,FALSE)-'Modified Inputs'!$M$2)*'Modified Inputs'!$M$2)</f>
        <v>33.370630889915866</v>
      </c>
      <c r="AB84">
        <f>AA84/'Modified Inputs'!$M$2</f>
        <v>33.707707969611988</v>
      </c>
      <c r="AD84" s="7">
        <f>IF('VA Sizing'!$C$3="Gas",'10A61 5" Calcs'!X84,
IF('VA Sizing'!$C$3="Liquid",'10A61 5" Calcs'!AB84,""))</f>
        <v>33.707707969611988</v>
      </c>
      <c r="AE84" s="7" t="str">
        <f t="shared" si="35"/>
        <v>1/8-08-CA</v>
      </c>
    </row>
    <row r="85" spans="1:31">
      <c r="I85" t="s">
        <v>126</v>
      </c>
      <c r="J85">
        <f>'Modified Inputs'!$K$2</f>
        <v>140</v>
      </c>
      <c r="K85">
        <f>'Modified Inputs'!$I$2</f>
        <v>145</v>
      </c>
      <c r="L85" t="str">
        <f>IF(AND('VA Sizing'!$C$4=" Other",'VA Sizing'!$C$6="at Operating Conditions",'VA Sizing'!$C$5="Standard"),'10A61 5" Calcs'!O85/'10A61 5" Calcs'!M85,
IF(AND('VA Sizing'!$C$4=" Other",'VA Sizing'!$C$6="at Operating Conditions",OR('VA Sizing'!$C$5="Normal",'VA Sizing'!$C$5="Actual")),'10A61 5" Calcs'!O85/N85,
IF(AND('VA Sizing'!$C$4=" Other",'VA Sizing'!$C$6="at Reference Conditions"),'Modified Inputs'!$M$4,
IF(AND('VA Sizing'!$C$3="Gas",'VA Sizing'!$C$5="Standard"),VLOOKUP('VA Sizing'!$C$4,'10A61 5" Calcs'!$J$3:$K$29,2,FALSE),
IF(AND('VA Sizing'!$C$3="Gas",OR('VA Sizing'!$C$5="Actual",'VA Sizing'!$C$5="Normal")),VLOOKUP('VA Sizing'!$C$4,'10A61 5" Calcs'!$J$3:$L$29,3,FALSE),"")))))</f>
        <v/>
      </c>
      <c r="M85">
        <f t="shared" si="9"/>
        <v>8.7131519274376412</v>
      </c>
      <c r="N85">
        <f t="shared" si="1"/>
        <v>8.0884353741496593</v>
      </c>
      <c r="O85" t="str">
        <f>IFERROR(IF(AND('VA Sizing'!$C$3="Gas",'VA Sizing'!$C$6="at Operating Conditions"),'Modified Inputs'!$M$2,
IF(OR(AND('VA Sizing'!$C$4="Carbon Dioxide",'Modified Inputs'!$I$2&gt;70),'VA Sizing'!$C$4="Ammonia",'VA Sizing'!$C$4="Chlorine",'VA Sizing'!$C$4="Sulfur Dioxide"),'10A61 5" Calcs'!$G$27,
IF('VA Sizing'!$C$5="Standard",'10A61 5" Calcs'!M85*'10A61 5" Calcs'!L85,
IF(OR('VA Sizing'!$C$5="Normal",'VA Sizing'!$C$5="Actual"),'10A61 5" Calcs'!N85*'10A61 5" Calcs'!L85,"")))),IF('VA Sizing'!$C$4="Steam",Steam!$B$20,""))</f>
        <v/>
      </c>
      <c r="P85" t="e">
        <f>VLOOKUP('VA Sizing'!$C$4,'10A61 5" Calcs'!$J$3:$M$29,4,FALSE)</f>
        <v>#N/A</v>
      </c>
      <c r="Q85" t="e">
        <f>VLOOKUP('VA Sizing'!$C$4,'10A61 5" Calcs'!$J$3:$N$28,5,FALSE)</f>
        <v>#N/A</v>
      </c>
      <c r="R85">
        <f t="shared" si="10"/>
        <v>108</v>
      </c>
      <c r="S85">
        <f t="shared" si="11"/>
        <v>70</v>
      </c>
      <c r="T85" t="str">
        <f>IFERROR(IF(AND('VA Sizing'!$C$3="Gas",'VA Sizing'!$C$4=" Other"),'Modified Inputs'!$G$2,
IF('VA Sizing'!$C$5="Standard",'10A61 5" Calcs'!P85+'10A61 5" Calcs'!Q85*'10A61 5" Calcs'!S85,
IF(OR('VA Sizing'!$C$5="Normal",'VA Sizing'!$C$5="Actual"),'10A61 5" Calcs'!P85+'10A61 5" Calcs'!Q85*'10A61 5" Calcs'!R85,""))),IF('VA Sizing'!$C$4="Steam",Steam!$C$20,""))</f>
        <v/>
      </c>
      <c r="U85" t="e">
        <f t="shared" si="30"/>
        <v>#VALUE!</v>
      </c>
      <c r="V85" t="e">
        <f>IF(U85&lt;($C$82+0.00001),-5.28542*(10^(-8))*('10A61 5" Calcs'!U85^2)+(0.000153*'10A61 5" Calcs'!U85)-0.00184,
IF(U85&lt;($E$82+0.00001),$D$81*LN(U85)+$E$81,
IF(U85&lt;($G$82+0.0001),$F$81*LN(U85)+$G$81,"")))</f>
        <v>#VALUE!</v>
      </c>
      <c r="W85" t="e">
        <f t="shared" si="32"/>
        <v>#VALUE!</v>
      </c>
      <c r="X85" t="str">
        <f>IF(AND('VA Sizing'!$C$3="Gas",'VA Sizing'!$C$4=" Other",NOT('VA Sizing'!$C$5="Actual"),'VA Sizing'!$C$6="at Operating Conditions"),'10A61 5" Calcs'!W85/'10A61 5" Calcs'!L85,
IF(AND('VA Sizing'!$C$3="Gas",'VA Sizing'!$C$4=" Other",NOT('VA Sizing'!$C$5="Actual"),'VA Sizing'!$C$6="at Reference Conditions"),'10A61 5" Calcs'!W85/'Modified Inputs'!$M$4,
IF('VA Sizing'!$C$5="Standard",W85/VLOOKUP('VA Sizing'!$C$4,'10A61 5" Calcs'!$J$3:$K$29,2,FALSE),
IF('VA Sizing'!$C$5="Normal",'10A61 5" Calcs'!W85/VLOOKUP('VA Sizing'!$C$4,'10A61 5" Calcs'!$J$3:$L$29,3,FALSE),
IF('VA Sizing'!$C$5="Actual",'10A61 5" Calcs'!W85/'10A61 5" Calcs'!O85,"")))))</f>
        <v/>
      </c>
      <c r="Y85">
        <f>($E$5/'Modified Inputs'!$G$2)*SQRT((VLOOKUP('10A61 5" Calcs'!I85,'10A61 5" Calcs'!$A$3:$B$8,2,FALSE)-'Modified Inputs'!$M$2)*'Modified Inputs'!$M$2)</f>
        <v>1588.1825280489647</v>
      </c>
      <c r="Z85">
        <f>IF(Y85&lt;($C$82+0.00001),(-5.28542*(10^(-8))*('10A61 5" Calcs'!Y85^2)+(0.000153*'10A61 5" Calcs'!Y85)-0.00184),
IF(Y85&lt;($E$82+0.00001),$D$81*LN(Y85)+$E$81,
IF(Y85&lt;($G$82+0.0001),$F$81*LN(Y85)+$G$81,"")))</f>
        <v>0.11866522620001801</v>
      </c>
      <c r="AA85">
        <f>Z85*$F$5*SQRT((VLOOKUP(I85,$A$3:$B$8,2,FALSE)-'Modified Inputs'!$M$2)*'Modified Inputs'!$M$2)</f>
        <v>35.826447006006532</v>
      </c>
      <c r="AB85">
        <f>AA85/'Modified Inputs'!$M$2</f>
        <v>36.188330309097509</v>
      </c>
      <c r="AD85" s="7">
        <f>IF('VA Sizing'!$C$3="Gas",'10A61 5" Calcs'!X85,
IF('VA Sizing'!$C$3="Liquid",'10A61 5" Calcs'!AB85,""))</f>
        <v>36.188330309097509</v>
      </c>
      <c r="AE85" s="7" t="str">
        <f t="shared" si="35"/>
        <v>1/8-08-TA</v>
      </c>
    </row>
    <row r="86" spans="1:31">
      <c r="I86" t="s">
        <v>18</v>
      </c>
      <c r="J86">
        <f>'Modified Inputs'!$K$2</f>
        <v>140</v>
      </c>
      <c r="K86">
        <f>'Modified Inputs'!$I$2</f>
        <v>145</v>
      </c>
      <c r="L86" t="str">
        <f>IF(AND('VA Sizing'!$C$4=" Other",'VA Sizing'!$C$6="at Operating Conditions",'VA Sizing'!$C$5="Standard"),'10A61 5" Calcs'!O86/'10A61 5" Calcs'!M86,
IF(AND('VA Sizing'!$C$4=" Other",'VA Sizing'!$C$6="at Operating Conditions",OR('VA Sizing'!$C$5="Normal",'VA Sizing'!$C$5="Actual")),'10A61 5" Calcs'!O86/N86,
IF(AND('VA Sizing'!$C$4=" Other",'VA Sizing'!$C$6="at Reference Conditions"),'Modified Inputs'!$M$4,
IF(AND('VA Sizing'!$C$3="Gas",'VA Sizing'!$C$5="Standard"),VLOOKUP('VA Sizing'!$C$4,'10A61 5" Calcs'!$J$3:$K$29,2,FALSE),
IF(AND('VA Sizing'!$C$3="Gas",OR('VA Sizing'!$C$5="Actual",'VA Sizing'!$C$5="Normal")),VLOOKUP('VA Sizing'!$C$4,'10A61 5" Calcs'!$J$3:$L$29,3,FALSE),"")))))</f>
        <v/>
      </c>
      <c r="M86">
        <f t="shared" si="9"/>
        <v>8.7131519274376412</v>
      </c>
      <c r="N86">
        <f t="shared" si="1"/>
        <v>8.0884353741496593</v>
      </c>
      <c r="O86" t="str">
        <f>IFERROR(IF(AND('VA Sizing'!$C$3="Gas",'VA Sizing'!$C$6="at Operating Conditions"),'Modified Inputs'!$M$2,
IF(OR(AND('VA Sizing'!$C$4="Carbon Dioxide",'Modified Inputs'!$I$2&gt;70),'VA Sizing'!$C$4="Ammonia",'VA Sizing'!$C$4="Chlorine",'VA Sizing'!$C$4="Sulfur Dioxide"),'10A61 5" Calcs'!$G$27,
IF('VA Sizing'!$C$5="Standard",'10A61 5" Calcs'!M86*'10A61 5" Calcs'!L86,
IF(OR('VA Sizing'!$C$5="Normal",'VA Sizing'!$C$5="Actual"),'10A61 5" Calcs'!N86*'10A61 5" Calcs'!L86,"")))),IF('VA Sizing'!$C$4="Steam",Steam!$B$20,""))</f>
        <v/>
      </c>
      <c r="P86" t="e">
        <f>VLOOKUP('VA Sizing'!$C$4,'10A61 5" Calcs'!$J$3:$M$29,4,FALSE)</f>
        <v>#N/A</v>
      </c>
      <c r="Q86" t="e">
        <f>VLOOKUP('VA Sizing'!$C$4,'10A61 5" Calcs'!$J$3:$N$28,5,FALSE)</f>
        <v>#N/A</v>
      </c>
      <c r="R86">
        <f t="shared" si="10"/>
        <v>108</v>
      </c>
      <c r="S86">
        <f t="shared" si="11"/>
        <v>70</v>
      </c>
      <c r="T86" t="str">
        <f>IFERROR(IF(AND('VA Sizing'!$C$3="Gas",'VA Sizing'!$C$4=" Other"),'Modified Inputs'!$G$2,
IF('VA Sizing'!$C$5="Standard",'10A61 5" Calcs'!P86+'10A61 5" Calcs'!Q86*'10A61 5" Calcs'!S86,
IF(OR('VA Sizing'!$C$5="Normal",'VA Sizing'!$C$5="Actual"),'10A61 5" Calcs'!P86+'10A61 5" Calcs'!Q86*'10A61 5" Calcs'!R86,""))),IF('VA Sizing'!$C$4="Steam",Steam!$C$20,""))</f>
        <v/>
      </c>
      <c r="U86" t="e">
        <f>($E$5/T86)*SQRT((VLOOKUP(I86,$A$3:$B$8,2,FALSE)-O86)*O86)</f>
        <v>#VALUE!</v>
      </c>
      <c r="V86" t="e">
        <f>IF(U86&lt;($C$82+0.00001),-5.28542*(10^(-8))*('10A61 5" Calcs'!U86^2)+(0.000153*'10A61 5" Calcs'!U86)-0.00184,
IF(U86&lt;($E$82+0.00001),$D$81*LN(U86)+$E$81,
IF(U86&lt;($G$82+0.0001),$F$81*LN(U86)+$G$81,"")))</f>
        <v>#VALUE!</v>
      </c>
      <c r="W86" t="e">
        <f t="shared" si="32"/>
        <v>#VALUE!</v>
      </c>
      <c r="X86" t="str">
        <f>IF(AND('VA Sizing'!$C$3="Gas",'VA Sizing'!$C$4=" Other",NOT('VA Sizing'!$C$5="Actual"),'VA Sizing'!$C$6="at Operating Conditions"),'10A61 5" Calcs'!W86/'10A61 5" Calcs'!L86,
IF(AND('VA Sizing'!$C$3="Gas",'VA Sizing'!$C$4=" Other",NOT('VA Sizing'!$C$5="Actual"),'VA Sizing'!$C$6="at Reference Conditions"),'10A61 5" Calcs'!W86/'Modified Inputs'!$M$4,
IF('VA Sizing'!$C$5="Standard",W86/VLOOKUP('VA Sizing'!$C$4,'10A61 5" Calcs'!$J$3:$K$29,2,FALSE),
IF('VA Sizing'!$C$5="Normal",'10A61 5" Calcs'!W86/VLOOKUP('VA Sizing'!$C$4,'10A61 5" Calcs'!$J$3:$L$29,3,FALSE),
IF('VA Sizing'!$C$5="Actual",'10A61 5" Calcs'!W86/'10A61 5" Calcs'!O86,"")))))</f>
        <v/>
      </c>
      <c r="Y86">
        <f>($E$5/'Modified Inputs'!$G$2)*SQRT((VLOOKUP('10A61 5" Calcs'!I86,'10A61 5" Calcs'!$A$3:$B$8,2,FALSE)-'Modified Inputs'!$M$2)*'Modified Inputs'!$M$2)</f>
        <v>500.45474520679693</v>
      </c>
      <c r="Z86">
        <f>IF(Y86&lt;($C$82+0.00001),(-5.28542*(10^(-8))*('10A61 5" Calcs'!Y86^2)+(0.000153*'10A61 5" Calcs'!Y86)-0.00184),
IF(Y86&lt;($E$82+0.00001),$D$81*LN(Y86)+$E$81,
IF(Y86&lt;($G$82+0.0001),$F$81*LN(Y86)+$G$81,"")))</f>
        <v>6.1491979892641539E-2</v>
      </c>
      <c r="AA86">
        <f>Z86*$F$5*SQRT((VLOOKUP(I86,$A$3:$B$8,2,FALSE)-'Modified Inputs'!$M$2)*'Modified Inputs'!$M$2)</f>
        <v>5.8500980206447659</v>
      </c>
      <c r="AB86">
        <f>AA86/'Modified Inputs'!$M$2</f>
        <v>5.9091899198431976</v>
      </c>
      <c r="AD86" s="7">
        <f>IF('VA Sizing'!$C$3="Gas",'10A61 5" Calcs'!X86,
IF('VA Sizing'!$C$3="Liquid",'10A61 5" Calcs'!AB86,""))</f>
        <v>5.9091899198431976</v>
      </c>
      <c r="AE86" s="7" t="str">
        <f t="shared" si="35"/>
        <v>1/8-08-BG</v>
      </c>
    </row>
    <row r="87" spans="1:31">
      <c r="O87" t="str">
        <f>IFERROR(IF(AND('VA Sizing'!$C$3="Gas",'VA Sizing'!$C$6="at Operating Conditions"),'Modified Inputs'!$M$2,
IF(OR(AND('VA Sizing'!$C$4="Carbon Dioxide",'Modified Inputs'!$I$2&gt;70),'VA Sizing'!$C$4="Ammonia",'VA Sizing'!$C$4="Chlorine",'VA Sizing'!$C$4="Sulfur Dioxide"),'10A61 5" Calcs'!$G$27,
IF('VA Sizing'!$C$5="Standard",'10A61 5" Calcs'!M87*'10A61 5" Calcs'!L87,
IF(OR('VA Sizing'!$C$5="Normal",'VA Sizing'!$C$5="Actual"),'10A61 5" Calcs'!N87*'10A61 5" Calcs'!L87,"")))),IF('VA Sizing'!$C$4="Steam",Steam!$B$20,""))</f>
        <v/>
      </c>
      <c r="T87" t="str">
        <f>IFERROR(IF(AND('VA Sizing'!$C$3="Gas",'VA Sizing'!$C$4=" Other"),'Modified Inputs'!$G$2,
IF('VA Sizing'!$C$5="Standard",'10A61 5" Calcs'!P87+'10A61 5" Calcs'!Q87*'10A61 5" Calcs'!S87,
IF(OR('VA Sizing'!$C$5="Normal",'VA Sizing'!$C$5="Actual"),'10A61 5" Calcs'!P87+'10A61 5" Calcs'!Q87*'10A61 5" Calcs'!R87,""))),IF('VA Sizing'!$C$4="Steam",Steam!$C$20,""))</f>
        <v/>
      </c>
    </row>
    <row r="88" spans="1:31">
      <c r="A88" s="3" t="s">
        <v>217</v>
      </c>
      <c r="B88">
        <f t="array" ref="B88:C88">LINEST('10A61 5" Curves'!C46:I46,LN('10A61 5" Curves'!C45:I45))</f>
        <v>4.300757436785712E-2</v>
      </c>
      <c r="C88">
        <v>-0.15260497600639988</v>
      </c>
      <c r="D88">
        <f t="array" ref="D88:E88">LINEST('10A61 5" Curves'!I46:N46,LN('10A61 5" Curves'!I45:N45))</f>
        <v>7.0246648651037663E-2</v>
      </c>
      <c r="E88">
        <v>-0.29094561446499306</v>
      </c>
      <c r="F88">
        <f t="array" ref="F88:G88">LINEST('10A61 5" Curves'!J46:Q46,LN('10A61 5" Curves'!J45:Q45))</f>
        <v>5.8483618301608302E-2</v>
      </c>
      <c r="G88">
        <v>-0.20449305659111172</v>
      </c>
      <c r="I88" t="s">
        <v>142</v>
      </c>
      <c r="J88">
        <f>'Modified Inputs'!$K$2</f>
        <v>140</v>
      </c>
      <c r="K88">
        <f>'Modified Inputs'!$I$2</f>
        <v>145</v>
      </c>
      <c r="L88" t="str">
        <f>IF(AND('VA Sizing'!$C$4=" Other",'VA Sizing'!$C$6="at Operating Conditions",'VA Sizing'!$C$5="Standard"),'10A61 5" Calcs'!O88/'10A61 5" Calcs'!M88,
IF(AND('VA Sizing'!$C$4=" Other",'VA Sizing'!$C$6="at Operating Conditions",OR('VA Sizing'!$C$5="Normal",'VA Sizing'!$C$5="Actual")),'10A61 5" Calcs'!O88/N88,
IF(AND('VA Sizing'!$C$4=" Other",'VA Sizing'!$C$6="at Reference Conditions"),'Modified Inputs'!$M$4,
IF(AND('VA Sizing'!$C$3="Gas",'VA Sizing'!$C$5="Standard"),VLOOKUP('VA Sizing'!$C$4,'10A61 5" Calcs'!$J$3:$K$29,2,FALSE),
IF(AND('VA Sizing'!$C$3="Gas",OR('VA Sizing'!$C$5="Actual",'VA Sizing'!$C$5="Normal")),VLOOKUP('VA Sizing'!$C$4,'10A61 5" Calcs'!$J$3:$L$29,3,FALSE),"")))))</f>
        <v/>
      </c>
      <c r="M88">
        <f t="shared" si="9"/>
        <v>8.7131519274376412</v>
      </c>
      <c r="N88">
        <f t="shared" si="1"/>
        <v>8.0884353741496593</v>
      </c>
      <c r="O88" t="str">
        <f>IFERROR(IF(AND('VA Sizing'!$C$3="Gas",'VA Sizing'!$C$6="at Operating Conditions"),'Modified Inputs'!$M$2,
IF(OR(AND('VA Sizing'!$C$4="Carbon Dioxide",'Modified Inputs'!$I$2&gt;70),'VA Sizing'!$C$4="Ammonia",'VA Sizing'!$C$4="Chlorine",'VA Sizing'!$C$4="Sulfur Dioxide"),'10A61 5" Calcs'!$G$27,
IF('VA Sizing'!$C$5="Standard",'10A61 5" Calcs'!M88*'10A61 5" Calcs'!L88,
IF(OR('VA Sizing'!$C$5="Normal",'VA Sizing'!$C$5="Actual"),'10A61 5" Calcs'!N88*'10A61 5" Calcs'!L88,"")))),IF('VA Sizing'!$C$4="Steam",Steam!$B$20,""))</f>
        <v/>
      </c>
      <c r="P88" t="e">
        <f>VLOOKUP('VA Sizing'!$C$4,'10A61 5" Calcs'!$J$3:$M$29,4,FALSE)</f>
        <v>#N/A</v>
      </c>
      <c r="Q88" t="e">
        <f>VLOOKUP('VA Sizing'!$C$4,'10A61 5" Calcs'!$J$3:$N$28,5,FALSE)</f>
        <v>#N/A</v>
      </c>
      <c r="R88">
        <f t="shared" si="10"/>
        <v>108</v>
      </c>
      <c r="S88">
        <f t="shared" si="11"/>
        <v>70</v>
      </c>
      <c r="T88" t="str">
        <f>IFERROR(IF(AND('VA Sizing'!$C$3="Gas",'VA Sizing'!$C$4=" Other"),'Modified Inputs'!$G$2,
IF('VA Sizing'!$C$5="Standard",'10A61 5" Calcs'!P88+'10A61 5" Calcs'!Q88*'10A61 5" Calcs'!S88,
IF(OR('VA Sizing'!$C$5="Normal",'VA Sizing'!$C$5="Actual"),'10A61 5" Calcs'!P88+'10A61 5" Calcs'!Q88*'10A61 5" Calcs'!R88,""))),IF('VA Sizing'!$C$4="Steam",Steam!$C$20,""))</f>
        <v/>
      </c>
      <c r="U88" t="e">
        <f>($E$4/T88)*SQRT((VLOOKUP(I88,$A$3:$B$8,2,FALSE)-O88)*O88)</f>
        <v>#VALUE!</v>
      </c>
      <c r="V88" t="e">
        <f>IF(U88&lt;($E$89+0.00001),-0.00000016607*(U88^2)+0.000372*U88-0.003,
IF(U88&lt;($G$89+0.00001),$F$88*LN(U88)+$G$88,""))</f>
        <v>#VALUE!</v>
      </c>
      <c r="W88" t="e">
        <f>(V88*$F$4)*SQRT((VLOOKUP(I88,$A$3:$B$8,2,FALSE)-O88)*O88)</f>
        <v>#VALUE!</v>
      </c>
      <c r="X88" t="str">
        <f>IF(AND('VA Sizing'!$C$3="Gas",'VA Sizing'!$C$4=" Other",NOT('VA Sizing'!$C$5="Actual"),'VA Sizing'!$C$6="at Operating Conditions"),'10A61 5" Calcs'!W88/'10A61 5" Calcs'!L88,
IF(AND('VA Sizing'!$C$3="Gas",'VA Sizing'!$C$4=" Other",NOT('VA Sizing'!$C$5="Actual"),'VA Sizing'!$C$6="at Reference Conditions"),'10A61 5" Calcs'!W88/'Modified Inputs'!$M$4,
IF('VA Sizing'!$C$5="Standard",W88/VLOOKUP('VA Sizing'!$C$4,'10A61 5" Calcs'!$J$3:$K$29,2,FALSE),
IF('VA Sizing'!$C$5="Normal",'10A61 5" Calcs'!W88/VLOOKUP('VA Sizing'!$C$4,'10A61 5" Calcs'!$J$3:$L$29,3,FALSE),
IF('VA Sizing'!$C$5="Actual",'10A61 5" Calcs'!W88/'10A61 5" Calcs'!O88,"")))))</f>
        <v/>
      </c>
      <c r="Y88">
        <f>($E$4/'Modified Inputs'!$G$2)*SQRT((VLOOKUP('10A61 5" Calcs'!I88,'10A61 5" Calcs'!$A$3:$B$8,2,FALSE)-'Modified Inputs'!$M$2)*'Modified Inputs'!$M$2)</f>
        <v>161.60265437176454</v>
      </c>
      <c r="Z88">
        <f>IF(Y88&lt;($E$89+0.00001),-0.00000016607*(Y88^2)+0.000372*Y88-0.003,
IF(Y88&lt;($G$89+0.00001),$F$88*LN(Y88)+$G$88,""))</f>
        <v>5.2779199975643412E-2</v>
      </c>
      <c r="AA88">
        <f>Z88*$F$4*SQRT((VLOOKUP(I88,$A$3:$B$8,2,FALSE)-'Modified Inputs'!$M$2)*'Modified Inputs'!$M$2)</f>
        <v>0.81117426460753284</v>
      </c>
      <c r="AB88">
        <f>AA88/'Modified Inputs'!$M$2</f>
        <v>0.81936794404801294</v>
      </c>
      <c r="AD88" s="63">
        <f>IF('VA Sizing'!$C$3="Gas",'10A61 5" Calcs'!X88,
IF('VA Sizing'!$C$3="Liquid",'10A61 5" Calcs'!AB88,""))</f>
        <v>0.81936794404801294</v>
      </c>
      <c r="AE88" s="63" t="str">
        <f>CONCATENATE($A$88,"-",I88)</f>
        <v>1/16-12-CD</v>
      </c>
    </row>
    <row r="89" spans="1:31">
      <c r="A89" t="s">
        <v>159</v>
      </c>
      <c r="D89">
        <v>32</v>
      </c>
      <c r="E89">
        <v>600</v>
      </c>
      <c r="F89">
        <v>600</v>
      </c>
      <c r="G89">
        <v>8500</v>
      </c>
      <c r="I89" t="s">
        <v>21</v>
      </c>
      <c r="J89">
        <f>'Modified Inputs'!$K$2</f>
        <v>140</v>
      </c>
      <c r="K89">
        <f>'Modified Inputs'!$I$2</f>
        <v>145</v>
      </c>
      <c r="L89" t="str">
        <f>IF(AND('VA Sizing'!$C$4=" Other",'VA Sizing'!$C$6="at Operating Conditions",'VA Sizing'!$C$5="Standard"),'10A61 5" Calcs'!O89/'10A61 5" Calcs'!M89,
IF(AND('VA Sizing'!$C$4=" Other",'VA Sizing'!$C$6="at Operating Conditions",OR('VA Sizing'!$C$5="Normal",'VA Sizing'!$C$5="Actual")),'10A61 5" Calcs'!O89/N89,
IF(AND('VA Sizing'!$C$4=" Other",'VA Sizing'!$C$6="at Reference Conditions"),'Modified Inputs'!$M$4,
IF(AND('VA Sizing'!$C$3="Gas",'VA Sizing'!$C$5="Standard"),VLOOKUP('VA Sizing'!$C$4,'10A61 5" Calcs'!$J$3:$K$29,2,FALSE),
IF(AND('VA Sizing'!$C$3="Gas",OR('VA Sizing'!$C$5="Actual",'VA Sizing'!$C$5="Normal")),VLOOKUP('VA Sizing'!$C$4,'10A61 5" Calcs'!$J$3:$L$29,3,FALSE),"")))))</f>
        <v/>
      </c>
      <c r="M89">
        <f t="shared" si="9"/>
        <v>8.7131519274376412</v>
      </c>
      <c r="N89">
        <f t="shared" si="1"/>
        <v>8.0884353741496593</v>
      </c>
      <c r="O89" t="str">
        <f>IFERROR(IF(AND('VA Sizing'!$C$3="Gas",'VA Sizing'!$C$6="at Operating Conditions"),'Modified Inputs'!$M$2,
IF(OR(AND('VA Sizing'!$C$4="Carbon Dioxide",'Modified Inputs'!$I$2&gt;70),'VA Sizing'!$C$4="Ammonia",'VA Sizing'!$C$4="Chlorine",'VA Sizing'!$C$4="Sulfur Dioxide"),'10A61 5" Calcs'!$G$27,
IF('VA Sizing'!$C$5="Standard",'10A61 5" Calcs'!M89*'10A61 5" Calcs'!L89,
IF(OR('VA Sizing'!$C$5="Normal",'VA Sizing'!$C$5="Actual"),'10A61 5" Calcs'!N89*'10A61 5" Calcs'!L89,"")))),IF('VA Sizing'!$C$4="Steam",Steam!$B$20,""))</f>
        <v/>
      </c>
      <c r="P89" t="e">
        <f>VLOOKUP('VA Sizing'!$C$4,'10A61 5" Calcs'!$J$3:$M$29,4,FALSE)</f>
        <v>#N/A</v>
      </c>
      <c r="Q89" t="e">
        <f>VLOOKUP('VA Sizing'!$C$4,'10A61 5" Calcs'!$J$3:$N$28,5,FALSE)</f>
        <v>#N/A</v>
      </c>
      <c r="R89">
        <f t="shared" si="10"/>
        <v>108</v>
      </c>
      <c r="S89">
        <f t="shared" si="11"/>
        <v>70</v>
      </c>
      <c r="T89" t="str">
        <f>IFERROR(IF(AND('VA Sizing'!$C$3="Gas",'VA Sizing'!$C$4=" Other"),'Modified Inputs'!$G$2,
IF('VA Sizing'!$C$5="Standard",'10A61 5" Calcs'!P89+'10A61 5" Calcs'!Q89*'10A61 5" Calcs'!S89,
IF(OR('VA Sizing'!$C$5="Normal",'VA Sizing'!$C$5="Actual"),'10A61 5" Calcs'!P89+'10A61 5" Calcs'!Q89*'10A61 5" Calcs'!R89,""))),IF('VA Sizing'!$C$4="Steam",Steam!$C$20,""))</f>
        <v/>
      </c>
      <c r="U89" t="e">
        <f t="shared" ref="U89:U107" si="36">($E$4/T89)*SQRT((VLOOKUP(I89,$A$3:$B$8,2,FALSE)-O89)*O89)</f>
        <v>#VALUE!</v>
      </c>
      <c r="V89" t="e">
        <f t="shared" ref="V89:V93" si="37">IF(U89&lt;($E$89+0.00001),-0.00000016607*(U89^2)+0.000372*U89-0.003,
IF(U89&lt;($G$89+0.00001),$F$88*LN(U89)+$G$88,""))</f>
        <v>#VALUE!</v>
      </c>
      <c r="W89" t="e">
        <f t="shared" ref="W89:W107" si="38">(V89*$F$4)*SQRT((VLOOKUP(I89,$A$3:$B$8,2,FALSE)-O89)*O89)</f>
        <v>#VALUE!</v>
      </c>
      <c r="X89" t="str">
        <f>IF(AND('VA Sizing'!$C$3="Gas",'VA Sizing'!$C$4=" Other",NOT('VA Sizing'!$C$5="Actual"),'VA Sizing'!$C$6="at Operating Conditions"),'10A61 5" Calcs'!W89/'10A61 5" Calcs'!L89,
IF(AND('VA Sizing'!$C$3="Gas",'VA Sizing'!$C$4=" Other",NOT('VA Sizing'!$C$5="Actual"),'VA Sizing'!$C$6="at Reference Conditions"),'10A61 5" Calcs'!W89/'Modified Inputs'!$M$4,
IF('VA Sizing'!$C$5="Standard",W89/VLOOKUP('VA Sizing'!$C$4,'10A61 5" Calcs'!$J$3:$K$29,2,FALSE),
IF('VA Sizing'!$C$5="Normal",'10A61 5" Calcs'!W89/VLOOKUP('VA Sizing'!$C$4,'10A61 5" Calcs'!$J$3:$L$29,3,FALSE),
IF('VA Sizing'!$C$5="Actual",'10A61 5" Calcs'!W89/'10A61 5" Calcs'!O89,"")))))</f>
        <v/>
      </c>
      <c r="Y89">
        <f>($E$4/'Modified Inputs'!$G$2)*SQRT((VLOOKUP('10A61 5" Calcs'!I89,'10A61 5" Calcs'!$A$3:$B$8,2,FALSE)-'Modified Inputs'!$M$2)*'Modified Inputs'!$M$2)</f>
        <v>246.0306584554047</v>
      </c>
      <c r="Z89">
        <f t="shared" ref="Z89:Z93" si="39">IF(Y89&lt;($E$89+0.00001),-0.00000016607*(Y89^2)+0.000372*Y89-0.003,
IF(Y89&lt;($G$89+0.00001),$F$88*LN(Y89)+$G$88,""))</f>
        <v>7.8471007676067545E-2</v>
      </c>
      <c r="AA89">
        <f>Z89*$F$4*SQRT((VLOOKUP(I89,$A$3:$B$8,2,FALSE)-'Modified Inputs'!$M$2)*'Modified Inputs'!$M$2)</f>
        <v>1.8361211339828492</v>
      </c>
      <c r="AB89">
        <f>AA89/'Modified Inputs'!$M$2</f>
        <v>1.854667812103888</v>
      </c>
      <c r="AD89" s="7">
        <f>IF('VA Sizing'!$C$3="Gas",'10A61 5" Calcs'!X89,
IF('VA Sizing'!$C$3="Liquid",'10A61 5" Calcs'!AB89,""))</f>
        <v>1.854667812103888</v>
      </c>
      <c r="AE89" s="48" t="str">
        <f t="shared" ref="AE89:AE93" si="40">CONCATENATE($A$88,"-",I89)</f>
        <v>1/16-12-SA</v>
      </c>
    </row>
    <row r="90" spans="1:31">
      <c r="I90" t="s">
        <v>23</v>
      </c>
      <c r="J90">
        <f>'Modified Inputs'!$K$2</f>
        <v>140</v>
      </c>
      <c r="K90">
        <f>'Modified Inputs'!$I$2</f>
        <v>145</v>
      </c>
      <c r="L90" t="str">
        <f>IF(AND('VA Sizing'!$C$4=" Other",'VA Sizing'!$C$6="at Operating Conditions",'VA Sizing'!$C$5="Standard"),'10A61 5" Calcs'!O90/'10A61 5" Calcs'!M90,
IF(AND('VA Sizing'!$C$4=" Other",'VA Sizing'!$C$6="at Operating Conditions",OR('VA Sizing'!$C$5="Normal",'VA Sizing'!$C$5="Actual")),'10A61 5" Calcs'!O90/N90,
IF(AND('VA Sizing'!$C$4=" Other",'VA Sizing'!$C$6="at Reference Conditions"),'Modified Inputs'!$M$4,
IF(AND('VA Sizing'!$C$3="Gas",'VA Sizing'!$C$5="Standard"),VLOOKUP('VA Sizing'!$C$4,'10A61 5" Calcs'!$J$3:$K$29,2,FALSE),
IF(AND('VA Sizing'!$C$3="Gas",OR('VA Sizing'!$C$5="Actual",'VA Sizing'!$C$5="Normal")),VLOOKUP('VA Sizing'!$C$4,'10A61 5" Calcs'!$J$3:$L$29,3,FALSE),"")))))</f>
        <v/>
      </c>
      <c r="M90">
        <f t="shared" si="9"/>
        <v>8.7131519274376412</v>
      </c>
      <c r="N90">
        <f t="shared" si="1"/>
        <v>8.0884353741496593</v>
      </c>
      <c r="O90" t="str">
        <f>IFERROR(IF(AND('VA Sizing'!$C$3="Gas",'VA Sizing'!$C$6="at Operating Conditions"),'Modified Inputs'!$M$2,
IF(OR(AND('VA Sizing'!$C$4="Carbon Dioxide",'Modified Inputs'!$I$2&gt;70),'VA Sizing'!$C$4="Ammonia",'VA Sizing'!$C$4="Chlorine",'VA Sizing'!$C$4="Sulfur Dioxide"),'10A61 5" Calcs'!$G$27,
IF('VA Sizing'!$C$5="Standard",'10A61 5" Calcs'!M90*'10A61 5" Calcs'!L90,
IF(OR('VA Sizing'!$C$5="Normal",'VA Sizing'!$C$5="Actual"),'10A61 5" Calcs'!N90*'10A61 5" Calcs'!L90,"")))),IF('VA Sizing'!$C$4="Steam",Steam!$B$20,""))</f>
        <v/>
      </c>
      <c r="P90" t="e">
        <f>VLOOKUP('VA Sizing'!$C$4,'10A61 5" Calcs'!$J$3:$M$29,4,FALSE)</f>
        <v>#N/A</v>
      </c>
      <c r="Q90" t="e">
        <f>VLOOKUP('VA Sizing'!$C$4,'10A61 5" Calcs'!$J$3:$N$28,5,FALSE)</f>
        <v>#N/A</v>
      </c>
      <c r="R90">
        <f t="shared" si="10"/>
        <v>108</v>
      </c>
      <c r="S90">
        <f t="shared" si="11"/>
        <v>70</v>
      </c>
      <c r="T90" t="str">
        <f>IFERROR(IF(AND('VA Sizing'!$C$3="Gas",'VA Sizing'!$C$4=" Other"),'Modified Inputs'!$G$2,
IF('VA Sizing'!$C$5="Standard",'10A61 5" Calcs'!P90+'10A61 5" Calcs'!Q90*'10A61 5" Calcs'!S90,
IF(OR('VA Sizing'!$C$5="Normal",'VA Sizing'!$C$5="Actual"),'10A61 5" Calcs'!P90+'10A61 5" Calcs'!Q90*'10A61 5" Calcs'!R90,""))),IF('VA Sizing'!$C$4="Steam",Steam!$C$20,""))</f>
        <v/>
      </c>
      <c r="U90" t="e">
        <f t="shared" si="36"/>
        <v>#VALUE!</v>
      </c>
      <c r="V90" t="e">
        <f t="shared" si="37"/>
        <v>#VALUE!</v>
      </c>
      <c r="W90" t="e">
        <f t="shared" si="38"/>
        <v>#VALUE!</v>
      </c>
      <c r="X90" t="str">
        <f>IF(AND('VA Sizing'!$C$3="Gas",'VA Sizing'!$C$4=" Other",NOT('VA Sizing'!$C$5="Actual"),'VA Sizing'!$C$6="at Operating Conditions"),'10A61 5" Calcs'!W90/'10A61 5" Calcs'!L90,
IF(AND('VA Sizing'!$C$3="Gas",'VA Sizing'!$C$4=" Other",NOT('VA Sizing'!$C$5="Actual"),'VA Sizing'!$C$6="at Reference Conditions"),'10A61 5" Calcs'!W90/'Modified Inputs'!$M$4,
IF('VA Sizing'!$C$5="Standard",W90/VLOOKUP('VA Sizing'!$C$4,'10A61 5" Calcs'!$J$3:$K$29,2,FALSE),
IF('VA Sizing'!$C$5="Normal",'10A61 5" Calcs'!W90/VLOOKUP('VA Sizing'!$C$4,'10A61 5" Calcs'!$J$3:$L$29,3,FALSE),
IF('VA Sizing'!$C$5="Actual",'10A61 5" Calcs'!W90/'10A61 5" Calcs'!O90,"")))))</f>
        <v/>
      </c>
      <c r="Y90">
        <f>($E$4/'Modified Inputs'!$G$2)*SQRT((VLOOKUP('10A61 5" Calcs'!I90,'10A61 5" Calcs'!$A$3:$B$8,2,FALSE)-'Modified Inputs'!$M$2)*'Modified Inputs'!$M$2)</f>
        <v>377.25177971747195</v>
      </c>
      <c r="Z90">
        <f t="shared" si="39"/>
        <v>0.11370276145172856</v>
      </c>
      <c r="AA90">
        <f>Z90*$F$4*SQRT((VLOOKUP(I90,$A$3:$B$8,2,FALSE)-'Modified Inputs'!$M$2)*'Modified Inputs'!$M$2)</f>
        <v>4.079483496390198</v>
      </c>
      <c r="AB90">
        <f>AA90/'Modified Inputs'!$M$2</f>
        <v>4.1206904003941398</v>
      </c>
      <c r="AD90" s="7">
        <f>IF('VA Sizing'!$C$3="Gas",'10A61 5" Calcs'!X90,
IF('VA Sizing'!$C$3="Liquid",'10A61 5" Calcs'!AB90,""))</f>
        <v>4.1206904003941398</v>
      </c>
      <c r="AE90" s="48" t="str">
        <f t="shared" si="40"/>
        <v>1/16-12-SS</v>
      </c>
    </row>
    <row r="91" spans="1:31">
      <c r="I91" t="s">
        <v>26</v>
      </c>
      <c r="J91">
        <f>'Modified Inputs'!$K$2</f>
        <v>140</v>
      </c>
      <c r="K91">
        <f>'Modified Inputs'!$I$2</f>
        <v>145</v>
      </c>
      <c r="L91" t="str">
        <f>IF(AND('VA Sizing'!$C$4=" Other",'VA Sizing'!$C$6="at Operating Conditions",'VA Sizing'!$C$5="Standard"),'10A61 5" Calcs'!O91/'10A61 5" Calcs'!M91,
IF(AND('VA Sizing'!$C$4=" Other",'VA Sizing'!$C$6="at Operating Conditions",OR('VA Sizing'!$C$5="Normal",'VA Sizing'!$C$5="Actual")),'10A61 5" Calcs'!O91/N91,
IF(AND('VA Sizing'!$C$4=" Other",'VA Sizing'!$C$6="at Reference Conditions"),'Modified Inputs'!$M$4,
IF(AND('VA Sizing'!$C$3="Gas",'VA Sizing'!$C$5="Standard"),VLOOKUP('VA Sizing'!$C$4,'10A61 5" Calcs'!$J$3:$K$29,2,FALSE),
IF(AND('VA Sizing'!$C$3="Gas",OR('VA Sizing'!$C$5="Actual",'VA Sizing'!$C$5="Normal")),VLOOKUP('VA Sizing'!$C$4,'10A61 5" Calcs'!$J$3:$L$29,3,FALSE),"")))))</f>
        <v/>
      </c>
      <c r="M91">
        <f t="shared" si="9"/>
        <v>8.7131519274376412</v>
      </c>
      <c r="N91">
        <f t="shared" si="1"/>
        <v>8.0884353741496593</v>
      </c>
      <c r="O91" t="str">
        <f>IFERROR(IF(AND('VA Sizing'!$C$3="Gas",'VA Sizing'!$C$6="at Operating Conditions"),'Modified Inputs'!$M$2,
IF(OR(AND('VA Sizing'!$C$4="Carbon Dioxide",'Modified Inputs'!$I$2&gt;70),'VA Sizing'!$C$4="Ammonia",'VA Sizing'!$C$4="Chlorine",'VA Sizing'!$C$4="Sulfur Dioxide"),'10A61 5" Calcs'!$G$27,
IF('VA Sizing'!$C$5="Standard",'10A61 5" Calcs'!M91*'10A61 5" Calcs'!L91,
IF(OR('VA Sizing'!$C$5="Normal",'VA Sizing'!$C$5="Actual"),'10A61 5" Calcs'!N91*'10A61 5" Calcs'!L91,"")))),IF('VA Sizing'!$C$4="Steam",Steam!$B$20,""))</f>
        <v/>
      </c>
      <c r="P91" t="e">
        <f>VLOOKUP('VA Sizing'!$C$4,'10A61 5" Calcs'!$J$3:$M$29,4,FALSE)</f>
        <v>#N/A</v>
      </c>
      <c r="Q91" t="e">
        <f>VLOOKUP('VA Sizing'!$C$4,'10A61 5" Calcs'!$J$3:$N$28,5,FALSE)</f>
        <v>#N/A</v>
      </c>
      <c r="R91">
        <f t="shared" si="10"/>
        <v>108</v>
      </c>
      <c r="S91">
        <f t="shared" si="11"/>
        <v>70</v>
      </c>
      <c r="T91" t="str">
        <f>IFERROR(IF(AND('VA Sizing'!$C$3="Gas",'VA Sizing'!$C$4=" Other"),'Modified Inputs'!$G$2,
IF('VA Sizing'!$C$5="Standard",'10A61 5" Calcs'!P91+'10A61 5" Calcs'!Q91*'10A61 5" Calcs'!S91,
IF(OR('VA Sizing'!$C$5="Normal",'VA Sizing'!$C$5="Actual"),'10A61 5" Calcs'!P91+'10A61 5" Calcs'!Q91*'10A61 5" Calcs'!R91,""))),IF('VA Sizing'!$C$4="Steam",Steam!$C$20,""))</f>
        <v/>
      </c>
      <c r="U91" t="e">
        <f t="shared" si="36"/>
        <v>#VALUE!</v>
      </c>
      <c r="V91" t="e">
        <f>IF(U91&lt;($E$89+0.00001),-0.00000016607*(U91^2)+0.000372*U91-0.003,
IF(U91&lt;(10000+0.00001),$F$88*LN(U91)+$G$88,""))</f>
        <v>#VALUE!</v>
      </c>
      <c r="W91" t="e">
        <f t="shared" si="38"/>
        <v>#VALUE!</v>
      </c>
      <c r="X91" t="str">
        <f>IF(AND('VA Sizing'!$C$3="Gas",'VA Sizing'!$C$4=" Other",NOT('VA Sizing'!$C$5="Actual"),'VA Sizing'!$C$6="at Operating Conditions"),'10A61 5" Calcs'!W91/'10A61 5" Calcs'!L91,
IF(AND('VA Sizing'!$C$3="Gas",'VA Sizing'!$C$4=" Other",NOT('VA Sizing'!$C$5="Actual"),'VA Sizing'!$C$6="at Reference Conditions"),'10A61 5" Calcs'!W91/'Modified Inputs'!$M$4,
IF('VA Sizing'!$C$5="Standard",W91/VLOOKUP('VA Sizing'!$C$4,'10A61 5" Calcs'!$J$3:$K$29,2,FALSE),
IF('VA Sizing'!$C$5="Normal",'10A61 5" Calcs'!W91/VLOOKUP('VA Sizing'!$C$4,'10A61 5" Calcs'!$J$3:$L$29,3,FALSE),
IF('VA Sizing'!$C$5="Actual",'10A61 5" Calcs'!W91/'10A61 5" Calcs'!O91,"")))))</f>
        <v/>
      </c>
      <c r="Y91">
        <f>($E$4/'Modified Inputs'!$G$2)*SQRT((VLOOKUP('10A61 5" Calcs'!I91,'10A61 5" Calcs'!$A$3:$B$8,2,FALSE)-'Modified Inputs'!$M$2)*'Modified Inputs'!$M$2)</f>
        <v>532.56509940100284</v>
      </c>
      <c r="Z91">
        <f t="shared" si="39"/>
        <v>0.14801251605961604</v>
      </c>
      <c r="AA91">
        <f>Z91*$F$4*SQRT((VLOOKUP(I91,$A$3:$B$8,2,FALSE)-'Modified Inputs'!$M$2)*'Modified Inputs'!$M$2)</f>
        <v>7.49676702419017</v>
      </c>
      <c r="AB91">
        <f>AA91/'Modified Inputs'!$M$2</f>
        <v>7.5724919436264342</v>
      </c>
      <c r="AD91" s="7">
        <f>IF('VA Sizing'!$C$3="Gas",'10A61 5" Calcs'!X91,
IF('VA Sizing'!$C$3="Liquid",'10A61 5" Calcs'!AB91,""))</f>
        <v>7.5724919436264342</v>
      </c>
      <c r="AE91" s="48" t="str">
        <f t="shared" si="40"/>
        <v>1/16-12-CA</v>
      </c>
    </row>
    <row r="92" spans="1:31">
      <c r="I92" t="s">
        <v>126</v>
      </c>
      <c r="J92">
        <f>'Modified Inputs'!$K$2</f>
        <v>140</v>
      </c>
      <c r="K92">
        <f>'Modified Inputs'!$I$2</f>
        <v>145</v>
      </c>
      <c r="L92" t="str">
        <f>IF(AND('VA Sizing'!$C$4=" Other",'VA Sizing'!$C$6="at Operating Conditions",'VA Sizing'!$C$5="Standard"),'10A61 5" Calcs'!O92/'10A61 5" Calcs'!M92,
IF(AND('VA Sizing'!$C$4=" Other",'VA Sizing'!$C$6="at Operating Conditions",OR('VA Sizing'!$C$5="Normal",'VA Sizing'!$C$5="Actual")),'10A61 5" Calcs'!O92/N92,
IF(AND('VA Sizing'!$C$4=" Other",'VA Sizing'!$C$6="at Reference Conditions"),'Modified Inputs'!$M$4,
IF(AND('VA Sizing'!$C$3="Gas",'VA Sizing'!$C$5="Standard"),VLOOKUP('VA Sizing'!$C$4,'10A61 5" Calcs'!$J$3:$K$29,2,FALSE),
IF(AND('VA Sizing'!$C$3="Gas",OR('VA Sizing'!$C$5="Actual",'VA Sizing'!$C$5="Normal")),VLOOKUP('VA Sizing'!$C$4,'10A61 5" Calcs'!$J$3:$L$29,3,FALSE),"")))))</f>
        <v/>
      </c>
      <c r="M92">
        <f t="shared" si="9"/>
        <v>8.7131519274376412</v>
      </c>
      <c r="N92">
        <f t="shared" si="1"/>
        <v>8.0884353741496593</v>
      </c>
      <c r="O92" t="str">
        <f>IFERROR(IF(AND('VA Sizing'!$C$3="Gas",'VA Sizing'!$C$6="at Operating Conditions"),'Modified Inputs'!$M$2,
IF(OR(AND('VA Sizing'!$C$4="Carbon Dioxide",'Modified Inputs'!$I$2&gt;70),'VA Sizing'!$C$4="Ammonia",'VA Sizing'!$C$4="Chlorine",'VA Sizing'!$C$4="Sulfur Dioxide"),'10A61 5" Calcs'!$G$27,
IF('VA Sizing'!$C$5="Standard",'10A61 5" Calcs'!M92*'10A61 5" Calcs'!L92,
IF(OR('VA Sizing'!$C$5="Normal",'VA Sizing'!$C$5="Actual"),'10A61 5" Calcs'!N92*'10A61 5" Calcs'!L92,"")))),IF('VA Sizing'!$C$4="Steam",Steam!$B$20,""))</f>
        <v/>
      </c>
      <c r="P92" t="e">
        <f>VLOOKUP('VA Sizing'!$C$4,'10A61 5" Calcs'!$J$3:$M$29,4,FALSE)</f>
        <v>#N/A</v>
      </c>
      <c r="Q92" t="e">
        <f>VLOOKUP('VA Sizing'!$C$4,'10A61 5" Calcs'!$J$3:$N$28,5,FALSE)</f>
        <v>#N/A</v>
      </c>
      <c r="R92">
        <f t="shared" si="10"/>
        <v>108</v>
      </c>
      <c r="S92">
        <f t="shared" si="11"/>
        <v>70</v>
      </c>
      <c r="T92" t="str">
        <f>IFERROR(IF(AND('VA Sizing'!$C$3="Gas",'VA Sizing'!$C$4=" Other"),'Modified Inputs'!$G$2,
IF('VA Sizing'!$C$5="Standard",'10A61 5" Calcs'!P92+'10A61 5" Calcs'!Q92*'10A61 5" Calcs'!S92,
IF(OR('VA Sizing'!$C$5="Normal",'VA Sizing'!$C$5="Actual"),'10A61 5" Calcs'!P92+'10A61 5" Calcs'!Q92*'10A61 5" Calcs'!R92,""))),IF('VA Sizing'!$C$4="Steam",Steam!$C$20,""))</f>
        <v/>
      </c>
      <c r="U92" t="e">
        <f t="shared" si="36"/>
        <v>#VALUE!</v>
      </c>
      <c r="V92" t="e">
        <f>IF(U92&lt;($E$89+0.00001),-0.00000016607*(U92^2)+0.000372*U92-0.003,
IF(U92&lt;(10000+0.00001),$F$88*LN(U92)+$G$88,""))</f>
        <v>#VALUE!</v>
      </c>
      <c r="W92" t="e">
        <f t="shared" si="38"/>
        <v>#VALUE!</v>
      </c>
      <c r="X92" t="str">
        <f>IF(AND('VA Sizing'!$C$3="Gas",'VA Sizing'!$C$4=" Other",NOT('VA Sizing'!$C$5="Actual"),'VA Sizing'!$C$6="at Operating Conditions"),'10A61 5" Calcs'!W92/'10A61 5" Calcs'!L92,
IF(AND('VA Sizing'!$C$3="Gas",'VA Sizing'!$C$4=" Other",NOT('VA Sizing'!$C$5="Actual"),'VA Sizing'!$C$6="at Reference Conditions"),'10A61 5" Calcs'!W92/'Modified Inputs'!$M$4,
IF('VA Sizing'!$C$5="Standard",W92/VLOOKUP('VA Sizing'!$C$4,'10A61 5" Calcs'!$J$3:$K$29,2,FALSE),
IF('VA Sizing'!$C$5="Normal",'10A61 5" Calcs'!W92/VLOOKUP('VA Sizing'!$C$4,'10A61 5" Calcs'!$J$3:$L$29,3,FALSE),
IF('VA Sizing'!$C$5="Actual",'10A61 5" Calcs'!W92/'10A61 5" Calcs'!O92,"")))))</f>
        <v/>
      </c>
      <c r="Y92">
        <f>($E$4/'Modified Inputs'!$G$2)*SQRT((VLOOKUP('10A61 5" Calcs'!I92,'10A61 5" Calcs'!$A$3:$B$8,2,FALSE)-'Modified Inputs'!$M$2)*'Modified Inputs'!$M$2)</f>
        <v>562.15371661139091</v>
      </c>
      <c r="Z92">
        <f t="shared" si="39"/>
        <v>0.15364027242076039</v>
      </c>
      <c r="AA92">
        <f>Z92*$F$4*SQRT((VLOOKUP(I92,$A$3:$B$8,2,FALSE)-'Modified Inputs'!$M$2)*'Modified Inputs'!$M$2)</f>
        <v>8.2141574979736482</v>
      </c>
      <c r="AB92">
        <f>AA92/'Modified Inputs'!$M$2</f>
        <v>8.2971287858319673</v>
      </c>
      <c r="AD92" s="7">
        <f>IF('VA Sizing'!$C$3="Gas",'10A61 5" Calcs'!X92,
IF('VA Sizing'!$C$3="Liquid",'10A61 5" Calcs'!AB92,""))</f>
        <v>8.2971287858319673</v>
      </c>
      <c r="AE92" s="48" t="str">
        <f t="shared" si="40"/>
        <v>1/16-12-TA</v>
      </c>
    </row>
    <row r="93" spans="1:31">
      <c r="I93" t="s">
        <v>18</v>
      </c>
      <c r="J93">
        <f>'Modified Inputs'!$K$2</f>
        <v>140</v>
      </c>
      <c r="K93">
        <f>'Modified Inputs'!$I$2</f>
        <v>145</v>
      </c>
      <c r="L93" t="str">
        <f>IF(AND('VA Sizing'!$C$4=" Other",'VA Sizing'!$C$6="at Operating Conditions",'VA Sizing'!$C$5="Standard"),'10A61 5" Calcs'!O93/'10A61 5" Calcs'!M93,
IF(AND('VA Sizing'!$C$4=" Other",'VA Sizing'!$C$6="at Operating Conditions",OR('VA Sizing'!$C$5="Normal",'VA Sizing'!$C$5="Actual")),'10A61 5" Calcs'!O93/N93,
IF(AND('VA Sizing'!$C$4=" Other",'VA Sizing'!$C$6="at Reference Conditions"),'Modified Inputs'!$M$4,
IF(AND('VA Sizing'!$C$3="Gas",'VA Sizing'!$C$5="Standard"),VLOOKUP('VA Sizing'!$C$4,'10A61 5" Calcs'!$J$3:$K$29,2,FALSE),
IF(AND('VA Sizing'!$C$3="Gas",OR('VA Sizing'!$C$5="Actual",'VA Sizing'!$C$5="Normal")),VLOOKUP('VA Sizing'!$C$4,'10A61 5" Calcs'!$J$3:$L$29,3,FALSE),"")))))</f>
        <v/>
      </c>
      <c r="M93">
        <f t="shared" si="9"/>
        <v>8.7131519274376412</v>
      </c>
      <c r="N93">
        <f t="shared" si="1"/>
        <v>8.0884353741496593</v>
      </c>
      <c r="O93" t="str">
        <f>IFERROR(IF(AND('VA Sizing'!$C$3="Gas",'VA Sizing'!$C$6="at Operating Conditions"),'Modified Inputs'!$M$2,
IF(OR(AND('VA Sizing'!$C$4="Carbon Dioxide",'Modified Inputs'!$I$2&gt;70),'VA Sizing'!$C$4="Ammonia",'VA Sizing'!$C$4="Chlorine",'VA Sizing'!$C$4="Sulfur Dioxide"),'10A61 5" Calcs'!$G$27,
IF('VA Sizing'!$C$5="Standard",'10A61 5" Calcs'!M93*'10A61 5" Calcs'!L93,
IF(OR('VA Sizing'!$C$5="Normal",'VA Sizing'!$C$5="Actual"),'10A61 5" Calcs'!N93*'10A61 5" Calcs'!L93,"")))),IF('VA Sizing'!$C$4="Steam",Steam!$B$20,""))</f>
        <v/>
      </c>
      <c r="P93" t="e">
        <f>VLOOKUP('VA Sizing'!$C$4,'10A61 5" Calcs'!$J$3:$M$29,4,FALSE)</f>
        <v>#N/A</v>
      </c>
      <c r="Q93" t="e">
        <f>VLOOKUP('VA Sizing'!$C$4,'10A61 5" Calcs'!$J$3:$N$28,5,FALSE)</f>
        <v>#N/A</v>
      </c>
      <c r="R93">
        <f t="shared" si="10"/>
        <v>108</v>
      </c>
      <c r="S93">
        <f t="shared" si="11"/>
        <v>70</v>
      </c>
      <c r="T93" t="str">
        <f>IFERROR(IF(AND('VA Sizing'!$C$3="Gas",'VA Sizing'!$C$4=" Other"),'Modified Inputs'!$G$2,
IF('VA Sizing'!$C$5="Standard",'10A61 5" Calcs'!P93+'10A61 5" Calcs'!Q93*'10A61 5" Calcs'!S93,
IF(OR('VA Sizing'!$C$5="Normal",'VA Sizing'!$C$5="Actual"),'10A61 5" Calcs'!P93+'10A61 5" Calcs'!Q93*'10A61 5" Calcs'!R93,""))),IF('VA Sizing'!$C$4="Steam",Steam!$C$20,""))</f>
        <v/>
      </c>
      <c r="U93" t="e">
        <f t="shared" si="36"/>
        <v>#VALUE!</v>
      </c>
      <c r="V93" t="e">
        <f t="shared" si="37"/>
        <v>#VALUE!</v>
      </c>
      <c r="W93" t="e">
        <f t="shared" si="38"/>
        <v>#VALUE!</v>
      </c>
      <c r="X93" t="str">
        <f>IF(AND('VA Sizing'!$C$3="Gas",'VA Sizing'!$C$4=" Other",NOT('VA Sizing'!$C$5="Actual"),'VA Sizing'!$C$6="at Operating Conditions"),'10A61 5" Calcs'!W93/'10A61 5" Calcs'!L93,
IF(AND('VA Sizing'!$C$3="Gas",'VA Sizing'!$C$4=" Other",NOT('VA Sizing'!$C$5="Actual"),'VA Sizing'!$C$6="at Reference Conditions"),'10A61 5" Calcs'!W93/'Modified Inputs'!$M$4,
IF('VA Sizing'!$C$5="Standard",W93/VLOOKUP('VA Sizing'!$C$4,'10A61 5" Calcs'!$J$3:$K$29,2,FALSE),
IF('VA Sizing'!$C$5="Normal",'10A61 5" Calcs'!W93/VLOOKUP('VA Sizing'!$C$4,'10A61 5" Calcs'!$J$3:$L$29,3,FALSE),
IF('VA Sizing'!$C$5="Actual",'10A61 5" Calcs'!W93/'10A61 5" Calcs'!O93,"")))))</f>
        <v/>
      </c>
      <c r="Y93">
        <f>($E$4/'Modified Inputs'!$G$2)*SQRT((VLOOKUP('10A61 5" Calcs'!I93,'10A61 5" Calcs'!$A$3:$B$8,2,FALSE)-'Modified Inputs'!$M$2)*'Modified Inputs'!$M$2)</f>
        <v>177.14115981329692</v>
      </c>
      <c r="Z93">
        <f t="shared" si="39"/>
        <v>5.7685402498211448E-2</v>
      </c>
      <c r="AA93">
        <f>Z93*$F$4*SQRT((VLOOKUP(I93,$A$3:$B$8,2,FALSE)-'Modified Inputs'!$M$2)*'Modified Inputs'!$M$2)</f>
        <v>0.97182548110831068</v>
      </c>
      <c r="AB93">
        <f>AA93/'Modified Inputs'!$M$2</f>
        <v>0.98164190010940477</v>
      </c>
      <c r="AD93" s="7">
        <f>IF('VA Sizing'!$C$3="Gas",'10A61 5" Calcs'!X93,
IF('VA Sizing'!$C$3="Liquid",'10A61 5" Calcs'!AB93,""))</f>
        <v>0.98164190010940477</v>
      </c>
      <c r="AE93" s="48" t="str">
        <f t="shared" si="40"/>
        <v>1/16-12-BG</v>
      </c>
    </row>
    <row r="94" spans="1:31">
      <c r="O94" t="str">
        <f>IFERROR(IF(AND('VA Sizing'!$C$3="Gas",'VA Sizing'!$C$6="at Operating Conditions"),'Modified Inputs'!$M$2,
IF(OR(AND('VA Sizing'!$C$4="Carbon Dioxide",'Modified Inputs'!$I$2&gt;70),'VA Sizing'!$C$4="Ammonia",'VA Sizing'!$C$4="Chlorine",'VA Sizing'!$C$4="Sulfur Dioxide"),'10A61 5" Calcs'!$G$27,
IF('VA Sizing'!$C$5="Standard",'10A61 5" Calcs'!M94*'10A61 5" Calcs'!L94,
IF(OR('VA Sizing'!$C$5="Normal",'VA Sizing'!$C$5="Actual"),'10A61 5" Calcs'!N94*'10A61 5" Calcs'!L94,"")))),IF('VA Sizing'!$C$4="Steam",Steam!$B$20,""))</f>
        <v/>
      </c>
      <c r="T94" t="str">
        <f>IFERROR(IF(AND('VA Sizing'!$C$3="Gas",'VA Sizing'!$C$4=" Other"),'Modified Inputs'!$G$2,
IF('VA Sizing'!$C$5="Standard",'10A61 5" Calcs'!P94+'10A61 5" Calcs'!Q94*'10A61 5" Calcs'!S94,
IF(OR('VA Sizing'!$C$5="Normal",'VA Sizing'!$C$5="Actual"),'10A61 5" Calcs'!P94+'10A61 5" Calcs'!Q94*'10A61 5" Calcs'!R94,""))),IF('VA Sizing'!$C$4="Steam",Steam!$C$20,""))</f>
        <v/>
      </c>
    </row>
    <row r="95" spans="1:31">
      <c r="A95" s="3" t="s">
        <v>218</v>
      </c>
      <c r="B95">
        <f t="array" ref="B95:C95">LINEST('10A61 5" Curves'!C53:I53,LN('10A61 5" Curves'!C52:I52))</f>
        <v>8.0860042972230498E-2</v>
      </c>
      <c r="C95">
        <v>-0.30259454024760679</v>
      </c>
      <c r="D95">
        <f t="array" ref="D95:E95">LINEST('10A61 5" Curves'!I53:N53,LN('10A61 5" Curves'!I52:N52))</f>
        <v>9.6521584802503765E-2</v>
      </c>
      <c r="E95">
        <v>-0.36161930881375187</v>
      </c>
      <c r="F95">
        <f t="array" ref="F95:G95">LINEST('10A61 5" Curves'!K53:Q53,LN('10A61 5" Curves'!K52:Q52))</f>
        <v>6.8878016634463177E-2</v>
      </c>
      <c r="G95">
        <v>-0.16054852279840959</v>
      </c>
      <c r="I95" t="s">
        <v>142</v>
      </c>
      <c r="J95">
        <f>'Modified Inputs'!$K$2</f>
        <v>140</v>
      </c>
      <c r="K95">
        <f>'Modified Inputs'!$I$2</f>
        <v>145</v>
      </c>
      <c r="L95" t="str">
        <f>IF(AND('VA Sizing'!$C$4=" Other",'VA Sizing'!$C$6="at Operating Conditions",'VA Sizing'!$C$5="Standard"),'10A61 5" Calcs'!O95/'10A61 5" Calcs'!M95,
IF(AND('VA Sizing'!$C$4=" Other",'VA Sizing'!$C$6="at Operating Conditions",OR('VA Sizing'!$C$5="Normal",'VA Sizing'!$C$5="Actual")),'10A61 5" Calcs'!O95/N95,
IF(AND('VA Sizing'!$C$4=" Other",'VA Sizing'!$C$6="at Reference Conditions"),'Modified Inputs'!$M$4,
IF(AND('VA Sizing'!$C$3="Gas",'VA Sizing'!$C$5="Standard"),VLOOKUP('VA Sizing'!$C$4,'10A61 5" Calcs'!$J$3:$K$29,2,FALSE),
IF(AND('VA Sizing'!$C$3="Gas",OR('VA Sizing'!$C$5="Actual",'VA Sizing'!$C$5="Normal")),VLOOKUP('VA Sizing'!$C$4,'10A61 5" Calcs'!$J$3:$L$29,3,FALSE),"")))))</f>
        <v/>
      </c>
      <c r="M95">
        <f t="shared" si="9"/>
        <v>8.7131519274376412</v>
      </c>
      <c r="N95">
        <f t="shared" si="1"/>
        <v>8.0884353741496593</v>
      </c>
      <c r="O95" t="str">
        <f>IFERROR(IF(AND('VA Sizing'!$C$3="Gas",'VA Sizing'!$C$6="at Operating Conditions"),'Modified Inputs'!$M$2,
IF(OR(AND('VA Sizing'!$C$4="Carbon Dioxide",'Modified Inputs'!$I$2&gt;70),'VA Sizing'!$C$4="Ammonia",'VA Sizing'!$C$4="Chlorine",'VA Sizing'!$C$4="Sulfur Dioxide"),'10A61 5" Calcs'!$G$27,
IF('VA Sizing'!$C$5="Standard",'10A61 5" Calcs'!M95*'10A61 5" Calcs'!L95,
IF(OR('VA Sizing'!$C$5="Normal",'VA Sizing'!$C$5="Actual"),'10A61 5" Calcs'!N95*'10A61 5" Calcs'!L95,"")))),IF('VA Sizing'!$C$4="Steam",Steam!$B$20,""))</f>
        <v/>
      </c>
      <c r="P95" t="e">
        <f>VLOOKUP('VA Sizing'!$C$4,'10A61 5" Calcs'!$J$3:$M$29,4,FALSE)</f>
        <v>#N/A</v>
      </c>
      <c r="Q95" t="e">
        <f>VLOOKUP('VA Sizing'!$C$4,'10A61 5" Calcs'!$J$3:$N$28,5,FALSE)</f>
        <v>#N/A</v>
      </c>
      <c r="R95">
        <f t="shared" si="10"/>
        <v>108</v>
      </c>
      <c r="S95">
        <f t="shared" si="11"/>
        <v>70</v>
      </c>
      <c r="T95" t="str">
        <f>IFERROR(IF(AND('VA Sizing'!$C$3="Gas",'VA Sizing'!$C$4=" Other"),'Modified Inputs'!$G$2,
IF('VA Sizing'!$C$5="Standard",'10A61 5" Calcs'!P95+'10A61 5" Calcs'!Q95*'10A61 5" Calcs'!S95,
IF(OR('VA Sizing'!$C$5="Normal",'VA Sizing'!$C$5="Actual"),'10A61 5" Calcs'!P95+'10A61 5" Calcs'!Q95*'10A61 5" Calcs'!R95,""))),IF('VA Sizing'!$C$4="Steam",Steam!$C$20,""))</f>
        <v/>
      </c>
      <c r="U95" t="e">
        <f t="shared" si="36"/>
        <v>#VALUE!</v>
      </c>
      <c r="V95" t="e">
        <f>IF(U95&lt;($E$96+0.00001),-0.000000349508*(U95^2)+0.000653*U95-0.00603,
IF(U95&lt;($G$96+0.00001),$F$95*LN(U95)+$G$95,""))</f>
        <v>#VALUE!</v>
      </c>
      <c r="W95" t="e">
        <f>(V95*$F$4)*SQRT((VLOOKUP(I95,$A$3:$B$8,2,FALSE)-O95)*O95)</f>
        <v>#VALUE!</v>
      </c>
      <c r="X95" t="str">
        <f>IF(AND('VA Sizing'!$C$3="Gas",'VA Sizing'!$C$4=" Other",NOT('VA Sizing'!$C$5="Actual"),'VA Sizing'!$C$6="at Operating Conditions"),'10A61 5" Calcs'!W95/'10A61 5" Calcs'!L95,
IF(AND('VA Sizing'!$C$3="Gas",'VA Sizing'!$C$4=" Other",NOT('VA Sizing'!$C$5="Actual"),'VA Sizing'!$C$6="at Reference Conditions"),'10A61 5" Calcs'!W95/'Modified Inputs'!$M$4,
IF('VA Sizing'!$C$5="Standard",W95/VLOOKUP('VA Sizing'!$C$4,'10A61 5" Calcs'!$J$3:$K$29,2,FALSE),
IF('VA Sizing'!$C$5="Normal",'10A61 5" Calcs'!W95/VLOOKUP('VA Sizing'!$C$4,'10A61 5" Calcs'!$J$3:$L$29,3,FALSE),
IF('VA Sizing'!$C$5="Actual",'10A61 5" Calcs'!W95/'10A61 5" Calcs'!O95,"")))))</f>
        <v/>
      </c>
      <c r="Y95">
        <f>($E$4/'Modified Inputs'!$G$2)*SQRT((VLOOKUP('10A61 5" Calcs'!I95,'10A61 5" Calcs'!$A$3:$B$8,2,FALSE)-'Modified Inputs'!$M$2)*'Modified Inputs'!$M$2)</f>
        <v>161.60265437176454</v>
      </c>
      <c r="Z95">
        <f>IF(Y95&lt;($E$96+0.00001),-0.000000349508*(Y95^2)+0.000653*Y95-0.00603,
IF(Y95&lt;($G$96+0.00001),$F$95*LN(Y95)+$G$95,""))</f>
        <v>9.0368985825369064E-2</v>
      </c>
      <c r="AA95">
        <f>Z95*$F$4*SQRT((VLOOKUP(I95,$A$3:$B$8,2,FALSE)-'Modified Inputs'!$M$2)*'Modified Inputs'!$M$2)</f>
        <v>1.3888993325789545</v>
      </c>
      <c r="AB95">
        <f>AA95/'Modified Inputs'!$M$2</f>
        <v>1.4029286187666208</v>
      </c>
      <c r="AD95" s="63">
        <f>IF('VA Sizing'!$C$3="Gas",'10A61 5" Calcs'!X95,
IF('VA Sizing'!$C$3="Liquid",'10A61 5" Calcs'!AB95,""))</f>
        <v>1.4029286187666208</v>
      </c>
      <c r="AE95" s="63" t="str">
        <f>CONCATENATE($A$95,"-",I95)</f>
        <v>1/16-16-CD</v>
      </c>
    </row>
    <row r="96" spans="1:31">
      <c r="A96" t="s">
        <v>159</v>
      </c>
      <c r="D96">
        <v>45</v>
      </c>
      <c r="E96">
        <v>700</v>
      </c>
      <c r="F96">
        <v>700</v>
      </c>
      <c r="G96">
        <v>6000</v>
      </c>
      <c r="I96" t="s">
        <v>21</v>
      </c>
      <c r="J96">
        <f>'Modified Inputs'!$K$2</f>
        <v>140</v>
      </c>
      <c r="K96">
        <f>'Modified Inputs'!$I$2</f>
        <v>145</v>
      </c>
      <c r="L96" t="str">
        <f>IF(AND('VA Sizing'!$C$4=" Other",'VA Sizing'!$C$6="at Operating Conditions",'VA Sizing'!$C$5="Standard"),'10A61 5" Calcs'!O96/'10A61 5" Calcs'!M96,
IF(AND('VA Sizing'!$C$4=" Other",'VA Sizing'!$C$6="at Operating Conditions",OR('VA Sizing'!$C$5="Normal",'VA Sizing'!$C$5="Actual")),'10A61 5" Calcs'!O96/N96,
IF(AND('VA Sizing'!$C$4=" Other",'VA Sizing'!$C$6="at Reference Conditions"),'Modified Inputs'!$M$4,
IF(AND('VA Sizing'!$C$3="Gas",'VA Sizing'!$C$5="Standard"),VLOOKUP('VA Sizing'!$C$4,'10A61 5" Calcs'!$J$3:$K$29,2,FALSE),
IF(AND('VA Sizing'!$C$3="Gas",OR('VA Sizing'!$C$5="Actual",'VA Sizing'!$C$5="Normal")),VLOOKUP('VA Sizing'!$C$4,'10A61 5" Calcs'!$J$3:$L$29,3,FALSE),"")))))</f>
        <v/>
      </c>
      <c r="M96">
        <f t="shared" si="9"/>
        <v>8.7131519274376412</v>
      </c>
      <c r="N96">
        <f t="shared" si="1"/>
        <v>8.0884353741496593</v>
      </c>
      <c r="O96" t="str">
        <f>IFERROR(IF(AND('VA Sizing'!$C$3="Gas",'VA Sizing'!$C$6="at Operating Conditions"),'Modified Inputs'!$M$2,
IF(OR(AND('VA Sizing'!$C$4="Carbon Dioxide",'Modified Inputs'!$I$2&gt;70),'VA Sizing'!$C$4="Ammonia",'VA Sizing'!$C$4="Chlorine",'VA Sizing'!$C$4="Sulfur Dioxide"),'10A61 5" Calcs'!$G$27,
IF('VA Sizing'!$C$5="Standard",'10A61 5" Calcs'!M96*'10A61 5" Calcs'!L96,
IF(OR('VA Sizing'!$C$5="Normal",'VA Sizing'!$C$5="Actual"),'10A61 5" Calcs'!N96*'10A61 5" Calcs'!L96,"")))),IF('VA Sizing'!$C$4="Steam",Steam!$B$20,""))</f>
        <v/>
      </c>
      <c r="P96" t="e">
        <f>VLOOKUP('VA Sizing'!$C$4,'10A61 5" Calcs'!$J$3:$M$29,4,FALSE)</f>
        <v>#N/A</v>
      </c>
      <c r="Q96" t="e">
        <f>VLOOKUP('VA Sizing'!$C$4,'10A61 5" Calcs'!$J$3:$N$28,5,FALSE)</f>
        <v>#N/A</v>
      </c>
      <c r="R96">
        <f t="shared" si="10"/>
        <v>108</v>
      </c>
      <c r="S96">
        <f t="shared" si="11"/>
        <v>70</v>
      </c>
      <c r="T96" t="str">
        <f>IFERROR(IF(AND('VA Sizing'!$C$3="Gas",'VA Sizing'!$C$4=" Other"),'Modified Inputs'!$G$2,
IF('VA Sizing'!$C$5="Standard",'10A61 5" Calcs'!P96+'10A61 5" Calcs'!Q96*'10A61 5" Calcs'!S96,
IF(OR('VA Sizing'!$C$5="Normal",'VA Sizing'!$C$5="Actual"),'10A61 5" Calcs'!P96+'10A61 5" Calcs'!Q96*'10A61 5" Calcs'!R96,""))),IF('VA Sizing'!$C$4="Steam",Steam!$C$20,""))</f>
        <v/>
      </c>
      <c r="U96" t="e">
        <f t="shared" si="36"/>
        <v>#VALUE!</v>
      </c>
      <c r="V96" t="e">
        <f t="shared" ref="V96:V100" si="41">IF(U96&lt;($E$96+0.00001),-0.000000349508*(U96^2)+0.000653*U96-0.00603,
IF(U96&lt;($G$96+0.00001),$F$95*LN(U96)+$G$95,""))</f>
        <v>#VALUE!</v>
      </c>
      <c r="W96" t="e">
        <f t="shared" si="38"/>
        <v>#VALUE!</v>
      </c>
      <c r="X96" t="str">
        <f>IF(AND('VA Sizing'!$C$3="Gas",'VA Sizing'!$C$4=" Other",NOT('VA Sizing'!$C$5="Actual"),'VA Sizing'!$C$6="at Operating Conditions"),'10A61 5" Calcs'!W96/'10A61 5" Calcs'!L96,
IF(AND('VA Sizing'!$C$3="Gas",'VA Sizing'!$C$4=" Other",NOT('VA Sizing'!$C$5="Actual"),'VA Sizing'!$C$6="at Reference Conditions"),'10A61 5" Calcs'!W96/'Modified Inputs'!$M$4,
IF('VA Sizing'!$C$5="Standard",W96/VLOOKUP('VA Sizing'!$C$4,'10A61 5" Calcs'!$J$3:$K$29,2,FALSE),
IF('VA Sizing'!$C$5="Normal",'10A61 5" Calcs'!W96/VLOOKUP('VA Sizing'!$C$4,'10A61 5" Calcs'!$J$3:$L$29,3,FALSE),
IF('VA Sizing'!$C$5="Actual",'10A61 5" Calcs'!W96/'10A61 5" Calcs'!O96,"")))))</f>
        <v/>
      </c>
      <c r="Y96">
        <f>($E$4/'Modified Inputs'!$G$2)*SQRT((VLOOKUP('10A61 5" Calcs'!I96,'10A61 5" Calcs'!$A$3:$B$8,2,FALSE)-'Modified Inputs'!$M$2)*'Modified Inputs'!$M$2)</f>
        <v>246.0306584554047</v>
      </c>
      <c r="Z96">
        <f t="shared" ref="Z96:Z100" si="42">IF(Y96&lt;($E$96+0.00001),-0.000000349508*(Y96^2)+0.000653*Y96-0.00603,
IF(Y96&lt;($G$96+0.00001),$F$95*LN(Y96)+$G$95,""))</f>
        <v>0.13347192155015009</v>
      </c>
      <c r="AA96">
        <f>Z96*$F$4*SQRT((VLOOKUP(I96,$A$3:$B$8,2,FALSE)-'Modified Inputs'!$M$2)*'Modified Inputs'!$M$2)</f>
        <v>3.1230721155410142</v>
      </c>
      <c r="AB96">
        <f>AA96/'Modified Inputs'!$M$2</f>
        <v>3.1546182985262772</v>
      </c>
      <c r="AD96" s="7">
        <f>IF('VA Sizing'!$C$3="Gas",'10A61 5" Calcs'!X96,
IF('VA Sizing'!$C$3="Liquid",'10A61 5" Calcs'!AB96,""))</f>
        <v>3.1546182985262772</v>
      </c>
      <c r="AE96" s="48" t="str">
        <f t="shared" ref="AE96:AE100" si="43">CONCATENATE($A$95,"-",I96)</f>
        <v>1/16-16-SA</v>
      </c>
    </row>
    <row r="97" spans="1:31">
      <c r="I97" t="s">
        <v>23</v>
      </c>
      <c r="J97">
        <f>'Modified Inputs'!$K$2</f>
        <v>140</v>
      </c>
      <c r="K97">
        <f>'Modified Inputs'!$I$2</f>
        <v>145</v>
      </c>
      <c r="L97" t="str">
        <f>IF(AND('VA Sizing'!$C$4=" Other",'VA Sizing'!$C$6="at Operating Conditions",'VA Sizing'!$C$5="Standard"),'10A61 5" Calcs'!O97/'10A61 5" Calcs'!M97,
IF(AND('VA Sizing'!$C$4=" Other",'VA Sizing'!$C$6="at Operating Conditions",OR('VA Sizing'!$C$5="Normal",'VA Sizing'!$C$5="Actual")),'10A61 5" Calcs'!O97/N97,
IF(AND('VA Sizing'!$C$4=" Other",'VA Sizing'!$C$6="at Reference Conditions"),'Modified Inputs'!$M$4,
IF(AND('VA Sizing'!$C$3="Gas",'VA Sizing'!$C$5="Standard"),VLOOKUP('VA Sizing'!$C$4,'10A61 5" Calcs'!$J$3:$K$29,2,FALSE),
IF(AND('VA Sizing'!$C$3="Gas",OR('VA Sizing'!$C$5="Actual",'VA Sizing'!$C$5="Normal")),VLOOKUP('VA Sizing'!$C$4,'10A61 5" Calcs'!$J$3:$L$29,3,FALSE),"")))))</f>
        <v/>
      </c>
      <c r="M97">
        <f t="shared" si="9"/>
        <v>8.7131519274376412</v>
      </c>
      <c r="N97">
        <f t="shared" si="1"/>
        <v>8.0884353741496593</v>
      </c>
      <c r="O97" t="str">
        <f>IFERROR(IF(AND('VA Sizing'!$C$3="Gas",'VA Sizing'!$C$6="at Operating Conditions"),'Modified Inputs'!$M$2,
IF(OR(AND('VA Sizing'!$C$4="Carbon Dioxide",'Modified Inputs'!$I$2&gt;70),'VA Sizing'!$C$4="Ammonia",'VA Sizing'!$C$4="Chlorine",'VA Sizing'!$C$4="Sulfur Dioxide"),'10A61 5" Calcs'!$G$27,
IF('VA Sizing'!$C$5="Standard",'10A61 5" Calcs'!M97*'10A61 5" Calcs'!L97,
IF(OR('VA Sizing'!$C$5="Normal",'VA Sizing'!$C$5="Actual"),'10A61 5" Calcs'!N97*'10A61 5" Calcs'!L97,"")))),IF('VA Sizing'!$C$4="Steam",Steam!$B$20,""))</f>
        <v/>
      </c>
      <c r="P97" t="e">
        <f>VLOOKUP('VA Sizing'!$C$4,'10A61 5" Calcs'!$J$3:$M$29,4,FALSE)</f>
        <v>#N/A</v>
      </c>
      <c r="Q97" t="e">
        <f>VLOOKUP('VA Sizing'!$C$4,'10A61 5" Calcs'!$J$3:$N$28,5,FALSE)</f>
        <v>#N/A</v>
      </c>
      <c r="R97">
        <f t="shared" si="10"/>
        <v>108</v>
      </c>
      <c r="S97">
        <f t="shared" si="11"/>
        <v>70</v>
      </c>
      <c r="T97" t="str">
        <f>IFERROR(IF(AND('VA Sizing'!$C$3="Gas",'VA Sizing'!$C$4=" Other"),'Modified Inputs'!$G$2,
IF('VA Sizing'!$C$5="Standard",'10A61 5" Calcs'!P97+'10A61 5" Calcs'!Q97*'10A61 5" Calcs'!S97,
IF(OR('VA Sizing'!$C$5="Normal",'VA Sizing'!$C$5="Actual"),'10A61 5" Calcs'!P97+'10A61 5" Calcs'!Q97*'10A61 5" Calcs'!R97,""))),IF('VA Sizing'!$C$4="Steam",Steam!$C$20,""))</f>
        <v/>
      </c>
      <c r="U97" t="e">
        <f t="shared" si="36"/>
        <v>#VALUE!</v>
      </c>
      <c r="V97" t="e">
        <f>IF(U97&lt;($E$96+0.00001),-0.000000349508*(U97^2)+0.000653*U97-0.00603,
IF(U97&lt;(10000+0.00001),$F$95*LN(U97)+$G$95,""))</f>
        <v>#VALUE!</v>
      </c>
      <c r="W97" t="e">
        <f t="shared" si="38"/>
        <v>#VALUE!</v>
      </c>
      <c r="X97" t="str">
        <f>IF(AND('VA Sizing'!$C$3="Gas",'VA Sizing'!$C$4=" Other",NOT('VA Sizing'!$C$5="Actual"),'VA Sizing'!$C$6="at Operating Conditions"),'10A61 5" Calcs'!W97/'10A61 5" Calcs'!L97,
IF(AND('VA Sizing'!$C$3="Gas",'VA Sizing'!$C$4=" Other",NOT('VA Sizing'!$C$5="Actual"),'VA Sizing'!$C$6="at Reference Conditions"),'10A61 5" Calcs'!W97/'Modified Inputs'!$M$4,
IF('VA Sizing'!$C$5="Standard",W97/VLOOKUP('VA Sizing'!$C$4,'10A61 5" Calcs'!$J$3:$K$29,2,FALSE),
IF('VA Sizing'!$C$5="Normal",'10A61 5" Calcs'!W97/VLOOKUP('VA Sizing'!$C$4,'10A61 5" Calcs'!$J$3:$L$29,3,FALSE),
IF('VA Sizing'!$C$5="Actual",'10A61 5" Calcs'!W97/'10A61 5" Calcs'!O97,"")))))</f>
        <v/>
      </c>
      <c r="Y97">
        <f>($E$4/'Modified Inputs'!$G$2)*SQRT((VLOOKUP('10A61 5" Calcs'!I97,'10A61 5" Calcs'!$A$3:$B$8,2,FALSE)-'Modified Inputs'!$M$2)*'Modified Inputs'!$M$2)</f>
        <v>377.25177971747195</v>
      </c>
      <c r="Z97">
        <f t="shared" si="42"/>
        <v>0.1905738162019168</v>
      </c>
      <c r="AA97">
        <f>Z97*$F$4*SQRT((VLOOKUP(I97,$A$3:$B$8,2,FALSE)-'Modified Inputs'!$M$2)*'Modified Inputs'!$M$2)</f>
        <v>6.8375009376520248</v>
      </c>
      <c r="AB97">
        <f>AA97/'Modified Inputs'!$M$2</f>
        <v>6.9065666036889137</v>
      </c>
      <c r="AD97" s="7">
        <f>IF('VA Sizing'!$C$3="Gas",'10A61 5" Calcs'!X97,
IF('VA Sizing'!$C$3="Liquid",'10A61 5" Calcs'!AB97,""))</f>
        <v>6.9065666036889137</v>
      </c>
      <c r="AE97" s="48" t="str">
        <f t="shared" si="43"/>
        <v>1/16-16-SS</v>
      </c>
    </row>
    <row r="98" spans="1:31">
      <c r="I98" t="s">
        <v>26</v>
      </c>
      <c r="J98">
        <f>'Modified Inputs'!$K$2</f>
        <v>140</v>
      </c>
      <c r="K98">
        <f>'Modified Inputs'!$I$2</f>
        <v>145</v>
      </c>
      <c r="L98" t="str">
        <f>IF(AND('VA Sizing'!$C$4=" Other",'VA Sizing'!$C$6="at Operating Conditions",'VA Sizing'!$C$5="Standard"),'10A61 5" Calcs'!O98/'10A61 5" Calcs'!M98,
IF(AND('VA Sizing'!$C$4=" Other",'VA Sizing'!$C$6="at Operating Conditions",OR('VA Sizing'!$C$5="Normal",'VA Sizing'!$C$5="Actual")),'10A61 5" Calcs'!O98/N98,
IF(AND('VA Sizing'!$C$4=" Other",'VA Sizing'!$C$6="at Reference Conditions"),'Modified Inputs'!$M$4,
IF(AND('VA Sizing'!$C$3="Gas",'VA Sizing'!$C$5="Standard"),VLOOKUP('VA Sizing'!$C$4,'10A61 5" Calcs'!$J$3:$K$29,2,FALSE),
IF(AND('VA Sizing'!$C$3="Gas",OR('VA Sizing'!$C$5="Actual",'VA Sizing'!$C$5="Normal")),VLOOKUP('VA Sizing'!$C$4,'10A61 5" Calcs'!$J$3:$L$29,3,FALSE),"")))))</f>
        <v/>
      </c>
      <c r="M98">
        <f t="shared" si="9"/>
        <v>8.7131519274376412</v>
      </c>
      <c r="N98">
        <f t="shared" si="1"/>
        <v>8.0884353741496593</v>
      </c>
      <c r="O98" t="str">
        <f>IFERROR(IF(AND('VA Sizing'!$C$3="Gas",'VA Sizing'!$C$6="at Operating Conditions"),'Modified Inputs'!$M$2,
IF(OR(AND('VA Sizing'!$C$4="Carbon Dioxide",'Modified Inputs'!$I$2&gt;70),'VA Sizing'!$C$4="Ammonia",'VA Sizing'!$C$4="Chlorine",'VA Sizing'!$C$4="Sulfur Dioxide"),'10A61 5" Calcs'!$G$27,
IF('VA Sizing'!$C$5="Standard",'10A61 5" Calcs'!M98*'10A61 5" Calcs'!L98,
IF(OR('VA Sizing'!$C$5="Normal",'VA Sizing'!$C$5="Actual"),'10A61 5" Calcs'!N98*'10A61 5" Calcs'!L98,"")))),IF('VA Sizing'!$C$4="Steam",Steam!$B$20,""))</f>
        <v/>
      </c>
      <c r="P98" t="e">
        <f>VLOOKUP('VA Sizing'!$C$4,'10A61 5" Calcs'!$J$3:$M$29,4,FALSE)</f>
        <v>#N/A</v>
      </c>
      <c r="Q98" t="e">
        <f>VLOOKUP('VA Sizing'!$C$4,'10A61 5" Calcs'!$J$3:$N$28,5,FALSE)</f>
        <v>#N/A</v>
      </c>
      <c r="R98">
        <f t="shared" si="10"/>
        <v>108</v>
      </c>
      <c r="S98">
        <f t="shared" si="11"/>
        <v>70</v>
      </c>
      <c r="T98" t="str">
        <f>IFERROR(IF(AND('VA Sizing'!$C$3="Gas",'VA Sizing'!$C$4=" Other"),'Modified Inputs'!$G$2,
IF('VA Sizing'!$C$5="Standard",'10A61 5" Calcs'!P98+'10A61 5" Calcs'!Q98*'10A61 5" Calcs'!S98,
IF(OR('VA Sizing'!$C$5="Normal",'VA Sizing'!$C$5="Actual"),'10A61 5" Calcs'!P98+'10A61 5" Calcs'!Q98*'10A61 5" Calcs'!R98,""))),IF('VA Sizing'!$C$4="Steam",Steam!$C$20,""))</f>
        <v/>
      </c>
      <c r="U98" t="e">
        <f t="shared" si="36"/>
        <v>#VALUE!</v>
      </c>
      <c r="V98" t="e">
        <f>IF(U98&lt;($E$96+0.00001),-0.000000349508*(U98^2)+0.000653*U98-0.00603,
IF(U98&lt;(10000+0.00001),$F$95*LN(U98)+$G$95,""))</f>
        <v>#VALUE!</v>
      </c>
      <c r="W98" t="e">
        <f t="shared" si="38"/>
        <v>#VALUE!</v>
      </c>
      <c r="X98" t="str">
        <f>IF(AND('VA Sizing'!$C$3="Gas",'VA Sizing'!$C$4=" Other",NOT('VA Sizing'!$C$5="Actual"),'VA Sizing'!$C$6="at Operating Conditions"),'10A61 5" Calcs'!W98/'10A61 5" Calcs'!L98,
IF(AND('VA Sizing'!$C$3="Gas",'VA Sizing'!$C$4=" Other",NOT('VA Sizing'!$C$5="Actual"),'VA Sizing'!$C$6="at Reference Conditions"),'10A61 5" Calcs'!W98/'Modified Inputs'!$M$4,
IF('VA Sizing'!$C$5="Standard",W98/VLOOKUP('VA Sizing'!$C$4,'10A61 5" Calcs'!$J$3:$K$29,2,FALSE),
IF('VA Sizing'!$C$5="Normal",'10A61 5" Calcs'!W98/VLOOKUP('VA Sizing'!$C$4,'10A61 5" Calcs'!$J$3:$L$29,3,FALSE),
IF('VA Sizing'!$C$5="Actual",'10A61 5" Calcs'!W98/'10A61 5" Calcs'!O98,"")))))</f>
        <v/>
      </c>
      <c r="Y98">
        <f>($E$4/'Modified Inputs'!$G$2)*SQRT((VLOOKUP('10A61 5" Calcs'!I98,'10A61 5" Calcs'!$A$3:$B$8,2,FALSE)-'Modified Inputs'!$M$2)*'Modified Inputs'!$M$2)</f>
        <v>532.56509940100284</v>
      </c>
      <c r="Z98">
        <f t="shared" si="42"/>
        <v>0.24260559891172409</v>
      </c>
      <c r="AA98">
        <f>Z98*$F$4*SQRT((VLOOKUP(I98,$A$3:$B$8,2,FALSE)-'Modified Inputs'!$M$2)*'Modified Inputs'!$M$2)</f>
        <v>12.287863906541295</v>
      </c>
      <c r="AB98">
        <f>AA98/'Modified Inputs'!$M$2</f>
        <v>12.411983743981107</v>
      </c>
      <c r="AD98" s="7">
        <f>IF('VA Sizing'!$C$3="Gas",'10A61 5" Calcs'!X98,
IF('VA Sizing'!$C$3="Liquid",'10A61 5" Calcs'!AB98,""))</f>
        <v>12.411983743981107</v>
      </c>
      <c r="AE98" s="48" t="str">
        <f t="shared" si="43"/>
        <v>1/16-16-CA</v>
      </c>
    </row>
    <row r="99" spans="1:31">
      <c r="I99" t="s">
        <v>126</v>
      </c>
      <c r="J99">
        <f>'Modified Inputs'!$K$2</f>
        <v>140</v>
      </c>
      <c r="K99">
        <f>'Modified Inputs'!$I$2</f>
        <v>145</v>
      </c>
      <c r="L99" t="str">
        <f>IF(AND('VA Sizing'!$C$4=" Other",'VA Sizing'!$C$6="at Operating Conditions",'VA Sizing'!$C$5="Standard"),'10A61 5" Calcs'!O99/'10A61 5" Calcs'!M99,
IF(AND('VA Sizing'!$C$4=" Other",'VA Sizing'!$C$6="at Operating Conditions",OR('VA Sizing'!$C$5="Normal",'VA Sizing'!$C$5="Actual")),'10A61 5" Calcs'!O99/N99,
IF(AND('VA Sizing'!$C$4=" Other",'VA Sizing'!$C$6="at Reference Conditions"),'Modified Inputs'!$M$4,
IF(AND('VA Sizing'!$C$3="Gas",'VA Sizing'!$C$5="Standard"),VLOOKUP('VA Sizing'!$C$4,'10A61 5" Calcs'!$J$3:$K$29,2,FALSE),
IF(AND('VA Sizing'!$C$3="Gas",OR('VA Sizing'!$C$5="Actual",'VA Sizing'!$C$5="Normal")),VLOOKUP('VA Sizing'!$C$4,'10A61 5" Calcs'!$J$3:$L$29,3,FALSE),"")))))</f>
        <v/>
      </c>
      <c r="M99">
        <f t="shared" si="9"/>
        <v>8.7131519274376412</v>
      </c>
      <c r="N99">
        <f t="shared" si="1"/>
        <v>8.0884353741496593</v>
      </c>
      <c r="O99" t="str">
        <f>IFERROR(IF(AND('VA Sizing'!$C$3="Gas",'VA Sizing'!$C$6="at Operating Conditions"),'Modified Inputs'!$M$2,
IF(OR(AND('VA Sizing'!$C$4="Carbon Dioxide",'Modified Inputs'!$I$2&gt;70),'VA Sizing'!$C$4="Ammonia",'VA Sizing'!$C$4="Chlorine",'VA Sizing'!$C$4="Sulfur Dioxide"),'10A61 5" Calcs'!$G$27,
IF('VA Sizing'!$C$5="Standard",'10A61 5" Calcs'!M99*'10A61 5" Calcs'!L99,
IF(OR('VA Sizing'!$C$5="Normal",'VA Sizing'!$C$5="Actual"),'10A61 5" Calcs'!N99*'10A61 5" Calcs'!L99,"")))),IF('VA Sizing'!$C$4="Steam",Steam!$B$20,""))</f>
        <v/>
      </c>
      <c r="P99" t="e">
        <f>VLOOKUP('VA Sizing'!$C$4,'10A61 5" Calcs'!$J$3:$M$29,4,FALSE)</f>
        <v>#N/A</v>
      </c>
      <c r="Q99" t="e">
        <f>VLOOKUP('VA Sizing'!$C$4,'10A61 5" Calcs'!$J$3:$N$28,5,FALSE)</f>
        <v>#N/A</v>
      </c>
      <c r="R99">
        <f t="shared" si="10"/>
        <v>108</v>
      </c>
      <c r="S99">
        <f t="shared" si="11"/>
        <v>70</v>
      </c>
      <c r="T99" t="str">
        <f>IFERROR(IF(AND('VA Sizing'!$C$3="Gas",'VA Sizing'!$C$4=" Other"),'Modified Inputs'!$G$2,
IF('VA Sizing'!$C$5="Standard",'10A61 5" Calcs'!P99+'10A61 5" Calcs'!Q99*'10A61 5" Calcs'!S99,
IF(OR('VA Sizing'!$C$5="Normal",'VA Sizing'!$C$5="Actual"),'10A61 5" Calcs'!P99+'10A61 5" Calcs'!Q99*'10A61 5" Calcs'!R99,""))),IF('VA Sizing'!$C$4="Steam",Steam!$C$20,""))</f>
        <v/>
      </c>
      <c r="U99" t="e">
        <f t="shared" si="36"/>
        <v>#VALUE!</v>
      </c>
      <c r="V99" t="e">
        <f>IF(U99&lt;($E$96+0.00001),-0.000000349508*(U99^2)+0.000653*U99-0.00603,
IF(U99&lt;(10000+0.00001),$F$95*LN(U99)+$G$95,""))</f>
        <v>#VALUE!</v>
      </c>
      <c r="W99" t="e">
        <f t="shared" si="38"/>
        <v>#VALUE!</v>
      </c>
      <c r="X99" t="str">
        <f>IF(AND('VA Sizing'!$C$3="Gas",'VA Sizing'!$C$4=" Other",NOT('VA Sizing'!$C$5="Actual"),'VA Sizing'!$C$6="at Operating Conditions"),'10A61 5" Calcs'!W99/'10A61 5" Calcs'!L99,
IF(AND('VA Sizing'!$C$3="Gas",'VA Sizing'!$C$4=" Other",NOT('VA Sizing'!$C$5="Actual"),'VA Sizing'!$C$6="at Reference Conditions"),'10A61 5" Calcs'!W99/'Modified Inputs'!$M$4,
IF('VA Sizing'!$C$5="Standard",W99/VLOOKUP('VA Sizing'!$C$4,'10A61 5" Calcs'!$J$3:$K$29,2,FALSE),
IF('VA Sizing'!$C$5="Normal",'10A61 5" Calcs'!W99/VLOOKUP('VA Sizing'!$C$4,'10A61 5" Calcs'!$J$3:$L$29,3,FALSE),
IF('VA Sizing'!$C$5="Actual",'10A61 5" Calcs'!W99/'10A61 5" Calcs'!O99,"")))))</f>
        <v/>
      </c>
      <c r="Y99">
        <f>($E$4/'Modified Inputs'!$G$2)*SQRT((VLOOKUP('10A61 5" Calcs'!I99,'10A61 5" Calcs'!$A$3:$B$8,2,FALSE)-'Modified Inputs'!$M$2)*'Modified Inputs'!$M$2)</f>
        <v>562.15371661139091</v>
      </c>
      <c r="Z99">
        <f t="shared" si="42"/>
        <v>0.25060597682837948</v>
      </c>
      <c r="AA99">
        <f>Z99*$F$4*SQRT((VLOOKUP(I99,$A$3:$B$8,2,FALSE)-'Modified Inputs'!$M$2)*'Modified Inputs'!$M$2)</f>
        <v>13.398290247522954</v>
      </c>
      <c r="AB99">
        <f>AA99/'Modified Inputs'!$M$2</f>
        <v>13.533626512649448</v>
      </c>
      <c r="AD99" s="7">
        <f>IF('VA Sizing'!$C$3="Gas",'10A61 5" Calcs'!X99,
IF('VA Sizing'!$C$3="Liquid",'10A61 5" Calcs'!AB99,""))</f>
        <v>13.533626512649448</v>
      </c>
      <c r="AE99" s="48" t="str">
        <f t="shared" si="43"/>
        <v>1/16-16-TA</v>
      </c>
    </row>
    <row r="100" spans="1:31">
      <c r="I100" t="s">
        <v>18</v>
      </c>
      <c r="J100">
        <f>'Modified Inputs'!$K$2</f>
        <v>140</v>
      </c>
      <c r="K100">
        <f>'Modified Inputs'!$I$2</f>
        <v>145</v>
      </c>
      <c r="L100" t="str">
        <f>IF(AND('VA Sizing'!$C$4=" Other",'VA Sizing'!$C$6="at Operating Conditions",'VA Sizing'!$C$5="Standard"),'10A61 5" Calcs'!O100/'10A61 5" Calcs'!M100,
IF(AND('VA Sizing'!$C$4=" Other",'VA Sizing'!$C$6="at Operating Conditions",OR('VA Sizing'!$C$5="Normal",'VA Sizing'!$C$5="Actual")),'10A61 5" Calcs'!O100/N100,
IF(AND('VA Sizing'!$C$4=" Other",'VA Sizing'!$C$6="at Reference Conditions"),'Modified Inputs'!$M$4,
IF(AND('VA Sizing'!$C$3="Gas",'VA Sizing'!$C$5="Standard"),VLOOKUP('VA Sizing'!$C$4,'10A61 5" Calcs'!$J$3:$K$29,2,FALSE),
IF(AND('VA Sizing'!$C$3="Gas",OR('VA Sizing'!$C$5="Actual",'VA Sizing'!$C$5="Normal")),VLOOKUP('VA Sizing'!$C$4,'10A61 5" Calcs'!$J$3:$L$29,3,FALSE),"")))))</f>
        <v/>
      </c>
      <c r="M100">
        <f t="shared" si="9"/>
        <v>8.7131519274376412</v>
      </c>
      <c r="N100">
        <f t="shared" si="1"/>
        <v>8.0884353741496593</v>
      </c>
      <c r="O100" t="str">
        <f>IFERROR(IF(AND('VA Sizing'!$C$3="Gas",'VA Sizing'!$C$6="at Operating Conditions"),'Modified Inputs'!$M$2,
IF(OR(AND('VA Sizing'!$C$4="Carbon Dioxide",'Modified Inputs'!$I$2&gt;70),'VA Sizing'!$C$4="Ammonia",'VA Sizing'!$C$4="Chlorine",'VA Sizing'!$C$4="Sulfur Dioxide"),'10A61 5" Calcs'!$G$27,
IF('VA Sizing'!$C$5="Standard",'10A61 5" Calcs'!M100*'10A61 5" Calcs'!L100,
IF(OR('VA Sizing'!$C$5="Normal",'VA Sizing'!$C$5="Actual"),'10A61 5" Calcs'!N100*'10A61 5" Calcs'!L100,"")))),IF('VA Sizing'!$C$4="Steam",Steam!$B$20,""))</f>
        <v/>
      </c>
      <c r="P100" t="e">
        <f>VLOOKUP('VA Sizing'!$C$4,'10A61 5" Calcs'!$J$3:$M$29,4,FALSE)</f>
        <v>#N/A</v>
      </c>
      <c r="Q100" t="e">
        <f>VLOOKUP('VA Sizing'!$C$4,'10A61 5" Calcs'!$J$3:$N$28,5,FALSE)</f>
        <v>#N/A</v>
      </c>
      <c r="R100">
        <f t="shared" si="10"/>
        <v>108</v>
      </c>
      <c r="S100">
        <f t="shared" si="11"/>
        <v>70</v>
      </c>
      <c r="T100" t="str">
        <f>IFERROR(IF(AND('VA Sizing'!$C$3="Gas",'VA Sizing'!$C$4=" Other"),'Modified Inputs'!$G$2,
IF('VA Sizing'!$C$5="Standard",'10A61 5" Calcs'!P100+'10A61 5" Calcs'!Q100*'10A61 5" Calcs'!S100,
IF(OR('VA Sizing'!$C$5="Normal",'VA Sizing'!$C$5="Actual"),'10A61 5" Calcs'!P100+'10A61 5" Calcs'!Q100*'10A61 5" Calcs'!R100,""))),IF('VA Sizing'!$C$4="Steam",Steam!$C$20,""))</f>
        <v/>
      </c>
      <c r="U100" t="e">
        <f t="shared" si="36"/>
        <v>#VALUE!</v>
      </c>
      <c r="V100" t="e">
        <f t="shared" si="41"/>
        <v>#VALUE!</v>
      </c>
      <c r="W100" t="e">
        <f t="shared" si="38"/>
        <v>#VALUE!</v>
      </c>
      <c r="X100" t="str">
        <f>IF(AND('VA Sizing'!$C$3="Gas",'VA Sizing'!$C$4=" Other",NOT('VA Sizing'!$C$5="Actual"),'VA Sizing'!$C$6="at Operating Conditions"),'10A61 5" Calcs'!W100/'10A61 5" Calcs'!L100,
IF(AND('VA Sizing'!$C$3="Gas",'VA Sizing'!$C$4=" Other",NOT('VA Sizing'!$C$5="Actual"),'VA Sizing'!$C$6="at Reference Conditions"),'10A61 5" Calcs'!W100/'Modified Inputs'!$M$4,
IF('VA Sizing'!$C$5="Standard",W100/VLOOKUP('VA Sizing'!$C$4,'10A61 5" Calcs'!$J$3:$K$29,2,FALSE),
IF('VA Sizing'!$C$5="Normal",'10A61 5" Calcs'!W100/VLOOKUP('VA Sizing'!$C$4,'10A61 5" Calcs'!$J$3:$L$29,3,FALSE),
IF('VA Sizing'!$C$5="Actual",'10A61 5" Calcs'!W100/'10A61 5" Calcs'!O100,"")))))</f>
        <v/>
      </c>
      <c r="Y100">
        <f>($E$4/'Modified Inputs'!$G$2)*SQRT((VLOOKUP('10A61 5" Calcs'!I100,'10A61 5" Calcs'!$A$3:$B$8,2,FALSE)-'Modified Inputs'!$M$2)*'Modified Inputs'!$M$2)</f>
        <v>177.14115981329692</v>
      </c>
      <c r="Z100">
        <f t="shared" si="42"/>
        <v>9.8675969146408901E-2</v>
      </c>
      <c r="AA100">
        <f>Z100*$F$4*SQRT((VLOOKUP(I100,$A$3:$B$8,2,FALSE)-'Modified Inputs'!$M$2)*'Modified Inputs'!$M$2)</f>
        <v>1.6623932058463307</v>
      </c>
      <c r="AB100">
        <f>AA100/'Modified Inputs'!$M$2</f>
        <v>1.6791850564104349</v>
      </c>
      <c r="AD100" s="7">
        <f>IF('VA Sizing'!$C$3="Gas",'10A61 5" Calcs'!X100,
IF('VA Sizing'!$C$3="Liquid",'10A61 5" Calcs'!AB100,""))</f>
        <v>1.6791850564104349</v>
      </c>
      <c r="AE100" s="48" t="str">
        <f t="shared" si="43"/>
        <v>1/16-16-BG</v>
      </c>
    </row>
    <row r="101" spans="1:31">
      <c r="O101" t="str">
        <f>IFERROR(IF(AND('VA Sizing'!$C$3="Gas",'VA Sizing'!$C$6="at Operating Conditions"),'Modified Inputs'!$M$2,
IF(OR(AND('VA Sizing'!$C$4="Carbon Dioxide",'Modified Inputs'!$I$2&gt;70),'VA Sizing'!$C$4="Ammonia",'VA Sizing'!$C$4="Chlorine",'VA Sizing'!$C$4="Sulfur Dioxide"),'10A61 5" Calcs'!$G$27,
IF('VA Sizing'!$C$5="Standard",'10A61 5" Calcs'!M101*'10A61 5" Calcs'!L101,
IF(OR('VA Sizing'!$C$5="Normal",'VA Sizing'!$C$5="Actual"),'10A61 5" Calcs'!N101*'10A61 5" Calcs'!L101,"")))),IF('VA Sizing'!$C$4="Steam",Steam!$B$20,""))</f>
        <v/>
      </c>
      <c r="T101" t="str">
        <f>IFERROR(IF(AND('VA Sizing'!$C$3="Gas",'VA Sizing'!$C$4=" Other"),'Modified Inputs'!$G$2,
IF('VA Sizing'!$C$5="Standard",'10A61 5" Calcs'!P101+'10A61 5" Calcs'!Q101*'10A61 5" Calcs'!S101,
IF(OR('VA Sizing'!$C$5="Normal",'VA Sizing'!$C$5="Actual"),'10A61 5" Calcs'!P101+'10A61 5" Calcs'!Q101*'10A61 5" Calcs'!R101,""))),IF('VA Sizing'!$C$4="Steam",Steam!$C$20,""))</f>
        <v/>
      </c>
    </row>
    <row r="102" spans="1:31">
      <c r="A102" s="3" t="s">
        <v>219</v>
      </c>
      <c r="B102">
        <f t="array" ref="B102:C102">LINEST('10A61 5" Curves'!C60:I60,LN('10A61 5" Curves'!C59:I59))</f>
        <v>9.6862819836838282E-2</v>
      </c>
      <c r="C102">
        <v>-0.33868340717390177</v>
      </c>
      <c r="D102">
        <f t="array" ref="D102:E102">LINEST('10A61 5" Curves'!I60:N60,LN('10A61 5" Curves'!I59:N59))</f>
        <v>0.16040373817984574</v>
      </c>
      <c r="E102">
        <v>-0.66463356035143339</v>
      </c>
      <c r="F102">
        <f t="array" ref="F102:G102">LINEST('10A61 5" Curves'!M60:Q60,LN('10A61 5" Curves'!M59:Q59))</f>
        <v>8.513160940324041E-2</v>
      </c>
      <c r="G102">
        <v>-0.17613640636267758</v>
      </c>
      <c r="I102" t="s">
        <v>142</v>
      </c>
      <c r="J102">
        <f>'Modified Inputs'!$K$2</f>
        <v>140</v>
      </c>
      <c r="K102">
        <f>'Modified Inputs'!$I$2</f>
        <v>145</v>
      </c>
      <c r="L102" t="str">
        <f>IF(AND('VA Sizing'!$C$4=" Other",'VA Sizing'!$C$6="at Operating Conditions",'VA Sizing'!$C$5="Standard"),'10A61 5" Calcs'!O102/'10A61 5" Calcs'!M102,
IF(AND('VA Sizing'!$C$4=" Other",'VA Sizing'!$C$6="at Operating Conditions",OR('VA Sizing'!$C$5="Normal",'VA Sizing'!$C$5="Actual")),'10A61 5" Calcs'!O102/N102,
IF(AND('VA Sizing'!$C$4=" Other",'VA Sizing'!$C$6="at Reference Conditions"),'Modified Inputs'!$M$4,
IF(AND('VA Sizing'!$C$3="Gas",'VA Sizing'!$C$5="Standard"),VLOOKUP('VA Sizing'!$C$4,'10A61 5" Calcs'!$J$3:$K$29,2,FALSE),
IF(AND('VA Sizing'!$C$3="Gas",OR('VA Sizing'!$C$5="Actual",'VA Sizing'!$C$5="Normal")),VLOOKUP('VA Sizing'!$C$4,'10A61 5" Calcs'!$J$3:$L$29,3,FALSE),"")))))</f>
        <v/>
      </c>
      <c r="M102">
        <f t="shared" si="9"/>
        <v>8.7131519274376412</v>
      </c>
      <c r="N102">
        <f t="shared" si="1"/>
        <v>8.0884353741496593</v>
      </c>
      <c r="O102" t="str">
        <f>IFERROR(IF(AND('VA Sizing'!$C$3="Gas",'VA Sizing'!$C$6="at Operating Conditions"),'Modified Inputs'!$M$2,
IF(OR(AND('VA Sizing'!$C$4="Carbon Dioxide",'Modified Inputs'!$I$2&gt;70),'VA Sizing'!$C$4="Ammonia",'VA Sizing'!$C$4="Chlorine",'VA Sizing'!$C$4="Sulfur Dioxide"),'10A61 5" Calcs'!$G$27,
IF('VA Sizing'!$C$5="Standard",'10A61 5" Calcs'!M102*'10A61 5" Calcs'!L102,
IF(OR('VA Sizing'!$C$5="Normal",'VA Sizing'!$C$5="Actual"),'10A61 5" Calcs'!N102*'10A61 5" Calcs'!L102,"")))),IF('VA Sizing'!$C$4="Steam",Steam!$B$20,""))</f>
        <v/>
      </c>
      <c r="P102" t="e">
        <f>VLOOKUP('VA Sizing'!$C$4,'10A61 5" Calcs'!$J$3:$M$29,4,FALSE)</f>
        <v>#N/A</v>
      </c>
      <c r="Q102" t="e">
        <f>VLOOKUP('VA Sizing'!$C$4,'10A61 5" Calcs'!$J$3:$N$28,5,FALSE)</f>
        <v>#N/A</v>
      </c>
      <c r="R102">
        <f t="shared" si="10"/>
        <v>108</v>
      </c>
      <c r="S102">
        <f t="shared" si="11"/>
        <v>70</v>
      </c>
      <c r="T102" t="str">
        <f>IFERROR(IF(AND('VA Sizing'!$C$3="Gas",'VA Sizing'!$C$4=" Other"),'Modified Inputs'!$G$2,
IF('VA Sizing'!$C$5="Standard",'10A61 5" Calcs'!P102+'10A61 5" Calcs'!Q102*'10A61 5" Calcs'!S102,
IF(OR('VA Sizing'!$C$5="Normal",'VA Sizing'!$C$5="Actual"),'10A61 5" Calcs'!P102+'10A61 5" Calcs'!Q102*'10A61 5" Calcs'!R102,""))),IF('VA Sizing'!$C$4="Steam",Steam!$C$20,""))</f>
        <v/>
      </c>
      <c r="U102" t="e">
        <f t="shared" si="36"/>
        <v>#VALUE!</v>
      </c>
      <c r="V102" t="e">
        <f>IF(U102&lt;($E$103+0.00001),-0.00000066163*(U102^2)+0.001036*U102-0.01083,
IF(U102&lt;($G$103+0.00001),$F$102*LN(U102)+$G$102,""))</f>
        <v>#VALUE!</v>
      </c>
      <c r="W102" t="e">
        <f>(V102*$F$4)*SQRT((VLOOKUP(I102,$A$3:$B$8,2,FALSE)-O102)*O102)</f>
        <v>#VALUE!</v>
      </c>
      <c r="X102" t="str">
        <f>IF(AND('VA Sizing'!$C$3="Gas",'VA Sizing'!$C$4=" Other",NOT('VA Sizing'!$C$5="Actual"),'VA Sizing'!$C$6="at Operating Conditions"),'10A61 5" Calcs'!W102/'10A61 5" Calcs'!L102,
IF(AND('VA Sizing'!$C$3="Gas",'VA Sizing'!$C$4=" Other",NOT('VA Sizing'!$C$5="Actual"),'VA Sizing'!$C$6="at Reference Conditions"),'10A61 5" Calcs'!W102/'Modified Inputs'!$M$4,
IF('VA Sizing'!$C$5="Standard",W102/VLOOKUP('VA Sizing'!$C$4,'10A61 5" Calcs'!$J$3:$K$29,2,FALSE),
IF('VA Sizing'!$C$5="Normal",'10A61 5" Calcs'!W102/VLOOKUP('VA Sizing'!$C$4,'10A61 5" Calcs'!$J$3:$L$29,3,FALSE),
IF('VA Sizing'!$C$5="Actual",'10A61 5" Calcs'!W102/'10A61 5" Calcs'!O102,"")))))</f>
        <v/>
      </c>
      <c r="Y102">
        <f>($E$4/'Modified Inputs'!$G$2)*SQRT((VLOOKUP('10A61 5" Calcs'!I102,'10A61 5" Calcs'!$A$3:$B$8,2,FALSE)-'Modified Inputs'!$M$2)*'Modified Inputs'!$M$2)</f>
        <v>161.60265437176454</v>
      </c>
      <c r="Z102">
        <f>IF(Y102&lt;($E$103+0.00001),-0.00000066163*(Y102^2)+0.001036*Y102-0.01083,
IF(Y102&lt;($G$103+0.00001),$F$102*LN(Y102)+$G$102,""))</f>
        <v>0.13931160598397105</v>
      </c>
      <c r="AA102">
        <f>Z102*$F$4*SQRT((VLOOKUP(I102,$A$3:$B$8,2,FALSE)-'Modified Inputs'!$M$2)*'Modified Inputs'!$M$2)</f>
        <v>2.1411084212623948</v>
      </c>
      <c r="AB102">
        <f>AA102/'Modified Inputs'!$M$2</f>
        <v>2.162735779052924</v>
      </c>
      <c r="AD102" s="63">
        <f>IF('VA Sizing'!$C$3="Gas",'10A61 5" Calcs'!X102,
IF('VA Sizing'!$C$3="Liquid",'10A61 5" Calcs'!AB102,""))</f>
        <v>2.162735779052924</v>
      </c>
      <c r="AE102" s="63" t="str">
        <f>CONCATENATE($A$102,"-",I102)</f>
        <v>1/16-20-CD</v>
      </c>
    </row>
    <row r="103" spans="1:31">
      <c r="A103" t="s">
        <v>159</v>
      </c>
      <c r="D103">
        <v>36</v>
      </c>
      <c r="E103">
        <v>500</v>
      </c>
      <c r="F103">
        <v>500</v>
      </c>
      <c r="G103">
        <v>5000</v>
      </c>
      <c r="I103" t="s">
        <v>21</v>
      </c>
      <c r="J103">
        <f>'Modified Inputs'!$K$2</f>
        <v>140</v>
      </c>
      <c r="K103">
        <f>'Modified Inputs'!$I$2</f>
        <v>145</v>
      </c>
      <c r="L103" t="str">
        <f>IF(AND('VA Sizing'!$C$4=" Other",'VA Sizing'!$C$6="at Operating Conditions",'VA Sizing'!$C$5="Standard"),'10A61 5" Calcs'!O103/'10A61 5" Calcs'!M103,
IF(AND('VA Sizing'!$C$4=" Other",'VA Sizing'!$C$6="at Operating Conditions",OR('VA Sizing'!$C$5="Normal",'VA Sizing'!$C$5="Actual")),'10A61 5" Calcs'!O103/N103,
IF(AND('VA Sizing'!$C$4=" Other",'VA Sizing'!$C$6="at Reference Conditions"),'Modified Inputs'!$M$4,
IF(AND('VA Sizing'!$C$3="Gas",'VA Sizing'!$C$5="Standard"),VLOOKUP('VA Sizing'!$C$4,'10A61 5" Calcs'!$J$3:$K$29,2,FALSE),
IF(AND('VA Sizing'!$C$3="Gas",OR('VA Sizing'!$C$5="Actual",'VA Sizing'!$C$5="Normal")),VLOOKUP('VA Sizing'!$C$4,'10A61 5" Calcs'!$J$3:$L$29,3,FALSE),"")))))</f>
        <v/>
      </c>
      <c r="M103">
        <f t="shared" si="9"/>
        <v>8.7131519274376412</v>
      </c>
      <c r="N103">
        <f t="shared" si="1"/>
        <v>8.0884353741496593</v>
      </c>
      <c r="O103" t="str">
        <f>IFERROR(IF(AND('VA Sizing'!$C$3="Gas",'VA Sizing'!$C$6="at Operating Conditions"),'Modified Inputs'!$M$2,
IF(OR(AND('VA Sizing'!$C$4="Carbon Dioxide",'Modified Inputs'!$I$2&gt;70),'VA Sizing'!$C$4="Ammonia",'VA Sizing'!$C$4="Chlorine",'VA Sizing'!$C$4="Sulfur Dioxide"),'10A61 5" Calcs'!$G$27,
IF('VA Sizing'!$C$5="Standard",'10A61 5" Calcs'!M103*'10A61 5" Calcs'!L103,
IF(OR('VA Sizing'!$C$5="Normal",'VA Sizing'!$C$5="Actual"),'10A61 5" Calcs'!N103*'10A61 5" Calcs'!L103,"")))),IF('VA Sizing'!$C$4="Steam",Steam!$B$20,""))</f>
        <v/>
      </c>
      <c r="P103" t="e">
        <f>VLOOKUP('VA Sizing'!$C$4,'10A61 5" Calcs'!$J$3:$M$29,4,FALSE)</f>
        <v>#N/A</v>
      </c>
      <c r="Q103" t="e">
        <f>VLOOKUP('VA Sizing'!$C$4,'10A61 5" Calcs'!$J$3:$N$28,5,FALSE)</f>
        <v>#N/A</v>
      </c>
      <c r="R103">
        <f t="shared" si="10"/>
        <v>108</v>
      </c>
      <c r="S103">
        <f t="shared" si="11"/>
        <v>70</v>
      </c>
      <c r="T103" t="str">
        <f>IFERROR(IF(AND('VA Sizing'!$C$3="Gas",'VA Sizing'!$C$4=" Other"),'Modified Inputs'!$G$2,
IF('VA Sizing'!$C$5="Standard",'10A61 5" Calcs'!P103+'10A61 5" Calcs'!Q103*'10A61 5" Calcs'!S103,
IF(OR('VA Sizing'!$C$5="Normal",'VA Sizing'!$C$5="Actual"),'10A61 5" Calcs'!P103+'10A61 5" Calcs'!Q103*'10A61 5" Calcs'!R103,""))),IF('VA Sizing'!$C$4="Steam",Steam!$C$20,""))</f>
        <v/>
      </c>
      <c r="U103" t="e">
        <f t="shared" si="36"/>
        <v>#VALUE!</v>
      </c>
      <c r="V103" t="e">
        <f>IF(U103&lt;($E$103+0.00001),-0.00000066163*(U103^2)+0.001036*U103-0.01083,
IF(U103&lt;($G$103+0.00001),$F$102*LN(U103)+$G$102,""))</f>
        <v>#VALUE!</v>
      </c>
      <c r="W103" t="e">
        <f t="shared" si="38"/>
        <v>#VALUE!</v>
      </c>
      <c r="X103" t="str">
        <f>IF(AND('VA Sizing'!$C$3="Gas",'VA Sizing'!$C$4=" Other",NOT('VA Sizing'!$C$5="Actual"),'VA Sizing'!$C$6="at Operating Conditions"),'10A61 5" Calcs'!W103/'10A61 5" Calcs'!L103,
IF(AND('VA Sizing'!$C$3="Gas",'VA Sizing'!$C$4=" Other",NOT('VA Sizing'!$C$5="Actual"),'VA Sizing'!$C$6="at Reference Conditions"),'10A61 5" Calcs'!W103/'Modified Inputs'!$M$4,
IF('VA Sizing'!$C$5="Standard",W103/VLOOKUP('VA Sizing'!$C$4,'10A61 5" Calcs'!$J$3:$K$29,2,FALSE),
IF('VA Sizing'!$C$5="Normal",'10A61 5" Calcs'!W103/VLOOKUP('VA Sizing'!$C$4,'10A61 5" Calcs'!$J$3:$L$29,3,FALSE),
IF('VA Sizing'!$C$5="Actual",'10A61 5" Calcs'!W103/'10A61 5" Calcs'!O103,"")))))</f>
        <v/>
      </c>
      <c r="Y103">
        <f>($E$4/'Modified Inputs'!$G$2)*SQRT((VLOOKUP('10A61 5" Calcs'!I103,'10A61 5" Calcs'!$A$3:$B$8,2,FALSE)-'Modified Inputs'!$M$2)*'Modified Inputs'!$M$2)</f>
        <v>246.0306584554047</v>
      </c>
      <c r="Z103">
        <f t="shared" ref="Z103:Z107" si="44">IF(Y103&lt;($E$103+0.00001),-0.00000066163*(Y103^2)+0.001036*Y103-0.01083,
IF(Y103&lt;($G$103+0.00001),$F$102*LN(Y103)+$G$102,""))</f>
        <v>0.2040085804574123</v>
      </c>
      <c r="AA103">
        <f>Z103*$F$4*SQRT((VLOOKUP(I103,$A$3:$B$8,2,FALSE)-'Modified Inputs'!$M$2)*'Modified Inputs'!$M$2)</f>
        <v>4.7735396445780278</v>
      </c>
      <c r="AB103">
        <f>AA103/'Modified Inputs'!$M$2</f>
        <v>4.8217572167454827</v>
      </c>
      <c r="AD103" s="7">
        <f>IF('VA Sizing'!$C$3="Gas",'10A61 5" Calcs'!X103,
IF('VA Sizing'!$C$3="Liquid",'10A61 5" Calcs'!AB103,""))</f>
        <v>4.8217572167454827</v>
      </c>
      <c r="AE103" s="48" t="str">
        <f t="shared" ref="AE103:AE107" si="45">CONCATENATE($A$102,"-",I103)</f>
        <v>1/16-20-SA</v>
      </c>
    </row>
    <row r="104" spans="1:31">
      <c r="I104" t="s">
        <v>23</v>
      </c>
      <c r="J104">
        <f>'Modified Inputs'!$K$2</f>
        <v>140</v>
      </c>
      <c r="K104">
        <f>'Modified Inputs'!$I$2</f>
        <v>145</v>
      </c>
      <c r="L104" t="str">
        <f>IF(AND('VA Sizing'!$C$4=" Other",'VA Sizing'!$C$6="at Operating Conditions",'VA Sizing'!$C$5="Standard"),'10A61 5" Calcs'!O104/'10A61 5" Calcs'!M104,
IF(AND('VA Sizing'!$C$4=" Other",'VA Sizing'!$C$6="at Operating Conditions",OR('VA Sizing'!$C$5="Normal",'VA Sizing'!$C$5="Actual")),'10A61 5" Calcs'!O104/N104,
IF(AND('VA Sizing'!$C$4=" Other",'VA Sizing'!$C$6="at Reference Conditions"),'Modified Inputs'!$M$4,
IF(AND('VA Sizing'!$C$3="Gas",'VA Sizing'!$C$5="Standard"),VLOOKUP('VA Sizing'!$C$4,'10A61 5" Calcs'!$J$3:$K$29,2,FALSE),
IF(AND('VA Sizing'!$C$3="Gas",OR('VA Sizing'!$C$5="Actual",'VA Sizing'!$C$5="Normal")),VLOOKUP('VA Sizing'!$C$4,'10A61 5" Calcs'!$J$3:$L$29,3,FALSE),"")))))</f>
        <v/>
      </c>
      <c r="M104">
        <f t="shared" si="9"/>
        <v>8.7131519274376412</v>
      </c>
      <c r="N104">
        <f t="shared" si="1"/>
        <v>8.0884353741496593</v>
      </c>
      <c r="O104" t="str">
        <f>IFERROR(IF(AND('VA Sizing'!$C$3="Gas",'VA Sizing'!$C$6="at Operating Conditions"),'Modified Inputs'!$M$2,
IF(OR(AND('VA Sizing'!$C$4="Carbon Dioxide",'Modified Inputs'!$I$2&gt;70),'VA Sizing'!$C$4="Ammonia",'VA Sizing'!$C$4="Chlorine",'VA Sizing'!$C$4="Sulfur Dioxide"),'10A61 5" Calcs'!$G$27,
IF('VA Sizing'!$C$5="Standard",'10A61 5" Calcs'!M104*'10A61 5" Calcs'!L104,
IF(OR('VA Sizing'!$C$5="Normal",'VA Sizing'!$C$5="Actual"),'10A61 5" Calcs'!N104*'10A61 5" Calcs'!L104,"")))),IF('VA Sizing'!$C$4="Steam",Steam!$B$20,""))</f>
        <v/>
      </c>
      <c r="P104" t="e">
        <f>VLOOKUP('VA Sizing'!$C$4,'10A61 5" Calcs'!$J$3:$M$29,4,FALSE)</f>
        <v>#N/A</v>
      </c>
      <c r="Q104" t="e">
        <f>VLOOKUP('VA Sizing'!$C$4,'10A61 5" Calcs'!$J$3:$N$28,5,FALSE)</f>
        <v>#N/A</v>
      </c>
      <c r="R104">
        <f t="shared" si="10"/>
        <v>108</v>
      </c>
      <c r="S104">
        <f t="shared" si="11"/>
        <v>70</v>
      </c>
      <c r="T104" t="str">
        <f>IFERROR(IF(AND('VA Sizing'!$C$3="Gas",'VA Sizing'!$C$4=" Other"),'Modified Inputs'!$G$2,
IF('VA Sizing'!$C$5="Standard",'10A61 5" Calcs'!P104+'10A61 5" Calcs'!Q104*'10A61 5" Calcs'!S104,
IF(OR('VA Sizing'!$C$5="Normal",'VA Sizing'!$C$5="Actual"),'10A61 5" Calcs'!P104+'10A61 5" Calcs'!Q104*'10A61 5" Calcs'!R104,""))),IF('VA Sizing'!$C$4="Steam",Steam!$C$20,""))</f>
        <v/>
      </c>
      <c r="U104" t="e">
        <f t="shared" si="36"/>
        <v>#VALUE!</v>
      </c>
      <c r="V104" t="e">
        <f>IF(U104&lt;($E$103+0.00001),-0.00000066163*(U104^2)+0.001036*U104-0.01083,
IF(U104&lt;(9000+0.00001),$F$102*LN(U104)+$G$102,""))</f>
        <v>#VALUE!</v>
      </c>
      <c r="W104" t="e">
        <f t="shared" si="38"/>
        <v>#VALUE!</v>
      </c>
      <c r="X104" t="str">
        <f>IF(AND('VA Sizing'!$C$3="Gas",'VA Sizing'!$C$4=" Other",NOT('VA Sizing'!$C$5="Actual"),'VA Sizing'!$C$6="at Operating Conditions"),'10A61 5" Calcs'!W104/'10A61 5" Calcs'!L104,
IF(AND('VA Sizing'!$C$3="Gas",'VA Sizing'!$C$4=" Other",NOT('VA Sizing'!$C$5="Actual"),'VA Sizing'!$C$6="at Reference Conditions"),'10A61 5" Calcs'!W104/'Modified Inputs'!$M$4,
IF('VA Sizing'!$C$5="Standard",W104/VLOOKUP('VA Sizing'!$C$4,'10A61 5" Calcs'!$J$3:$K$29,2,FALSE),
IF('VA Sizing'!$C$5="Normal",'10A61 5" Calcs'!W104/VLOOKUP('VA Sizing'!$C$4,'10A61 5" Calcs'!$J$3:$L$29,3,FALSE),
IF('VA Sizing'!$C$5="Actual",'10A61 5" Calcs'!W104/'10A61 5" Calcs'!O104,"")))))</f>
        <v/>
      </c>
      <c r="Y104">
        <f>($E$4/'Modified Inputs'!$G$2)*SQRT((VLOOKUP('10A61 5" Calcs'!I104,'10A61 5" Calcs'!$A$3:$B$8,2,FALSE)-'Modified Inputs'!$M$2)*'Modified Inputs'!$M$2)</f>
        <v>377.25177971747195</v>
      </c>
      <c r="Z104">
        <f t="shared" si="44"/>
        <v>0.28584038647366194</v>
      </c>
      <c r="AA104">
        <f>Z104*$F$4*SQRT((VLOOKUP(I104,$A$3:$B$8,2,FALSE)-'Modified Inputs'!$M$2)*'Modified Inputs'!$M$2)</f>
        <v>10.255521715856908</v>
      </c>
      <c r="AB104">
        <f>AA104/'Modified Inputs'!$M$2</f>
        <v>10.359112844299908</v>
      </c>
      <c r="AD104" s="7">
        <f>IF('VA Sizing'!$C$3="Gas",'10A61 5" Calcs'!X104,
IF('VA Sizing'!$C$3="Liquid",'10A61 5" Calcs'!AB104,""))</f>
        <v>10.359112844299908</v>
      </c>
      <c r="AE104" s="48" t="str">
        <f t="shared" si="45"/>
        <v>1/16-20-SS</v>
      </c>
    </row>
    <row r="105" spans="1:31">
      <c r="I105" t="s">
        <v>26</v>
      </c>
      <c r="J105">
        <f>'Modified Inputs'!$K$2</f>
        <v>140</v>
      </c>
      <c r="K105">
        <f>'Modified Inputs'!$I$2</f>
        <v>145</v>
      </c>
      <c r="L105" t="str">
        <f>IF(AND('VA Sizing'!$C$4=" Other",'VA Sizing'!$C$6="at Operating Conditions",'VA Sizing'!$C$5="Standard"),'10A61 5" Calcs'!O105/'10A61 5" Calcs'!M105,
IF(AND('VA Sizing'!$C$4=" Other",'VA Sizing'!$C$6="at Operating Conditions",OR('VA Sizing'!$C$5="Normal",'VA Sizing'!$C$5="Actual")),'10A61 5" Calcs'!O105/N105,
IF(AND('VA Sizing'!$C$4=" Other",'VA Sizing'!$C$6="at Reference Conditions"),'Modified Inputs'!$M$4,
IF(AND('VA Sizing'!$C$3="Gas",'VA Sizing'!$C$5="Standard"),VLOOKUP('VA Sizing'!$C$4,'10A61 5" Calcs'!$J$3:$K$29,2,FALSE),
IF(AND('VA Sizing'!$C$3="Gas",OR('VA Sizing'!$C$5="Actual",'VA Sizing'!$C$5="Normal")),VLOOKUP('VA Sizing'!$C$4,'10A61 5" Calcs'!$J$3:$L$29,3,FALSE),"")))))</f>
        <v/>
      </c>
      <c r="M105">
        <f t="shared" si="9"/>
        <v>8.7131519274376412</v>
      </c>
      <c r="N105">
        <f t="shared" si="1"/>
        <v>8.0884353741496593</v>
      </c>
      <c r="O105" t="str">
        <f>IFERROR(IF(AND('VA Sizing'!$C$3="Gas",'VA Sizing'!$C$6="at Operating Conditions"),'Modified Inputs'!$M$2,
IF(OR(AND('VA Sizing'!$C$4="Carbon Dioxide",'Modified Inputs'!$I$2&gt;70),'VA Sizing'!$C$4="Ammonia",'VA Sizing'!$C$4="Chlorine",'VA Sizing'!$C$4="Sulfur Dioxide"),'10A61 5" Calcs'!$G$27,
IF('VA Sizing'!$C$5="Standard",'10A61 5" Calcs'!M105*'10A61 5" Calcs'!L105,
IF(OR('VA Sizing'!$C$5="Normal",'VA Sizing'!$C$5="Actual"),'10A61 5" Calcs'!N105*'10A61 5" Calcs'!L105,"")))),IF('VA Sizing'!$C$4="Steam",Steam!$B$20,""))</f>
        <v/>
      </c>
      <c r="P105" t="e">
        <f>VLOOKUP('VA Sizing'!$C$4,'10A61 5" Calcs'!$J$3:$M$29,4,FALSE)</f>
        <v>#N/A</v>
      </c>
      <c r="Q105" t="e">
        <f>VLOOKUP('VA Sizing'!$C$4,'10A61 5" Calcs'!$J$3:$N$28,5,FALSE)</f>
        <v>#N/A</v>
      </c>
      <c r="R105">
        <f t="shared" si="10"/>
        <v>108</v>
      </c>
      <c r="S105">
        <f t="shared" si="11"/>
        <v>70</v>
      </c>
      <c r="T105" t="str">
        <f>IFERROR(IF(AND('VA Sizing'!$C$3="Gas",'VA Sizing'!$C$4=" Other"),'Modified Inputs'!$G$2,
IF('VA Sizing'!$C$5="Standard",'10A61 5" Calcs'!P105+'10A61 5" Calcs'!Q105*'10A61 5" Calcs'!S105,
IF(OR('VA Sizing'!$C$5="Normal",'VA Sizing'!$C$5="Actual"),'10A61 5" Calcs'!P105+'10A61 5" Calcs'!Q105*'10A61 5" Calcs'!R105,""))),IF('VA Sizing'!$C$4="Steam",Steam!$C$20,""))</f>
        <v/>
      </c>
      <c r="U105" t="e">
        <f t="shared" si="36"/>
        <v>#VALUE!</v>
      </c>
      <c r="V105" t="e">
        <f>IF(U105&lt;($E$103+0.00001),-0.00000066163*(U105^2)+0.001036*U105-0.01083,
IF(U105&lt;(10000+0.00001),$F$102*LN(U105)+$G$102,""))</f>
        <v>#VALUE!</v>
      </c>
      <c r="W105" t="e">
        <f>(V105*$F$4)*SQRT((VLOOKUP(I105,$A$3:$B$8,2,FALSE)-O105)*O105)</f>
        <v>#VALUE!</v>
      </c>
      <c r="X105" t="str">
        <f>IF(AND('VA Sizing'!$C$3="Gas",'VA Sizing'!$C$4=" Other",NOT('VA Sizing'!$C$5="Actual"),'VA Sizing'!$C$6="at Operating Conditions"),'10A61 5" Calcs'!W105/'10A61 5" Calcs'!L105,
IF(AND('VA Sizing'!$C$3="Gas",'VA Sizing'!$C$4=" Other",NOT('VA Sizing'!$C$5="Actual"),'VA Sizing'!$C$6="at Reference Conditions"),'10A61 5" Calcs'!W105/'Modified Inputs'!$M$4,
IF('VA Sizing'!$C$5="Standard",W105/VLOOKUP('VA Sizing'!$C$4,'10A61 5" Calcs'!$J$3:$K$29,2,FALSE),
IF('VA Sizing'!$C$5="Normal",'10A61 5" Calcs'!W105/VLOOKUP('VA Sizing'!$C$4,'10A61 5" Calcs'!$J$3:$L$29,3,FALSE),
IF('VA Sizing'!$C$5="Actual",'10A61 5" Calcs'!W105/'10A61 5" Calcs'!O105,"")))))</f>
        <v/>
      </c>
      <c r="Y105">
        <f>($E$4/'Modified Inputs'!$G$2)*SQRT((VLOOKUP('10A61 5" Calcs'!I105,'10A61 5" Calcs'!$A$3:$B$8,2,FALSE)-'Modified Inputs'!$M$2)*'Modified Inputs'!$M$2)</f>
        <v>532.56509940100284</v>
      </c>
      <c r="Z105">
        <f t="shared" si="44"/>
        <v>0.35829473577799431</v>
      </c>
      <c r="AA105">
        <f>Z105*$F$4*SQRT((VLOOKUP(I105,$A$3:$B$8,2,FALSE)-'Modified Inputs'!$M$2)*'Modified Inputs'!$M$2)</f>
        <v>18.147466387501431</v>
      </c>
      <c r="AB105">
        <f>AA105/'Modified Inputs'!$M$2</f>
        <v>18.330774128789326</v>
      </c>
      <c r="AD105" s="7">
        <f>IF('VA Sizing'!$C$3="Gas",'10A61 5" Calcs'!X105,
IF('VA Sizing'!$C$3="Liquid",'10A61 5" Calcs'!AB105,""))</f>
        <v>18.330774128789326</v>
      </c>
      <c r="AE105" s="48" t="str">
        <f t="shared" si="45"/>
        <v>1/16-20-CA</v>
      </c>
    </row>
    <row r="106" spans="1:31">
      <c r="I106" t="s">
        <v>126</v>
      </c>
      <c r="J106">
        <f>'Modified Inputs'!$K$2</f>
        <v>140</v>
      </c>
      <c r="K106">
        <f>'Modified Inputs'!$I$2</f>
        <v>145</v>
      </c>
      <c r="L106" t="str">
        <f>IF(AND('VA Sizing'!$C$4=" Other",'VA Sizing'!$C$6="at Operating Conditions",'VA Sizing'!$C$5="Standard"),'10A61 5" Calcs'!O106/'10A61 5" Calcs'!M106,
IF(AND('VA Sizing'!$C$4=" Other",'VA Sizing'!$C$6="at Operating Conditions",OR('VA Sizing'!$C$5="Normal",'VA Sizing'!$C$5="Actual")),'10A61 5" Calcs'!O106/N106,
IF(AND('VA Sizing'!$C$4=" Other",'VA Sizing'!$C$6="at Reference Conditions"),'Modified Inputs'!$M$4,
IF(AND('VA Sizing'!$C$3="Gas",'VA Sizing'!$C$5="Standard"),VLOOKUP('VA Sizing'!$C$4,'10A61 5" Calcs'!$J$3:$K$29,2,FALSE),
IF(AND('VA Sizing'!$C$3="Gas",OR('VA Sizing'!$C$5="Actual",'VA Sizing'!$C$5="Normal")),VLOOKUP('VA Sizing'!$C$4,'10A61 5" Calcs'!$J$3:$L$29,3,FALSE),"")))))</f>
        <v/>
      </c>
      <c r="M106">
        <f t="shared" si="9"/>
        <v>8.7131519274376412</v>
      </c>
      <c r="N106">
        <f t="shared" si="1"/>
        <v>8.0884353741496593</v>
      </c>
      <c r="O106" t="str">
        <f>IFERROR(IF(AND('VA Sizing'!$C$3="Gas",'VA Sizing'!$C$6="at Operating Conditions"),'Modified Inputs'!$M$2,
IF(OR(AND('VA Sizing'!$C$4="Carbon Dioxide",'Modified Inputs'!$I$2&gt;70),'VA Sizing'!$C$4="Ammonia",'VA Sizing'!$C$4="Chlorine",'VA Sizing'!$C$4="Sulfur Dioxide"),'10A61 5" Calcs'!$G$27,
IF('VA Sizing'!$C$5="Standard",'10A61 5" Calcs'!M106*'10A61 5" Calcs'!L106,
IF(OR('VA Sizing'!$C$5="Normal",'VA Sizing'!$C$5="Actual"),'10A61 5" Calcs'!N106*'10A61 5" Calcs'!L106,"")))),IF('VA Sizing'!$C$4="Steam",Steam!$B$20,""))</f>
        <v/>
      </c>
      <c r="P106" t="e">
        <f>VLOOKUP('VA Sizing'!$C$4,'10A61 5" Calcs'!$J$3:$M$29,4,FALSE)</f>
        <v>#N/A</v>
      </c>
      <c r="Q106" t="e">
        <f>VLOOKUP('VA Sizing'!$C$4,'10A61 5" Calcs'!$J$3:$N$28,5,FALSE)</f>
        <v>#N/A</v>
      </c>
      <c r="R106">
        <f t="shared" si="10"/>
        <v>108</v>
      </c>
      <c r="S106">
        <f t="shared" si="11"/>
        <v>70</v>
      </c>
      <c r="T106" t="str">
        <f>IFERROR(IF(AND('VA Sizing'!$C$3="Gas",'VA Sizing'!$C$4=" Other"),'Modified Inputs'!$G$2,
IF('VA Sizing'!$C$5="Standard",'10A61 5" Calcs'!P106+'10A61 5" Calcs'!Q106*'10A61 5" Calcs'!S106,
IF(OR('VA Sizing'!$C$5="Normal",'VA Sizing'!$C$5="Actual"),'10A61 5" Calcs'!P106+'10A61 5" Calcs'!Q106*'10A61 5" Calcs'!R106,""))),IF('VA Sizing'!$C$4="Steam",Steam!$C$20,""))</f>
        <v/>
      </c>
      <c r="U106" t="e">
        <f t="shared" si="36"/>
        <v>#VALUE!</v>
      </c>
      <c r="V106" t="e">
        <f>IF(U106&lt;($E$103+0.00001),-0.00000066163*(U106^2)+0.001036*U106-0.01083,
IF(U106&lt;(10000+0.00001),$F$102*LN(U106)+$G$102,""))</f>
        <v>#VALUE!</v>
      </c>
      <c r="W106" t="e">
        <f t="shared" si="38"/>
        <v>#VALUE!</v>
      </c>
      <c r="X106" t="str">
        <f>IF(AND('VA Sizing'!$C$3="Gas",'VA Sizing'!$C$4=" Other",NOT('VA Sizing'!$C$5="Actual"),'VA Sizing'!$C$6="at Operating Conditions"),'10A61 5" Calcs'!W106/'10A61 5" Calcs'!L106,
IF(AND('VA Sizing'!$C$3="Gas",'VA Sizing'!$C$4=" Other",NOT('VA Sizing'!$C$5="Actual"),'VA Sizing'!$C$6="at Reference Conditions"),'10A61 5" Calcs'!W106/'Modified Inputs'!$M$4,
IF('VA Sizing'!$C$5="Standard",W106/VLOOKUP('VA Sizing'!$C$4,'10A61 5" Calcs'!$J$3:$K$29,2,FALSE),
IF('VA Sizing'!$C$5="Normal",'10A61 5" Calcs'!W106/VLOOKUP('VA Sizing'!$C$4,'10A61 5" Calcs'!$J$3:$L$29,3,FALSE),
IF('VA Sizing'!$C$5="Actual",'10A61 5" Calcs'!W106/'10A61 5" Calcs'!O106,"")))))</f>
        <v/>
      </c>
      <c r="Y106">
        <f>($E$4/'Modified Inputs'!$G$2)*SQRT((VLOOKUP('10A61 5" Calcs'!I106,'10A61 5" Calcs'!$A$3:$B$8,2,FALSE)-'Modified Inputs'!$M$2)*'Modified Inputs'!$M$2)</f>
        <v>562.15371661139091</v>
      </c>
      <c r="Z106">
        <f t="shared" si="44"/>
        <v>0.36289781782563324</v>
      </c>
      <c r="AA106">
        <f>Z106*$F$4*SQRT((VLOOKUP(I106,$A$3:$B$8,2,FALSE)-'Modified Inputs'!$M$2)*'Modified Inputs'!$M$2)</f>
        <v>19.401812977310961</v>
      </c>
      <c r="AB106">
        <f>AA106/'Modified Inputs'!$M$2</f>
        <v>19.597790886172689</v>
      </c>
      <c r="AD106" s="7">
        <f>IF('VA Sizing'!$C$3="Gas",'10A61 5" Calcs'!X106,
IF('VA Sizing'!$C$3="Liquid",'10A61 5" Calcs'!AB106,""))</f>
        <v>19.597790886172689</v>
      </c>
      <c r="AE106" s="48" t="str">
        <f t="shared" si="45"/>
        <v>1/16-20-TA</v>
      </c>
    </row>
    <row r="107" spans="1:31">
      <c r="I107" t="s">
        <v>18</v>
      </c>
      <c r="J107">
        <f>'Modified Inputs'!$K$2</f>
        <v>140</v>
      </c>
      <c r="K107">
        <f>'Modified Inputs'!$I$2</f>
        <v>145</v>
      </c>
      <c r="L107" t="str">
        <f>IF(AND('VA Sizing'!$C$4=" Other",'VA Sizing'!$C$6="at Operating Conditions",'VA Sizing'!$C$5="Standard"),'10A61 5" Calcs'!O107/'10A61 5" Calcs'!M107,
IF(AND('VA Sizing'!$C$4=" Other",'VA Sizing'!$C$6="at Operating Conditions",OR('VA Sizing'!$C$5="Normal",'VA Sizing'!$C$5="Actual")),'10A61 5" Calcs'!O107/N107,
IF(AND('VA Sizing'!$C$4=" Other",'VA Sizing'!$C$6="at Reference Conditions"),'Modified Inputs'!$M$4,
IF(AND('VA Sizing'!$C$3="Gas",'VA Sizing'!$C$5="Standard"),VLOOKUP('VA Sizing'!$C$4,'10A61 5" Calcs'!$J$3:$K$29,2,FALSE),
IF(AND('VA Sizing'!$C$3="Gas",OR('VA Sizing'!$C$5="Actual",'VA Sizing'!$C$5="Normal")),VLOOKUP('VA Sizing'!$C$4,'10A61 5" Calcs'!$J$3:$L$29,3,FALSE),"")))))</f>
        <v/>
      </c>
      <c r="M107">
        <f t="shared" si="9"/>
        <v>8.7131519274376412</v>
      </c>
      <c r="N107">
        <f t="shared" si="1"/>
        <v>8.0884353741496593</v>
      </c>
      <c r="O107" t="str">
        <f>IFERROR(IF(AND('VA Sizing'!$C$3="Gas",'VA Sizing'!$C$6="at Operating Conditions"),'Modified Inputs'!$M$2,
IF(OR(AND('VA Sizing'!$C$4="Carbon Dioxide",'Modified Inputs'!$I$2&gt;70),'VA Sizing'!$C$4="Ammonia",'VA Sizing'!$C$4="Chlorine",'VA Sizing'!$C$4="Sulfur Dioxide"),'10A61 5" Calcs'!$G$27,
IF('VA Sizing'!$C$5="Standard",'10A61 5" Calcs'!M107*'10A61 5" Calcs'!L107,
IF(OR('VA Sizing'!$C$5="Normal",'VA Sizing'!$C$5="Actual"),'10A61 5" Calcs'!N107*'10A61 5" Calcs'!L107,"")))),IF('VA Sizing'!$C$4="Steam",Steam!$B$20,""))</f>
        <v/>
      </c>
      <c r="P107" t="e">
        <f>VLOOKUP('VA Sizing'!$C$4,'10A61 5" Calcs'!$J$3:$M$29,4,FALSE)</f>
        <v>#N/A</v>
      </c>
      <c r="Q107" t="e">
        <f>VLOOKUP('VA Sizing'!$C$4,'10A61 5" Calcs'!$J$3:$N$28,5,FALSE)</f>
        <v>#N/A</v>
      </c>
      <c r="R107">
        <f t="shared" si="10"/>
        <v>108</v>
      </c>
      <c r="S107">
        <f t="shared" si="11"/>
        <v>70</v>
      </c>
      <c r="T107" t="str">
        <f>IFERROR(IF(AND('VA Sizing'!$C$3="Gas",'VA Sizing'!$C$4=" Other"),'Modified Inputs'!$G$2,
IF('VA Sizing'!$C$5="Standard",'10A61 5" Calcs'!P107+'10A61 5" Calcs'!Q107*'10A61 5" Calcs'!S107,
IF(OR('VA Sizing'!$C$5="Normal",'VA Sizing'!$C$5="Actual"),'10A61 5" Calcs'!P107+'10A61 5" Calcs'!Q107*'10A61 5" Calcs'!R107,""))),IF('VA Sizing'!$C$4="Steam",Steam!$C$20,""))</f>
        <v/>
      </c>
      <c r="U107" t="e">
        <f t="shared" si="36"/>
        <v>#VALUE!</v>
      </c>
      <c r="V107" t="e">
        <f>IF(U107&lt;($E$103+0.00001),-0.00000066163*(U107^2)+0.001036*U107-0.01083,
IF(U107&lt;($G$103+0.00001),$F$102*LN(U107)+$G$102,""))</f>
        <v>#VALUE!</v>
      </c>
      <c r="W107" t="e">
        <f t="shared" si="38"/>
        <v>#VALUE!</v>
      </c>
      <c r="X107" t="str">
        <f>IF(AND('VA Sizing'!$C$3="Gas",'VA Sizing'!$C$4=" Other",NOT('VA Sizing'!$C$5="Actual"),'VA Sizing'!$C$6="at Operating Conditions"),'10A61 5" Calcs'!W107/'10A61 5" Calcs'!L107,
IF(AND('VA Sizing'!$C$3="Gas",'VA Sizing'!$C$4=" Other",NOT('VA Sizing'!$C$5="Actual"),'VA Sizing'!$C$6="at Reference Conditions"),'10A61 5" Calcs'!W107/'Modified Inputs'!$M$4,
IF('VA Sizing'!$C$5="Standard",W107/VLOOKUP('VA Sizing'!$C$4,'10A61 5" Calcs'!$J$3:$K$29,2,FALSE),
IF('VA Sizing'!$C$5="Normal",'10A61 5" Calcs'!W107/VLOOKUP('VA Sizing'!$C$4,'10A61 5" Calcs'!$J$3:$L$29,3,FALSE),
IF('VA Sizing'!$C$5="Actual",'10A61 5" Calcs'!W107/'10A61 5" Calcs'!O107,"")))))</f>
        <v/>
      </c>
      <c r="Y107">
        <f>($E$4/'Modified Inputs'!$G$2)*SQRT((VLOOKUP('10A61 5" Calcs'!I107,'10A61 5" Calcs'!$A$3:$B$8,2,FALSE)-'Modified Inputs'!$M$2)*'Modified Inputs'!$M$2)</f>
        <v>177.14115981329692</v>
      </c>
      <c r="Z107">
        <f t="shared" si="44"/>
        <v>0.15192696008206061</v>
      </c>
      <c r="AA107">
        <f>Z107*$F$4*SQRT((VLOOKUP(I107,$A$3:$B$8,2,FALSE)-'Modified Inputs'!$M$2)*'Modified Inputs'!$M$2)</f>
        <v>2.5595121933950185</v>
      </c>
      <c r="AB107">
        <f>AA107/'Modified Inputs'!$M$2</f>
        <v>2.58536585191416</v>
      </c>
      <c r="AD107" s="7">
        <f>IF('VA Sizing'!$C$3="Gas",'10A61 5" Calcs'!X107,
IF('VA Sizing'!$C$3="Liquid",'10A61 5" Calcs'!AB107,""))</f>
        <v>2.58536585191416</v>
      </c>
      <c r="AE107" s="48" t="str">
        <f t="shared" si="45"/>
        <v>1/16-20-BG</v>
      </c>
    </row>
  </sheetData>
  <mergeCells count="11">
    <mergeCell ref="AM44:AN44"/>
    <mergeCell ref="AP44:AQ44"/>
    <mergeCell ref="A2:B2"/>
    <mergeCell ref="D2:F2"/>
    <mergeCell ref="W44:X44"/>
    <mergeCell ref="AA44:AB44"/>
    <mergeCell ref="B45:C45"/>
    <mergeCell ref="D45:E45"/>
    <mergeCell ref="F45:G45"/>
    <mergeCell ref="AD44:AE44"/>
    <mergeCell ref="AI44:AJ44"/>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B1:D217"/>
  <sheetViews>
    <sheetView topLeftCell="A183" workbookViewId="0">
      <selection activeCell="I213" sqref="I213"/>
    </sheetView>
  </sheetViews>
  <sheetFormatPr defaultRowHeight="15"/>
  <cols>
    <col min="2" max="2" width="11.5703125" bestFit="1" customWidth="1"/>
    <col min="3" max="3" width="12" bestFit="1" customWidth="1"/>
    <col min="4" max="4" width="16.42578125" bestFit="1" customWidth="1"/>
  </cols>
  <sheetData>
    <row r="1" spans="2:4">
      <c r="B1" s="46" t="s">
        <v>925</v>
      </c>
      <c r="C1" s="46" t="s">
        <v>924</v>
      </c>
      <c r="D1" s="46" t="s">
        <v>926</v>
      </c>
    </row>
    <row r="2" spans="2:4">
      <c r="B2" s="7" t="s">
        <v>220</v>
      </c>
      <c r="C2" s="7">
        <f>IF('VA Sizing'!$C$3="Gas",'10A61 5" Calcs'!U46,
IF('VA Sizing'!$C$3="Liquid",'10A61 5" Calcs'!Y46,""))</f>
        <v>1290.561057989896</v>
      </c>
      <c r="D2" s="7">
        <f>ROUNDUP(C2,0)</f>
        <v>1291</v>
      </c>
    </row>
    <row r="3" spans="2:4">
      <c r="B3" s="7" t="s">
        <v>221</v>
      </c>
      <c r="C3" s="7">
        <f>IF('VA Sizing'!$C$3="Gas",'10A61 5" Calcs'!U47,
IF('VA Sizing'!$C$3="Liquid",'10A61 5" Calcs'!Y47,""))</f>
        <v>1964.8042794130922</v>
      </c>
      <c r="D3" s="7">
        <f t="shared" ref="D3:D66" si="0">ROUNDUP(C3,0)</f>
        <v>1965</v>
      </c>
    </row>
    <row r="4" spans="2:4">
      <c r="B4" s="7" t="s">
        <v>222</v>
      </c>
      <c r="C4" s="7">
        <f>IF('VA Sizing'!$C$3="Gas",'10A61 5" Calcs'!U48,
IF('VA Sizing'!$C$3="Liquid",'10A61 5" Calcs'!Y48,""))</f>
        <v>3012.7379890723982</v>
      </c>
      <c r="D4" s="7">
        <f t="shared" si="0"/>
        <v>3013</v>
      </c>
    </row>
    <row r="5" spans="2:4">
      <c r="B5" s="7" t="s">
        <v>223</v>
      </c>
      <c r="C5" s="7">
        <f>IF('VA Sizing'!$C$3="Gas",'10A61 5" Calcs'!U49,
IF('VA Sizing'!$C$3="Liquid",'10A61 5" Calcs'!Y49,""))</f>
        <v>4253.0723322793365</v>
      </c>
      <c r="D5" s="7">
        <f t="shared" si="0"/>
        <v>4254</v>
      </c>
    </row>
    <row r="6" spans="2:4">
      <c r="B6" s="7" t="s">
        <v>224</v>
      </c>
      <c r="C6" s="7">
        <f>IF('VA Sizing'!$C$3="Gas",'10A61 5" Calcs'!U50,
IF('VA Sizing'!$C$3="Liquid",'10A61 5" Calcs'!Y50,""))</f>
        <v>4489.3674431483114</v>
      </c>
      <c r="D6" s="7">
        <f t="shared" si="0"/>
        <v>4490</v>
      </c>
    </row>
    <row r="7" spans="2:4">
      <c r="B7" s="7" t="s">
        <v>225</v>
      </c>
      <c r="C7" s="7">
        <f>IF('VA Sizing'!$C$3="Gas",'10A61 5" Calcs'!U51,
IF('VA Sizing'!$C$3="Liquid",'10A61 5" Calcs'!Y51,""))</f>
        <v>1414.6517797677279</v>
      </c>
      <c r="D7" s="7">
        <f t="shared" si="0"/>
        <v>1415</v>
      </c>
    </row>
    <row r="8" spans="2:4">
      <c r="B8" s="7" t="s">
        <v>90</v>
      </c>
      <c r="C8" s="7">
        <f>IF('VA Sizing'!$C$3="Gas",'10A61 5" Calcs'!U53,
IF('VA Sizing'!$C$3="Liquid",'10A61 5" Calcs'!Y53,""))</f>
        <v>1290.561057989896</v>
      </c>
      <c r="D8" s="7">
        <f t="shared" si="0"/>
        <v>1291</v>
      </c>
    </row>
    <row r="9" spans="2:4">
      <c r="B9" s="7" t="s">
        <v>91</v>
      </c>
      <c r="C9" s="7">
        <f>IF('VA Sizing'!$C$3="Gas",'10A61 5" Calcs'!U54,
IF('VA Sizing'!$C$3="Liquid",'10A61 5" Calcs'!Y54,""))</f>
        <v>1964.8042794130922</v>
      </c>
      <c r="D9" s="7">
        <f t="shared" si="0"/>
        <v>1965</v>
      </c>
    </row>
    <row r="10" spans="2:4">
      <c r="B10" s="7" t="s">
        <v>94</v>
      </c>
      <c r="C10" s="7">
        <f>IF('VA Sizing'!$C$3="Gas",'10A61 5" Calcs'!U55,
IF('VA Sizing'!$C$3="Liquid",'10A61 5" Calcs'!Y55,""))</f>
        <v>3012.7379890723982</v>
      </c>
      <c r="D10" s="7">
        <f t="shared" si="0"/>
        <v>3013</v>
      </c>
    </row>
    <row r="11" spans="2:4">
      <c r="B11" s="7" t="s">
        <v>97</v>
      </c>
      <c r="C11" s="7">
        <f>IF('VA Sizing'!$C$3="Gas",'10A61 5" Calcs'!U56,
IF('VA Sizing'!$C$3="Liquid",'10A61 5" Calcs'!Y56,""))</f>
        <v>4253.0723322793365</v>
      </c>
      <c r="D11" s="7">
        <f t="shared" si="0"/>
        <v>4254</v>
      </c>
    </row>
    <row r="12" spans="2:4">
      <c r="B12" s="7" t="s">
        <v>98</v>
      </c>
      <c r="C12" s="7">
        <f>IF('VA Sizing'!$C$3="Gas",'10A61 5" Calcs'!U57,
IF('VA Sizing'!$C$3="Liquid",'10A61 5" Calcs'!Y57,""))</f>
        <v>4489.3674431483114</v>
      </c>
      <c r="D12" s="7">
        <f t="shared" si="0"/>
        <v>4490</v>
      </c>
    </row>
    <row r="13" spans="2:4">
      <c r="B13" s="7" t="s">
        <v>226</v>
      </c>
      <c r="C13" s="7">
        <f>IF('VA Sizing'!$C$3="Gas",'10A61 5" Calcs'!U58,
IF('VA Sizing'!$C$3="Liquid",'10A61 5" Calcs'!Y58,""))</f>
        <v>1414.6517797677279</v>
      </c>
      <c r="D13" s="7">
        <f t="shared" si="0"/>
        <v>1415</v>
      </c>
    </row>
    <row r="14" spans="2:4">
      <c r="B14" s="7" t="s">
        <v>227</v>
      </c>
      <c r="C14" s="7">
        <f>IF('VA Sizing'!$C$3="Gas",'10A61 5" Calcs'!U60,
IF('VA Sizing'!$C$3="Liquid",'10A61 5" Calcs'!Y60,""))</f>
        <v>1290.561057989896</v>
      </c>
      <c r="D14" s="7">
        <f t="shared" si="0"/>
        <v>1291</v>
      </c>
    </row>
    <row r="15" spans="2:4">
      <c r="B15" s="7" t="s">
        <v>228</v>
      </c>
      <c r="C15" s="7">
        <f>IF('VA Sizing'!$C$3="Gas",'10A61 5" Calcs'!U61,
IF('VA Sizing'!$C$3="Liquid",'10A61 5" Calcs'!Y61,""))</f>
        <v>1964.8042794130922</v>
      </c>
      <c r="D15" s="7">
        <f t="shared" si="0"/>
        <v>1965</v>
      </c>
    </row>
    <row r="16" spans="2:4">
      <c r="B16" s="7" t="s">
        <v>229</v>
      </c>
      <c r="C16" s="7">
        <f>IF('VA Sizing'!$C$3="Gas",'10A61 5" Calcs'!U62,
IF('VA Sizing'!$C$3="Liquid",'10A61 5" Calcs'!Y62,""))</f>
        <v>3012.7379890723982</v>
      </c>
      <c r="D16" s="7">
        <f t="shared" si="0"/>
        <v>3013</v>
      </c>
    </row>
    <row r="17" spans="2:4">
      <c r="B17" s="7" t="s">
        <v>230</v>
      </c>
      <c r="C17" s="7">
        <f>IF('VA Sizing'!$C$3="Gas",'10A61 5" Calcs'!U63,
IF('VA Sizing'!$C$3="Liquid",'10A61 5" Calcs'!Y63,""))</f>
        <v>4253.0723322793365</v>
      </c>
      <c r="D17" s="7">
        <f t="shared" si="0"/>
        <v>4254</v>
      </c>
    </row>
    <row r="18" spans="2:4">
      <c r="B18" s="7" t="s">
        <v>231</v>
      </c>
      <c r="C18" s="7">
        <f>IF('VA Sizing'!$C$3="Gas",'10A61 5" Calcs'!U64,
IF('VA Sizing'!$C$3="Liquid",'10A61 5" Calcs'!Y64,""))</f>
        <v>4489.3674431483114</v>
      </c>
      <c r="D18" s="7">
        <f t="shared" si="0"/>
        <v>4490</v>
      </c>
    </row>
    <row r="19" spans="2:4">
      <c r="B19" s="7" t="s">
        <v>232</v>
      </c>
      <c r="C19" s="7">
        <f>IF('VA Sizing'!$C$3="Gas",'10A61 5" Calcs'!U65,
IF('VA Sizing'!$C$3="Liquid",'10A61 5" Calcs'!Y65,""))</f>
        <v>1414.6517797677279</v>
      </c>
      <c r="D19" s="7">
        <f t="shared" si="0"/>
        <v>1415</v>
      </c>
    </row>
    <row r="20" spans="2:4">
      <c r="B20" s="7" t="s">
        <v>233</v>
      </c>
      <c r="C20" s="7">
        <f>IF('VA Sizing'!$C$3="Gas",'10A61 5" Calcs'!U67,
IF('VA Sizing'!$C$3="Liquid",'10A61 5" Calcs'!Y67,""))</f>
        <v>1290.561057989896</v>
      </c>
      <c r="D20" s="7">
        <f t="shared" si="0"/>
        <v>1291</v>
      </c>
    </row>
    <row r="21" spans="2:4">
      <c r="B21" s="7" t="s">
        <v>234</v>
      </c>
      <c r="C21" s="7">
        <f>IF('VA Sizing'!$C$3="Gas",'10A61 5" Calcs'!U68,
IF('VA Sizing'!$C$3="Liquid",'10A61 5" Calcs'!Y68,""))</f>
        <v>1964.8042794130922</v>
      </c>
      <c r="D21" s="7">
        <f t="shared" si="0"/>
        <v>1965</v>
      </c>
    </row>
    <row r="22" spans="2:4">
      <c r="B22" s="7" t="s">
        <v>235</v>
      </c>
      <c r="C22" s="7">
        <f>IF('VA Sizing'!$C$3="Gas",'10A61 5" Calcs'!U69,
IF('VA Sizing'!$C$3="Liquid",'10A61 5" Calcs'!Y69,""))</f>
        <v>3012.7379890723982</v>
      </c>
      <c r="D22" s="7">
        <f t="shared" si="0"/>
        <v>3013</v>
      </c>
    </row>
    <row r="23" spans="2:4">
      <c r="B23" s="7" t="s">
        <v>236</v>
      </c>
      <c r="C23" s="7">
        <f>IF('VA Sizing'!$C$3="Gas",'10A61 5" Calcs'!U70,
IF('VA Sizing'!$C$3="Liquid",'10A61 5" Calcs'!Y70,""))</f>
        <v>4253.0723322793365</v>
      </c>
      <c r="D23" s="7">
        <f t="shared" si="0"/>
        <v>4254</v>
      </c>
    </row>
    <row r="24" spans="2:4">
      <c r="B24" s="7" t="s">
        <v>237</v>
      </c>
      <c r="C24" s="7">
        <f>IF('VA Sizing'!$C$3="Gas",'10A61 5" Calcs'!U71,
IF('VA Sizing'!$C$3="Liquid",'10A61 5" Calcs'!Y71,""))</f>
        <v>4489.3674431483114</v>
      </c>
      <c r="D24" s="7">
        <f t="shared" si="0"/>
        <v>4490</v>
      </c>
    </row>
    <row r="25" spans="2:4">
      <c r="B25" s="7" t="s">
        <v>238</v>
      </c>
      <c r="C25" s="7">
        <f>IF('VA Sizing'!$C$3="Gas",'10A61 5" Calcs'!U72,
IF('VA Sizing'!$C$3="Liquid",'10A61 5" Calcs'!Y72,""))</f>
        <v>1414.6517797677279</v>
      </c>
      <c r="D25" s="7">
        <f t="shared" si="0"/>
        <v>1415</v>
      </c>
    </row>
    <row r="26" spans="2:4">
      <c r="B26" s="7" t="s">
        <v>919</v>
      </c>
      <c r="C26" s="7">
        <f>IF('VA Sizing'!$C$3="Gas",'10A61 5" Calcs'!U74,
IF('VA Sizing'!$C$3="Liquid",'10A61 5" Calcs'!Y74,""))</f>
        <v>456.55575081253761</v>
      </c>
      <c r="D26" s="7">
        <f t="shared" si="0"/>
        <v>457</v>
      </c>
    </row>
    <row r="27" spans="2:4">
      <c r="B27" s="7" t="s">
        <v>239</v>
      </c>
      <c r="C27" s="7">
        <f>IF('VA Sizing'!$C$3="Gas",'10A61 5" Calcs'!U75,
IF('VA Sizing'!$C$3="Liquid",'10A61 5" Calcs'!Y75,""))</f>
        <v>695.07962248939509</v>
      </c>
      <c r="D27" s="7">
        <f t="shared" si="0"/>
        <v>696</v>
      </c>
    </row>
    <row r="28" spans="2:4">
      <c r="B28" s="7" t="s">
        <v>240</v>
      </c>
      <c r="C28" s="7">
        <f>IF('VA Sizing'!$C$3="Gas",'10A61 5" Calcs'!U76,
IF('VA Sizing'!$C$3="Liquid",'10A61 5" Calcs'!Y76,""))</f>
        <v>1065.8022308102004</v>
      </c>
      <c r="D28" s="7">
        <f t="shared" si="0"/>
        <v>1066</v>
      </c>
    </row>
    <row r="29" spans="2:4">
      <c r="B29" s="7" t="s">
        <v>241</v>
      </c>
      <c r="C29" s="7">
        <f>IF('VA Sizing'!$C$3="Gas",'10A61 5" Calcs'!U77,
IF('VA Sizing'!$C$3="Liquid",'10A61 5" Calcs'!Y77,""))</f>
        <v>1504.5895115944415</v>
      </c>
      <c r="D29" s="7">
        <f t="shared" si="0"/>
        <v>1505</v>
      </c>
    </row>
    <row r="30" spans="2:4">
      <c r="B30" s="7" t="s">
        <v>242</v>
      </c>
      <c r="C30" s="7">
        <f>IF('VA Sizing'!$C$3="Gas",'10A61 5" Calcs'!U78,
IF('VA Sizing'!$C$3="Liquid",'10A61 5" Calcs'!Y78,""))</f>
        <v>1588.1825280489647</v>
      </c>
      <c r="D30" s="7">
        <f t="shared" si="0"/>
        <v>1589</v>
      </c>
    </row>
    <row r="31" spans="2:4">
      <c r="B31" s="7" t="s">
        <v>243</v>
      </c>
      <c r="C31" s="7">
        <f>IF('VA Sizing'!$C$3="Gas",'10A61 5" Calcs'!U79,
IF('VA Sizing'!$C$3="Liquid",'10A61 5" Calcs'!Y79,""))</f>
        <v>500.45474520679693</v>
      </c>
      <c r="D31" s="7">
        <f t="shared" si="0"/>
        <v>501</v>
      </c>
    </row>
    <row r="32" spans="2:4">
      <c r="B32" s="7" t="s">
        <v>920</v>
      </c>
      <c r="C32" s="7">
        <f>IF('VA Sizing'!$C$3="Gas",'10A61 5" Calcs'!U81,
IF('VA Sizing'!$C$3="Liquid",'10A61 5" Calcs'!Y81,""))</f>
        <v>456.55575081253761</v>
      </c>
      <c r="D32" s="7">
        <f t="shared" si="0"/>
        <v>457</v>
      </c>
    </row>
    <row r="33" spans="2:4">
      <c r="B33" s="7" t="s">
        <v>78</v>
      </c>
      <c r="C33" s="7">
        <f>IF('VA Sizing'!$C$3="Gas",'10A61 5" Calcs'!U82,
IF('VA Sizing'!$C$3="Liquid",'10A61 5" Calcs'!Y82,""))</f>
        <v>695.07962248939509</v>
      </c>
      <c r="D33" s="7">
        <f t="shared" si="0"/>
        <v>696</v>
      </c>
    </row>
    <row r="34" spans="2:4">
      <c r="B34" s="7" t="s">
        <v>79</v>
      </c>
      <c r="C34" s="7">
        <f>IF('VA Sizing'!$C$3="Gas",'10A61 5" Calcs'!U83,
IF('VA Sizing'!$C$3="Liquid",'10A61 5" Calcs'!Y83,""))</f>
        <v>1065.8022308102004</v>
      </c>
      <c r="D34" s="7">
        <f t="shared" si="0"/>
        <v>1066</v>
      </c>
    </row>
    <row r="35" spans="2:4">
      <c r="B35" s="7" t="s">
        <v>82</v>
      </c>
      <c r="C35" s="7">
        <f>IF('VA Sizing'!$C$3="Gas",'10A61 5" Calcs'!U84,
IF('VA Sizing'!$C$3="Liquid",'10A61 5" Calcs'!Y84,""))</f>
        <v>1504.5895115944415</v>
      </c>
      <c r="D35" s="7">
        <f t="shared" si="0"/>
        <v>1505</v>
      </c>
    </row>
    <row r="36" spans="2:4">
      <c r="B36" s="7" t="s">
        <v>83</v>
      </c>
      <c r="C36" s="7">
        <f>IF('VA Sizing'!$C$3="Gas",'10A61 5" Calcs'!U85,
IF('VA Sizing'!$C$3="Liquid",'10A61 5" Calcs'!Y85,""))</f>
        <v>1588.1825280489647</v>
      </c>
      <c r="D36" s="7">
        <f t="shared" si="0"/>
        <v>1589</v>
      </c>
    </row>
    <row r="37" spans="2:4">
      <c r="B37" s="7" t="s">
        <v>75</v>
      </c>
      <c r="C37" s="7">
        <f>IF('VA Sizing'!$C$3="Gas",'10A61 5" Calcs'!U86,
IF('VA Sizing'!$C$3="Liquid",'10A61 5" Calcs'!Y86,""))</f>
        <v>500.45474520679693</v>
      </c>
      <c r="D37" s="7">
        <f t="shared" si="0"/>
        <v>501</v>
      </c>
    </row>
    <row r="38" spans="2:4">
      <c r="B38" s="7" t="s">
        <v>921</v>
      </c>
      <c r="C38" s="7">
        <f>IF('VA Sizing'!$C$3="Gas",'10A61 5" Calcs'!U88,
IF('VA Sizing'!$C$3="Liquid",'10A61 5" Calcs'!Y88,""))</f>
        <v>161.60265437176454</v>
      </c>
      <c r="D38" s="7">
        <f t="shared" si="0"/>
        <v>162</v>
      </c>
    </row>
    <row r="39" spans="2:4">
      <c r="B39" s="7" t="s">
        <v>244</v>
      </c>
      <c r="C39" s="7">
        <f>IF('VA Sizing'!$C$3="Gas",'10A61 5" Calcs'!U89,
IF('VA Sizing'!$C$3="Liquid",'10A61 5" Calcs'!Y89,""))</f>
        <v>246.0306584554047</v>
      </c>
      <c r="D39" s="7">
        <f t="shared" si="0"/>
        <v>247</v>
      </c>
    </row>
    <row r="40" spans="2:4">
      <c r="B40" s="7" t="s">
        <v>245</v>
      </c>
      <c r="C40" s="7">
        <f>IF('VA Sizing'!$C$3="Gas",'10A61 5" Calcs'!U90,
IF('VA Sizing'!$C$3="Liquid",'10A61 5" Calcs'!Y90,""))</f>
        <v>377.25177971747195</v>
      </c>
      <c r="D40" s="7">
        <f t="shared" si="0"/>
        <v>378</v>
      </c>
    </row>
    <row r="41" spans="2:4">
      <c r="B41" s="7" t="s">
        <v>246</v>
      </c>
      <c r="C41" s="7">
        <f>IF('VA Sizing'!$C$3="Gas",'10A61 5" Calcs'!U91,
IF('VA Sizing'!$C$3="Liquid",'10A61 5" Calcs'!Y91,""))</f>
        <v>532.56509940100284</v>
      </c>
      <c r="D41" s="7">
        <f t="shared" si="0"/>
        <v>533</v>
      </c>
    </row>
    <row r="42" spans="2:4">
      <c r="B42" s="7" t="s">
        <v>247</v>
      </c>
      <c r="C42" s="7">
        <f>IF('VA Sizing'!$C$3="Gas",'10A61 5" Calcs'!U92,
IF('VA Sizing'!$C$3="Liquid",'10A61 5" Calcs'!Y92,""))</f>
        <v>562.15371661139091</v>
      </c>
      <c r="D42" s="7">
        <f t="shared" si="0"/>
        <v>563</v>
      </c>
    </row>
    <row r="43" spans="2:4">
      <c r="B43" s="7" t="s">
        <v>248</v>
      </c>
      <c r="C43" s="7">
        <f>IF('VA Sizing'!$C$3="Gas",'10A61 5" Calcs'!U93,
IF('VA Sizing'!$C$3="Liquid",'10A61 5" Calcs'!Y93,""))</f>
        <v>177.14115981329692</v>
      </c>
      <c r="D43" s="7">
        <f t="shared" si="0"/>
        <v>178</v>
      </c>
    </row>
    <row r="44" spans="2:4">
      <c r="B44" s="7" t="s">
        <v>922</v>
      </c>
      <c r="C44" s="7">
        <f>IF('VA Sizing'!$C$3="Gas",'10A61 5" Calcs'!U95,
IF('VA Sizing'!$C$3="Liquid",'10A61 5" Calcs'!Y95,""))</f>
        <v>161.60265437176454</v>
      </c>
      <c r="D44" s="7">
        <f t="shared" si="0"/>
        <v>162</v>
      </c>
    </row>
    <row r="45" spans="2:4">
      <c r="B45" s="7" t="s">
        <v>249</v>
      </c>
      <c r="C45" s="7">
        <f>IF('VA Sizing'!$C$3="Gas",'10A61 5" Calcs'!U96,
IF('VA Sizing'!$C$3="Liquid",'10A61 5" Calcs'!Y96,""))</f>
        <v>246.0306584554047</v>
      </c>
      <c r="D45" s="7">
        <f t="shared" si="0"/>
        <v>247</v>
      </c>
    </row>
    <row r="46" spans="2:4">
      <c r="B46" s="7" t="s">
        <v>250</v>
      </c>
      <c r="C46" s="7">
        <f>IF('VA Sizing'!$C$3="Gas",'10A61 5" Calcs'!U97,
IF('VA Sizing'!$C$3="Liquid",'10A61 5" Calcs'!Y97,""))</f>
        <v>377.25177971747195</v>
      </c>
      <c r="D46" s="7">
        <f t="shared" si="0"/>
        <v>378</v>
      </c>
    </row>
    <row r="47" spans="2:4">
      <c r="B47" s="7" t="s">
        <v>251</v>
      </c>
      <c r="C47" s="7">
        <f>IF('VA Sizing'!$C$3="Gas",'10A61 5" Calcs'!U98,
IF('VA Sizing'!$C$3="Liquid",'10A61 5" Calcs'!Y98,""))</f>
        <v>532.56509940100284</v>
      </c>
      <c r="D47" s="7">
        <f t="shared" si="0"/>
        <v>533</v>
      </c>
    </row>
    <row r="48" spans="2:4">
      <c r="B48" s="7" t="s">
        <v>252</v>
      </c>
      <c r="C48" s="7">
        <f>IF('VA Sizing'!$C$3="Gas",'10A61 5" Calcs'!U99,
IF('VA Sizing'!$C$3="Liquid",'10A61 5" Calcs'!Y99,""))</f>
        <v>562.15371661139091</v>
      </c>
      <c r="D48" s="7">
        <f t="shared" si="0"/>
        <v>563</v>
      </c>
    </row>
    <row r="49" spans="2:4">
      <c r="B49" s="7" t="s">
        <v>253</v>
      </c>
      <c r="C49" s="7">
        <f>IF('VA Sizing'!$C$3="Gas",'10A61 5" Calcs'!U100,
IF('VA Sizing'!$C$3="Liquid",'10A61 5" Calcs'!Y100,""))</f>
        <v>177.14115981329692</v>
      </c>
      <c r="D49" s="7">
        <f t="shared" si="0"/>
        <v>178</v>
      </c>
    </row>
    <row r="50" spans="2:4">
      <c r="B50" s="7" t="s">
        <v>923</v>
      </c>
      <c r="C50" s="7">
        <f>IF('VA Sizing'!$C$3="Gas",'10A61 5" Calcs'!U102,
IF('VA Sizing'!$C$3="Liquid",'10A61 5" Calcs'!Y102,""))</f>
        <v>161.60265437176454</v>
      </c>
      <c r="D50" s="7">
        <f t="shared" si="0"/>
        <v>162</v>
      </c>
    </row>
    <row r="51" spans="2:4">
      <c r="B51" s="7" t="s">
        <v>254</v>
      </c>
      <c r="C51" s="7">
        <f>IF('VA Sizing'!$C$3="Gas",'10A61 5" Calcs'!U103,
IF('VA Sizing'!$C$3="Liquid",'10A61 5" Calcs'!Y103,""))</f>
        <v>246.0306584554047</v>
      </c>
      <c r="D51" s="7">
        <f t="shared" si="0"/>
        <v>247</v>
      </c>
    </row>
    <row r="52" spans="2:4">
      <c r="B52" s="7" t="s">
        <v>255</v>
      </c>
      <c r="C52" s="7">
        <f>IF('VA Sizing'!$C$3="Gas",'10A61 5" Calcs'!U104,
IF('VA Sizing'!$C$3="Liquid",'10A61 5" Calcs'!Y104,""))</f>
        <v>377.25177971747195</v>
      </c>
      <c r="D52" s="7">
        <f t="shared" si="0"/>
        <v>378</v>
      </c>
    </row>
    <row r="53" spans="2:4">
      <c r="B53" s="7" t="s">
        <v>256</v>
      </c>
      <c r="C53" s="7">
        <f>IF('VA Sizing'!$C$3="Gas",'10A61 5" Calcs'!U105,
IF('VA Sizing'!$C$3="Liquid",'10A61 5" Calcs'!Y105,""))</f>
        <v>532.56509940100284</v>
      </c>
      <c r="D53" s="7">
        <f t="shared" si="0"/>
        <v>533</v>
      </c>
    </row>
    <row r="54" spans="2:4">
      <c r="B54" s="7" t="s">
        <v>257</v>
      </c>
      <c r="C54" s="7">
        <f>IF('VA Sizing'!$C$3="Gas",'10A61 5" Calcs'!U106,
IF('VA Sizing'!$C$3="Liquid",'10A61 5" Calcs'!Y106,""))</f>
        <v>562.15371661139091</v>
      </c>
      <c r="D54" s="7">
        <f t="shared" si="0"/>
        <v>563</v>
      </c>
    </row>
    <row r="55" spans="2:4">
      <c r="B55" s="7" t="s">
        <v>258</v>
      </c>
      <c r="C55" s="7">
        <f>IF('VA Sizing'!$C$3="Gas",'10A61 5" Calcs'!U107,
IF('VA Sizing'!$C$3="Liquid",'10A61 5" Calcs'!Y107,""))</f>
        <v>177.14115981329692</v>
      </c>
      <c r="D55" s="7">
        <f t="shared" si="0"/>
        <v>178</v>
      </c>
    </row>
    <row r="56" spans="2:4">
      <c r="B56" s="7" t="s">
        <v>202</v>
      </c>
      <c r="C56" s="7">
        <f>IF('VA Sizing'!$C$3="Gas",'10A61 5" Calcs'!AG46,
IF('VA Sizing'!$C$3="Liquid",'10A61 5" Calcs'!AK46,""))</f>
        <v>456.55575081253761</v>
      </c>
      <c r="D56" s="7">
        <f t="shared" si="0"/>
        <v>457</v>
      </c>
    </row>
    <row r="57" spans="2:4">
      <c r="B57" s="7" t="s">
        <v>203</v>
      </c>
      <c r="C57" s="7">
        <f>IF('VA Sizing'!$C$3="Gas",'10A61 5" Calcs'!AG47,
IF('VA Sizing'!$C$3="Liquid",'10A61 5" Calcs'!AK47,""))</f>
        <v>695.07962248939509</v>
      </c>
      <c r="D57" s="7">
        <f t="shared" si="0"/>
        <v>696</v>
      </c>
    </row>
    <row r="58" spans="2:4">
      <c r="B58" s="7" t="s">
        <v>204</v>
      </c>
      <c r="C58" s="7">
        <f>IF('VA Sizing'!$C$3="Gas",'10A61 5" Calcs'!AG48,
IF('VA Sizing'!$C$3="Liquid",'10A61 5" Calcs'!AK48,""))</f>
        <v>1065.8022308102004</v>
      </c>
      <c r="D58" s="7">
        <f t="shared" si="0"/>
        <v>1066</v>
      </c>
    </row>
    <row r="59" spans="2:4">
      <c r="B59" s="7" t="s">
        <v>205</v>
      </c>
      <c r="C59" s="7">
        <f>IF('VA Sizing'!$C$3="Gas",'10A61 5" Calcs'!AG49,
IF('VA Sizing'!$C$3="Liquid",'10A61 5" Calcs'!AK49,""))</f>
        <v>1504.5895115944415</v>
      </c>
      <c r="D59" s="7">
        <f t="shared" si="0"/>
        <v>1505</v>
      </c>
    </row>
    <row r="60" spans="2:4">
      <c r="B60" s="7" t="s">
        <v>206</v>
      </c>
      <c r="C60" s="7">
        <f>IF('VA Sizing'!$C$3="Gas",'10A61 5" Calcs'!AG50,
IF('VA Sizing'!$C$3="Liquid",'10A61 5" Calcs'!AK50,""))</f>
        <v>1588.1825280489647</v>
      </c>
      <c r="D60" s="7">
        <f t="shared" si="0"/>
        <v>1589</v>
      </c>
    </row>
    <row r="61" spans="2:4">
      <c r="B61" s="7" t="s">
        <v>207</v>
      </c>
      <c r="C61" s="7">
        <f>IF('VA Sizing'!$C$3="Gas",'10A61 5" Calcs'!AG51,
IF('VA Sizing'!$C$3="Liquid",'10A61 5" Calcs'!AK51,""))</f>
        <v>500.45474520679693</v>
      </c>
      <c r="D61" s="7">
        <f t="shared" si="0"/>
        <v>501</v>
      </c>
    </row>
    <row r="62" spans="2:4">
      <c r="B62" s="7" t="s">
        <v>208</v>
      </c>
      <c r="C62" s="7">
        <f>IF('VA Sizing'!$C$3="Gas",'10A61 5" Calcs'!AG53,
IF('VA Sizing'!$C$3="Liquid",'10A61 5" Calcs'!AK53,""))</f>
        <v>456.55575081253761</v>
      </c>
      <c r="D62" s="7">
        <f t="shared" si="0"/>
        <v>457</v>
      </c>
    </row>
    <row r="63" spans="2:4">
      <c r="B63" s="7" t="s">
        <v>84</v>
      </c>
      <c r="C63" s="7">
        <f>IF('VA Sizing'!$C$3="Gas",'10A61 5" Calcs'!AG54,
IF('VA Sizing'!$C$3="Liquid",'10A61 5" Calcs'!AK54,""))</f>
        <v>695.07962248939509</v>
      </c>
      <c r="D63" s="7">
        <f t="shared" si="0"/>
        <v>696</v>
      </c>
    </row>
    <row r="64" spans="2:4">
      <c r="B64" s="7" t="s">
        <v>85</v>
      </c>
      <c r="C64" s="7">
        <f>IF('VA Sizing'!$C$3="Gas",'10A61 5" Calcs'!AG55,
IF('VA Sizing'!$C$3="Liquid",'10A61 5" Calcs'!AK55,""))</f>
        <v>1065.8022308102004</v>
      </c>
      <c r="D64" s="7">
        <f t="shared" si="0"/>
        <v>1066</v>
      </c>
    </row>
    <row r="65" spans="2:4">
      <c r="B65" s="7" t="s">
        <v>86</v>
      </c>
      <c r="C65" s="7">
        <f>IF('VA Sizing'!$C$3="Gas",'10A61 5" Calcs'!AG56,
IF('VA Sizing'!$C$3="Liquid",'10A61 5" Calcs'!AK56,""))</f>
        <v>1504.5895115944415</v>
      </c>
      <c r="D65" s="7">
        <f t="shared" si="0"/>
        <v>1505</v>
      </c>
    </row>
    <row r="66" spans="2:4">
      <c r="B66" s="7" t="s">
        <v>87</v>
      </c>
      <c r="C66" s="7">
        <f>IF('VA Sizing'!$C$3="Gas",'10A61 5" Calcs'!AG57,
IF('VA Sizing'!$C$3="Liquid",'10A61 5" Calcs'!AK57,""))</f>
        <v>1588.1825280489647</v>
      </c>
      <c r="D66" s="7">
        <f t="shared" si="0"/>
        <v>1589</v>
      </c>
    </row>
    <row r="67" spans="2:4">
      <c r="B67" s="7" t="s">
        <v>81</v>
      </c>
      <c r="C67" s="7">
        <f>IF('VA Sizing'!$C$3="Gas",'10A61 5" Calcs'!AG58,
IF('VA Sizing'!$C$3="Liquid",'10A61 5" Calcs'!AK58,""))</f>
        <v>500.45474520679693</v>
      </c>
      <c r="D67" s="7">
        <f t="shared" ref="D67:D73" si="1">ROUNDUP(C67,0)</f>
        <v>501</v>
      </c>
    </row>
    <row r="68" spans="2:4">
      <c r="B68" s="7" t="s">
        <v>209</v>
      </c>
      <c r="C68" s="7">
        <f>IF('VA Sizing'!$C$3="Gas",'10A61 5" Calcs'!AG60,
IF('VA Sizing'!$C$3="Liquid",'10A61 5" Calcs'!AK60,""))</f>
        <v>456.55575081253761</v>
      </c>
      <c r="D68" s="7">
        <f t="shared" si="1"/>
        <v>457</v>
      </c>
    </row>
    <row r="69" spans="2:4">
      <c r="B69" s="7" t="s">
        <v>210</v>
      </c>
      <c r="C69" s="7">
        <f>IF('VA Sizing'!$C$3="Gas",'10A61 5" Calcs'!AG61,
IF('VA Sizing'!$C$3="Liquid",'10A61 5" Calcs'!AK61,""))</f>
        <v>695.07962248939509</v>
      </c>
      <c r="D69" s="7">
        <f t="shared" si="1"/>
        <v>696</v>
      </c>
    </row>
    <row r="70" spans="2:4">
      <c r="B70" s="7" t="s">
        <v>211</v>
      </c>
      <c r="C70" s="7">
        <f>IF('VA Sizing'!$C$3="Gas",'10A61 5" Calcs'!AG62,
IF('VA Sizing'!$C$3="Liquid",'10A61 5" Calcs'!AK62,""))</f>
        <v>1065.8022308102004</v>
      </c>
      <c r="D70" s="7">
        <f t="shared" si="1"/>
        <v>1066</v>
      </c>
    </row>
    <row r="71" spans="2:4">
      <c r="B71" s="7" t="s">
        <v>212</v>
      </c>
      <c r="C71" s="7">
        <f>IF('VA Sizing'!$C$3="Gas",'10A61 5" Calcs'!AG63,
IF('VA Sizing'!$C$3="Liquid",'10A61 5" Calcs'!AK63,""))</f>
        <v>1504.5895115944415</v>
      </c>
      <c r="D71" s="7">
        <f t="shared" si="1"/>
        <v>1505</v>
      </c>
    </row>
    <row r="72" spans="2:4">
      <c r="B72" s="7" t="s">
        <v>213</v>
      </c>
      <c r="C72" s="7">
        <f>IF('VA Sizing'!$C$3="Gas",'10A61 5" Calcs'!AG64,
IF('VA Sizing'!$C$3="Liquid",'10A61 5" Calcs'!AK64,""))</f>
        <v>1588.1825280489647</v>
      </c>
      <c r="D72" s="7">
        <f t="shared" si="1"/>
        <v>1589</v>
      </c>
    </row>
    <row r="73" spans="2:4">
      <c r="B73" s="7" t="s">
        <v>214</v>
      </c>
      <c r="C73" s="7">
        <f>IF('VA Sizing'!$C$3="Gas",'10A61 5" Calcs'!AG65,
IF('VA Sizing'!$C$3="Liquid",'10A61 5" Calcs'!AK65,""))</f>
        <v>500.45474520679693</v>
      </c>
      <c r="D73" s="7">
        <f t="shared" si="1"/>
        <v>501</v>
      </c>
    </row>
    <row r="74" spans="2:4">
      <c r="B74" s="7" t="str">
        <f>" "&amp;B2</f>
        <v xml:space="preserve"> 1/4-25-CD</v>
      </c>
      <c r="C74" s="7">
        <f>C2</f>
        <v>1290.561057989896</v>
      </c>
      <c r="D74" s="7">
        <f>D2</f>
        <v>1291</v>
      </c>
    </row>
    <row r="75" spans="2:4">
      <c r="B75" s="7" t="str">
        <f t="shared" ref="B75:B138" si="2">" "&amp;B3</f>
        <v xml:space="preserve"> 1/4-25-SA</v>
      </c>
      <c r="C75" s="7">
        <f t="shared" ref="C75:D138" si="3">C3</f>
        <v>1964.8042794130922</v>
      </c>
      <c r="D75" s="7">
        <f t="shared" si="3"/>
        <v>1965</v>
      </c>
    </row>
    <row r="76" spans="2:4">
      <c r="B76" s="7" t="str">
        <f t="shared" si="2"/>
        <v xml:space="preserve"> 1/4-25-SS</v>
      </c>
      <c r="C76" s="7">
        <f t="shared" si="3"/>
        <v>3012.7379890723982</v>
      </c>
      <c r="D76" s="7">
        <f t="shared" si="3"/>
        <v>3013</v>
      </c>
    </row>
    <row r="77" spans="2:4">
      <c r="B77" s="7" t="str">
        <f t="shared" si="2"/>
        <v xml:space="preserve"> 1/4-25-CA</v>
      </c>
      <c r="C77" s="7">
        <f t="shared" si="3"/>
        <v>4253.0723322793365</v>
      </c>
      <c r="D77" s="7">
        <f t="shared" si="3"/>
        <v>4254</v>
      </c>
    </row>
    <row r="78" spans="2:4">
      <c r="B78" s="7" t="str">
        <f t="shared" si="2"/>
        <v xml:space="preserve"> 1/4-25-TA</v>
      </c>
      <c r="C78" s="7">
        <f t="shared" si="3"/>
        <v>4489.3674431483114</v>
      </c>
      <c r="D78" s="7">
        <f t="shared" si="3"/>
        <v>4490</v>
      </c>
    </row>
    <row r="79" spans="2:4">
      <c r="B79" s="7" t="str">
        <f t="shared" si="2"/>
        <v xml:space="preserve"> 1/4-25-BG</v>
      </c>
      <c r="C79" s="7">
        <f t="shared" si="3"/>
        <v>1414.6517797677279</v>
      </c>
      <c r="D79" s="7">
        <f t="shared" si="3"/>
        <v>1415</v>
      </c>
    </row>
    <row r="80" spans="2:4">
      <c r="B80" s="7" t="str">
        <f t="shared" si="2"/>
        <v xml:space="preserve"> 1/4-20-CD</v>
      </c>
      <c r="C80" s="7">
        <f t="shared" si="3"/>
        <v>1290.561057989896</v>
      </c>
      <c r="D80" s="7">
        <f t="shared" si="3"/>
        <v>1291</v>
      </c>
    </row>
    <row r="81" spans="2:4">
      <c r="B81" s="7" t="str">
        <f t="shared" si="2"/>
        <v xml:space="preserve"> 1/4-20-SA</v>
      </c>
      <c r="C81" s="7">
        <f t="shared" si="3"/>
        <v>1964.8042794130922</v>
      </c>
      <c r="D81" s="7">
        <f t="shared" si="3"/>
        <v>1965</v>
      </c>
    </row>
    <row r="82" spans="2:4">
      <c r="B82" s="7" t="str">
        <f t="shared" si="2"/>
        <v xml:space="preserve"> 1/4-20-SS</v>
      </c>
      <c r="C82" s="7">
        <f t="shared" si="3"/>
        <v>3012.7379890723982</v>
      </c>
      <c r="D82" s="7">
        <f t="shared" si="3"/>
        <v>3013</v>
      </c>
    </row>
    <row r="83" spans="2:4">
      <c r="B83" s="7" t="str">
        <f t="shared" si="2"/>
        <v xml:space="preserve"> 1/4-20-CA</v>
      </c>
      <c r="C83" s="7">
        <f t="shared" si="3"/>
        <v>4253.0723322793365</v>
      </c>
      <c r="D83" s="7">
        <f t="shared" si="3"/>
        <v>4254</v>
      </c>
    </row>
    <row r="84" spans="2:4">
      <c r="B84" s="7" t="str">
        <f t="shared" si="2"/>
        <v xml:space="preserve"> 1/4-20-TA</v>
      </c>
      <c r="C84" s="7">
        <f t="shared" si="3"/>
        <v>4489.3674431483114</v>
      </c>
      <c r="D84" s="7">
        <f t="shared" si="3"/>
        <v>4490</v>
      </c>
    </row>
    <row r="85" spans="2:4">
      <c r="B85" s="7" t="str">
        <f t="shared" si="2"/>
        <v xml:space="preserve"> 1/4-20-BG</v>
      </c>
      <c r="C85" s="7">
        <f t="shared" si="3"/>
        <v>1414.6517797677279</v>
      </c>
      <c r="D85" s="7">
        <f t="shared" si="3"/>
        <v>1415</v>
      </c>
    </row>
    <row r="86" spans="2:4">
      <c r="B86" s="7" t="str">
        <f t="shared" si="2"/>
        <v xml:space="preserve"> 1/4-16-CD</v>
      </c>
      <c r="C86" s="7">
        <f t="shared" si="3"/>
        <v>1290.561057989896</v>
      </c>
      <c r="D86" s="7">
        <f t="shared" si="3"/>
        <v>1291</v>
      </c>
    </row>
    <row r="87" spans="2:4">
      <c r="B87" s="7" t="str">
        <f t="shared" si="2"/>
        <v xml:space="preserve"> 1/4-16-SA</v>
      </c>
      <c r="C87" s="7">
        <f t="shared" si="3"/>
        <v>1964.8042794130922</v>
      </c>
      <c r="D87" s="7">
        <f t="shared" si="3"/>
        <v>1965</v>
      </c>
    </row>
    <row r="88" spans="2:4">
      <c r="B88" s="7" t="str">
        <f t="shared" si="2"/>
        <v xml:space="preserve"> 1/4-16-SS</v>
      </c>
      <c r="C88" s="7">
        <f t="shared" si="3"/>
        <v>3012.7379890723982</v>
      </c>
      <c r="D88" s="7">
        <f t="shared" si="3"/>
        <v>3013</v>
      </c>
    </row>
    <row r="89" spans="2:4">
      <c r="B89" s="7" t="str">
        <f t="shared" si="2"/>
        <v xml:space="preserve"> 1/4-16-CA</v>
      </c>
      <c r="C89" s="7">
        <f t="shared" si="3"/>
        <v>4253.0723322793365</v>
      </c>
      <c r="D89" s="7">
        <f t="shared" si="3"/>
        <v>4254</v>
      </c>
    </row>
    <row r="90" spans="2:4">
      <c r="B90" s="7" t="str">
        <f t="shared" si="2"/>
        <v xml:space="preserve"> 1/4-16-TA</v>
      </c>
      <c r="C90" s="7">
        <f t="shared" si="3"/>
        <v>4489.3674431483114</v>
      </c>
      <c r="D90" s="7">
        <f t="shared" si="3"/>
        <v>4490</v>
      </c>
    </row>
    <row r="91" spans="2:4">
      <c r="B91" s="7" t="str">
        <f t="shared" si="2"/>
        <v xml:space="preserve"> 1/4-16-BG</v>
      </c>
      <c r="C91" s="7">
        <f t="shared" si="3"/>
        <v>1414.6517797677279</v>
      </c>
      <c r="D91" s="7">
        <f t="shared" si="3"/>
        <v>1415</v>
      </c>
    </row>
    <row r="92" spans="2:4">
      <c r="B92" s="7" t="str">
        <f t="shared" si="2"/>
        <v xml:space="preserve"> 1/4-10-CD</v>
      </c>
      <c r="C92" s="7">
        <f t="shared" si="3"/>
        <v>1290.561057989896</v>
      </c>
      <c r="D92" s="7">
        <f t="shared" si="3"/>
        <v>1291</v>
      </c>
    </row>
    <row r="93" spans="2:4">
      <c r="B93" s="7" t="str">
        <f t="shared" si="2"/>
        <v xml:space="preserve"> 1/4-10-SA</v>
      </c>
      <c r="C93" s="7">
        <f t="shared" si="3"/>
        <v>1964.8042794130922</v>
      </c>
      <c r="D93" s="7">
        <f t="shared" si="3"/>
        <v>1965</v>
      </c>
    </row>
    <row r="94" spans="2:4">
      <c r="B94" s="7" t="str">
        <f t="shared" si="2"/>
        <v xml:space="preserve"> 1/4-10-SS</v>
      </c>
      <c r="C94" s="7">
        <f t="shared" si="3"/>
        <v>3012.7379890723982</v>
      </c>
      <c r="D94" s="7">
        <f t="shared" si="3"/>
        <v>3013</v>
      </c>
    </row>
    <row r="95" spans="2:4">
      <c r="B95" s="7" t="str">
        <f t="shared" si="2"/>
        <v xml:space="preserve"> 1/4-10-CA</v>
      </c>
      <c r="C95" s="7">
        <f t="shared" si="3"/>
        <v>4253.0723322793365</v>
      </c>
      <c r="D95" s="7">
        <f t="shared" si="3"/>
        <v>4254</v>
      </c>
    </row>
    <row r="96" spans="2:4">
      <c r="B96" s="7" t="str">
        <f t="shared" si="2"/>
        <v xml:space="preserve"> 1/4-10-TA</v>
      </c>
      <c r="C96" s="7">
        <f t="shared" si="3"/>
        <v>4489.3674431483114</v>
      </c>
      <c r="D96" s="7">
        <f t="shared" si="3"/>
        <v>4490</v>
      </c>
    </row>
    <row r="97" spans="2:4">
      <c r="B97" s="7" t="str">
        <f t="shared" si="2"/>
        <v xml:space="preserve"> 1/4-10-BG</v>
      </c>
      <c r="C97" s="7">
        <f t="shared" si="3"/>
        <v>1414.6517797677279</v>
      </c>
      <c r="D97" s="7">
        <f t="shared" si="3"/>
        <v>1415</v>
      </c>
    </row>
    <row r="98" spans="2:4">
      <c r="B98" s="7" t="str">
        <f t="shared" si="2"/>
        <v xml:space="preserve"> 1/8-12-CD</v>
      </c>
      <c r="C98" s="7">
        <f t="shared" si="3"/>
        <v>456.55575081253761</v>
      </c>
      <c r="D98" s="7">
        <f t="shared" si="3"/>
        <v>457</v>
      </c>
    </row>
    <row r="99" spans="2:4">
      <c r="B99" s="7" t="str">
        <f t="shared" si="2"/>
        <v xml:space="preserve"> 1/8-12-SA</v>
      </c>
      <c r="C99" s="7">
        <f t="shared" si="3"/>
        <v>695.07962248939509</v>
      </c>
      <c r="D99" s="7">
        <f t="shared" si="3"/>
        <v>696</v>
      </c>
    </row>
    <row r="100" spans="2:4">
      <c r="B100" s="7" t="str">
        <f t="shared" si="2"/>
        <v xml:space="preserve"> 1/8-12-SS</v>
      </c>
      <c r="C100" s="7">
        <f t="shared" si="3"/>
        <v>1065.8022308102004</v>
      </c>
      <c r="D100" s="7">
        <f t="shared" si="3"/>
        <v>1066</v>
      </c>
    </row>
    <row r="101" spans="2:4">
      <c r="B101" s="7" t="str">
        <f t="shared" si="2"/>
        <v xml:space="preserve"> 1/8-12-CA</v>
      </c>
      <c r="C101" s="7">
        <f t="shared" si="3"/>
        <v>1504.5895115944415</v>
      </c>
      <c r="D101" s="7">
        <f t="shared" si="3"/>
        <v>1505</v>
      </c>
    </row>
    <row r="102" spans="2:4">
      <c r="B102" s="7" t="str">
        <f t="shared" si="2"/>
        <v xml:space="preserve"> 1/8-12-TA</v>
      </c>
      <c r="C102" s="7">
        <f t="shared" si="3"/>
        <v>1588.1825280489647</v>
      </c>
      <c r="D102" s="7">
        <f t="shared" si="3"/>
        <v>1589</v>
      </c>
    </row>
    <row r="103" spans="2:4">
      <c r="B103" s="7" t="str">
        <f t="shared" si="2"/>
        <v xml:space="preserve"> 1/8-12-BG</v>
      </c>
      <c r="C103" s="7">
        <f t="shared" si="3"/>
        <v>500.45474520679693</v>
      </c>
      <c r="D103" s="7">
        <f t="shared" si="3"/>
        <v>501</v>
      </c>
    </row>
    <row r="104" spans="2:4">
      <c r="B104" s="7" t="str">
        <f t="shared" si="2"/>
        <v xml:space="preserve"> 1/8-08-CD</v>
      </c>
      <c r="C104" s="7">
        <f t="shared" si="3"/>
        <v>456.55575081253761</v>
      </c>
      <c r="D104" s="7">
        <f t="shared" si="3"/>
        <v>457</v>
      </c>
    </row>
    <row r="105" spans="2:4">
      <c r="B105" s="7" t="str">
        <f t="shared" si="2"/>
        <v xml:space="preserve"> 1/8-08-SA</v>
      </c>
      <c r="C105" s="7">
        <f t="shared" si="3"/>
        <v>695.07962248939509</v>
      </c>
      <c r="D105" s="7">
        <f t="shared" si="3"/>
        <v>696</v>
      </c>
    </row>
    <row r="106" spans="2:4">
      <c r="B106" s="7" t="str">
        <f t="shared" si="2"/>
        <v xml:space="preserve"> 1/8-08-SS</v>
      </c>
      <c r="C106" s="7">
        <f t="shared" si="3"/>
        <v>1065.8022308102004</v>
      </c>
      <c r="D106" s="7">
        <f t="shared" si="3"/>
        <v>1066</v>
      </c>
    </row>
    <row r="107" spans="2:4">
      <c r="B107" s="7" t="str">
        <f t="shared" si="2"/>
        <v xml:space="preserve"> 1/8-08-CA</v>
      </c>
      <c r="C107" s="7">
        <f t="shared" si="3"/>
        <v>1504.5895115944415</v>
      </c>
      <c r="D107" s="7">
        <f t="shared" si="3"/>
        <v>1505</v>
      </c>
    </row>
    <row r="108" spans="2:4">
      <c r="B108" s="7" t="str">
        <f t="shared" si="2"/>
        <v xml:space="preserve"> 1/8-08-TA</v>
      </c>
      <c r="C108" s="7">
        <f t="shared" si="3"/>
        <v>1588.1825280489647</v>
      </c>
      <c r="D108" s="7">
        <f t="shared" si="3"/>
        <v>1589</v>
      </c>
    </row>
    <row r="109" spans="2:4">
      <c r="B109" s="7" t="str">
        <f t="shared" si="2"/>
        <v xml:space="preserve"> 1/8-08-BG</v>
      </c>
      <c r="C109" s="7">
        <f t="shared" si="3"/>
        <v>500.45474520679693</v>
      </c>
      <c r="D109" s="7">
        <f t="shared" si="3"/>
        <v>501</v>
      </c>
    </row>
    <row r="110" spans="2:4">
      <c r="B110" s="7" t="str">
        <f t="shared" si="2"/>
        <v xml:space="preserve"> 1/16-12-CD</v>
      </c>
      <c r="C110" s="7">
        <f t="shared" si="3"/>
        <v>161.60265437176454</v>
      </c>
      <c r="D110" s="7">
        <f t="shared" si="3"/>
        <v>162</v>
      </c>
    </row>
    <row r="111" spans="2:4">
      <c r="B111" s="7" t="str">
        <f t="shared" si="2"/>
        <v xml:space="preserve"> 1/16-12-SA</v>
      </c>
      <c r="C111" s="7">
        <f t="shared" si="3"/>
        <v>246.0306584554047</v>
      </c>
      <c r="D111" s="7">
        <f t="shared" si="3"/>
        <v>247</v>
      </c>
    </row>
    <row r="112" spans="2:4">
      <c r="B112" s="7" t="str">
        <f t="shared" si="2"/>
        <v xml:space="preserve"> 1/16-12-SS</v>
      </c>
      <c r="C112" s="7">
        <f t="shared" si="3"/>
        <v>377.25177971747195</v>
      </c>
      <c r="D112" s="7">
        <f t="shared" si="3"/>
        <v>378</v>
      </c>
    </row>
    <row r="113" spans="2:4">
      <c r="B113" s="7" t="str">
        <f t="shared" si="2"/>
        <v xml:space="preserve"> 1/16-12-CA</v>
      </c>
      <c r="C113" s="7">
        <f t="shared" si="3"/>
        <v>532.56509940100284</v>
      </c>
      <c r="D113" s="7">
        <f t="shared" si="3"/>
        <v>533</v>
      </c>
    </row>
    <row r="114" spans="2:4">
      <c r="B114" s="7" t="str">
        <f t="shared" si="2"/>
        <v xml:space="preserve"> 1/16-12-TA</v>
      </c>
      <c r="C114" s="7">
        <f t="shared" si="3"/>
        <v>562.15371661139091</v>
      </c>
      <c r="D114" s="7">
        <f t="shared" si="3"/>
        <v>563</v>
      </c>
    </row>
    <row r="115" spans="2:4">
      <c r="B115" s="7" t="str">
        <f t="shared" si="2"/>
        <v xml:space="preserve"> 1/16-12-BG</v>
      </c>
      <c r="C115" s="7">
        <f t="shared" si="3"/>
        <v>177.14115981329692</v>
      </c>
      <c r="D115" s="7">
        <f t="shared" si="3"/>
        <v>178</v>
      </c>
    </row>
    <row r="116" spans="2:4">
      <c r="B116" s="7" t="str">
        <f t="shared" si="2"/>
        <v xml:space="preserve"> 1/16-16-CD</v>
      </c>
      <c r="C116" s="7">
        <f t="shared" si="3"/>
        <v>161.60265437176454</v>
      </c>
      <c r="D116" s="7">
        <f t="shared" si="3"/>
        <v>162</v>
      </c>
    </row>
    <row r="117" spans="2:4">
      <c r="B117" s="7" t="str">
        <f t="shared" si="2"/>
        <v xml:space="preserve"> 1/16-16-SA</v>
      </c>
      <c r="C117" s="7">
        <f t="shared" si="3"/>
        <v>246.0306584554047</v>
      </c>
      <c r="D117" s="7">
        <f t="shared" si="3"/>
        <v>247</v>
      </c>
    </row>
    <row r="118" spans="2:4">
      <c r="B118" s="7" t="str">
        <f t="shared" si="2"/>
        <v xml:space="preserve"> 1/16-16-SS</v>
      </c>
      <c r="C118" s="7">
        <f t="shared" si="3"/>
        <v>377.25177971747195</v>
      </c>
      <c r="D118" s="7">
        <f t="shared" si="3"/>
        <v>378</v>
      </c>
    </row>
    <row r="119" spans="2:4">
      <c r="B119" s="7" t="str">
        <f t="shared" si="2"/>
        <v xml:space="preserve"> 1/16-16-CA</v>
      </c>
      <c r="C119" s="7">
        <f t="shared" si="3"/>
        <v>532.56509940100284</v>
      </c>
      <c r="D119" s="7">
        <f t="shared" si="3"/>
        <v>533</v>
      </c>
    </row>
    <row r="120" spans="2:4">
      <c r="B120" s="7" t="str">
        <f t="shared" si="2"/>
        <v xml:space="preserve"> 1/16-16-TA</v>
      </c>
      <c r="C120" s="7">
        <f t="shared" si="3"/>
        <v>562.15371661139091</v>
      </c>
      <c r="D120" s="7">
        <f t="shared" si="3"/>
        <v>563</v>
      </c>
    </row>
    <row r="121" spans="2:4">
      <c r="B121" s="7" t="str">
        <f t="shared" si="2"/>
        <v xml:space="preserve"> 1/16-16-BG</v>
      </c>
      <c r="C121" s="7">
        <f t="shared" si="3"/>
        <v>177.14115981329692</v>
      </c>
      <c r="D121" s="7">
        <f t="shared" si="3"/>
        <v>178</v>
      </c>
    </row>
    <row r="122" spans="2:4">
      <c r="B122" s="7" t="str">
        <f t="shared" si="2"/>
        <v xml:space="preserve"> 1/16-20-CD</v>
      </c>
      <c r="C122" s="7">
        <f t="shared" si="3"/>
        <v>161.60265437176454</v>
      </c>
      <c r="D122" s="7">
        <f t="shared" si="3"/>
        <v>162</v>
      </c>
    </row>
    <row r="123" spans="2:4">
      <c r="B123" s="7" t="str">
        <f t="shared" si="2"/>
        <v xml:space="preserve"> 1/16-20-SA</v>
      </c>
      <c r="C123" s="7">
        <f t="shared" si="3"/>
        <v>246.0306584554047</v>
      </c>
      <c r="D123" s="7">
        <f t="shared" si="3"/>
        <v>247</v>
      </c>
    </row>
    <row r="124" spans="2:4">
      <c r="B124" s="7" t="str">
        <f t="shared" si="2"/>
        <v xml:space="preserve"> 1/16-20-SS</v>
      </c>
      <c r="C124" s="7">
        <f t="shared" si="3"/>
        <v>377.25177971747195</v>
      </c>
      <c r="D124" s="7">
        <f t="shared" si="3"/>
        <v>378</v>
      </c>
    </row>
    <row r="125" spans="2:4">
      <c r="B125" s="7" t="str">
        <f t="shared" si="2"/>
        <v xml:space="preserve"> 1/16-20-CA</v>
      </c>
      <c r="C125" s="7">
        <f t="shared" si="3"/>
        <v>532.56509940100284</v>
      </c>
      <c r="D125" s="7">
        <f t="shared" si="3"/>
        <v>533</v>
      </c>
    </row>
    <row r="126" spans="2:4">
      <c r="B126" s="7" t="str">
        <f t="shared" si="2"/>
        <v xml:space="preserve"> 1/16-20-TA</v>
      </c>
      <c r="C126" s="7">
        <f t="shared" si="3"/>
        <v>562.15371661139091</v>
      </c>
      <c r="D126" s="7">
        <f t="shared" si="3"/>
        <v>563</v>
      </c>
    </row>
    <row r="127" spans="2:4">
      <c r="B127" s="7" t="str">
        <f t="shared" si="2"/>
        <v xml:space="preserve"> 1/16-20-BG</v>
      </c>
      <c r="C127" s="7">
        <f t="shared" si="3"/>
        <v>177.14115981329692</v>
      </c>
      <c r="D127" s="7">
        <f t="shared" si="3"/>
        <v>178</v>
      </c>
    </row>
    <row r="128" spans="2:4">
      <c r="B128" s="7" t="str">
        <f t="shared" si="2"/>
        <v xml:space="preserve"> 1/8-25-CD</v>
      </c>
      <c r="C128" s="7">
        <f t="shared" si="3"/>
        <v>456.55575081253761</v>
      </c>
      <c r="D128" s="7">
        <f t="shared" si="3"/>
        <v>457</v>
      </c>
    </row>
    <row r="129" spans="2:4">
      <c r="B129" s="7" t="str">
        <f t="shared" si="2"/>
        <v xml:space="preserve"> 1/8-25-SA</v>
      </c>
      <c r="C129" s="7">
        <f t="shared" si="3"/>
        <v>695.07962248939509</v>
      </c>
      <c r="D129" s="7">
        <f t="shared" si="3"/>
        <v>696</v>
      </c>
    </row>
    <row r="130" spans="2:4">
      <c r="B130" s="7" t="str">
        <f t="shared" si="2"/>
        <v xml:space="preserve"> 1/8-25-SS</v>
      </c>
      <c r="C130" s="7">
        <f t="shared" si="3"/>
        <v>1065.8022308102004</v>
      </c>
      <c r="D130" s="7">
        <f t="shared" si="3"/>
        <v>1066</v>
      </c>
    </row>
    <row r="131" spans="2:4">
      <c r="B131" s="7" t="str">
        <f t="shared" si="2"/>
        <v xml:space="preserve"> 1/8-25-CA</v>
      </c>
      <c r="C131" s="7">
        <f t="shared" si="3"/>
        <v>1504.5895115944415</v>
      </c>
      <c r="D131" s="7">
        <f t="shared" si="3"/>
        <v>1505</v>
      </c>
    </row>
    <row r="132" spans="2:4">
      <c r="B132" s="7" t="str">
        <f t="shared" si="2"/>
        <v xml:space="preserve"> 1/8-25-TA</v>
      </c>
      <c r="C132" s="7">
        <f t="shared" si="3"/>
        <v>1588.1825280489647</v>
      </c>
      <c r="D132" s="7">
        <f t="shared" si="3"/>
        <v>1589</v>
      </c>
    </row>
    <row r="133" spans="2:4">
      <c r="B133" s="7" t="str">
        <f t="shared" si="2"/>
        <v xml:space="preserve"> 1/8-25-BG</v>
      </c>
      <c r="C133" s="7">
        <f t="shared" si="3"/>
        <v>500.45474520679693</v>
      </c>
      <c r="D133" s="7">
        <f t="shared" si="3"/>
        <v>501</v>
      </c>
    </row>
    <row r="134" spans="2:4">
      <c r="B134" s="7" t="str">
        <f t="shared" si="2"/>
        <v xml:space="preserve"> 1/8-20-CD</v>
      </c>
      <c r="C134" s="7">
        <f t="shared" si="3"/>
        <v>456.55575081253761</v>
      </c>
      <c r="D134" s="7">
        <f t="shared" si="3"/>
        <v>457</v>
      </c>
    </row>
    <row r="135" spans="2:4">
      <c r="B135" s="7" t="str">
        <f t="shared" si="2"/>
        <v xml:space="preserve"> 1/8-20-SA</v>
      </c>
      <c r="C135" s="7">
        <f t="shared" si="3"/>
        <v>695.07962248939509</v>
      </c>
      <c r="D135" s="7">
        <f t="shared" si="3"/>
        <v>696</v>
      </c>
    </row>
    <row r="136" spans="2:4">
      <c r="B136" s="7" t="str">
        <f t="shared" si="2"/>
        <v xml:space="preserve"> 1/8-20-SS</v>
      </c>
      <c r="C136" s="7">
        <f t="shared" si="3"/>
        <v>1065.8022308102004</v>
      </c>
      <c r="D136" s="7">
        <f t="shared" si="3"/>
        <v>1066</v>
      </c>
    </row>
    <row r="137" spans="2:4">
      <c r="B137" s="7" t="str">
        <f t="shared" si="2"/>
        <v xml:space="preserve"> 1/8-20-CA</v>
      </c>
      <c r="C137" s="7">
        <f t="shared" si="3"/>
        <v>1504.5895115944415</v>
      </c>
      <c r="D137" s="7">
        <f t="shared" si="3"/>
        <v>1505</v>
      </c>
    </row>
    <row r="138" spans="2:4">
      <c r="B138" s="7" t="str">
        <f t="shared" si="2"/>
        <v xml:space="preserve"> 1/8-20-TA</v>
      </c>
      <c r="C138" s="7">
        <f t="shared" si="3"/>
        <v>1588.1825280489647</v>
      </c>
      <c r="D138" s="7">
        <f t="shared" si="3"/>
        <v>1589</v>
      </c>
    </row>
    <row r="139" spans="2:4">
      <c r="B139" s="7" t="str">
        <f t="shared" ref="B139:B145" si="4">" "&amp;B67</f>
        <v xml:space="preserve"> 1/8-20-BG</v>
      </c>
      <c r="C139" s="7">
        <f t="shared" ref="C139:D145" si="5">C67</f>
        <v>500.45474520679693</v>
      </c>
      <c r="D139" s="7">
        <f t="shared" si="5"/>
        <v>501</v>
      </c>
    </row>
    <row r="140" spans="2:4">
      <c r="B140" s="7" t="str">
        <f t="shared" si="4"/>
        <v xml:space="preserve"> 1/8-16-CD</v>
      </c>
      <c r="C140" s="7">
        <f t="shared" si="5"/>
        <v>456.55575081253761</v>
      </c>
      <c r="D140" s="7">
        <f t="shared" si="5"/>
        <v>457</v>
      </c>
    </row>
    <row r="141" spans="2:4">
      <c r="B141" s="7" t="str">
        <f t="shared" si="4"/>
        <v xml:space="preserve"> 1/8-16-SA</v>
      </c>
      <c r="C141" s="7">
        <f t="shared" si="5"/>
        <v>695.07962248939509</v>
      </c>
      <c r="D141" s="7">
        <f t="shared" si="5"/>
        <v>696</v>
      </c>
    </row>
    <row r="142" spans="2:4">
      <c r="B142" s="7" t="str">
        <f t="shared" si="4"/>
        <v xml:space="preserve"> 1/8-16-SS</v>
      </c>
      <c r="C142" s="7">
        <f t="shared" si="5"/>
        <v>1065.8022308102004</v>
      </c>
      <c r="D142" s="7">
        <f t="shared" si="5"/>
        <v>1066</v>
      </c>
    </row>
    <row r="143" spans="2:4">
      <c r="B143" s="7" t="str">
        <f t="shared" si="4"/>
        <v xml:space="preserve"> 1/8-16-CA</v>
      </c>
      <c r="C143" s="7">
        <f t="shared" si="5"/>
        <v>1504.5895115944415</v>
      </c>
      <c r="D143" s="7">
        <f t="shared" si="5"/>
        <v>1505</v>
      </c>
    </row>
    <row r="144" spans="2:4">
      <c r="B144" s="7" t="str">
        <f t="shared" si="4"/>
        <v xml:space="preserve"> 1/8-16-TA</v>
      </c>
      <c r="C144" s="7">
        <f t="shared" si="5"/>
        <v>1588.1825280489647</v>
      </c>
      <c r="D144" s="7">
        <f t="shared" si="5"/>
        <v>1589</v>
      </c>
    </row>
    <row r="145" spans="2:4">
      <c r="B145" s="7" t="str">
        <f t="shared" si="4"/>
        <v xml:space="preserve"> 1/8-16-BG</v>
      </c>
      <c r="C145" s="7">
        <f t="shared" si="5"/>
        <v>500.45474520679693</v>
      </c>
      <c r="D145" s="7">
        <f t="shared" si="5"/>
        <v>501</v>
      </c>
    </row>
    <row r="146" spans="2:4">
      <c r="B146" s="7" t="str">
        <f>B2&amp;" "</f>
        <v xml:space="preserve">1/4-25-CD </v>
      </c>
      <c r="C146" s="7">
        <f>C2</f>
        <v>1290.561057989896</v>
      </c>
      <c r="D146" s="7">
        <f>D2</f>
        <v>1291</v>
      </c>
    </row>
    <row r="147" spans="2:4">
      <c r="B147" s="7" t="str">
        <f t="shared" ref="B147:B210" si="6">B3&amp;" "</f>
        <v xml:space="preserve">1/4-25-SA </v>
      </c>
      <c r="C147" s="7">
        <f t="shared" ref="C147:D210" si="7">C3</f>
        <v>1964.8042794130922</v>
      </c>
      <c r="D147" s="7">
        <f t="shared" si="7"/>
        <v>1965</v>
      </c>
    </row>
    <row r="148" spans="2:4">
      <c r="B148" s="7" t="str">
        <f t="shared" si="6"/>
        <v xml:space="preserve">1/4-25-SS </v>
      </c>
      <c r="C148" s="7">
        <f t="shared" si="7"/>
        <v>3012.7379890723982</v>
      </c>
      <c r="D148" s="7">
        <f t="shared" si="7"/>
        <v>3013</v>
      </c>
    </row>
    <row r="149" spans="2:4">
      <c r="B149" s="7" t="str">
        <f t="shared" si="6"/>
        <v xml:space="preserve">1/4-25-CA </v>
      </c>
      <c r="C149" s="7">
        <f t="shared" si="7"/>
        <v>4253.0723322793365</v>
      </c>
      <c r="D149" s="7">
        <f t="shared" si="7"/>
        <v>4254</v>
      </c>
    </row>
    <row r="150" spans="2:4">
      <c r="B150" s="7" t="str">
        <f t="shared" si="6"/>
        <v xml:space="preserve">1/4-25-TA </v>
      </c>
      <c r="C150" s="7">
        <f t="shared" si="7"/>
        <v>4489.3674431483114</v>
      </c>
      <c r="D150" s="7">
        <f t="shared" si="7"/>
        <v>4490</v>
      </c>
    </row>
    <row r="151" spans="2:4">
      <c r="B151" s="7" t="str">
        <f t="shared" si="6"/>
        <v xml:space="preserve">1/4-25-BG </v>
      </c>
      <c r="C151" s="7">
        <f t="shared" si="7"/>
        <v>1414.6517797677279</v>
      </c>
      <c r="D151" s="7">
        <f t="shared" si="7"/>
        <v>1415</v>
      </c>
    </row>
    <row r="152" spans="2:4">
      <c r="B152" s="7" t="str">
        <f t="shared" si="6"/>
        <v xml:space="preserve">1/4-20-CD </v>
      </c>
      <c r="C152" s="7">
        <f t="shared" si="7"/>
        <v>1290.561057989896</v>
      </c>
      <c r="D152" s="7">
        <f t="shared" si="7"/>
        <v>1291</v>
      </c>
    </row>
    <row r="153" spans="2:4">
      <c r="B153" s="7" t="str">
        <f t="shared" si="6"/>
        <v xml:space="preserve">1/4-20-SA </v>
      </c>
      <c r="C153" s="7">
        <f t="shared" si="7"/>
        <v>1964.8042794130922</v>
      </c>
      <c r="D153" s="7">
        <f t="shared" si="7"/>
        <v>1965</v>
      </c>
    </row>
    <row r="154" spans="2:4">
      <c r="B154" s="7" t="str">
        <f t="shared" si="6"/>
        <v xml:space="preserve">1/4-20-SS </v>
      </c>
      <c r="C154" s="7">
        <f t="shared" si="7"/>
        <v>3012.7379890723982</v>
      </c>
      <c r="D154" s="7">
        <f t="shared" si="7"/>
        <v>3013</v>
      </c>
    </row>
    <row r="155" spans="2:4">
      <c r="B155" s="7" t="str">
        <f t="shared" si="6"/>
        <v xml:space="preserve">1/4-20-CA </v>
      </c>
      <c r="C155" s="7">
        <f t="shared" si="7"/>
        <v>4253.0723322793365</v>
      </c>
      <c r="D155" s="7">
        <f t="shared" si="7"/>
        <v>4254</v>
      </c>
    </row>
    <row r="156" spans="2:4">
      <c r="B156" s="7" t="str">
        <f t="shared" si="6"/>
        <v xml:space="preserve">1/4-20-TA </v>
      </c>
      <c r="C156" s="7">
        <f t="shared" si="7"/>
        <v>4489.3674431483114</v>
      </c>
      <c r="D156" s="7">
        <f t="shared" si="7"/>
        <v>4490</v>
      </c>
    </row>
    <row r="157" spans="2:4">
      <c r="B157" s="7" t="str">
        <f t="shared" si="6"/>
        <v xml:space="preserve">1/4-20-BG </v>
      </c>
      <c r="C157" s="7">
        <f t="shared" si="7"/>
        <v>1414.6517797677279</v>
      </c>
      <c r="D157" s="7">
        <f t="shared" si="7"/>
        <v>1415</v>
      </c>
    </row>
    <row r="158" spans="2:4">
      <c r="B158" s="7" t="str">
        <f t="shared" si="6"/>
        <v xml:space="preserve">1/4-16-CD </v>
      </c>
      <c r="C158" s="7">
        <f t="shared" si="7"/>
        <v>1290.561057989896</v>
      </c>
      <c r="D158" s="7">
        <f t="shared" si="7"/>
        <v>1291</v>
      </c>
    </row>
    <row r="159" spans="2:4">
      <c r="B159" s="7" t="str">
        <f t="shared" si="6"/>
        <v xml:space="preserve">1/4-16-SA </v>
      </c>
      <c r="C159" s="7">
        <f t="shared" si="7"/>
        <v>1964.8042794130922</v>
      </c>
      <c r="D159" s="7">
        <f t="shared" si="7"/>
        <v>1965</v>
      </c>
    </row>
    <row r="160" spans="2:4">
      <c r="B160" s="7" t="str">
        <f t="shared" si="6"/>
        <v xml:space="preserve">1/4-16-SS </v>
      </c>
      <c r="C160" s="7">
        <f t="shared" si="7"/>
        <v>3012.7379890723982</v>
      </c>
      <c r="D160" s="7">
        <f t="shared" si="7"/>
        <v>3013</v>
      </c>
    </row>
    <row r="161" spans="2:4">
      <c r="B161" s="7" t="str">
        <f t="shared" si="6"/>
        <v xml:space="preserve">1/4-16-CA </v>
      </c>
      <c r="C161" s="7">
        <f t="shared" si="7"/>
        <v>4253.0723322793365</v>
      </c>
      <c r="D161" s="7">
        <f t="shared" si="7"/>
        <v>4254</v>
      </c>
    </row>
    <row r="162" spans="2:4">
      <c r="B162" s="7" t="str">
        <f t="shared" si="6"/>
        <v xml:space="preserve">1/4-16-TA </v>
      </c>
      <c r="C162" s="7">
        <f t="shared" si="7"/>
        <v>4489.3674431483114</v>
      </c>
      <c r="D162" s="7">
        <f t="shared" si="7"/>
        <v>4490</v>
      </c>
    </row>
    <row r="163" spans="2:4">
      <c r="B163" s="7" t="str">
        <f t="shared" si="6"/>
        <v xml:space="preserve">1/4-16-BG </v>
      </c>
      <c r="C163" s="7">
        <f t="shared" si="7"/>
        <v>1414.6517797677279</v>
      </c>
      <c r="D163" s="7">
        <f t="shared" si="7"/>
        <v>1415</v>
      </c>
    </row>
    <row r="164" spans="2:4">
      <c r="B164" s="7" t="str">
        <f t="shared" si="6"/>
        <v xml:space="preserve">1/4-10-CD </v>
      </c>
      <c r="C164" s="7">
        <f t="shared" si="7"/>
        <v>1290.561057989896</v>
      </c>
      <c r="D164" s="7">
        <f t="shared" si="7"/>
        <v>1291</v>
      </c>
    </row>
    <row r="165" spans="2:4">
      <c r="B165" s="7" t="str">
        <f t="shared" si="6"/>
        <v xml:space="preserve">1/4-10-SA </v>
      </c>
      <c r="C165" s="7">
        <f t="shared" si="7"/>
        <v>1964.8042794130922</v>
      </c>
      <c r="D165" s="7">
        <f t="shared" si="7"/>
        <v>1965</v>
      </c>
    </row>
    <row r="166" spans="2:4">
      <c r="B166" s="7" t="str">
        <f>B22&amp;" "</f>
        <v xml:space="preserve">1/4-10-SS </v>
      </c>
      <c r="C166" s="7">
        <f t="shared" si="7"/>
        <v>3012.7379890723982</v>
      </c>
      <c r="D166" s="7">
        <f t="shared" si="7"/>
        <v>3013</v>
      </c>
    </row>
    <row r="167" spans="2:4">
      <c r="B167" s="7" t="str">
        <f t="shared" si="6"/>
        <v xml:space="preserve">1/4-10-CA </v>
      </c>
      <c r="C167" s="7">
        <f t="shared" si="7"/>
        <v>4253.0723322793365</v>
      </c>
      <c r="D167" s="7">
        <f t="shared" si="7"/>
        <v>4254</v>
      </c>
    </row>
    <row r="168" spans="2:4">
      <c r="B168" s="7" t="str">
        <f t="shared" si="6"/>
        <v xml:space="preserve">1/4-10-TA </v>
      </c>
      <c r="C168" s="7">
        <f t="shared" si="7"/>
        <v>4489.3674431483114</v>
      </c>
      <c r="D168" s="7">
        <f t="shared" si="7"/>
        <v>4490</v>
      </c>
    </row>
    <row r="169" spans="2:4">
      <c r="B169" s="7" t="str">
        <f t="shared" si="6"/>
        <v xml:space="preserve">1/4-10-BG </v>
      </c>
      <c r="C169" s="7">
        <f t="shared" si="7"/>
        <v>1414.6517797677279</v>
      </c>
      <c r="D169" s="7">
        <f t="shared" si="7"/>
        <v>1415</v>
      </c>
    </row>
    <row r="170" spans="2:4">
      <c r="B170" s="7" t="str">
        <f t="shared" si="6"/>
        <v xml:space="preserve">1/8-12-CD </v>
      </c>
      <c r="C170" s="7">
        <f t="shared" si="7"/>
        <v>456.55575081253761</v>
      </c>
      <c r="D170" s="7">
        <f t="shared" si="7"/>
        <v>457</v>
      </c>
    </row>
    <row r="171" spans="2:4">
      <c r="B171" s="7" t="str">
        <f t="shared" si="6"/>
        <v xml:space="preserve">1/8-12-SA </v>
      </c>
      <c r="C171" s="7">
        <f t="shared" si="7"/>
        <v>695.07962248939509</v>
      </c>
      <c r="D171" s="7">
        <f t="shared" si="7"/>
        <v>696</v>
      </c>
    </row>
    <row r="172" spans="2:4">
      <c r="B172" s="7" t="str">
        <f t="shared" si="6"/>
        <v xml:space="preserve">1/8-12-SS </v>
      </c>
      <c r="C172" s="7">
        <f t="shared" si="7"/>
        <v>1065.8022308102004</v>
      </c>
      <c r="D172" s="7">
        <f t="shared" si="7"/>
        <v>1066</v>
      </c>
    </row>
    <row r="173" spans="2:4">
      <c r="B173" s="7" t="str">
        <f t="shared" si="6"/>
        <v xml:space="preserve">1/8-12-CA </v>
      </c>
      <c r="C173" s="7">
        <f t="shared" si="7"/>
        <v>1504.5895115944415</v>
      </c>
      <c r="D173" s="7">
        <f t="shared" si="7"/>
        <v>1505</v>
      </c>
    </row>
    <row r="174" spans="2:4">
      <c r="B174" s="7" t="str">
        <f t="shared" si="6"/>
        <v xml:space="preserve">1/8-12-TA </v>
      </c>
      <c r="C174" s="7">
        <f t="shared" si="7"/>
        <v>1588.1825280489647</v>
      </c>
      <c r="D174" s="7">
        <f t="shared" si="7"/>
        <v>1589</v>
      </c>
    </row>
    <row r="175" spans="2:4">
      <c r="B175" s="7" t="str">
        <f t="shared" si="6"/>
        <v xml:space="preserve">1/8-12-BG </v>
      </c>
      <c r="C175" s="7">
        <f t="shared" si="7"/>
        <v>500.45474520679693</v>
      </c>
      <c r="D175" s="7">
        <f t="shared" si="7"/>
        <v>501</v>
      </c>
    </row>
    <row r="176" spans="2:4">
      <c r="B176" s="7" t="str">
        <f t="shared" si="6"/>
        <v xml:space="preserve">1/8-08-CD </v>
      </c>
      <c r="C176" s="7">
        <f t="shared" si="7"/>
        <v>456.55575081253761</v>
      </c>
      <c r="D176" s="7">
        <f t="shared" si="7"/>
        <v>457</v>
      </c>
    </row>
    <row r="177" spans="2:4">
      <c r="B177" s="7" t="str">
        <f t="shared" si="6"/>
        <v xml:space="preserve">1/8-08-SA </v>
      </c>
      <c r="C177" s="7">
        <f t="shared" si="7"/>
        <v>695.07962248939509</v>
      </c>
      <c r="D177" s="7">
        <f t="shared" si="7"/>
        <v>696</v>
      </c>
    </row>
    <row r="178" spans="2:4">
      <c r="B178" s="7" t="str">
        <f t="shared" si="6"/>
        <v xml:space="preserve">1/8-08-SS </v>
      </c>
      <c r="C178" s="7">
        <f t="shared" si="7"/>
        <v>1065.8022308102004</v>
      </c>
      <c r="D178" s="7">
        <f t="shared" si="7"/>
        <v>1066</v>
      </c>
    </row>
    <row r="179" spans="2:4">
      <c r="B179" s="7" t="str">
        <f t="shared" si="6"/>
        <v xml:space="preserve">1/8-08-CA </v>
      </c>
      <c r="C179" s="7">
        <f t="shared" si="7"/>
        <v>1504.5895115944415</v>
      </c>
      <c r="D179" s="7">
        <f t="shared" si="7"/>
        <v>1505</v>
      </c>
    </row>
    <row r="180" spans="2:4">
      <c r="B180" s="7" t="str">
        <f t="shared" si="6"/>
        <v xml:space="preserve">1/8-08-TA </v>
      </c>
      <c r="C180" s="7">
        <f t="shared" si="7"/>
        <v>1588.1825280489647</v>
      </c>
      <c r="D180" s="7">
        <f t="shared" si="7"/>
        <v>1589</v>
      </c>
    </row>
    <row r="181" spans="2:4">
      <c r="B181" s="7" t="str">
        <f t="shared" si="6"/>
        <v xml:space="preserve">1/8-08-BG </v>
      </c>
      <c r="C181" s="7">
        <f t="shared" si="7"/>
        <v>500.45474520679693</v>
      </c>
      <c r="D181" s="7">
        <f t="shared" si="7"/>
        <v>501</v>
      </c>
    </row>
    <row r="182" spans="2:4">
      <c r="B182" s="7" t="str">
        <f>B38&amp;" "</f>
        <v xml:space="preserve">1/16-12-CD </v>
      </c>
      <c r="C182" s="7">
        <f t="shared" si="7"/>
        <v>161.60265437176454</v>
      </c>
      <c r="D182" s="7">
        <f t="shared" si="7"/>
        <v>162</v>
      </c>
    </row>
    <row r="183" spans="2:4">
      <c r="B183" s="7" t="str">
        <f t="shared" si="6"/>
        <v xml:space="preserve">1/16-12-SA </v>
      </c>
      <c r="C183" s="7">
        <f t="shared" si="7"/>
        <v>246.0306584554047</v>
      </c>
      <c r="D183" s="7">
        <f t="shared" si="7"/>
        <v>247</v>
      </c>
    </row>
    <row r="184" spans="2:4">
      <c r="B184" s="7" t="str">
        <f t="shared" si="6"/>
        <v xml:space="preserve">1/16-12-SS </v>
      </c>
      <c r="C184" s="7">
        <f t="shared" si="7"/>
        <v>377.25177971747195</v>
      </c>
      <c r="D184" s="7">
        <f t="shared" si="7"/>
        <v>378</v>
      </c>
    </row>
    <row r="185" spans="2:4">
      <c r="B185" s="7" t="str">
        <f t="shared" si="6"/>
        <v xml:space="preserve">1/16-12-CA </v>
      </c>
      <c r="C185" s="7">
        <f t="shared" si="7"/>
        <v>532.56509940100284</v>
      </c>
      <c r="D185" s="7">
        <f t="shared" si="7"/>
        <v>533</v>
      </c>
    </row>
    <row r="186" spans="2:4">
      <c r="B186" s="7" t="str">
        <f t="shared" si="6"/>
        <v xml:space="preserve">1/16-12-TA </v>
      </c>
      <c r="C186" s="7">
        <f t="shared" si="7"/>
        <v>562.15371661139091</v>
      </c>
      <c r="D186" s="7">
        <f t="shared" si="7"/>
        <v>563</v>
      </c>
    </row>
    <row r="187" spans="2:4">
      <c r="B187" s="7" t="str">
        <f t="shared" si="6"/>
        <v xml:space="preserve">1/16-12-BG </v>
      </c>
      <c r="C187" s="7">
        <f t="shared" si="7"/>
        <v>177.14115981329692</v>
      </c>
      <c r="D187" s="7">
        <f t="shared" si="7"/>
        <v>178</v>
      </c>
    </row>
    <row r="188" spans="2:4">
      <c r="B188" s="7" t="str">
        <f t="shared" si="6"/>
        <v xml:space="preserve">1/16-16-CD </v>
      </c>
      <c r="C188" s="7">
        <f t="shared" si="7"/>
        <v>161.60265437176454</v>
      </c>
      <c r="D188" s="7">
        <f t="shared" si="7"/>
        <v>162</v>
      </c>
    </row>
    <row r="189" spans="2:4">
      <c r="B189" s="7" t="str">
        <f t="shared" si="6"/>
        <v xml:space="preserve">1/16-16-SA </v>
      </c>
      <c r="C189" s="7">
        <f t="shared" si="7"/>
        <v>246.0306584554047</v>
      </c>
      <c r="D189" s="7">
        <f t="shared" si="7"/>
        <v>247</v>
      </c>
    </row>
    <row r="190" spans="2:4">
      <c r="B190" s="7" t="str">
        <f t="shared" si="6"/>
        <v xml:space="preserve">1/16-16-SS </v>
      </c>
      <c r="C190" s="7">
        <f t="shared" si="7"/>
        <v>377.25177971747195</v>
      </c>
      <c r="D190" s="7">
        <f t="shared" si="7"/>
        <v>378</v>
      </c>
    </row>
    <row r="191" spans="2:4">
      <c r="B191" s="7" t="str">
        <f>B47&amp;" "</f>
        <v xml:space="preserve">1/16-16-CA </v>
      </c>
      <c r="C191" s="7">
        <f t="shared" si="7"/>
        <v>532.56509940100284</v>
      </c>
      <c r="D191" s="7">
        <f t="shared" si="7"/>
        <v>533</v>
      </c>
    </row>
    <row r="192" spans="2:4">
      <c r="B192" s="7" t="str">
        <f t="shared" si="6"/>
        <v xml:space="preserve">1/16-16-TA </v>
      </c>
      <c r="C192" s="7">
        <f t="shared" si="7"/>
        <v>562.15371661139091</v>
      </c>
      <c r="D192" s="7">
        <f t="shared" si="7"/>
        <v>563</v>
      </c>
    </row>
    <row r="193" spans="2:4">
      <c r="B193" s="7" t="str">
        <f t="shared" si="6"/>
        <v xml:space="preserve">1/16-16-BG </v>
      </c>
      <c r="C193" s="7">
        <f t="shared" si="7"/>
        <v>177.14115981329692</v>
      </c>
      <c r="D193" s="7">
        <f t="shared" si="7"/>
        <v>178</v>
      </c>
    </row>
    <row r="194" spans="2:4">
      <c r="B194" s="7" t="str">
        <f t="shared" si="6"/>
        <v xml:space="preserve">1/16-20-CD </v>
      </c>
      <c r="C194" s="7">
        <f t="shared" si="7"/>
        <v>161.60265437176454</v>
      </c>
      <c r="D194" s="7">
        <f t="shared" si="7"/>
        <v>162</v>
      </c>
    </row>
    <row r="195" spans="2:4">
      <c r="B195" s="7" t="str">
        <f t="shared" si="6"/>
        <v xml:space="preserve">1/16-20-SA </v>
      </c>
      <c r="C195" s="7">
        <f t="shared" si="7"/>
        <v>246.0306584554047</v>
      </c>
      <c r="D195" s="7">
        <f t="shared" si="7"/>
        <v>247</v>
      </c>
    </row>
    <row r="196" spans="2:4">
      <c r="B196" s="7" t="str">
        <f t="shared" si="6"/>
        <v xml:space="preserve">1/16-20-SS </v>
      </c>
      <c r="C196" s="7">
        <f t="shared" si="7"/>
        <v>377.25177971747195</v>
      </c>
      <c r="D196" s="7">
        <f t="shared" si="7"/>
        <v>378</v>
      </c>
    </row>
    <row r="197" spans="2:4">
      <c r="B197" s="7" t="str">
        <f t="shared" si="6"/>
        <v xml:space="preserve">1/16-20-CA </v>
      </c>
      <c r="C197" s="7">
        <f t="shared" si="7"/>
        <v>532.56509940100284</v>
      </c>
      <c r="D197" s="7">
        <f t="shared" si="7"/>
        <v>533</v>
      </c>
    </row>
    <row r="198" spans="2:4">
      <c r="B198" s="7" t="str">
        <f t="shared" si="6"/>
        <v xml:space="preserve">1/16-20-TA </v>
      </c>
      <c r="C198" s="7">
        <f t="shared" si="7"/>
        <v>562.15371661139091</v>
      </c>
      <c r="D198" s="7">
        <f t="shared" si="7"/>
        <v>563</v>
      </c>
    </row>
    <row r="199" spans="2:4">
      <c r="B199" s="7" t="str">
        <f t="shared" si="6"/>
        <v xml:space="preserve">1/16-20-BG </v>
      </c>
      <c r="C199" s="7">
        <f t="shared" si="7"/>
        <v>177.14115981329692</v>
      </c>
      <c r="D199" s="7">
        <f t="shared" si="7"/>
        <v>178</v>
      </c>
    </row>
    <row r="200" spans="2:4">
      <c r="B200" s="7" t="str">
        <f>B56&amp;" "</f>
        <v xml:space="preserve">1/8-25-CD </v>
      </c>
      <c r="C200" s="7">
        <f t="shared" si="7"/>
        <v>456.55575081253761</v>
      </c>
      <c r="D200" s="7">
        <f t="shared" si="7"/>
        <v>457</v>
      </c>
    </row>
    <row r="201" spans="2:4">
      <c r="B201" s="7" t="str">
        <f t="shared" si="6"/>
        <v xml:space="preserve">1/8-25-SA </v>
      </c>
      <c r="C201" s="7">
        <f t="shared" si="7"/>
        <v>695.07962248939509</v>
      </c>
      <c r="D201" s="7">
        <f t="shared" si="7"/>
        <v>696</v>
      </c>
    </row>
    <row r="202" spans="2:4">
      <c r="B202" s="7" t="str">
        <f t="shared" si="6"/>
        <v xml:space="preserve">1/8-25-SS </v>
      </c>
      <c r="C202" s="7">
        <f t="shared" si="7"/>
        <v>1065.8022308102004</v>
      </c>
      <c r="D202" s="7">
        <f t="shared" si="7"/>
        <v>1066</v>
      </c>
    </row>
    <row r="203" spans="2:4">
      <c r="B203" s="7" t="str">
        <f t="shared" si="6"/>
        <v xml:space="preserve">1/8-25-CA </v>
      </c>
      <c r="C203" s="7">
        <f t="shared" si="7"/>
        <v>1504.5895115944415</v>
      </c>
      <c r="D203" s="7">
        <f t="shared" si="7"/>
        <v>1505</v>
      </c>
    </row>
    <row r="204" spans="2:4">
      <c r="B204" s="7" t="str">
        <f t="shared" si="6"/>
        <v xml:space="preserve">1/8-25-TA </v>
      </c>
      <c r="C204" s="7">
        <f t="shared" si="7"/>
        <v>1588.1825280489647</v>
      </c>
      <c r="D204" s="7">
        <f t="shared" si="7"/>
        <v>1589</v>
      </c>
    </row>
    <row r="205" spans="2:4">
      <c r="B205" s="7" t="str">
        <f t="shared" si="6"/>
        <v xml:space="preserve">1/8-25-BG </v>
      </c>
      <c r="C205" s="7">
        <f t="shared" si="7"/>
        <v>500.45474520679693</v>
      </c>
      <c r="D205" s="7">
        <f t="shared" si="7"/>
        <v>501</v>
      </c>
    </row>
    <row r="206" spans="2:4">
      <c r="B206" s="7" t="str">
        <f t="shared" si="6"/>
        <v xml:space="preserve">1/8-20-CD </v>
      </c>
      <c r="C206" s="7">
        <f t="shared" si="7"/>
        <v>456.55575081253761</v>
      </c>
      <c r="D206" s="7">
        <f t="shared" si="7"/>
        <v>457</v>
      </c>
    </row>
    <row r="207" spans="2:4">
      <c r="B207" s="7" t="str">
        <f t="shared" si="6"/>
        <v xml:space="preserve">1/8-20-SA </v>
      </c>
      <c r="C207" s="7">
        <f t="shared" si="7"/>
        <v>695.07962248939509</v>
      </c>
      <c r="D207" s="7">
        <f t="shared" si="7"/>
        <v>696</v>
      </c>
    </row>
    <row r="208" spans="2:4">
      <c r="B208" s="7" t="str">
        <f t="shared" si="6"/>
        <v xml:space="preserve">1/8-20-SS </v>
      </c>
      <c r="C208" s="7">
        <f t="shared" si="7"/>
        <v>1065.8022308102004</v>
      </c>
      <c r="D208" s="7">
        <f t="shared" si="7"/>
        <v>1066</v>
      </c>
    </row>
    <row r="209" spans="2:4">
      <c r="B209" s="7" t="str">
        <f t="shared" si="6"/>
        <v xml:space="preserve">1/8-20-CA </v>
      </c>
      <c r="C209" s="7">
        <f t="shared" si="7"/>
        <v>1504.5895115944415</v>
      </c>
      <c r="D209" s="7">
        <f t="shared" si="7"/>
        <v>1505</v>
      </c>
    </row>
    <row r="210" spans="2:4">
      <c r="B210" s="7" t="str">
        <f t="shared" si="6"/>
        <v xml:space="preserve">1/8-20-TA </v>
      </c>
      <c r="C210" s="7">
        <f t="shared" si="7"/>
        <v>1588.1825280489647</v>
      </c>
      <c r="D210" s="7">
        <f t="shared" si="7"/>
        <v>1589</v>
      </c>
    </row>
    <row r="211" spans="2:4">
      <c r="B211" s="7" t="str">
        <f t="shared" ref="B211" si="8">B67&amp;" "</f>
        <v xml:space="preserve">1/8-20-BG </v>
      </c>
      <c r="C211" s="7">
        <f t="shared" ref="C211:D217" si="9">C67</f>
        <v>500.45474520679693</v>
      </c>
      <c r="D211" s="7">
        <f t="shared" si="9"/>
        <v>501</v>
      </c>
    </row>
    <row r="212" spans="2:4">
      <c r="B212" s="7" t="str">
        <f t="shared" ref="B212:B217" si="10">B68&amp;" "</f>
        <v xml:space="preserve">1/8-16-CD </v>
      </c>
      <c r="C212" s="7">
        <f t="shared" si="9"/>
        <v>456.55575081253761</v>
      </c>
      <c r="D212" s="7">
        <f t="shared" si="9"/>
        <v>457</v>
      </c>
    </row>
    <row r="213" spans="2:4">
      <c r="B213" s="7" t="str">
        <f t="shared" si="10"/>
        <v xml:space="preserve">1/8-16-SA </v>
      </c>
      <c r="C213" s="7">
        <f t="shared" si="9"/>
        <v>695.07962248939509</v>
      </c>
      <c r="D213" s="7">
        <f t="shared" si="9"/>
        <v>696</v>
      </c>
    </row>
    <row r="214" spans="2:4">
      <c r="B214" s="7" t="str">
        <f t="shared" si="10"/>
        <v xml:space="preserve">1/8-16-SS </v>
      </c>
      <c r="C214" s="7">
        <f t="shared" si="9"/>
        <v>1065.8022308102004</v>
      </c>
      <c r="D214" s="7">
        <f t="shared" si="9"/>
        <v>1066</v>
      </c>
    </row>
    <row r="215" spans="2:4">
      <c r="B215" s="7" t="str">
        <f t="shared" si="10"/>
        <v xml:space="preserve">1/8-16-CA </v>
      </c>
      <c r="C215" s="7">
        <f t="shared" si="9"/>
        <v>1504.5895115944415</v>
      </c>
      <c r="D215" s="7">
        <f t="shared" si="9"/>
        <v>1505</v>
      </c>
    </row>
    <row r="216" spans="2:4">
      <c r="B216" s="7" t="str">
        <f t="shared" si="10"/>
        <v xml:space="preserve">1/8-16-TA </v>
      </c>
      <c r="C216" s="7">
        <f t="shared" si="9"/>
        <v>1588.1825280489647</v>
      </c>
      <c r="D216" s="7">
        <f t="shared" si="9"/>
        <v>1589</v>
      </c>
    </row>
    <row r="217" spans="2:4">
      <c r="B217" s="7" t="str">
        <f t="shared" si="10"/>
        <v xml:space="preserve">1/8-16-BG </v>
      </c>
      <c r="C217" s="7">
        <f t="shared" si="9"/>
        <v>500.45474520679693</v>
      </c>
      <c r="D217" s="7">
        <f t="shared" si="9"/>
        <v>501</v>
      </c>
    </row>
  </sheetData>
  <pageMargins left="0.7" right="0.7" top="0.75" bottom="0.75" header="0.3" footer="0.3"/>
  <pageSetup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O102"/>
  <sheetViews>
    <sheetView workbookViewId="0">
      <selection activeCell="D20" sqref="D20"/>
    </sheetView>
  </sheetViews>
  <sheetFormatPr defaultRowHeight="15"/>
  <cols>
    <col min="1" max="2" width="12.5703125" bestFit="1" customWidth="1"/>
    <col min="3" max="3" width="19.5703125" bestFit="1" customWidth="1"/>
    <col min="4" max="4" width="26.140625" bestFit="1" customWidth="1"/>
    <col min="5" max="5" width="24.5703125" customWidth="1"/>
    <col min="9" max="9" width="10.140625" bestFit="1" customWidth="1"/>
    <col min="10" max="10" width="14" bestFit="1" customWidth="1"/>
    <col min="11" max="11" width="10.140625" bestFit="1" customWidth="1"/>
    <col min="14" max="14" width="14" bestFit="1" customWidth="1"/>
    <col min="15" max="15" width="10.85546875" bestFit="1" customWidth="1"/>
  </cols>
  <sheetData>
    <row r="1" spans="1:15">
      <c r="B1" t="s">
        <v>535</v>
      </c>
      <c r="C1" t="str">
        <f>'VA Sizing'!C3</f>
        <v>Liquid</v>
      </c>
    </row>
    <row r="2" spans="1:15">
      <c r="B2" t="s">
        <v>588</v>
      </c>
      <c r="C2" t="str">
        <f>IF(RIGHT('VA Sizing'!B4,1)=" ","Mixed Gas",'VA Sizing'!C4)</f>
        <v>Water</v>
      </c>
      <c r="H2" s="62" t="s">
        <v>480</v>
      </c>
      <c r="I2" s="62" t="s">
        <v>595</v>
      </c>
      <c r="J2" s="62" t="s">
        <v>587</v>
      </c>
      <c r="K2" s="62" t="s">
        <v>586</v>
      </c>
      <c r="N2" s="62" t="s">
        <v>11</v>
      </c>
      <c r="O2" s="62" t="s">
        <v>634</v>
      </c>
    </row>
    <row r="3" spans="1:15">
      <c r="A3" t="s">
        <v>930</v>
      </c>
      <c r="B3" t="s">
        <v>480</v>
      </c>
      <c r="C3" t="str">
        <f>IFERROR(RIGHT(A3,E3),"")</f>
        <v xml:space="preserve"> 0.05</v>
      </c>
      <c r="D3" t="str">
        <f>IFERROR(IF(AND('VA Sizing'!C3="Gas",'VA Sizing'!C5="Standard"),VLOOKUP('IX Preview'!A4,'IX Preview'!H3:K31,4,FALSE),
IF(AND('VA Sizing'!C3="Gas",'VA Sizing'!C5="Normal"),VLOOKUP('IX Preview'!A4,'IX Preview'!H3:K31,3,FALSE),
IF(AND('VA Sizing'!C3="Gas",'VA Sizing'!C5="Actual"),VLOOKUP('IX Preview'!A4,'IX Preview'!H3:K31,2,FALSE),VLOOKUP('IX Preview'!A4,'IX Preview'!H3:K31,2,FALSE)))),"")</f>
        <v>m^3/h</v>
      </c>
      <c r="E3" s="7">
        <f>LEN(A3)-FIND("-",A3&amp;"-")</f>
        <v>5</v>
      </c>
      <c r="H3" s="129" t="s">
        <v>583</v>
      </c>
      <c r="I3" s="7" t="s">
        <v>201</v>
      </c>
      <c r="J3" s="7" t="s">
        <v>598</v>
      </c>
      <c r="K3" s="7" t="s">
        <v>599</v>
      </c>
      <c r="N3" s="7" t="s">
        <v>584</v>
      </c>
      <c r="O3" s="48" t="s">
        <v>12</v>
      </c>
    </row>
    <row r="4" spans="1:15" ht="17.25">
      <c r="A4" t="s">
        <v>33</v>
      </c>
      <c r="B4" t="s">
        <v>11</v>
      </c>
      <c r="C4">
        <f>IF('VA Sizing'!C3="Gas",'IX Preview'!A5,
IF('VA Sizing'!C3="Liquid",'IX Preview'!A7,""))</f>
        <v>990</v>
      </c>
      <c r="D4" t="str">
        <f>IF('VA Sizing'!C3="Gas",VLOOKUP('IX Preview'!A6,N3:O9,2,FALSE),
IF('VA Sizing'!C3="Liquid",VLOOKUP('IX Preview'!A8,N3:O9,2,FALSE),""))</f>
        <v>kg/m^3</v>
      </c>
      <c r="E4" s="7" t="str">
        <f>IFERROR(LEFT(A3,LEN(A3)-E3-2),"")</f>
        <v>0</v>
      </c>
      <c r="H4" s="7" t="s">
        <v>29</v>
      </c>
      <c r="I4" s="7" t="s">
        <v>201</v>
      </c>
      <c r="J4" s="7" t="s">
        <v>598</v>
      </c>
      <c r="K4" s="7" t="s">
        <v>599</v>
      </c>
      <c r="N4" s="7" t="s">
        <v>185</v>
      </c>
      <c r="O4" s="48" t="s">
        <v>635</v>
      </c>
    </row>
    <row r="5" spans="1:15">
      <c r="A5" t="s">
        <v>928</v>
      </c>
      <c r="B5" t="s">
        <v>13</v>
      </c>
      <c r="C5">
        <f>IF('VA Sizing'!C3="Liquid",'VA Sizing'!C8,"")</f>
        <v>1</v>
      </c>
      <c r="D5" t="str">
        <f>IF('VA Sizing'!C3="Liquid",'VA Sizing'!D8,"")</f>
        <v>cP</v>
      </c>
      <c r="H5" s="7" t="s">
        <v>42</v>
      </c>
      <c r="I5" s="7" t="s">
        <v>596</v>
      </c>
      <c r="J5" s="7" t="s">
        <v>600</v>
      </c>
      <c r="K5" s="7" t="s">
        <v>596</v>
      </c>
      <c r="N5" s="7" t="s">
        <v>187</v>
      </c>
      <c r="O5" s="48" t="s">
        <v>638</v>
      </c>
    </row>
    <row r="6" spans="1:15">
      <c r="A6" t="s">
        <v>928</v>
      </c>
      <c r="B6" t="s">
        <v>450</v>
      </c>
      <c r="C6">
        <f>IF('VA Sizing'!$C$4="Steam",ROUND(SizingSummary!C9,1),SizingSummary!C9)</f>
        <v>10</v>
      </c>
      <c r="D6" t="str">
        <f>IFERROR(VLOOKUP(A9,N14:O25,2,FALSE),"")</f>
        <v>bar(a)</v>
      </c>
      <c r="H6" s="7" t="s">
        <v>43</v>
      </c>
      <c r="I6" s="7" t="s">
        <v>597</v>
      </c>
      <c r="J6" s="7" t="s">
        <v>601</v>
      </c>
      <c r="K6" s="7" t="s">
        <v>597</v>
      </c>
      <c r="N6" s="7" t="s">
        <v>186</v>
      </c>
      <c r="O6" s="48" t="s">
        <v>12</v>
      </c>
    </row>
    <row r="7" spans="1:15" ht="17.25">
      <c r="A7">
        <f>'VA Sizing'!C11</f>
        <v>990</v>
      </c>
      <c r="B7" t="s">
        <v>474</v>
      </c>
      <c r="C7">
        <f>IF('VA Sizing'!$C$4="Steam",ROUND(SizingSummary!C10,1),SizingSummary!C10)</f>
        <v>60</v>
      </c>
      <c r="D7" t="str">
        <f>IF(SizingSummary!D10=0,"",SizingSummary!D10)</f>
        <v>°C</v>
      </c>
      <c r="H7" s="7" t="s">
        <v>30</v>
      </c>
      <c r="I7" s="7" t="s">
        <v>30</v>
      </c>
      <c r="J7" s="7" t="s">
        <v>602</v>
      </c>
      <c r="K7" s="7" t="s">
        <v>605</v>
      </c>
      <c r="N7" s="7" t="s">
        <v>188</v>
      </c>
      <c r="O7" s="48" t="s">
        <v>636</v>
      </c>
    </row>
    <row r="8" spans="1:15" ht="17.25">
      <c r="A8" t="str">
        <f>'VA Sizing'!D11</f>
        <v>kg/m3</v>
      </c>
      <c r="H8" s="7" t="s">
        <v>31</v>
      </c>
      <c r="I8" s="7" t="s">
        <v>31</v>
      </c>
      <c r="J8" s="7" t="s">
        <v>603</v>
      </c>
      <c r="K8" s="7" t="s">
        <v>606</v>
      </c>
      <c r="N8" s="7" t="s">
        <v>189</v>
      </c>
      <c r="O8" s="48" t="s">
        <v>637</v>
      </c>
    </row>
    <row r="9" spans="1:15">
      <c r="A9" t="str">
        <f>SizingSummary!D9</f>
        <v>bar(a)</v>
      </c>
      <c r="H9" s="7" t="s">
        <v>32</v>
      </c>
      <c r="I9" s="7" t="s">
        <v>32</v>
      </c>
      <c r="J9" s="7" t="s">
        <v>604</v>
      </c>
      <c r="K9" s="7" t="s">
        <v>607</v>
      </c>
      <c r="N9" s="7" t="s">
        <v>190</v>
      </c>
      <c r="O9" s="48" t="s">
        <v>190</v>
      </c>
    </row>
    <row r="10" spans="1:15">
      <c r="H10" s="7" t="s">
        <v>33</v>
      </c>
      <c r="I10" s="7" t="s">
        <v>608</v>
      </c>
      <c r="J10" s="7" t="s">
        <v>610</v>
      </c>
      <c r="K10" s="7" t="s">
        <v>611</v>
      </c>
    </row>
    <row r="11" spans="1:15">
      <c r="H11" s="7" t="s">
        <v>34</v>
      </c>
      <c r="I11" s="7" t="s">
        <v>609</v>
      </c>
      <c r="J11" s="7" t="s">
        <v>612</v>
      </c>
      <c r="K11" s="7" t="s">
        <v>613</v>
      </c>
    </row>
    <row r="12" spans="1:15">
      <c r="H12" s="7" t="s">
        <v>35</v>
      </c>
      <c r="I12" s="7" t="s">
        <v>614</v>
      </c>
      <c r="J12" s="7" t="s">
        <v>617</v>
      </c>
      <c r="K12" s="7" t="s">
        <v>618</v>
      </c>
    </row>
    <row r="13" spans="1:15">
      <c r="H13" s="7" t="s">
        <v>36</v>
      </c>
      <c r="I13" s="7" t="s">
        <v>615</v>
      </c>
      <c r="J13" s="7" t="s">
        <v>619</v>
      </c>
      <c r="K13" s="7" t="s">
        <v>620</v>
      </c>
      <c r="N13" s="53" t="s">
        <v>179</v>
      </c>
      <c r="O13" s="46" t="s">
        <v>634</v>
      </c>
    </row>
    <row r="14" spans="1:15">
      <c r="H14" s="7" t="s">
        <v>37</v>
      </c>
      <c r="I14" s="7" t="s">
        <v>616</v>
      </c>
      <c r="J14" s="7" t="s">
        <v>621</v>
      </c>
      <c r="K14" s="7" t="s">
        <v>622</v>
      </c>
      <c r="N14" s="7" t="s">
        <v>173</v>
      </c>
      <c r="O14" s="48" t="s">
        <v>173</v>
      </c>
    </row>
    <row r="15" spans="1:15">
      <c r="H15" s="7" t="s">
        <v>38</v>
      </c>
      <c r="I15" s="7" t="s">
        <v>646</v>
      </c>
      <c r="J15" s="7" t="s">
        <v>648</v>
      </c>
      <c r="K15" s="7" t="s">
        <v>646</v>
      </c>
      <c r="N15" s="7" t="s">
        <v>172</v>
      </c>
      <c r="O15" s="48" t="s">
        <v>451</v>
      </c>
    </row>
    <row r="16" spans="1:15">
      <c r="H16" s="7" t="s">
        <v>39</v>
      </c>
      <c r="I16" s="7" t="s">
        <v>647</v>
      </c>
      <c r="J16" s="7" t="s">
        <v>649</v>
      </c>
      <c r="K16" s="7" t="s">
        <v>647</v>
      </c>
      <c r="N16" s="7" t="s">
        <v>174</v>
      </c>
      <c r="O16" s="48" t="s">
        <v>174</v>
      </c>
    </row>
    <row r="17" spans="2:15">
      <c r="H17" s="7" t="s">
        <v>40</v>
      </c>
      <c r="I17" s="7" t="s">
        <v>623</v>
      </c>
      <c r="J17" s="7" t="s">
        <v>625</v>
      </c>
      <c r="K17" s="7" t="s">
        <v>623</v>
      </c>
      <c r="N17" s="7" t="s">
        <v>175</v>
      </c>
      <c r="O17" s="48" t="s">
        <v>639</v>
      </c>
    </row>
    <row r="18" spans="2:15">
      <c r="H18" s="7" t="s">
        <v>41</v>
      </c>
      <c r="I18" s="7" t="s">
        <v>624</v>
      </c>
      <c r="J18" s="7" t="s">
        <v>626</v>
      </c>
      <c r="K18" s="7" t="s">
        <v>624</v>
      </c>
      <c r="N18" s="7" t="s">
        <v>176</v>
      </c>
      <c r="O18" s="7" t="s">
        <v>176</v>
      </c>
    </row>
    <row r="19" spans="2:15">
      <c r="H19" s="7" t="s">
        <v>44</v>
      </c>
      <c r="I19" s="7" t="s">
        <v>627</v>
      </c>
      <c r="J19" s="7" t="s">
        <v>630</v>
      </c>
      <c r="K19" s="7" t="s">
        <v>627</v>
      </c>
      <c r="N19" s="7" t="s">
        <v>177</v>
      </c>
      <c r="O19" s="48" t="s">
        <v>640</v>
      </c>
    </row>
    <row r="20" spans="2:15">
      <c r="H20" s="7" t="s">
        <v>45</v>
      </c>
      <c r="I20" s="7" t="s">
        <v>628</v>
      </c>
      <c r="J20" s="7" t="s">
        <v>631</v>
      </c>
      <c r="K20" s="7" t="s">
        <v>633</v>
      </c>
      <c r="N20" s="48" t="s">
        <v>576</v>
      </c>
      <c r="O20" s="48" t="s">
        <v>642</v>
      </c>
    </row>
    <row r="21" spans="2:15">
      <c r="H21" s="7" t="s">
        <v>46</v>
      </c>
      <c r="I21" s="7" t="s">
        <v>629</v>
      </c>
      <c r="J21" s="7" t="s">
        <v>632</v>
      </c>
      <c r="K21" s="7" t="s">
        <v>629</v>
      </c>
      <c r="N21" s="48" t="s">
        <v>577</v>
      </c>
      <c r="O21" s="48" t="s">
        <v>643</v>
      </c>
    </row>
    <row r="22" spans="2:15">
      <c r="H22" s="48" t="s">
        <v>589</v>
      </c>
      <c r="I22" s="48" t="s">
        <v>589</v>
      </c>
      <c r="J22" s="48" t="s">
        <v>589</v>
      </c>
      <c r="K22" s="48" t="s">
        <v>589</v>
      </c>
      <c r="N22" s="48" t="s">
        <v>578</v>
      </c>
      <c r="O22" s="48" t="s">
        <v>578</v>
      </c>
    </row>
    <row r="23" spans="2:15">
      <c r="H23" s="48" t="s">
        <v>590</v>
      </c>
      <c r="I23" s="48" t="s">
        <v>590</v>
      </c>
      <c r="J23" s="48" t="s">
        <v>590</v>
      </c>
      <c r="K23" s="48" t="s">
        <v>590</v>
      </c>
      <c r="N23" s="48" t="s">
        <v>579</v>
      </c>
      <c r="O23" s="48" t="s">
        <v>641</v>
      </c>
    </row>
    <row r="24" spans="2:15">
      <c r="H24" s="48" t="s">
        <v>591</v>
      </c>
      <c r="I24" s="48" t="s">
        <v>591</v>
      </c>
      <c r="J24" s="48" t="s">
        <v>591</v>
      </c>
      <c r="K24" s="48" t="s">
        <v>591</v>
      </c>
      <c r="N24" s="48" t="s">
        <v>580</v>
      </c>
      <c r="O24" s="7" t="s">
        <v>644</v>
      </c>
    </row>
    <row r="25" spans="2:15">
      <c r="H25" s="48" t="s">
        <v>592</v>
      </c>
      <c r="I25" s="48" t="s">
        <v>592</v>
      </c>
      <c r="J25" s="48" t="s">
        <v>592</v>
      </c>
      <c r="K25" s="48" t="s">
        <v>592</v>
      </c>
      <c r="N25" s="48" t="s">
        <v>581</v>
      </c>
      <c r="O25" s="7" t="s">
        <v>645</v>
      </c>
    </row>
    <row r="26" spans="2:15">
      <c r="H26" s="48" t="s">
        <v>593</v>
      </c>
      <c r="I26" s="48" t="s">
        <v>593</v>
      </c>
      <c r="J26" s="48" t="s">
        <v>593</v>
      </c>
      <c r="K26" s="48" t="s">
        <v>593</v>
      </c>
    </row>
    <row r="27" spans="2:15">
      <c r="H27" s="48" t="s">
        <v>594</v>
      </c>
      <c r="I27" s="48" t="s">
        <v>594</v>
      </c>
      <c r="J27" s="48" t="s">
        <v>594</v>
      </c>
      <c r="K27" s="48" t="s">
        <v>594</v>
      </c>
    </row>
    <row r="28" spans="2:15" ht="15.75" thickBot="1">
      <c r="H28" s="48" t="s">
        <v>599</v>
      </c>
      <c r="I28" s="48" t="s">
        <v>599</v>
      </c>
      <c r="J28" s="48" t="s">
        <v>599</v>
      </c>
      <c r="K28" s="48" t="s">
        <v>599</v>
      </c>
    </row>
    <row r="29" spans="2:15" ht="15.75" thickBot="1">
      <c r="B29" t="s">
        <v>6</v>
      </c>
      <c r="C29" s="105" t="s">
        <v>654</v>
      </c>
      <c r="H29" s="48" t="s">
        <v>620</v>
      </c>
      <c r="I29" s="48" t="s">
        <v>620</v>
      </c>
      <c r="J29" s="48" t="s">
        <v>620</v>
      </c>
      <c r="K29" s="48" t="s">
        <v>620</v>
      </c>
    </row>
    <row r="30" spans="2:15">
      <c r="B30" t="s">
        <v>650</v>
      </c>
      <c r="D30" s="130"/>
      <c r="F30" s="130"/>
      <c r="H30" s="48" t="s">
        <v>618</v>
      </c>
      <c r="I30" s="48" t="s">
        <v>618</v>
      </c>
      <c r="J30" s="48" t="s">
        <v>618</v>
      </c>
      <c r="K30" s="48" t="s">
        <v>618</v>
      </c>
    </row>
    <row r="31" spans="2:15">
      <c r="B31" t="s">
        <v>651</v>
      </c>
      <c r="H31" s="48" t="s">
        <v>622</v>
      </c>
      <c r="I31" s="48" t="s">
        <v>622</v>
      </c>
      <c r="J31" s="48" t="s">
        <v>622</v>
      </c>
      <c r="K31" s="48" t="s">
        <v>622</v>
      </c>
    </row>
    <row r="32" spans="2:15">
      <c r="B32" t="s">
        <v>652</v>
      </c>
    </row>
    <row r="33" spans="2:8">
      <c r="F33" t="s">
        <v>653</v>
      </c>
    </row>
    <row r="34" spans="2:8">
      <c r="F34" t="str">
        <f>RIGHT(LEFT(F33,11),3)</f>
        <v>1/8</v>
      </c>
      <c r="H34" t="str">
        <f>RIGHT(G34,3)</f>
        <v/>
      </c>
    </row>
    <row r="39" spans="2:8">
      <c r="B39" t="s">
        <v>7</v>
      </c>
    </row>
    <row r="40" spans="2:8">
      <c r="B40" t="str">
        <f>"(66)"</f>
        <v>(66)</v>
      </c>
      <c r="C40" t="str">
        <f>"4 : "&amp;"Tantalum"</f>
        <v>4 : Tantalum</v>
      </c>
      <c r="E40" s="3" t="s">
        <v>532</v>
      </c>
      <c r="F40" t="str">
        <f>IFERROR(VLOOKUP(E41,B40:C56,2,FALSE),"")</f>
        <v>4 : Tantalum</v>
      </c>
    </row>
    <row r="41" spans="2:8">
      <c r="B41" t="str">
        <f>"(67)"</f>
        <v>(67)</v>
      </c>
      <c r="C41" t="str">
        <f t="shared" ref="C41:C46" si="0">"4 : "&amp;"Tantalum"</f>
        <v>4 : Tantalum</v>
      </c>
      <c r="E41" t="str">
        <f>"("&amp;E40&amp;")"</f>
        <v>(66)</v>
      </c>
    </row>
    <row r="42" spans="2:8">
      <c r="B42" t="str">
        <f>"(68)"</f>
        <v>(68)</v>
      </c>
      <c r="C42" t="str">
        <f t="shared" si="0"/>
        <v>4 : Tantalum</v>
      </c>
    </row>
    <row r="43" spans="2:8">
      <c r="B43" t="str">
        <f>"(69)"</f>
        <v>(69)</v>
      </c>
      <c r="C43" t="str">
        <f t="shared" si="0"/>
        <v>4 : Tantalum</v>
      </c>
    </row>
    <row r="44" spans="2:8">
      <c r="B44" t="str">
        <f>"(70)"</f>
        <v>(70)</v>
      </c>
      <c r="C44" t="str">
        <f t="shared" si="0"/>
        <v>4 : Tantalum</v>
      </c>
    </row>
    <row r="45" spans="2:8">
      <c r="B45" t="str">
        <f>"(71)"</f>
        <v>(71)</v>
      </c>
      <c r="C45" t="str">
        <f t="shared" si="0"/>
        <v>4 : Tantalum</v>
      </c>
    </row>
    <row r="46" spans="2:8">
      <c r="B46" t="str">
        <f>"(72)"</f>
        <v>(72)</v>
      </c>
      <c r="C46" t="str">
        <f t="shared" si="0"/>
        <v>4 : Tantalum</v>
      </c>
    </row>
    <row r="47" spans="2:8">
      <c r="B47" t="str">
        <f>"(73)"</f>
        <v>(73)</v>
      </c>
      <c r="C47" t="str">
        <f>"6 : PTFE - "&amp;D47</f>
        <v>6 : PTFE - 1/2" size</v>
      </c>
      <c r="D47" t="s">
        <v>655</v>
      </c>
    </row>
    <row r="48" spans="2:8">
      <c r="B48" t="str">
        <f>"(74)"</f>
        <v>(74)</v>
      </c>
      <c r="C48" t="str">
        <f>"5 : PVC - "&amp;D48</f>
        <v>5 : PVC - 1/2" size</v>
      </c>
      <c r="D48" t="s">
        <v>655</v>
      </c>
    </row>
    <row r="49" spans="2:4">
      <c r="B49" t="str">
        <f>"(75)"</f>
        <v>(75)</v>
      </c>
      <c r="C49" t="str">
        <f>"6 : PTFE - "&amp;D49</f>
        <v>6 : PTFE - 3/4"-1" size</v>
      </c>
      <c r="D49" t="s">
        <v>656</v>
      </c>
    </row>
    <row r="50" spans="2:4">
      <c r="B50" t="str">
        <f>"(76)"</f>
        <v>(76)</v>
      </c>
      <c r="C50" t="str">
        <f>"5 : PVC - "&amp;D50</f>
        <v>5 : PVC - 3/4"-1" size</v>
      </c>
      <c r="D50" t="s">
        <v>656</v>
      </c>
    </row>
    <row r="51" spans="2:4">
      <c r="B51" t="str">
        <f>"(77)"</f>
        <v>(77)</v>
      </c>
      <c r="C51" t="str">
        <f>"6 : PTFE - "&amp;D51</f>
        <v>6 : PTFE - 3/4"-1" size</v>
      </c>
      <c r="D51" t="s">
        <v>656</v>
      </c>
    </row>
    <row r="52" spans="2:4">
      <c r="B52" t="str">
        <f>"(78)"</f>
        <v>(78)</v>
      </c>
      <c r="C52" t="str">
        <f>"5 : PVC - "&amp;D52</f>
        <v>5 : PVC - 3/4"-1" size</v>
      </c>
      <c r="D52" t="s">
        <v>656</v>
      </c>
    </row>
    <row r="53" spans="2:4">
      <c r="B53" t="str">
        <f>"(79)"</f>
        <v>(79)</v>
      </c>
      <c r="C53" t="str">
        <f>"6 : PTFE - "&amp;D53</f>
        <v>6 : PTFE - 1-1/2-2" size</v>
      </c>
      <c r="D53" t="s">
        <v>657</v>
      </c>
    </row>
    <row r="54" spans="2:4">
      <c r="B54" t="str">
        <f>"(80)"</f>
        <v>(80)</v>
      </c>
      <c r="C54" t="str">
        <f>"5 : PVC - "&amp;D54</f>
        <v>5 : PVC - 1-1/2-2" size</v>
      </c>
      <c r="D54" t="s">
        <v>657</v>
      </c>
    </row>
    <row r="55" spans="2:4">
      <c r="B55" t="str">
        <f>"(81)"</f>
        <v>(81)</v>
      </c>
      <c r="C55" t="str">
        <f>"6 : PTFE - "&amp;D55</f>
        <v>6 : PTFE - 1-1/2-2" size</v>
      </c>
      <c r="D55" t="s">
        <v>657</v>
      </c>
    </row>
    <row r="56" spans="2:4">
      <c r="B56" t="str">
        <f>"(82)"</f>
        <v>(82)</v>
      </c>
      <c r="C56" t="str">
        <f>"5 : PVC - "&amp;D56</f>
        <v>5 : PVC - 1-1/2-2" size</v>
      </c>
      <c r="D56" t="s">
        <v>657</v>
      </c>
    </row>
    <row r="60" spans="2:4">
      <c r="B60" t="s">
        <v>8</v>
      </c>
    </row>
    <row r="61" spans="2:4">
      <c r="B61" t="s">
        <v>658</v>
      </c>
      <c r="C61" t="s">
        <v>663</v>
      </c>
    </row>
    <row r="62" spans="2:4">
      <c r="B62" t="s">
        <v>659</v>
      </c>
      <c r="C62" t="s">
        <v>664</v>
      </c>
    </row>
    <row r="63" spans="2:4">
      <c r="B63" t="s">
        <v>660</v>
      </c>
      <c r="C63" t="s">
        <v>665</v>
      </c>
    </row>
    <row r="64" spans="2:4">
      <c r="B64" t="s">
        <v>661</v>
      </c>
      <c r="C64" t="s">
        <v>666</v>
      </c>
    </row>
    <row r="65" spans="2:5">
      <c r="B65" t="s">
        <v>662</v>
      </c>
      <c r="C65" t="s">
        <v>667</v>
      </c>
    </row>
    <row r="66" spans="2:5">
      <c r="B66" t="str">
        <f>""</f>
        <v/>
      </c>
    </row>
    <row r="69" spans="2:5">
      <c r="B69" t="s">
        <v>370</v>
      </c>
      <c r="C69" t="str">
        <f>B69&amp;" : "</f>
        <v xml:space="preserve">1B : </v>
      </c>
      <c r="D69" t="s">
        <v>669</v>
      </c>
      <c r="E69" t="str">
        <f>C69&amp;D69</f>
        <v>1B : 0.02 … 0.36 GPM Water</v>
      </c>
    </row>
    <row r="70" spans="2:5">
      <c r="B70" t="s">
        <v>371</v>
      </c>
      <c r="C70" t="str">
        <f t="shared" ref="C70:C101" si="1">B70&amp;" : "</f>
        <v xml:space="preserve">1C : </v>
      </c>
      <c r="D70" t="s">
        <v>670</v>
      </c>
      <c r="E70" t="str">
        <f t="shared" ref="E70:E101" si="2">C70&amp;D70</f>
        <v>1C : 0.05 … 0.60 GPM Water</v>
      </c>
    </row>
    <row r="71" spans="2:5">
      <c r="B71" t="s">
        <v>372</v>
      </c>
      <c r="C71" t="str">
        <f t="shared" si="1"/>
        <v xml:space="preserve">1D : </v>
      </c>
      <c r="D71" t="s">
        <v>671</v>
      </c>
      <c r="E71" t="str">
        <f t="shared" si="2"/>
        <v>1D : 0.1 … 1.0 GPM Water</v>
      </c>
    </row>
    <row r="72" spans="2:5">
      <c r="B72" t="s">
        <v>385</v>
      </c>
      <c r="C72" t="str">
        <f t="shared" si="1"/>
        <v xml:space="preserve">1E : </v>
      </c>
      <c r="D72" t="s">
        <v>672</v>
      </c>
      <c r="E72" t="str">
        <f t="shared" si="2"/>
        <v>1E : 0.1 … 1.3 GPM Water</v>
      </c>
    </row>
    <row r="73" spans="2:5">
      <c r="B73" t="s">
        <v>374</v>
      </c>
      <c r="C73" t="str">
        <f t="shared" si="1"/>
        <v xml:space="preserve">1F : </v>
      </c>
      <c r="D73" t="s">
        <v>673</v>
      </c>
      <c r="E73" t="str">
        <f t="shared" si="2"/>
        <v>1F : 0.2 … 2.0 GPM Water</v>
      </c>
    </row>
    <row r="74" spans="2:5">
      <c r="B74" t="s">
        <v>375</v>
      </c>
      <c r="C74" t="str">
        <f t="shared" si="1"/>
        <v xml:space="preserve">1G : </v>
      </c>
      <c r="D74" t="s">
        <v>674</v>
      </c>
      <c r="E74" t="str">
        <f t="shared" si="2"/>
        <v>1G : 0.4 … 3.0 GPM Water</v>
      </c>
    </row>
    <row r="75" spans="2:5">
      <c r="B75" t="s">
        <v>376</v>
      </c>
      <c r="C75" t="str">
        <f t="shared" si="1"/>
        <v xml:space="preserve">1H : </v>
      </c>
      <c r="D75" t="s">
        <v>675</v>
      </c>
      <c r="E75" t="str">
        <f t="shared" si="2"/>
        <v>1H : 0.6 … 4.0 GPM Water</v>
      </c>
    </row>
    <row r="76" spans="2:5">
      <c r="B76" t="s">
        <v>377</v>
      </c>
      <c r="C76" t="str">
        <f t="shared" si="1"/>
        <v xml:space="preserve">1J : </v>
      </c>
      <c r="D76" t="s">
        <v>676</v>
      </c>
      <c r="E76" t="str">
        <f t="shared" si="2"/>
        <v>1J : 0.5 … 6.0 GPM Water</v>
      </c>
    </row>
    <row r="77" spans="2:5">
      <c r="B77" t="s">
        <v>378</v>
      </c>
      <c r="C77" t="str">
        <f t="shared" si="1"/>
        <v xml:space="preserve">1K : </v>
      </c>
      <c r="D77" t="s">
        <v>677</v>
      </c>
      <c r="E77" t="str">
        <f t="shared" si="2"/>
        <v>1K : 0.5 … 8.0 GPM Water</v>
      </c>
    </row>
    <row r="78" spans="2:5">
      <c r="B78" t="s">
        <v>379</v>
      </c>
      <c r="C78" t="str">
        <f t="shared" si="1"/>
        <v xml:space="preserve">1L : </v>
      </c>
      <c r="D78" t="s">
        <v>678</v>
      </c>
      <c r="E78" t="str">
        <f t="shared" si="2"/>
        <v>1L : 1.0 … 11.0 GPM Water</v>
      </c>
    </row>
    <row r="79" spans="2:5">
      <c r="B79" t="s">
        <v>380</v>
      </c>
      <c r="C79" t="str">
        <f t="shared" si="1"/>
        <v xml:space="preserve">1M : </v>
      </c>
      <c r="D79" t="s">
        <v>679</v>
      </c>
      <c r="E79" t="str">
        <f t="shared" si="2"/>
        <v>1M : 1.0 … 15.0 GPM Water</v>
      </c>
    </row>
    <row r="80" spans="2:5">
      <c r="B80" t="s">
        <v>381</v>
      </c>
      <c r="C80" t="str">
        <f t="shared" si="1"/>
        <v xml:space="preserve">1N : </v>
      </c>
      <c r="D80" t="s">
        <v>680</v>
      </c>
      <c r="E80" t="str">
        <f t="shared" si="2"/>
        <v>1N : 2.0 … 20.0 GPM Water</v>
      </c>
    </row>
    <row r="81" spans="2:5">
      <c r="B81" t="s">
        <v>382</v>
      </c>
      <c r="C81" t="str">
        <f t="shared" si="1"/>
        <v xml:space="preserve">1P : </v>
      </c>
      <c r="D81" t="s">
        <v>681</v>
      </c>
      <c r="E81" t="str">
        <f t="shared" si="2"/>
        <v>1P : 2.0 … 24.0 GPM Water</v>
      </c>
    </row>
    <row r="82" spans="2:5">
      <c r="B82" t="s">
        <v>383</v>
      </c>
      <c r="C82" t="str">
        <f t="shared" si="1"/>
        <v xml:space="preserve">1Q : </v>
      </c>
      <c r="D82" t="s">
        <v>682</v>
      </c>
      <c r="E82" t="str">
        <f t="shared" si="2"/>
        <v>1Q : 3.0 … 35.0 GPM Water</v>
      </c>
    </row>
    <row r="83" spans="2:5">
      <c r="B83" t="s">
        <v>384</v>
      </c>
      <c r="C83" t="str">
        <f t="shared" si="1"/>
        <v xml:space="preserve">1R : </v>
      </c>
      <c r="D83" t="s">
        <v>683</v>
      </c>
      <c r="E83" t="str">
        <f t="shared" si="2"/>
        <v>1R : 4.0 … 50.0 GPM Water</v>
      </c>
    </row>
    <row r="84" spans="2:5">
      <c r="B84" t="s">
        <v>386</v>
      </c>
      <c r="C84" t="str">
        <f t="shared" si="1"/>
        <v xml:space="preserve">2B : </v>
      </c>
      <c r="D84" t="s">
        <v>684</v>
      </c>
      <c r="E84" t="str">
        <f t="shared" si="2"/>
        <v>2B : 0.05 … 0.60 SCFM Air @ STP</v>
      </c>
    </row>
    <row r="85" spans="2:5">
      <c r="B85" t="s">
        <v>387</v>
      </c>
      <c r="C85" t="str">
        <f t="shared" si="1"/>
        <v xml:space="preserve">2C : </v>
      </c>
      <c r="D85" t="s">
        <v>685</v>
      </c>
      <c r="E85" t="str">
        <f t="shared" si="2"/>
        <v>2C : 0.1 … 1.3 SCFM Air @ STP</v>
      </c>
    </row>
    <row r="86" spans="2:5">
      <c r="B86" t="s">
        <v>373</v>
      </c>
      <c r="C86" t="str">
        <f t="shared" si="1"/>
        <v xml:space="preserve">2D : </v>
      </c>
      <c r="D86" t="s">
        <v>686</v>
      </c>
      <c r="E86" t="str">
        <f t="shared" si="2"/>
        <v>2D : 0.2 … 2.0 SCFM Air @ STP</v>
      </c>
    </row>
    <row r="87" spans="2:5">
      <c r="B87" t="s">
        <v>668</v>
      </c>
      <c r="C87" t="str">
        <f t="shared" si="1"/>
        <v xml:space="preserve">2E : </v>
      </c>
      <c r="D87" t="s">
        <v>687</v>
      </c>
      <c r="E87" t="str">
        <f t="shared" si="2"/>
        <v>2E : 0.5 … 4.5 SCFM Air @ STP</v>
      </c>
    </row>
    <row r="88" spans="2:5">
      <c r="B88" t="s">
        <v>398</v>
      </c>
      <c r="C88" t="str">
        <f t="shared" si="1"/>
        <v xml:space="preserve">2F : </v>
      </c>
      <c r="D88" t="s">
        <v>688</v>
      </c>
      <c r="E88" t="str">
        <f t="shared" si="2"/>
        <v>2F : 0.5 … 5.5 SCFM Air @ STP</v>
      </c>
    </row>
    <row r="89" spans="2:5">
      <c r="B89" t="s">
        <v>391</v>
      </c>
      <c r="C89" t="str">
        <f t="shared" si="1"/>
        <v xml:space="preserve">2G : </v>
      </c>
      <c r="D89" t="s">
        <v>689</v>
      </c>
      <c r="E89" t="str">
        <f t="shared" si="2"/>
        <v>2G : 0.5 … 7.0 SCFM Air @ STP</v>
      </c>
    </row>
    <row r="90" spans="2:5">
      <c r="B90" t="s">
        <v>399</v>
      </c>
      <c r="C90" t="str">
        <f t="shared" si="1"/>
        <v xml:space="preserve">2H : </v>
      </c>
      <c r="D90" t="s">
        <v>690</v>
      </c>
      <c r="E90" t="str">
        <f t="shared" si="2"/>
        <v>2H : 0.5 … 8.5 SCFM Air @ STP</v>
      </c>
    </row>
    <row r="91" spans="2:5">
      <c r="B91" t="s">
        <v>400</v>
      </c>
      <c r="C91" t="str">
        <f t="shared" si="1"/>
        <v xml:space="preserve">2J : </v>
      </c>
      <c r="D91" t="s">
        <v>691</v>
      </c>
      <c r="E91" t="str">
        <f t="shared" si="2"/>
        <v>2J : 1.0 … 9.0 SCFM Air @ STP</v>
      </c>
    </row>
    <row r="92" spans="2:5">
      <c r="B92" t="s">
        <v>392</v>
      </c>
      <c r="C92" t="str">
        <f t="shared" si="1"/>
        <v xml:space="preserve">2K : </v>
      </c>
      <c r="D92" t="s">
        <v>692</v>
      </c>
      <c r="E92" t="str">
        <f t="shared" si="2"/>
        <v>2K : 1.5 … 9.0 SCFM Air @ STP</v>
      </c>
    </row>
    <row r="93" spans="2:5">
      <c r="B93" t="s">
        <v>388</v>
      </c>
      <c r="C93" t="str">
        <f t="shared" si="1"/>
        <v xml:space="preserve">2L : </v>
      </c>
      <c r="D93" t="s">
        <v>693</v>
      </c>
      <c r="E93" t="str">
        <f t="shared" si="2"/>
        <v>2L : 1.0 … 14.0 SCFM Air @ STP</v>
      </c>
    </row>
    <row r="94" spans="2:5">
      <c r="B94" t="s">
        <v>401</v>
      </c>
      <c r="C94" t="str">
        <f t="shared" si="1"/>
        <v xml:space="preserve">2M : </v>
      </c>
      <c r="D94" t="s">
        <v>694</v>
      </c>
      <c r="E94" t="str">
        <f t="shared" si="2"/>
        <v>2M : 2.0 … 19.0 SCFM Air @ STP</v>
      </c>
    </row>
    <row r="95" spans="2:5">
      <c r="B95" t="s">
        <v>389</v>
      </c>
      <c r="C95" t="str">
        <f t="shared" si="1"/>
        <v xml:space="preserve">2N : </v>
      </c>
      <c r="D95" t="s">
        <v>695</v>
      </c>
      <c r="E95" t="str">
        <f t="shared" si="2"/>
        <v>2N : 2.0 … 20.0 SCFM Air @ STP</v>
      </c>
    </row>
    <row r="96" spans="2:5">
      <c r="B96" t="s">
        <v>390</v>
      </c>
      <c r="C96" t="str">
        <f t="shared" si="1"/>
        <v xml:space="preserve">2P : </v>
      </c>
      <c r="D96" t="s">
        <v>696</v>
      </c>
      <c r="E96" t="str">
        <f t="shared" si="2"/>
        <v>2P : 2.0 … 26.0 SCFM Air @ STP</v>
      </c>
    </row>
    <row r="97" spans="2:5">
      <c r="B97" t="s">
        <v>393</v>
      </c>
      <c r="C97" t="str">
        <f t="shared" si="1"/>
        <v xml:space="preserve">2Q : </v>
      </c>
      <c r="D97" t="s">
        <v>697</v>
      </c>
      <c r="E97" t="str">
        <f t="shared" si="2"/>
        <v>2Q : 4.0 … 36.0 SCFM Air @ STP</v>
      </c>
    </row>
    <row r="98" spans="2:5">
      <c r="B98" t="s">
        <v>394</v>
      </c>
      <c r="C98" t="str">
        <f t="shared" si="1"/>
        <v xml:space="preserve">2R : </v>
      </c>
      <c r="D98" t="s">
        <v>698</v>
      </c>
      <c r="E98" t="str">
        <f t="shared" si="2"/>
        <v>2R : 5.0 … 50.0 SCFM Air @ STP</v>
      </c>
    </row>
    <row r="99" spans="2:5">
      <c r="B99" t="s">
        <v>395</v>
      </c>
      <c r="C99" t="str">
        <f t="shared" si="1"/>
        <v xml:space="preserve">2S : </v>
      </c>
      <c r="D99" t="s">
        <v>699</v>
      </c>
      <c r="E99" t="str">
        <f t="shared" si="2"/>
        <v>2S : 5.0 … 60.0 SCFM Air @ STP</v>
      </c>
    </row>
    <row r="100" spans="2:5">
      <c r="B100" t="s">
        <v>396</v>
      </c>
      <c r="C100" t="str">
        <f t="shared" si="1"/>
        <v xml:space="preserve">2T : </v>
      </c>
      <c r="D100" t="s">
        <v>700</v>
      </c>
      <c r="E100" t="str">
        <f t="shared" si="2"/>
        <v>2T : 8.0 … 80.0 SCFM Air @ STP</v>
      </c>
    </row>
    <row r="101" spans="2:5">
      <c r="B101" t="s">
        <v>397</v>
      </c>
      <c r="C101" t="str">
        <f t="shared" si="1"/>
        <v xml:space="preserve">2U : </v>
      </c>
      <c r="D101" t="s">
        <v>701</v>
      </c>
      <c r="E101" t="str">
        <f t="shared" si="2"/>
        <v>2U : 10.0 … 110.0 SCFM Air @ STP</v>
      </c>
    </row>
    <row r="102" spans="2:5">
      <c r="B102" t="str">
        <f>""</f>
        <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D4:I12"/>
  <sheetViews>
    <sheetView workbookViewId="0">
      <selection activeCell="H8" sqref="H8"/>
    </sheetView>
  </sheetViews>
  <sheetFormatPr defaultRowHeight="15"/>
  <cols>
    <col min="5" max="5" width="11.7109375" bestFit="1" customWidth="1"/>
    <col min="7" max="7" width="13.28515625" bestFit="1" customWidth="1"/>
    <col min="8" max="8" width="14.140625" bestFit="1" customWidth="1"/>
    <col min="9" max="9" width="11.140625" bestFit="1" customWidth="1"/>
  </cols>
  <sheetData>
    <row r="4" spans="4:9">
      <c r="E4" s="46"/>
      <c r="F4" s="46" t="s">
        <v>551</v>
      </c>
      <c r="G4" s="46" t="s">
        <v>552</v>
      </c>
    </row>
    <row r="5" spans="4:9">
      <c r="D5" s="46" t="s">
        <v>6</v>
      </c>
      <c r="E5" s="46" t="s">
        <v>6</v>
      </c>
      <c r="F5" s="7">
        <v>150</v>
      </c>
      <c r="G5" s="7">
        <v>150</v>
      </c>
      <c r="H5" t="s">
        <v>553</v>
      </c>
    </row>
    <row r="6" spans="4:9">
      <c r="D6" s="242" t="s">
        <v>7</v>
      </c>
      <c r="E6" s="62" t="s">
        <v>555</v>
      </c>
      <c r="F6" s="7">
        <v>250</v>
      </c>
      <c r="G6" s="7"/>
    </row>
    <row r="7" spans="4:9">
      <c r="D7" s="242"/>
      <c r="E7" s="62" t="s">
        <v>556</v>
      </c>
      <c r="F7" s="7">
        <v>100</v>
      </c>
      <c r="G7" s="7">
        <v>100</v>
      </c>
    </row>
    <row r="8" spans="4:9">
      <c r="D8" s="242"/>
      <c r="E8" s="62" t="s">
        <v>554</v>
      </c>
      <c r="F8" s="7">
        <v>100</v>
      </c>
      <c r="G8" s="7">
        <v>200</v>
      </c>
    </row>
    <row r="9" spans="4:9">
      <c r="D9" s="242"/>
      <c r="E9" s="62" t="s">
        <v>402</v>
      </c>
      <c r="F9" s="7">
        <v>100</v>
      </c>
      <c r="G9" s="7">
        <v>250</v>
      </c>
    </row>
    <row r="10" spans="4:9">
      <c r="D10" s="242" t="s">
        <v>8</v>
      </c>
      <c r="E10" s="46" t="s">
        <v>557</v>
      </c>
      <c r="F10" s="7">
        <v>100</v>
      </c>
      <c r="G10" s="7">
        <v>175</v>
      </c>
      <c r="I10" s="122"/>
    </row>
    <row r="11" spans="4:9">
      <c r="D11" s="242"/>
      <c r="E11" s="49" t="s">
        <v>558</v>
      </c>
      <c r="F11" s="48">
        <v>100</v>
      </c>
      <c r="G11" s="48">
        <v>100</v>
      </c>
    </row>
    <row r="12" spans="4:9">
      <c r="D12" s="242"/>
      <c r="E12" s="49" t="s">
        <v>403</v>
      </c>
      <c r="F12" s="48">
        <v>100</v>
      </c>
      <c r="G12" s="48">
        <v>75</v>
      </c>
    </row>
  </sheetData>
  <mergeCells count="2">
    <mergeCell ref="D6:D9"/>
    <mergeCell ref="D10:D1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1:M108"/>
  <sheetViews>
    <sheetView workbookViewId="0">
      <selection activeCell="H7" sqref="H7"/>
    </sheetView>
  </sheetViews>
  <sheetFormatPr defaultRowHeight="15"/>
  <cols>
    <col min="2" max="2" width="27.28515625" bestFit="1" customWidth="1"/>
    <col min="3" max="3" width="16.85546875" bestFit="1" customWidth="1"/>
    <col min="5" max="5" width="15.7109375" customWidth="1"/>
    <col min="6" max="6" width="15.7109375" bestFit="1" customWidth="1"/>
    <col min="7" max="7" width="16.28515625" bestFit="1" customWidth="1"/>
  </cols>
  <sheetData>
    <row r="1" spans="2:13">
      <c r="F1" s="238" t="s">
        <v>478</v>
      </c>
      <c r="G1" s="238"/>
    </row>
    <row r="2" spans="2:13">
      <c r="B2" s="62" t="s">
        <v>475</v>
      </c>
      <c r="F2" s="46" t="s">
        <v>476</v>
      </c>
      <c r="G2" s="7"/>
    </row>
    <row r="3" spans="2:13">
      <c r="B3" t="s">
        <v>111</v>
      </c>
      <c r="C3" t="str">
        <f>IF(RIGHT('VA Sizing'!B4,1)=" ","Mixed Gas",
IF(RIGHT('VA Sizing'!B3,1)=" ","Steam",
'VA Sizing'!C3))</f>
        <v>Liquid</v>
      </c>
      <c r="F3" s="7" t="s">
        <v>477</v>
      </c>
      <c r="G3" s="7" t="str">
        <f>IF('VA Sizing'!$N$2="10A61","A61",'VA Sizing'!$N$2)</f>
        <v>A61</v>
      </c>
      <c r="K3" s="130"/>
    </row>
    <row r="4" spans="2:13">
      <c r="B4" t="s">
        <v>0</v>
      </c>
      <c r="C4" t="str">
        <f>IF(RIGHT('VA Sizing'!B4,1)=" ",MixedGas!A2,
'VA Sizing'!C4)</f>
        <v>Water</v>
      </c>
      <c r="D4" s="113" t="str">
        <f>IF(RIGHT('VA Sizing'!B4,1)=" ",CONCATENATE(MixedGas!A3,E4),"")</f>
        <v/>
      </c>
      <c r="E4" t="s">
        <v>479</v>
      </c>
      <c r="F4" s="7" t="s">
        <v>536</v>
      </c>
      <c r="G4" s="7" t="str">
        <f>'VA Sizing'!J22</f>
        <v>3" Scale</v>
      </c>
      <c r="H4" t="str">
        <f>LEFT(G4:G4,1)</f>
        <v>3</v>
      </c>
    </row>
    <row r="5" spans="2:13">
      <c r="C5" t="str">
        <f>IF(AND(RIGHT('VA Sizing'!B4,1)=" ",NOT(MixedGas!B2="")),MixedGas!B2,
"")</f>
        <v/>
      </c>
      <c r="D5" s="113" t="str">
        <f>IF(AND(RIGHT('VA Sizing'!B4,1)=" ",NOT(C5="")),CONCATENATE(MixedGas!B3,E5),"")</f>
        <v/>
      </c>
      <c r="E5" t="s">
        <v>479</v>
      </c>
      <c r="F5" s="7" t="str">
        <f>IF('VA Sizing'!$N$2="10A61","Tube + Float",
IF('VA Sizing'!$N$2="10A4","Tube Code",
IF('VA Sizing'!$N$2="10A22","Meter Size",
IF('VA Sizing'!$N$2="10A32","Flow Range",""))))</f>
        <v>Tube + Float</v>
      </c>
      <c r="G5" s="7" t="str">
        <f>IFERROR(IF('VA Sizing'!$N$2="10A61",VLOOKUP('VA Sizing'!J25,'10A61 Naming'!F3:L36,6,FALSE),
IF('VA Sizing'!$N$2="10A4",VLOOKUP('VA Sizing'!J25,#REF!,6,FALSE),
IF('VA Sizing'!$N$2="10A22",VLOOKUP('VA Sizing'!J25,#REF!,3,FALSE),
IF('VA Sizing'!$N$2="10A32",#REF!,"")))),"")</f>
        <v>(N5) FP-1/4-41-G3+SA</v>
      </c>
    </row>
    <row r="6" spans="2:13">
      <c r="C6" t="str">
        <f>IF(AND(RIGHT('VA Sizing'!B4,1)=" ",NOT(MixedGas!C2="")),MixedGas!C2,
"")</f>
        <v/>
      </c>
      <c r="D6" s="113" t="str">
        <f>IF(AND(RIGHT('VA Sizing'!B4,1)=" ",NOT(C6="")),CONCATENATE(MixedGas!C3,E6),"")</f>
        <v/>
      </c>
      <c r="E6" t="s">
        <v>479</v>
      </c>
      <c r="F6" s="7" t="s">
        <v>343</v>
      </c>
      <c r="G6" s="7" t="str">
        <f>'VA Sizing'!M25</f>
        <v>0 - 0.046</v>
      </c>
      <c r="H6" s="7" t="str">
        <f>'VA Sizing'!N25</f>
        <v>m3/h</v>
      </c>
    </row>
    <row r="7" spans="2:13">
      <c r="C7" t="str">
        <f>IF(AND(RIGHT('VA Sizing'!B4,1)=" ",NOT(MixedGas!D2="")),MixedGas!D2,
"")</f>
        <v/>
      </c>
      <c r="D7" s="113" t="str">
        <f>IF(AND(RIGHT('VA Sizing'!B4,1)=" ",NOT(C7="")),CONCATENATE(MixedGas!D3,E7),"")</f>
        <v/>
      </c>
      <c r="E7" t="s">
        <v>479</v>
      </c>
      <c r="F7" s="7" t="str">
        <f>IF(LEFT('VA Sizing'!J25,1)=" ","Combination may require a viscosity calibration",
IF(RIGHT('VA Sizing'!J25,1)=" ","Combination requires a greater operating pressure",""))</f>
        <v/>
      </c>
      <c r="G7" s="7"/>
    </row>
    <row r="8" spans="2:13">
      <c r="B8" t="str">
        <f>IF('VA Sizing'!C3="Liquid","Viscosity","Ref. Condition")</f>
        <v>Viscosity</v>
      </c>
      <c r="C8">
        <f>IF('VA Sizing'!C3="Liquid",'VA Sizing'!$C$8,'VA Sizing'!C5)</f>
        <v>1</v>
      </c>
      <c r="D8" t="str">
        <f>IF(B8="Viscosity",'VA Sizing'!$D$8,"")</f>
        <v>cP</v>
      </c>
      <c r="F8" s="7" t="str">
        <f>IFERROR(IF(AND(G3="A61",OR('Modified Inputs'!$K$2&gt;150,'Modified Inputs'!$I$2&gt;165)),"Pressure and/or Temperature limits exceeded 150 Degrees F and 150 psig                                                      Please contact ABB for more information",
IF(AND(G3="10A4",OR(LEFT(G5,4)="(D1)",LEFT(G5,4)="(D2)",LEFT(G5,4)="(E1)"),OR('Modified Inputs'!$K$2&gt;100,'Modified Inputs'!$I$2&gt;115)),"Pressure and/or Temperature limits exceeded 100 Degrees F and 100 psig                                                      Please contact ABB for more information",
IF(AND(G3="10A4",OR(LEFT(G5,4)="(B1)",LEFT(G5,4)="(B2)",LEFT(G5,4)="(C1)",LEFT(G5,4)="(C2)"),OR('Modified Inputs'!$K$2&gt;100,'Modified Inputs'!$I$2&gt;215)),"Pressure and/or Temperature limits exceeded 100 Degrees F and 200 psig                                                      Please contact ABB for more information",
IF(AND(G3="10A4",OR(LEFT(G5,4)="(A1)",LEFT(G5,4)="(A2)",LEFT(G5,4)="(A3)",LEFT(G5,4)="(A4)",LEFT(G5,4)="(A6)"),OR('Modified Inputs'!$K$2&gt;100,'Modified Inputs'!$I$2&gt;265)),"Pressure and/or Temperature limits exceeded 100 Degrees F and 250 psig                                                      Please contact ABB for more information",
IF(AND(G3="10A22",OR(LEFT(G5,3)="(2)",LEFT(G5,3)="(3)"),OR('Modified Inputs'!$K$2&gt;100,'Modified Inputs'!$I$2&gt;190)),"Pressure and/or Temperature limits exceeded 100 Degrees F and 175 psig                                                      Please contact ABB for more information",
IF(AND(G3="10A22",OR(LEFT(G5,3)="(4)",LEFT(G5,3)="(5)"),OR('Modified Inputs'!$K$2&gt;100,'Modified Inputs'!$I$2&gt;115)),"Pressure and/or Temperature limits exceeded 100 Degrees F and 100 psig                                                      Please contact ABB for more information",
IF(AND(G3="10A22",OR(LEFT(G5,3)="(6)"),OR('Modified Inputs'!$K$2&gt;100,'Modified Inputs'!$I$2&gt;90)),"Pressure and/or Temperature limits exceeded 100 Degrees F and 75 psig                                                      Please contact ABB for more information",""))))))),"")</f>
        <v/>
      </c>
      <c r="G8" s="7"/>
    </row>
    <row r="9" spans="2:13">
      <c r="B9" t="s">
        <v>450</v>
      </c>
      <c r="C9" s="115">
        <f>IF(RIGHT('VA Sizing'!B3,1)=" ",Steam!C17-14.7,
'VA Sizing'!C9)</f>
        <v>10</v>
      </c>
      <c r="D9" t="str">
        <f>IF(RIGHT('VA Sizing'!B3,1)=" ","psi(g)",'VA Sizing'!D9)</f>
        <v>bar(a)</v>
      </c>
      <c r="F9" t="str">
        <f>IF('VA Sizing'!$N$2="10A61","",
IF('VA Sizing'!$N$2="10A4","Float Code",
IF('VA Sizing'!$N$2="10A22","Application",
IF('VA Sizing'!$N$2="10A32","Scale Type",""))))</f>
        <v/>
      </c>
      <c r="G9" t="str">
        <f>IFERROR(IF('VA Sizing'!$N$2="10A61","",
IF('VA Sizing'!$N$2="10A4",VLOOKUP('VA Sizing'!J25,#REF!,7,FALSE),
IF('VA Sizing'!$N$2="10A22",VLOOKUP('VA Sizing'!J25,#REF!,2,FALSE),
IF('VA Sizing'!$N$2="10A32",#REF!,"")))),"")</f>
        <v/>
      </c>
    </row>
    <row r="10" spans="2:13">
      <c r="B10" t="s">
        <v>474</v>
      </c>
      <c r="C10">
        <f>IF(RIGHT('VA Sizing'!B3,1)=" ",Steam!B17,
'VA Sizing'!C10)</f>
        <v>60</v>
      </c>
      <c r="D10" t="str">
        <f>IF(RIGHT('VA Sizing'!B3,1)=" ","°C",
'VA Sizing'!D10)</f>
        <v>°C</v>
      </c>
      <c r="F10" t="s">
        <v>744</v>
      </c>
      <c r="G10" t="e">
        <f>IF(AND('VA Sizing'!$N$2="10A32",#REF!="With Damping"),"Tube/Float Combination Requires Gas Damping","")</f>
        <v>#REF!</v>
      </c>
    </row>
    <row r="11" spans="2:13">
      <c r="B11" t="s">
        <v>481</v>
      </c>
      <c r="C11" s="22">
        <f>IF(RIGHT('VA Sizing'!B3,1)=" ",Steam!B20,
IF('VA Sizing'!C3="Liquid",'VA Sizing'!C11,
IF(AND('VA Sizing'!C3="Gas",'VA Sizing'!C4=" Other", 'VA Sizing'!C6="at Operating Conditions"),'VA Sizing'!C11,
IF(AND('VA Sizing'!C3="Gas",'VA Sizing'!C4=" Other", 'VA Sizing'!C6="at Reference Conditions"),B22,
IF('VA Sizing'!C3="Gas",ROUND('VA Sizing'!C14,5),"")))))</f>
        <v>990</v>
      </c>
      <c r="D11" t="str">
        <f>IF(RIGHT('VA Sizing'!B3,1)=" ",'VA Sizing'!D14,
IF('VA Sizing'!C3="Liquid",'VA Sizing'!D11,
IF(AND('VA Sizing'!C3="Gas",'VA Sizing'!C4=" Other", 'VA Sizing'!C6="at Operating Conditions"),'VA Sizing'!D11,
IF(AND('VA Sizing'!C3="Gas",'VA Sizing'!C4=" Other", 'VA Sizing'!C6="at Reference Conditions"),C22,
IF('VA Sizing'!C3="Gas",'VA Sizing'!D14,"")))))</f>
        <v>kg/m3</v>
      </c>
      <c r="F11" s="46" t="s">
        <v>476</v>
      </c>
      <c r="G11" s="7"/>
    </row>
    <row r="12" spans="2:13">
      <c r="B12" t="s">
        <v>480</v>
      </c>
      <c r="C12">
        <f>'VA Sizing'!C12</f>
        <v>0.05</v>
      </c>
      <c r="D12" t="str">
        <f>'VA Sizing'!D12</f>
        <v>m3/h</v>
      </c>
      <c r="F12" s="7" t="s">
        <v>477</v>
      </c>
      <c r="G12" s="7" t="str">
        <f>IF('VA Sizing'!$N$2="10A61","A61",'VA Sizing'!$N$2)</f>
        <v>A61</v>
      </c>
      <c r="K12" s="7"/>
      <c r="L12" s="7"/>
      <c r="M12" s="7"/>
    </row>
    <row r="13" spans="2:13">
      <c r="F13" s="7" t="s">
        <v>536</v>
      </c>
      <c r="G13" s="7" t="str">
        <f>'VA Sizing'!J22</f>
        <v>3" Scale</v>
      </c>
      <c r="K13" s="7"/>
      <c r="L13" s="7"/>
      <c r="M13" s="7"/>
    </row>
    <row r="14" spans="2:13">
      <c r="B14" t="str">
        <f>IF('VA Sizing'!$C$3="Gas","Base Density","")</f>
        <v/>
      </c>
      <c r="C14" t="str">
        <f>IF(AND('VA Sizing'!C3="Gas",'VA Sizing'!C4=" Other", 'VA Sizing'!C6="at Operating Conditions"),B21,
IF(AND('VA Sizing'!C3="Gas",'VA Sizing'!C4=" Other", 'VA Sizing'!C6="at Reference Conditions"),'VA Sizing'!C7,
B17))</f>
        <v/>
      </c>
      <c r="D14" t="str">
        <f>IF(AND('VA Sizing'!C3="Gas",'VA Sizing'!C4=" Other", 'VA Sizing'!C6="at Operating Conditions"),C21,
IF(AND('VA Sizing'!C3="Gas",'VA Sizing'!C4=" Other", 'VA Sizing'!C6="at Reference Conditions"),'VA Sizing'!D7,
IF('VA Sizing'!$C$3="Gas",'VA Sizing'!D14,"")))</f>
        <v/>
      </c>
      <c r="E14" s="116"/>
      <c r="F14" s="7" t="str">
        <f>IF('VA Sizing'!$N$2="10A61","Tube + Float",
IF('VA Sizing'!$N$2="10A4","Tube Code",
IF('VA Sizing'!$N$2="10A22","Meter Size",
IF('VA Sizing'!$N$2="10A32","Flow Range",""))))</f>
        <v>Tube + Float</v>
      </c>
      <c r="G14" s="7" t="str">
        <f>IFERROR(IF('VA Sizing'!$N$2="10A61",VLOOKUP('VA Sizing'!J26,'10A61 Naming'!F3:L36,6,FALSE),
IF('VA Sizing'!$N$2="10A4",VLOOKUP('VA Sizing'!J26,#REF!,6,FALSE),
IF('VA Sizing'!$N$2="10A22",VLOOKUP('VA Sizing'!J26,#REF!,3,FALSE),
IF('VA Sizing'!$N$2="10A32",#REF!,"")))),"")</f>
        <v>(N1) FP-1/4-20-P3+CA</v>
      </c>
      <c r="K14" s="7"/>
      <c r="L14" s="7"/>
      <c r="M14" s="7"/>
    </row>
    <row r="15" spans="2:13">
      <c r="C15" t="str">
        <f>IF(AND('VA Sizing'!$C$4=" Other",'VA Sizing'!$C$6="at Operating Conditions",'VA Sizing'!$C$5="Standard"),'10A61 5" Calcs'!O46/'10A61 5" Calcs'!M46,
IF(AND('VA Sizing'!$C$4=" Other",'VA Sizing'!$C$6="at Operating Conditions",OR('VA Sizing'!$C$5="Normal",'VA Sizing'!$C$5="Actual")),'10A61 5" Calcs'!O46/N46,
IF(AND('VA Sizing'!$C$4=" Other",'VA Sizing'!$C$6="at Reference Conditions"),'Modified Inputs'!$M$4,
IF(AND('VA Sizing'!$C$3="Gas",'VA Sizing'!$C$5="Standard"),VLOOKUP('VA Sizing'!$C$4,'10A61 5" Calcs'!$J$3:$K$29,2,FALSE),
IF(AND('VA Sizing'!$C$3="Gas",OR('VA Sizing'!$C$5="Actual",'VA Sizing'!$C$5="Normal")),VLOOKUP('VA Sizing'!$C$4,'10A61 5" Calcs'!$J$3:$L$29,3,FALSE),"")))))</f>
        <v/>
      </c>
      <c r="F15" s="7" t="s">
        <v>343</v>
      </c>
      <c r="G15" s="7" t="str">
        <f>'VA Sizing'!M26</f>
        <v>0 - 0.05</v>
      </c>
      <c r="H15" s="7" t="str">
        <f>'VA Sizing'!N26</f>
        <v>m3/h</v>
      </c>
      <c r="K15" s="7"/>
      <c r="L15" s="7"/>
      <c r="M15" s="7"/>
    </row>
    <row r="16" spans="2:13">
      <c r="F16" s="7" t="str">
        <f>IF(LEFT('VA Sizing'!J26,1)=" ","Combination may require a viscosity calibration",
IF(RIGHT('VA Sizing'!J26,1)=" ","Combination requires a greater operating pressure",""))</f>
        <v/>
      </c>
      <c r="G16" s="7"/>
    </row>
    <row r="17" spans="2:8">
      <c r="B17" s="7" t="str">
        <f>IFERROR(ROUND(B18/VLOOKUP('VA Sizing'!D14,'Modified Inputs'!$L$15:$M$20,2,FALSE),4),"")</f>
        <v/>
      </c>
      <c r="C17" t="s">
        <v>726</v>
      </c>
      <c r="F17" s="7" t="str">
        <f>IFERROR(IF(AND(G12="A61",OR('Modified Inputs'!$K$2&gt;150,'Modified Inputs'!$I$2&gt;165)),"Pressure and/or Temperature limits exceeded 150 Degrees F and 150 psig                                                      Please contact ABB for more information",
IF(AND(G12="10A4",OR(LEFT(G14,4)="(D1)",LEFT(G14,4)="(D2)",LEFT(G14,4)="(E1)"),OR('Modified Inputs'!$K$2&gt;100,'Modified Inputs'!$I$2&gt;115)),"Pressure and/or Temperature limits exceeded 100 Degrees F and 100 psig                                                      Please contact ABB for more information",
IF(AND(G12="10A4",OR(LEFT(G14,4)="(B1)",LEFT(G14,4)="(B2)",LEFT(G14,4)="(C1)",LEFT(G14,4)="(C2)"),OR('Modified Inputs'!$K$2&gt;100,'Modified Inputs'!$I$2&gt;215)),"Pressure and/or Temperature limits exceeded 100 Degrees F and 200 psig                                                      Please contact ABB for more information",
IF(AND(G12="10A4",OR(LEFT(G14,4)="(A1)",LEFT(G14,4)="(A2)",LEFT(G14,4)="(A3)",LEFT(G14,4)="(A4)",LEFT(G14,4)="(A6)"),OR('Modified Inputs'!$K$2&gt;100,'Modified Inputs'!$I$2&gt;265)),"Pressure and/or Temperature limits exceeded 100 Degrees F and 250 psig                                                      Please contact ABB for more information",
IF(AND(G12="10A22",OR(LEFT(G14,3)="(2)",LEFT(G14,3)="(3)"),OR('Modified Inputs'!$K$2&gt;100,'Modified Inputs'!$I$2&gt;190)),"Pressure and/or Temperature limits exceeded 100 Degrees F and 175 psig                                                      Please contact ABB for more information",
IF(AND(G12="10A22",OR(LEFT(G14,3)="(4)",LEFT(G14,3)="(5)"),OR('Modified Inputs'!$K$2&gt;100,'Modified Inputs'!$I$2&gt;115)),"Pressure and/or Temperature limits exceeded 100 Degrees F and 100 psig                                                      Please contact ABB for more information",
IF(AND(G12="10A22",OR(LEFT(G14,3)="(6)"),OR('Modified Inputs'!$K$2&gt;100,'Modified Inputs'!$I$2&gt;90)),"Pressure and/or Temperature limits exceeded 100 Degrees F and 75 psig                                                      Please contact ABB for more information",""))))))),"")</f>
        <v/>
      </c>
      <c r="G17" s="7"/>
    </row>
    <row r="18" spans="2:8">
      <c r="B18" s="7" t="str">
        <f>IFERROR(ROUND(C15,5),"")</f>
        <v/>
      </c>
      <c r="C18" t="s">
        <v>12</v>
      </c>
      <c r="F18" t="str">
        <f>IF('VA Sizing'!$N$2="10A61","",
IF('VA Sizing'!$N$2="10A4","Float Code",
IF('VA Sizing'!$N$2="10A22","Application",
IF('VA Sizing'!$N$2="10A32","Scale Type",""))))</f>
        <v/>
      </c>
      <c r="G18" t="str">
        <f>IFERROR(IF('VA Sizing'!$N$2="10A61","",
IF('VA Sizing'!$N$2="10A4",VLOOKUP('VA Sizing'!J26,#REF!,7,FALSE),
IF('VA Sizing'!$N$2="10A22",VLOOKUP('VA Sizing'!J26,#REF!,2,FALSE),
IF('VA Sizing'!$N$2="10A32",#REF!,"")))),"")</f>
        <v/>
      </c>
    </row>
    <row r="19" spans="2:8">
      <c r="C19" s="7">
        <f>IF('VA Sizing'!N2=0,1,0)</f>
        <v>0</v>
      </c>
      <c r="F19" t="s">
        <v>744</v>
      </c>
      <c r="G19" t="e">
        <f>IF(AND('VA Sizing'!$N$2="10A32",#REF!="With Damping"),"Tube/Float Combination Requires Gas Damping","")</f>
        <v>#REF!</v>
      </c>
    </row>
    <row r="20" spans="2:8">
      <c r="F20" s="46" t="s">
        <v>476</v>
      </c>
      <c r="G20" s="7"/>
    </row>
    <row r="21" spans="2:8">
      <c r="B21" t="str">
        <f>IFERROR(ROUND(B18/VLOOKUP('VA Sizing'!D11,'Modified Inputs'!$L$15:$M$20,2,FALSE),4),"")</f>
        <v/>
      </c>
      <c r="C21" t="str">
        <f>'VA Sizing'!D11</f>
        <v>kg/m3</v>
      </c>
      <c r="F21" s="7" t="s">
        <v>477</v>
      </c>
      <c r="G21" s="7" t="str">
        <f>IF('VA Sizing'!$N$2="10A61","A61",'VA Sizing'!$N$2)</f>
        <v>A61</v>
      </c>
    </row>
    <row r="22" spans="2:8">
      <c r="B22" t="str">
        <f>IFERROR(ROUND('10A61 5" Calcs'!O46/VLOOKUP(D14,'Modified Inputs'!$L$15:$M$20,2,FALSE),4),"")</f>
        <v/>
      </c>
      <c r="C22" t="str">
        <f>'VA Sizing'!D7</f>
        <v>lb/ft3</v>
      </c>
      <c r="F22" s="7" t="s">
        <v>536</v>
      </c>
      <c r="G22" s="7" t="str">
        <f>'VA Sizing'!J22</f>
        <v>3" Scale</v>
      </c>
    </row>
    <row r="23" spans="2:8">
      <c r="F23" s="7" t="str">
        <f>IF('VA Sizing'!$N$2="10A61","Tube + Float",
IF('VA Sizing'!$N$2="10A4","Tube Code",
IF('VA Sizing'!$N$2="10A22","Meter Size",
IF('VA Sizing'!$N$2="10A32","Flow Range",""))))</f>
        <v>Tube + Float</v>
      </c>
      <c r="G23" s="7" t="str">
        <f>IFERROR(IF('VA Sizing'!$N$2="10A61",VLOOKUP('VA Sizing'!J27,'10A61 Naming'!F3:L36,6,FALSE),
IF('VA Sizing'!$N$2="10A4",VLOOKUP('VA Sizing'!J27,#REF!,6,FALSE),
IF('VA Sizing'!$N$2="10A22",VLOOKUP('VA Sizing'!J27,#REF!,3,FALSE),
IF('VA Sizing'!$N$2="10A32",#REF!,"")))),"")</f>
        <v>(M7) FP-1/4-20-P3+TA</v>
      </c>
    </row>
    <row r="24" spans="2:8">
      <c r="F24" s="7" t="s">
        <v>343</v>
      </c>
      <c r="G24" s="7" t="str">
        <f>'VA Sizing'!M27</f>
        <v>0 - 0.054</v>
      </c>
      <c r="H24" s="7" t="str">
        <f>'VA Sizing'!N27</f>
        <v>m3/h</v>
      </c>
    </row>
    <row r="25" spans="2:8">
      <c r="F25" s="7" t="str">
        <f>IF(LEFT('VA Sizing'!J27,1)=" ","Combination may require a viscosity calibration",
IF(RIGHT('VA Sizing'!J27,1)=" ","Combination requires a greater operating pressure",""))</f>
        <v/>
      </c>
      <c r="G25" s="7"/>
    </row>
    <row r="26" spans="2:8">
      <c r="F26" s="7" t="str">
        <f>IFERROR(IF(AND(G21="A61",OR('Modified Inputs'!$K$2&gt;150,'Modified Inputs'!$I$2&gt;165)),"Pressure and/or Temperature limits exceeded 150 Degrees F and 150 psig                                                      Please contact ABB for more information",
IF(AND(G21="10A4",OR(LEFT(G23,4)="(D1)",LEFT(G23,4)="(D2)",LEFT(G23,4)="(E1)"),OR('Modified Inputs'!$K$2&gt;100,'Modified Inputs'!$I$2&gt;115)),"Pressure and/or Temperature limits exceeded 100 Degrees F and 100 psig                                                      Please contact ABB for more information",
IF(AND(G21="10A4",OR(LEFT(G23,4)="(B1)",LEFT(G23,4)="(B2)",LEFT(G23,4)="(C1)",LEFT(G23,4)="(C2)"),OR('Modified Inputs'!$K$2&gt;100,'Modified Inputs'!$I$2&gt;215)),"Pressure and/or Temperature limits exceeded 100 Degrees F and 200 psig                                                      Please contact ABB for more information",
IF(AND(G21="10A4",OR(LEFT(G23,4)="(A1)",LEFT(G23,4)="(A2)",LEFT(G23,4)="(A3)",LEFT(G23,4)="(A4)",LEFT(G23,4)="(A6)"),OR('Modified Inputs'!$K$2&gt;100,'Modified Inputs'!$I$2&gt;265)),"Pressure and/or Temperature limits exceeded 100 Degrees F and 250 psig                                                      Please contact ABB for more information",
IF(AND(G21="10A22",OR(LEFT(G23,3)="(2)",LEFT(G23,3)="(3)"),OR('Modified Inputs'!$K$2&gt;100,'Modified Inputs'!$I$2&gt;190)),"Pressure and/or Temperature limits exceeded 100 Degrees F and 175 psig                                                      Please contact ABB for more information",
IF(AND(G21="10A22",OR(LEFT(G23,3)="(4)",LEFT(G23,3)="(5)"),OR('Modified Inputs'!$K$2&gt;100,'Modified Inputs'!$I$2&gt;115)),"Pressure and/or Temperature limits exceeded 100 Degrees F and 100 psig                                                      Please contact ABB for more information",
IF(AND(G21="10A22",OR(LEFT(G23,3)="(6)"),OR('Modified Inputs'!$K$2&gt;100,'Modified Inputs'!$I$2&gt;90)),"Pressure and/or Temperature limits exceeded 100 Degrees F and 75 psig                                                      Please contact ABB for more information",""))))))),"")</f>
        <v/>
      </c>
      <c r="G26" s="7"/>
    </row>
    <row r="27" spans="2:8">
      <c r="F27" t="str">
        <f>IF('VA Sizing'!$N$2="10A61","",
IF('VA Sizing'!$N$2="10A4","Float Code",
IF('VA Sizing'!$N$2="10A22","Application",
IF('VA Sizing'!$N$2="10A32","Scale Type",""))))</f>
        <v/>
      </c>
      <c r="G27" t="str">
        <f>IFERROR(IF('VA Sizing'!$N$2="10A61","",
IF('VA Sizing'!$N$2="10A4",VLOOKUP('VA Sizing'!J27,#REF!,7,FALSE),
IF('VA Sizing'!$N$2="10A22",VLOOKUP('VA Sizing'!J27,#REF!,2,FALSE),
IF('VA Sizing'!$N$2="10A32",#REF!,"")))),"")</f>
        <v/>
      </c>
    </row>
    <row r="28" spans="2:8">
      <c r="F28" t="s">
        <v>744</v>
      </c>
      <c r="G28" t="e">
        <f>IF(AND('VA Sizing'!$N$2="10A32",#REF!="With Damping"),"Tube/Float Combination Requires Gas Damping","")</f>
        <v>#REF!</v>
      </c>
    </row>
    <row r="29" spans="2:8">
      <c r="F29" s="46" t="s">
        <v>476</v>
      </c>
      <c r="G29" s="7"/>
    </row>
    <row r="30" spans="2:8">
      <c r="F30" s="7" t="s">
        <v>477</v>
      </c>
      <c r="G30" s="7" t="str">
        <f>IF('VA Sizing'!$N$2="10A61","A61",'VA Sizing'!$N$2)</f>
        <v>A61</v>
      </c>
    </row>
    <row r="31" spans="2:8">
      <c r="F31" s="7" t="s">
        <v>536</v>
      </c>
      <c r="G31" s="7" t="str">
        <f>'VA Sizing'!J22</f>
        <v>3" Scale</v>
      </c>
    </row>
    <row r="32" spans="2:8">
      <c r="F32" s="7" t="str">
        <f>IF('VA Sizing'!$N$2="10A61","Tube + Float",
IF('VA Sizing'!$N$2="10A4","Tube Code",
IF('VA Sizing'!$N$2="10A22","Meter Size",
IF('VA Sizing'!$N$2="10A32","Flow Range",""))))</f>
        <v>Tube + Float</v>
      </c>
      <c r="G32" s="7" t="str">
        <f>IFERROR(IF('VA Sizing'!$N$2="10A61",VLOOKUP('VA Sizing'!J28,'10A61 Naming'!F3:L36,6,FALSE),
IF('VA Sizing'!$N$2="10A4",VLOOKUP('VA Sizing'!J28,#REF!,6,FALSE),
IF('VA Sizing'!$N$2="10A22",VLOOKUP('VA Sizing'!J28,#REF!,3,FALSE),
IF('VA Sizing'!$N$2="10A32",#REF!,"")))),"")</f>
        <v>(P3) FP-1/4-41-P3+SA</v>
      </c>
    </row>
    <row r="33" spans="6:8">
      <c r="F33" s="7" t="s">
        <v>343</v>
      </c>
      <c r="G33" s="7" t="str">
        <f>'VA Sizing'!M28</f>
        <v>0 - 0.06</v>
      </c>
      <c r="H33" s="7" t="str">
        <f>'VA Sizing'!N28</f>
        <v>m3/h</v>
      </c>
    </row>
    <row r="34" spans="6:8">
      <c r="F34" s="7" t="str">
        <f>IF(LEFT('VA Sizing'!J28,1)=" ","Combination may require a viscosity calibration",
IF(RIGHT('VA Sizing'!J28,1)=" ","Combination requires a greater operating pressure",""))</f>
        <v/>
      </c>
      <c r="G34" s="7"/>
    </row>
    <row r="35" spans="6:8">
      <c r="F35" s="7" t="str">
        <f>IFERROR(IF(AND(G30="A61",OR('Modified Inputs'!$K$2&gt;150,'Modified Inputs'!$I$2&gt;165)),"Pressure and/or Temperature limits exceeded 150 Degrees F and 150 psig                                                      Please contact ABB for more information",
IF(AND(G30="10A4",OR(LEFT(G32,4)="(D1)",LEFT(G32,4)="(D2)",LEFT(G32,4)="(E1)"),OR('Modified Inputs'!$K$2&gt;100,'Modified Inputs'!$I$2&gt;115)),"Pressure and/or Temperature limits exceeded 100 Degrees F and 100 psig                                                      Please contact ABB for more information",
IF(AND(G30="10A4",OR(LEFT(G32,4)="(B1)",LEFT(G32,4)="(B2)",LEFT(G32,4)="(C1)",LEFT(G32,4)="(C2)"),OR('Modified Inputs'!$K$2&gt;100,'Modified Inputs'!$I$2&gt;215)),"Pressure and/or Temperature limits exceeded 100 Degrees F and 200 psig                                                      Please contact ABB for more information",
IF(AND(G30="10A4",OR(LEFT(G32,4)="(A1)",LEFT(G32,4)="(A2)",LEFT(G32,4)="(A3)",LEFT(G32,4)="(A4)",LEFT(G32,4)="(A6)"),OR('Modified Inputs'!$K$2&gt;100,'Modified Inputs'!$I$2&gt;265)),"Pressure and/or Temperature limits exceeded 100 Degrees F and 250 psig                                                      Please contact ABB for more information",
IF(AND(G30="10A22",OR(LEFT(G32,3)="(2)",LEFT(G32,3)="(3)"),OR('Modified Inputs'!$K$2&gt;100,'Modified Inputs'!$I$2&gt;190)),"Pressure and/or Temperature limits exceeded 100 Degrees F and 175 psig                                                      Please contact ABB for more information",
IF(AND(G30="10A22",OR(LEFT(G32,3)="(4)",LEFT(G32,3)="(5)"),OR('Modified Inputs'!$K$2&gt;100,'Modified Inputs'!$I$2&gt;115)),"Pressure and/or Temperature limits exceeded 100 Degrees F and 100 psig                                                      Please contact ABB for more information",
IF(AND(G30="10A22",OR(LEFT(G32,3)="(6)"),OR('Modified Inputs'!$K$2&gt;100,'Modified Inputs'!$I$2&gt;90)),"Pressure and/or Temperature limits exceeded 100 Degrees F and 75 psig                                                      Please contact ABB for more information",""))))))),"")</f>
        <v/>
      </c>
      <c r="G35" s="7"/>
    </row>
    <row r="36" spans="6:8">
      <c r="F36" t="str">
        <f>IF('VA Sizing'!$N$2="10A61","",
IF('VA Sizing'!$N$2="10A4","Float Code",
IF('VA Sizing'!$N$2="10A22","Application",
IF('VA Sizing'!$N$2="10A32","Scale Type",""))))</f>
        <v/>
      </c>
      <c r="G36" t="str">
        <f>IFERROR(IF('VA Sizing'!$N$2="10A61","",
IF('VA Sizing'!$N$2="10A4",VLOOKUP('VA Sizing'!J28,#REF!,7,FALSE),
IF('VA Sizing'!$N$2="10A22",VLOOKUP('VA Sizing'!J28,#REF!,2,FALSE),
IF('VA Sizing'!$N$2="10A32",#REF!,"")))),"")</f>
        <v/>
      </c>
    </row>
    <row r="37" spans="6:8">
      <c r="F37" t="s">
        <v>744</v>
      </c>
      <c r="G37" t="e">
        <f>IF(AND('VA Sizing'!$N$2="10A32",#REF!="With Damping"),"Tube/Float Combination Requires Gas Damping","")</f>
        <v>#REF!</v>
      </c>
    </row>
    <row r="38" spans="6:8">
      <c r="F38" s="46" t="s">
        <v>476</v>
      </c>
      <c r="G38" s="7"/>
    </row>
    <row r="39" spans="6:8">
      <c r="F39" s="7" t="s">
        <v>477</v>
      </c>
      <c r="G39" s="7" t="str">
        <f>IF('VA Sizing'!$N$2="10A61","A61",'VA Sizing'!$N$2)</f>
        <v>A61</v>
      </c>
    </row>
    <row r="40" spans="6:8">
      <c r="F40" s="7" t="s">
        <v>536</v>
      </c>
      <c r="G40" s="7" t="str">
        <f>'VA Sizing'!P22</f>
        <v>5" Scale</v>
      </c>
    </row>
    <row r="41" spans="6:8">
      <c r="F41" s="7" t="str">
        <f>IF('VA Sizing'!$N$2="10A61","Tube + Float",
IF('VA Sizing'!$N$2="10A4","Tube Code",
IF('VA Sizing'!$N$2="10A22","Meter Size","")))</f>
        <v>Tube + Float</v>
      </c>
      <c r="G41" s="7" t="str">
        <f>IFERROR(IF('VA Sizing'!$N$2="10A61",VLOOKUP('VA Sizing'!P25,'10A61 Naming'!F37:L105,6,FALSE),
IF('VA Sizing'!$N$2="10A4",VLOOKUP('VA Sizing'!P25,#REF!,6,FALSE),
IF('VA Sizing'!$N$2="10A22",VLOOKUP('VA Sizing'!P25,#REF!,3,FALSE),""))),"")</f>
        <v>(S5) FP-1/4-20-G5+CA</v>
      </c>
    </row>
    <row r="42" spans="6:8">
      <c r="F42" s="7" t="s">
        <v>343</v>
      </c>
      <c r="G42" s="7" t="str">
        <f>'VA Sizing'!S25</f>
        <v>0 - 0.05</v>
      </c>
      <c r="H42" s="7" t="str">
        <f>'VA Sizing'!T25</f>
        <v>m3/h</v>
      </c>
    </row>
    <row r="43" spans="6:8">
      <c r="F43" s="7" t="str">
        <f>IF(LEFT('VA Sizing'!P25,1)=" ","Combination may require a viscosity calibration",
IF(RIGHT('VA Sizing'!P25,1)=" ","Combination requires a greater operating pressure",""))</f>
        <v/>
      </c>
      <c r="G43" s="7"/>
    </row>
    <row r="44" spans="6:8">
      <c r="F44" s="7" t="str">
        <f>IFERROR(IF(AND(G39="A61",OR('Modified Inputs'!$K$2&gt;150,'Modified Inputs'!$I$2&gt;165)),"Pressure and/or Temperature limits exceeded 150 Degrees F and 150 psig                                                      Please contact ABB for more information",
IF(AND(G39="10A4",OR(LEFT(G41,4)="(D1)",LEFT(G41,4)="(D2)",LEFT(G41,4)="(E1)"),OR('Modified Inputs'!$K$2&gt;100,'Modified Inputs'!$I$2&gt;115)),"Pressure and/or Temperature limits exceeded 100 Degrees F and 100 psig                                                      Please contact ABB for more information",
IF(AND(G39="10A4",OR(LEFT(G41,4)="(B1)",LEFT(G41,4)="(B2)",LEFT(G41,4)="(C1)",LEFT(G41,4)="(C2)"),OR('Modified Inputs'!$K$2&gt;100,'Modified Inputs'!$I$2&gt;215)),"Pressure and/or Temperature limits exceeded 100 Degrees F and 200 psig                                                      Please contact ABB for more information",
IF(AND(G39="10A4",OR(LEFT(G41,4)="(A1)",LEFT(G41,4)="(A2)",LEFT(G41,4)="(A3)",LEFT(G41,4)="(A4)",LEFT(G41,4)="(A6)"),OR('Modified Inputs'!$K$2&gt;100,'Modified Inputs'!$I$2&gt;265)),"Pressure and/or Temperature limits exceeded 100 Degrees F and 250 psig                                                      Please contact ABB for more information",
IF(AND(G39="10A22",OR(LEFT(G41,3)="(2)",LEFT(G41,3)="(3)"),OR('Modified Inputs'!$K$2&gt;100,'Modified Inputs'!$I$2&gt;190)),"Pressure and/or Temperature limits exceeded 100 Degrees F and 175 psig                                                      Please contact ABB for more information",
IF(AND(G39="10A22",OR(LEFT(G41,3)="(4)",LEFT(G41,3)="(5)"),OR('Modified Inputs'!$K$2&gt;100,'Modified Inputs'!$I$2&gt;115)),"Pressure and/or Temperature limits exceeded 100 Degrees F and 100 psig                                                      Please contact ABB for more information",
IF(AND(G39="10A22",OR(LEFT(G41,3)="(6)"),OR('Modified Inputs'!$K$2&gt;100,'Modified Inputs'!$I$2&gt;90)),"Pressure and/or Temperature limits exceeded 100 Degrees F and 75 psig                                                      Please contact ABB for more information",""))))))),"")</f>
        <v/>
      </c>
      <c r="G44" s="7"/>
    </row>
    <row r="45" spans="6:8">
      <c r="F45" t="str">
        <f>IF('VA Sizing'!$N$2="10A61","",
IF('VA Sizing'!$N$2="10A4","Float Code",
IF('VA Sizing'!$N$2="10A22","Application","")))</f>
        <v/>
      </c>
      <c r="G45" t="str">
        <f>IFERROR(IF('VA Sizing'!$N$2="10A61","",
IF('VA Sizing'!$N$2="10A4",VLOOKUP('VA Sizing'!P25,#REF!,7,FALSE),
IF('VA Sizing'!$N$2="10A22",VLOOKUP('VA Sizing'!P25,#REF!,2,FALSE),""))),"")</f>
        <v/>
      </c>
    </row>
    <row r="47" spans="6:8">
      <c r="F47" s="46" t="s">
        <v>476</v>
      </c>
      <c r="G47" s="7"/>
    </row>
    <row r="48" spans="6:8">
      <c r="F48" s="7" t="s">
        <v>477</v>
      </c>
      <c r="G48" s="7" t="str">
        <f>IF('VA Sizing'!$N$2="10A61","A61",'VA Sizing'!$N$2)</f>
        <v>A61</v>
      </c>
    </row>
    <row r="49" spans="6:8">
      <c r="F49" s="7" t="s">
        <v>536</v>
      </c>
      <c r="G49" s="7" t="str">
        <f>'VA Sizing'!P22</f>
        <v>5" Scale</v>
      </c>
    </row>
    <row r="50" spans="6:8">
      <c r="F50" s="7" t="str">
        <f>IF('VA Sizing'!$N$2="10A61","Tube + Float",
IF('VA Sizing'!$N$2="10A4","Tube Code",
IF('VA Sizing'!$N$2="10A22","Meter Size","")))</f>
        <v>Tube + Float</v>
      </c>
      <c r="G50" s="7" t="str">
        <f>IFERROR(IF('VA Sizing'!$N$2="10A61",VLOOKUP('VA Sizing'!P26,'10A61 Naming'!F37:L105,6,FALSE),
IF('VA Sizing'!$N$2="10A4",VLOOKUP('VA Sizing'!P26,#REF!,6,FALSE),
IF('VA Sizing'!$N$2="10A22",VLOOKUP('VA Sizing'!P26,#REF!,3,FALSE),""))),"")</f>
        <v>(S9) FP-1/4-20-G5+TA</v>
      </c>
    </row>
    <row r="51" spans="6:8">
      <c r="F51" s="7" t="s">
        <v>343</v>
      </c>
      <c r="G51" s="7" t="str">
        <f>'VA Sizing'!S26</f>
        <v>0 - 0.05</v>
      </c>
      <c r="H51" s="7" t="str">
        <f>'VA Sizing'!T26</f>
        <v>m3/h</v>
      </c>
    </row>
    <row r="52" spans="6:8">
      <c r="F52" s="7" t="str">
        <f>IF(LEFT('VA Sizing'!P26,1)=" ","Combination may require a viscosity calibration",
IF(RIGHT('VA Sizing'!P26,1)=" ","Combination requires a greater operating pressure",""))</f>
        <v/>
      </c>
      <c r="G52" s="7"/>
    </row>
    <row r="53" spans="6:8">
      <c r="F53" s="7" t="str">
        <f>IFERROR(IF(AND(G48="A61",OR('Modified Inputs'!$K$2&gt;150,'Modified Inputs'!$I$2&gt;165)),"Pressure and/or Temperature limits exceeded 150 Degrees F and 150 psig                                                      Please contact ABB for more information",
IF(AND(G48="10A4",OR(LEFT(G50,4)="(D1)",LEFT(G50,4)="(D2)",LEFT(G50,4)="(E1)"),OR('Modified Inputs'!$K$2&gt;100,'Modified Inputs'!$I$2&gt;115)),"Pressure and/or Temperature limits exceeded 100 Degrees F and 100 psig                                                      Please contact ABB for more information",
IF(AND(G48="10A4",OR(LEFT(G50,4)="(B1)",LEFT(G50,4)="(B2)",LEFT(G50,4)="(C1)",LEFT(G50,4)="(C2)"),OR('Modified Inputs'!$K$2&gt;100,'Modified Inputs'!$I$2&gt;215)),"Pressure and/or Temperature limits exceeded 100 Degrees F and 200 psig                                                      Please contact ABB for more information",
IF(AND(G48="10A4",OR(LEFT(G50,4)="(A1)",LEFT(G50,4)="(A2)",LEFT(G50,4)="(A3)",LEFT(G50,4)="(A4)",LEFT(G50,4)="(A6)"),OR('Modified Inputs'!$K$2&gt;100,'Modified Inputs'!$I$2&gt;265)),"Pressure and/or Temperature limits exceeded 100 Degrees F and 250 psig                                                      Please contact ABB for more information",
IF(AND(G48="10A22",OR(LEFT(G50,3)="(2)",LEFT(G50,3)="(3)"),OR('Modified Inputs'!$K$2&gt;100,'Modified Inputs'!$I$2&gt;190)),"Pressure and/or Temperature limits exceeded 100 Degrees F and 175 psig                                                      Please contact ABB for more information",
IF(AND(G48="10A22",OR(LEFT(G50,3)="(4)",LEFT(G50,3)="(5)"),OR('Modified Inputs'!$K$2&gt;100,'Modified Inputs'!$I$2&gt;115)),"Pressure and/or Temperature limits exceeded 100 Degrees F and 100 psig                                                      Please contact ABB for more information",
IF(AND(G48="10A22",OR(LEFT(G50,3)="(6)"),OR('Modified Inputs'!$K$2&gt;100,'Modified Inputs'!$I$2&gt;90)),"Pressure and/or Temperature limits exceeded 100 Degrees F and 75 psig                                                      Please contact ABB for more information",""))))))),"")</f>
        <v/>
      </c>
      <c r="G53" s="7"/>
    </row>
    <row r="54" spans="6:8">
      <c r="F54" t="str">
        <f>IF('VA Sizing'!$N$2="10A61","",
IF('VA Sizing'!$N$2="10A4","Float Code",
IF('VA Sizing'!$N$2="10A22","Application","")))</f>
        <v/>
      </c>
      <c r="G54" t="str">
        <f>IFERROR(IF('VA Sizing'!$N$2="10A61","",
IF('VA Sizing'!$N$2="10A4",VLOOKUP('VA Sizing'!P26,#REF!,7,FALSE),
IF('VA Sizing'!$N$2="10A22",VLOOKUP('VA Sizing'!P26,#REF!,2,FALSE),""))),"")</f>
        <v/>
      </c>
    </row>
    <row r="56" spans="6:8">
      <c r="F56" s="46" t="s">
        <v>476</v>
      </c>
      <c r="G56" s="7"/>
    </row>
    <row r="57" spans="6:8">
      <c r="F57" s="7" t="s">
        <v>477</v>
      </c>
      <c r="G57" s="7" t="str">
        <f>IF('VA Sizing'!$N$2="10A61","A61",'VA Sizing'!$N$2)</f>
        <v>A61</v>
      </c>
    </row>
    <row r="58" spans="6:8">
      <c r="F58" s="7" t="s">
        <v>536</v>
      </c>
      <c r="G58" s="7" t="str">
        <f>'VA Sizing'!P22</f>
        <v>5" Scale</v>
      </c>
    </row>
    <row r="59" spans="6:8">
      <c r="F59" s="7" t="str">
        <f>IF('VA Sizing'!$N$2="10A61","Tube + Float",
IF('VA Sizing'!$N$2="10A4","Tube Code",
IF('VA Sizing'!$N$2="10A22","Meter Size","")))</f>
        <v>Tube + Float</v>
      </c>
      <c r="G59" s="7" t="str">
        <f>IFERROR(IF('VA Sizing'!$N$2="10A61",VLOOKUP('VA Sizing'!P27,'10A61 Naming'!F37:L105,6,FALSE),
IF('VA Sizing'!$N$2="10A4",VLOOKUP('VA Sizing'!P27,#REF!,6,FALSE),
IF('VA Sizing'!$N$2="10A22",VLOOKUP('VA Sizing'!P27,#REF!,3,FALSE),""))),"")</f>
        <v>(T1) FP-1/4-25-G5+CA</v>
      </c>
    </row>
    <row r="60" spans="6:8">
      <c r="F60" s="7" t="s">
        <v>343</v>
      </c>
      <c r="G60" s="7" t="str">
        <f>'VA Sizing'!S27</f>
        <v>0 - 0.06</v>
      </c>
      <c r="H60" s="7" t="str">
        <f>'VA Sizing'!T27</f>
        <v>m3/h</v>
      </c>
    </row>
    <row r="61" spans="6:8">
      <c r="F61" s="7" t="str">
        <f>IF(LEFT('VA Sizing'!P27,1)=" ","Combination may require a viscosity calibration",
IF(RIGHT('VA Sizing'!P27,1)=" ","Combination requires a greater operating pressure",""))</f>
        <v/>
      </c>
      <c r="G61" s="7"/>
    </row>
    <row r="62" spans="6:8">
      <c r="F62" s="7" t="str">
        <f>IFERROR(IF(AND(G57="A61",OR('Modified Inputs'!$K$2&gt;150,'Modified Inputs'!$I$2&gt;165)),"Pressure and/or Temperature limits exceeded 150 Degrees F and 150 psig                                                      Please contact ABB for more information",
IF(AND(G57="10A4",OR(LEFT(G59,4)="(D1)",LEFT(G59,4)="(D2)",LEFT(G59,4)="(E1)"),OR('Modified Inputs'!$K$2&gt;100,'Modified Inputs'!$I$2&gt;115)),"Pressure and/or Temperature limits exceeded 100 Degrees F and 100 psig                                                      Please contact ABB for more information",
IF(AND(G57="10A4",OR(LEFT(G59,4)="(B1)",LEFT(G59,4)="(B2)",LEFT(G59,4)="(C1)",LEFT(G59,4)="(C2)"),OR('Modified Inputs'!$K$2&gt;100,'Modified Inputs'!$I$2&gt;215)),"Pressure and/or Temperature limits exceeded 100 Degrees F and 200 psig                                                      Please contact ABB for more information",
IF(AND(G57="10A4",OR(LEFT(G59,4)="(A1)",LEFT(G59,4)="(A2)",LEFT(G59,4)="(A3)",LEFT(G59,4)="(A4)",LEFT(G59,4)="(A6)"),OR('Modified Inputs'!$K$2&gt;100,'Modified Inputs'!$I$2&gt;265)),"Pressure and/or Temperature limits exceeded 100 Degrees F and 250 psig                                                      Please contact ABB for more information",
IF(AND(G57="10A22",OR(LEFT(G59,3)="(2)",LEFT(G59,3)="(3)"),OR('Modified Inputs'!$K$2&gt;100,'Modified Inputs'!$I$2&gt;190)),"Pressure and/or Temperature limits exceeded 100 Degrees F and 175 psig                                                      Please contact ABB for more information",
IF(AND(G57="10A22",OR(LEFT(G59,3)="(4)",LEFT(G59,3)="(5)"),OR('Modified Inputs'!$K$2&gt;100,'Modified Inputs'!$I$2&gt;115)),"Pressure and/or Temperature limits exceeded 100 Degrees F and 100 psig                                                      Please contact ABB for more information",
IF(AND(G57="10A22",OR(LEFT(G59,3)="(6)"),OR('Modified Inputs'!$K$2&gt;100,'Modified Inputs'!$I$2&gt;90)),"Pressure and/or Temperature limits exceeded 100 Degrees F and 75 psig                                                      Please contact ABB for more information",""))))))),"")</f>
        <v/>
      </c>
      <c r="G62" s="7"/>
    </row>
    <row r="63" spans="6:8">
      <c r="F63" t="str">
        <f>IF('VA Sizing'!$N$2="10A61","",
IF('VA Sizing'!$N$2="10A4","Float Code",
IF('VA Sizing'!$N$2="10A22","Application","")))</f>
        <v/>
      </c>
      <c r="G63" t="str">
        <f>IFERROR(IF('VA Sizing'!$N$2="10A61","",
IF('VA Sizing'!$N$2="10A4",VLOOKUP('VA Sizing'!P27,#REF!,7,FALSE),
IF('VA Sizing'!$N$2="10A22",VLOOKUP('VA Sizing'!P27,#REF!,2,FALSE),""))),"")</f>
        <v/>
      </c>
    </row>
    <row r="65" spans="6:8">
      <c r="F65" s="46" t="s">
        <v>476</v>
      </c>
      <c r="G65" s="7"/>
    </row>
    <row r="66" spans="6:8">
      <c r="F66" s="7" t="s">
        <v>477</v>
      </c>
      <c r="G66" s="7" t="str">
        <f>IF('VA Sizing'!$N$2="10A61","A61",'VA Sizing'!$N$2)</f>
        <v>A61</v>
      </c>
    </row>
    <row r="67" spans="6:8">
      <c r="F67" s="7" t="s">
        <v>536</v>
      </c>
      <c r="G67" s="7" t="str">
        <f>'VA Sizing'!P22</f>
        <v>5" Scale</v>
      </c>
    </row>
    <row r="68" spans="6:8">
      <c r="F68" s="7" t="str">
        <f>IF('VA Sizing'!$N$2="10A61","Tube + Float",
IF('VA Sizing'!$N$2="10A4","Tube Code",
IF('VA Sizing'!$N$2="10A22","Meter Size","")))</f>
        <v>Tube + Float</v>
      </c>
      <c r="G68" s="7" t="str">
        <f>IFERROR(IF('VA Sizing'!$N$2="10A61",VLOOKUP('VA Sizing'!P28,'10A61 Naming'!F37:L105,6,FALSE),
IF('VA Sizing'!$N$2="10A4",VLOOKUP('VA Sizing'!P28,#REF!,6,FALSE),
IF('VA Sizing'!$N$2="10A22",VLOOKUP('VA Sizing'!P28,#REF!,3,FALSE),""))),"")</f>
        <v>(T5) FP-1/4-25-G5+TA</v>
      </c>
    </row>
    <row r="69" spans="6:8">
      <c r="F69" s="7" t="s">
        <v>343</v>
      </c>
      <c r="G69" s="7" t="str">
        <f>'VA Sizing'!S28</f>
        <v>0 - 0.07</v>
      </c>
      <c r="H69" s="7" t="str">
        <f>'VA Sizing'!T28</f>
        <v>m3/h</v>
      </c>
    </row>
    <row r="70" spans="6:8">
      <c r="F70" s="7" t="str">
        <f>IF(LEFT('VA Sizing'!P28,1)=" ","Combination may require a viscosity calibration",
IF(RIGHT('VA Sizing'!P28,1)=" ","Combination requires a greater operating pressure",""))</f>
        <v/>
      </c>
      <c r="G70" s="7"/>
    </row>
    <row r="71" spans="6:8">
      <c r="F71" s="7" t="str">
        <f>IFERROR(IF(AND(G66="A61",OR('Modified Inputs'!$K$2&gt;150,'Modified Inputs'!$I$2&gt;165)),"Pressure and/or Temperature limits exceeded 150 Degrees F and 150 psig                                                      Please contact ABB for more information",
IF(AND(G66="10A4",OR(LEFT(G68,4)="(D1)",LEFT(G68,4)="(D2)",LEFT(G68,4)="(E1)"),OR('Modified Inputs'!$K$2&gt;100,'Modified Inputs'!$I$2&gt;115)),"Pressure and/or Temperature limits exceeded 100 Degrees F and 100 psig                                                      Please contact ABB for more information",
IF(AND(G66="10A4",OR(LEFT(G68,4)="(B1)",LEFT(G68,4)="(B2)",LEFT(G68,4)="(C1)",LEFT(G68,4)="(C2)"),OR('Modified Inputs'!$K$2&gt;100,'Modified Inputs'!$I$2&gt;215)),"Pressure and/or Temperature limits exceeded 100 Degrees F and 200 psig                                                      Please contact ABB for more information",
IF(AND(G66="10A4",OR(LEFT(G68,4)="(A1)",LEFT(G68,4)="(A2)",LEFT(G68,4)="(A3)",LEFT(G68,4)="(A4)",LEFT(G68,4)="(A6)"),OR('Modified Inputs'!$K$2&gt;100,'Modified Inputs'!$I$2&gt;265)),"Pressure and/or Temperature limits exceeded 100 Degrees F and 250 psig                                                      Please contact ABB for more information",
IF(AND(G66="10A22",OR(LEFT(G68,3)="(2)",LEFT(G68,3)="(3)"),OR('Modified Inputs'!$K$2&gt;100,'Modified Inputs'!$I$2&gt;190)),"Pressure and/or Temperature limits exceeded 100 Degrees F and 175 psig                                                      Please contact ABB for more information",
IF(AND(G66="10A22",OR(LEFT(G68,3)="(4)",LEFT(G68,3)="(5)"),OR('Modified Inputs'!$K$2&gt;100,'Modified Inputs'!$I$2&gt;115)),"Pressure and/or Temperature limits exceeded 100 Degrees F and 100 psig                                                      Please contact ABB for more information",
IF(AND(G66="10A22",OR(LEFT(G68,3)="(6)"),OR('Modified Inputs'!$K$2&gt;100,'Modified Inputs'!$I$2&gt;90)),"Pressure and/or Temperature limits exceeded 100 Degrees F and 75 psig                                                      Please contact ABB for more information",""))))))),"")</f>
        <v/>
      </c>
      <c r="G71" s="7"/>
    </row>
    <row r="72" spans="6:8">
      <c r="F72" t="str">
        <f>IF('VA Sizing'!$N$2="10A61","",
IF('VA Sizing'!$N$2="10A4","Float Code",
IF('VA Sizing'!$N$2="10A22","Application","")))</f>
        <v/>
      </c>
      <c r="G72" t="str">
        <f>IFERROR(IF('VA Sizing'!$N$2="10A61","",
IF('VA Sizing'!$N$2="10A4",VLOOKUP('VA Sizing'!P28,#REF!,7,FALSE),
IF('VA Sizing'!$N$2="10A22",VLOOKUP('VA Sizing'!P28,#REF!,2,FALSE),""))),"")</f>
        <v/>
      </c>
    </row>
    <row r="74" spans="6:8">
      <c r="F74" s="46" t="s">
        <v>476</v>
      </c>
      <c r="G74" s="7"/>
    </row>
    <row r="75" spans="6:8">
      <c r="F75" s="7" t="s">
        <v>477</v>
      </c>
      <c r="G75" s="7" t="str">
        <f>IF('VA Sizing'!$N$2="10A61","A61",'VA Sizing'!$N$2)</f>
        <v>A61</v>
      </c>
    </row>
    <row r="76" spans="6:8">
      <c r="F76" s="7" t="s">
        <v>536</v>
      </c>
      <c r="G76" s="7" t="str">
        <f>IF(AND('VA Sizing'!N2="10A4",'VA Sizing'!V22="Additional Floats"),'VA Sizing'!V23,'VA Sizing'!V22)</f>
        <v>10" Scale</v>
      </c>
    </row>
    <row r="77" spans="6:8">
      <c r="F77" s="7" t="str">
        <f>IF('VA Sizing'!$N$2="10A61","Tube + Float",
IF('VA Sizing'!$N$2="10A4","Tube Code",
IF('VA Sizing'!$N$2="10A22","Meter Size","")))</f>
        <v>Tube + Float</v>
      </c>
      <c r="G77" s="7" t="str">
        <f>IFERROR(IF('VA Sizing'!$N$2="10A61",VLOOKUP('VA Sizing'!V25,'10A61 Naming'!F106:L141,6,FALSE),
IF(AND('VA Sizing'!$N$2="10A4",'VA Sizing'!V23="Alarm Floats"),VLOOKUP('VA Sizing'!V25,#REF!,6,FALSE),
IF(AND('VA Sizing'!$N$2="10A4",'VA Sizing'!V23="Tantalum Floats (TA)"),VLOOKUP('VA Sizing'!V25,#REF!,6,FALSE),
IF(AND('VA Sizing'!$N$2="10A4",'VA Sizing'!V23="Teflon Floats (PTFE)"),VLOOKUP('VA Sizing'!V25,#REF!,6,FALSE),
IF(AND('VA Sizing'!$N$2="10A4",'VA Sizing'!V23="PVC Floats"),VLOOKUP('VA Sizing'!V25,#REF!,6,FALSE),
IF('VA Sizing'!$N$2="10A22","","")))))),"")</f>
        <v>(T6) FP-1/4-40-G6+BG</v>
      </c>
    </row>
    <row r="78" spans="6:8">
      <c r="F78" s="7" t="s">
        <v>343</v>
      </c>
      <c r="G78" s="7" t="str">
        <f>'VA Sizing'!Y25</f>
        <v>0 - 0.04</v>
      </c>
      <c r="H78" s="7" t="str">
        <f>'VA Sizing'!Z25</f>
        <v>m3/h</v>
      </c>
    </row>
    <row r="79" spans="6:8">
      <c r="F79" s="7" t="str">
        <f>IF(LEFT('VA Sizing'!V25,1)=" ","Combination may require a viscosity calibration",
IF(RIGHT('VA Sizing'!V25,1)=" ","Combination requires a greater operating pressure",""))</f>
        <v/>
      </c>
      <c r="G79" s="7"/>
    </row>
    <row r="80" spans="6:8">
      <c r="F80" s="7" t="str">
        <f>IFERROR(IF(AND(G75="A61",OR('Modified Inputs'!$K$2&gt;150,'Modified Inputs'!$I$2&gt;165)),"Pressure and/or Temperature limits exceeded 150 Degrees F and 150 psig                                                      Please contact ABB for more information",
IF(AND(G75="10A4",OR(LEFT(G77,4)="(D1)",LEFT(G77,4)="(D2)",LEFT(G77,4)="(E1)"),OR('Modified Inputs'!$K$2&gt;100,'Modified Inputs'!$I$2&gt;115)),"Pressure and/or Temperature limits exceeded 100 Degrees F and 100 psig                                                      Please contact ABB for more information",
IF(AND(G75="10A4",OR(LEFT(G77,4)="(B1)",LEFT(G77,4)="(B2)",LEFT(G77,4)="(C1)",LEFT(G77,4)="(C2)"),OR('Modified Inputs'!$K$2&gt;100,'Modified Inputs'!$I$2&gt;215)),"Pressure and/or Temperature limits exceeded 100 Degrees F and 200 psig                                                      Please contact ABB for more information",
IF(AND(G75="10A4",OR(LEFT(G77,4)="(A1)",LEFT(G77,4)="(A2)",LEFT(G77,4)="(A3)",LEFT(G77,4)="(A4)",LEFT(G77,4)="(A6)"),OR('Modified Inputs'!$K$2&gt;100,'Modified Inputs'!$I$2&gt;265)),"Pressure and/or Temperature limits exceeded 100 Degrees F and 250 psig                                                      Please contact ABB for more information",
IF(AND(G75="10A22",OR(LEFT(G77,3)="(2)",LEFT(G77,3)="(3)"),OR('Modified Inputs'!$K$2&gt;100,'Modified Inputs'!$I$2&gt;190)),"Pressure and/or Temperature limits exceeded 100 Degrees F and 175 psig                                                      Please contact ABB for more information",
IF(AND(G75="10A22",OR(LEFT(G77,3)="(4)",LEFT(G77,3)="(5)"),OR('Modified Inputs'!$K$2&gt;100,'Modified Inputs'!$I$2&gt;115)),"Pressure and/or Temperature limits exceeded 100 Degrees F and 100 psig                                                      Please contact ABB for more information",
IF(AND(G75="10A22",OR(LEFT(G77,3)="(6)"),OR('Modified Inputs'!$K$2&gt;100,'Modified Inputs'!$I$2&gt;90)),"Pressure and/or Temperature limits exceeded 100 Degrees F and 75 psig                                                      Please contact ABB for more information",""))))))),"")</f>
        <v/>
      </c>
      <c r="G80" s="7"/>
    </row>
    <row r="81" spans="6:8">
      <c r="F81" t="str">
        <f>IF('VA Sizing'!$N$2="10A61","",
IF('VA Sizing'!$N$2="10A4","Float Code",
IF('VA Sizing'!$N$2="10A22","Application","")))</f>
        <v/>
      </c>
      <c r="G81" t="str">
        <f>IFERROR(IF('VA Sizing'!$N$2="10A61","",
IF(AND('VA Sizing'!$N$2="10A4",'VA Sizing'!V23="Alarm Floats"),VLOOKUP('VA Sizing'!V25,#REF!,7,FALSE),
IF(AND('VA Sizing'!$N$2="10A4",'VA Sizing'!V23="Tantalum Floats (TA)"),VLOOKUP('VA Sizing'!V25,#REF!,7,FALSE),
IF(AND('VA Sizing'!$N$2="10A4",'VA Sizing'!V23="Teflon Floats (PTFE)"),VLOOKUP('VA Sizing'!V25,#REF!,7,FALSE),
IF(AND('VA Sizing'!$N$2="10A4",'VA Sizing'!V23="PVC Floats"),VLOOKUP('VA Sizing'!V25,#REF!,7,FALSE),
IF('VA Sizing'!$N$2="10A22","","")))))),"")</f>
        <v/>
      </c>
    </row>
    <row r="83" spans="6:8">
      <c r="F83" s="46" t="s">
        <v>476</v>
      </c>
      <c r="G83" s="7"/>
    </row>
    <row r="84" spans="6:8">
      <c r="F84" s="7" t="s">
        <v>477</v>
      </c>
      <c r="G84" s="7" t="str">
        <f>IF('VA Sizing'!$N$2="10A61","A61",'VA Sizing'!$N$2)</f>
        <v>A61</v>
      </c>
    </row>
    <row r="85" spans="6:8">
      <c r="F85" s="7" t="s">
        <v>536</v>
      </c>
      <c r="G85" s="7" t="str">
        <f>IF(AND('VA Sizing'!N2="10A4",'VA Sizing'!V22="Additional Floats"),'VA Sizing'!V23,'VA Sizing'!V22)</f>
        <v>10" Scale</v>
      </c>
    </row>
    <row r="86" spans="6:8">
      <c r="F86" s="7" t="str">
        <f>IF('VA Sizing'!$N$2="10A61","Tube + Float",
IF('VA Sizing'!$N$2="10A4","Tube Code",
IF('VA Sizing'!$N$2="10A22","Meter Size","")))</f>
        <v>Tube + Float</v>
      </c>
      <c r="G86" s="7" t="str">
        <f>IFERROR(IF('VA Sizing'!$N$2="10A61",VLOOKUP('VA Sizing'!V26,'10A61 Naming'!F106:L141,6,FALSE),
IF(AND('VA Sizing'!$N$2="10A4",'VA Sizing'!V23="Alarm Floats"),VLOOKUP('VA Sizing'!V26,#REF!,6,FALSE),
IF(AND('VA Sizing'!$N$2="10A4",'VA Sizing'!V23="Tantalum Floats (TA)"),VLOOKUP('VA Sizing'!V26,#REF!,6,FALSE),
IF(AND('VA Sizing'!$N$2="10A4",'VA Sizing'!V23="Teflon Floats (PTFE)"),VLOOKUP('VA Sizing'!V26,#REF!,6,FALSE),
IF(AND('VA Sizing'!$N$2="10A4",'VA Sizing'!V23="PVC Floats"),VLOOKUP('VA Sizing'!V26,#REF!,6,FALSE),
IF('VA Sizing'!$N$2="10A22","","")))))),"")</f>
        <v>(T9) FP-1/4-40-G6+SA</v>
      </c>
    </row>
    <row r="87" spans="6:8">
      <c r="F87" s="7" t="s">
        <v>343</v>
      </c>
      <c r="G87" s="7" t="str">
        <f>'VA Sizing'!Y26</f>
        <v>0 - 0.05</v>
      </c>
      <c r="H87" s="7" t="str">
        <f>'VA Sizing'!Z26</f>
        <v>m3/h</v>
      </c>
    </row>
    <row r="88" spans="6:8">
      <c r="F88" s="7" t="str">
        <f>IF(LEFT('VA Sizing'!V26,1)=" ","Combination may require a viscosity calibration",
IF(RIGHT('VA Sizing'!V26,1)=" ","Combination requires a greater operating pressure",""))</f>
        <v/>
      </c>
      <c r="G88" s="7"/>
    </row>
    <row r="89" spans="6:8">
      <c r="F89" s="7" t="str">
        <f>IFERROR(IF(AND(G84="A61",OR('Modified Inputs'!$K$2&gt;150,'Modified Inputs'!$I$2&gt;165)),"Pressure and/or Temperature limits exceeded 150 Degrees F and 150 psig                                                      Please contact ABB for more information",
IF(AND(G84="10A4",OR(LEFT(G86,4)="(D1)",LEFT(G86,4)="(D2)",LEFT(G86,4)="(E1)"),OR('Modified Inputs'!$K$2&gt;100,'Modified Inputs'!$I$2&gt;115)),"Pressure and/or Temperature limits exceeded 100 Degrees F and 100 psig                                                      Please contact ABB for more information",
IF(AND(G84="10A4",OR(LEFT(G86,4)="(B1)",LEFT(G86,4)="(B2)",LEFT(G86,4)="(C1)",LEFT(G86,4)="(C2)"),OR('Modified Inputs'!$K$2&gt;100,'Modified Inputs'!$I$2&gt;215)),"Pressure and/or Temperature limits exceeded 100 Degrees F and 200 psig                                                      Please contact ABB for more information",
IF(AND(G84="10A4",OR(LEFT(G86,4)="(A1)",LEFT(G86,4)="(A2)",LEFT(G86,4)="(A3)",LEFT(G86,4)="(A4)",LEFT(G86,4)="(A6)"),OR('Modified Inputs'!$K$2&gt;100,'Modified Inputs'!$I$2&gt;265)),"Pressure and/or Temperature limits exceeded 100 Degrees F and 250 psig                                                      Please contact ABB for more information",
IF(AND(G84="10A22",OR(LEFT(G86,3)="(2)",LEFT(G86,3)="(3)"),OR('Modified Inputs'!$K$2&gt;100,'Modified Inputs'!$I$2&gt;190)),"Pressure and/or Temperature limits exceeded 100 Degrees F and 175 psig                                                      Please contact ABB for more information",
IF(AND(G84="10A22",OR(LEFT(G86,3)="(4)",LEFT(G86,3)="(5)"),OR('Modified Inputs'!$K$2&gt;100,'Modified Inputs'!$I$2&gt;115)),"Pressure and/or Temperature limits exceeded 100 Degrees F and 100 psig                                                      Please contact ABB for more information",
IF(AND(G84="10A22",OR(LEFT(G86,3)="(6)"),OR('Modified Inputs'!$K$2&gt;100,'Modified Inputs'!$I$2&gt;90)),"Pressure and/or Temperature limits exceeded 100 Degrees F and 75 psig                                                      Please contact ABB for more information",""))))))),"")</f>
        <v/>
      </c>
      <c r="G89" s="7"/>
    </row>
    <row r="90" spans="6:8">
      <c r="F90" t="str">
        <f>IF('VA Sizing'!$N$2="10A61","",
IF('VA Sizing'!$N$2="10A4","Float Code",
IF('VA Sizing'!$N$2="10A22","Application","")))</f>
        <v/>
      </c>
      <c r="G90" t="str">
        <f>IFERROR(IF('VA Sizing'!$N$2="10A61","",
IF(AND('VA Sizing'!$N$2="10A4",'VA Sizing'!V23="Alarm Floats"),VLOOKUP('VA Sizing'!V26,#REF!,7,FALSE),
IF(AND('VA Sizing'!$N$2="10A4",'VA Sizing'!V23="Tantalum Floats (TA)"),VLOOKUP('VA Sizing'!V26,#REF!,7,FALSE),
IF(AND('VA Sizing'!$N$2="10A4",'VA Sizing'!V23="Teflon Floats (PTFE)"),VLOOKUP('VA Sizing'!V26,#REF!,7,FALSE),
IF(AND('VA Sizing'!$N$2="10A4",'VA Sizing'!V23="PVC Floats"),VLOOKUP('VA Sizing'!V26,#REF!,7,FALSE),
IF('VA Sizing'!$N$2="10A22","","")))))),"")</f>
        <v/>
      </c>
    </row>
    <row r="92" spans="6:8">
      <c r="F92" s="46" t="s">
        <v>476</v>
      </c>
      <c r="G92" s="7"/>
    </row>
    <row r="93" spans="6:8">
      <c r="F93" s="7" t="s">
        <v>477</v>
      </c>
      <c r="G93" s="7" t="str">
        <f>IF('VA Sizing'!$N$2="10A61","A61",'VA Sizing'!$N$2)</f>
        <v>A61</v>
      </c>
    </row>
    <row r="94" spans="6:8">
      <c r="F94" s="7" t="s">
        <v>536</v>
      </c>
      <c r="G94" s="7" t="str">
        <f>IF(AND('VA Sizing'!N2="10A4",'VA Sizing'!V22="Additional Floats"),'VA Sizing'!V23,'VA Sizing'!V22)</f>
        <v>10" Scale</v>
      </c>
    </row>
    <row r="95" spans="6:8">
      <c r="F95" s="7" t="str">
        <f>IF('VA Sizing'!$N$2="10A61","Tube + Float",
IF('VA Sizing'!$N$2="10A4","Tube Code",
IF('VA Sizing'!$N$2="10A22","Meter Size","")))</f>
        <v>Tube + Float</v>
      </c>
      <c r="G95" s="7" t="str">
        <f>IFERROR(IF('VA Sizing'!$N$2="10A61",VLOOKUP('VA Sizing'!V27,'10A61 Naming'!F106:L141,6,FALSE),
IF(AND('VA Sizing'!$N$2="10A4",'VA Sizing'!V23="Alarm Floats"),VLOOKUP('VA Sizing'!V27,#REF!,6,FALSE),
IF(AND('VA Sizing'!$N$2="10A4",'VA Sizing'!V23="Tantalum Floats (TA)"),VLOOKUP('VA Sizing'!V27,#REF!,6,FALSE),
IF(AND('VA Sizing'!$N$2="10A4",'VA Sizing'!V23="Teflon Floats (PTFE)"),VLOOKUP('VA Sizing'!V27,#REF!,6,FALSE),
IF(AND('VA Sizing'!$N$2="10A4",'VA Sizing'!V23="PVC Floats"),VLOOKUP('VA Sizing'!V27,#REF!,6,FALSE),
IF('VA Sizing'!$N$2="10A22","","")))))),"")</f>
        <v>(V0) FP-1/4-40-G6+SS</v>
      </c>
    </row>
    <row r="96" spans="6:8">
      <c r="F96" s="7" t="s">
        <v>343</v>
      </c>
      <c r="G96" s="7" t="str">
        <f>'VA Sizing'!Y27</f>
        <v>0 - 0.08</v>
      </c>
      <c r="H96" s="7" t="str">
        <f>'VA Sizing'!Z27</f>
        <v>m3/h</v>
      </c>
    </row>
    <row r="97" spans="6:8">
      <c r="F97" s="7" t="str">
        <f>IF(LEFT('VA Sizing'!V27,1)=" ","Combination may require a viscosity calibration",
IF(RIGHT('VA Sizing'!V27,1)=" ","Combination requires a greater operating pressure",""))</f>
        <v/>
      </c>
      <c r="G97" s="7"/>
    </row>
    <row r="98" spans="6:8">
      <c r="F98" s="7" t="str">
        <f>IFERROR(IF(AND(G93="A61",OR('Modified Inputs'!$K$2&gt;150,'Modified Inputs'!$I$2&gt;165)),"Pressure and/or Temperature limits exceeded 150 Degrees F and 150 psig                                                      Please contact ABB for more information",
IF(AND(G93="10A4",OR(LEFT(G95,4)="(D1)",LEFT(G95,4)="(D2)",LEFT(G95,4)="(E1)"),OR('Modified Inputs'!$K$2&gt;100,'Modified Inputs'!$I$2&gt;115)),"Pressure and/or Temperature limits exceeded 100 Degrees F and 100 psig                                                      Please contact ABB for more information",
IF(AND(G93="10A4",OR(LEFT(G95,4)="(B1)",LEFT(G95,4)="(B2)",LEFT(G95,4)="(C1)",LEFT(G95,4)="(C2)"),OR('Modified Inputs'!$K$2&gt;100,'Modified Inputs'!$I$2&gt;215)),"Pressure and/or Temperature limits exceeded 100 Degrees F and 200 psig                                                      Please contact ABB for more information",
IF(AND(G93="10A4",OR(LEFT(G95,4)="(A1)",LEFT(G95,4)="(A2)",LEFT(G95,4)="(A3)",LEFT(G95,4)="(A4)",LEFT(G95,4)="(A6)"),OR('Modified Inputs'!$K$2&gt;100,'Modified Inputs'!$I$2&gt;265)),"Pressure and/or Temperature limits exceeded 100 Degrees F and 250 psig                                                      Please contact ABB for more information",
IF(AND(G93="10A22",OR(LEFT(G95,3)="(2)",LEFT(G95,3)="(3)"),OR('Modified Inputs'!$K$2&gt;100,'Modified Inputs'!$I$2&gt;190)),"Pressure and/or Temperature limits exceeded 100 Degrees F and 175 psig                                                      Please contact ABB for more information",
IF(AND(G93="10A22",OR(LEFT(G95,3)="(4)",LEFT(G95,3)="(5)"),OR('Modified Inputs'!$K$2&gt;100,'Modified Inputs'!$I$2&gt;115)),"Pressure and/or Temperature limits exceeded 00 Degrees F and 100 psig                                                      Please contact ABB for more information",
IF(AND(G93="10A22",OR(LEFT(G95,3)="(6)"),OR('Modified Inputs'!$K$2&gt;100,'Modified Inputs'!$I$2&gt;90)),"Pressure and/or Temperature limits exceeded 100 Degrees F and 75 psig                                                      Please contact ABB for more information",""))))))),"")</f>
        <v/>
      </c>
      <c r="G98" s="7"/>
    </row>
    <row r="99" spans="6:8">
      <c r="F99" t="str">
        <f>IF('VA Sizing'!$N$2="10A61","",
IF('VA Sizing'!$N$2="10A4","Float Code",
IF('VA Sizing'!$N$2="10A22","Application","")))</f>
        <v/>
      </c>
      <c r="G99" t="str">
        <f>IFERROR(IF('VA Sizing'!$N$2="10A61","",
IF(AND('VA Sizing'!$N$2="10A4",'VA Sizing'!V23="Alarm Floats"),VLOOKUP('VA Sizing'!V27,#REF!,7,FALSE),
IF(AND('VA Sizing'!$N$2="10A4",'VA Sizing'!V23="Tantalum Floats (TA)"),VLOOKUP('VA Sizing'!V27,#REF!,7,FALSE),
IF(AND('VA Sizing'!$N$2="10A4",'VA Sizing'!V23="Teflon Floats (PTFE)"),VLOOKUP('VA Sizing'!V27,#REF!,7,FALSE),
IF(AND('VA Sizing'!$N$2="10A4",'VA Sizing'!V23="PVC Floats"),VLOOKUP('VA Sizing'!V27,#REF!,7,FALSE),
IF('VA Sizing'!$N$2="10A22","","")))))),"")</f>
        <v/>
      </c>
    </row>
    <row r="101" spans="6:8">
      <c r="F101" s="46" t="s">
        <v>476</v>
      </c>
      <c r="G101" s="7"/>
    </row>
    <row r="102" spans="6:8">
      <c r="F102" s="7" t="s">
        <v>477</v>
      </c>
      <c r="G102" s="7" t="str">
        <f>IF('VA Sizing'!$N$2="10A61","A61",'VA Sizing'!$N$2)</f>
        <v>A61</v>
      </c>
    </row>
    <row r="103" spans="6:8">
      <c r="F103" s="7" t="s">
        <v>536</v>
      </c>
      <c r="G103" s="7" t="str">
        <f>IF(AND('VA Sizing'!N2="10A4",'VA Sizing'!V22="Additional Floats"),'VA Sizing'!V23,'VA Sizing'!V22)</f>
        <v>10" Scale</v>
      </c>
    </row>
    <row r="104" spans="6:8">
      <c r="F104" s="7" t="str">
        <f>IF('VA Sizing'!$N$2="10A61","Tube + Float",
IF('VA Sizing'!$N$2="10A4","Tube Code",
IF('VA Sizing'!$N$2="10A22","Meter Size","")))</f>
        <v>Tube + Float</v>
      </c>
      <c r="G104" s="7" t="str">
        <f>IFERROR(IF('VA Sizing'!$N$2="10A61",VLOOKUP('VA Sizing'!V28,'10A61 Naming'!F106:L141,6,FALSE),
IF(AND('VA Sizing'!$N$2="10A4",'VA Sizing'!V23="Alarm Floats"),VLOOKUP('VA Sizing'!V28,#REF!,6,FALSE),
IF(AND('VA Sizing'!$N$2="10A4",'VA Sizing'!V23="Tantalum Floats (TA)"),VLOOKUP('VA Sizing'!V28,#REF!,6,FALSE),
IF(AND('VA Sizing'!$N$2="10A4",'VA Sizing'!V23="Teflon Floats (PTFE)"),VLOOKUP('VA Sizing'!V28,#REF!,6,FALSE),
IF(AND('VA Sizing'!$N$2="10A4",'VA Sizing'!V23="PVC Floats"),VLOOKUP('VA Sizing'!V28,#REF!,6,FALSE),
IF('VA Sizing'!$N$2="10A22","","")))))),"")</f>
        <v>(T7) FP-1/4-40-G6+CA</v>
      </c>
    </row>
    <row r="105" spans="6:8">
      <c r="F105" s="7" t="s">
        <v>343</v>
      </c>
      <c r="G105" s="7" t="str">
        <f>'VA Sizing'!Y28</f>
        <v>0 - 0.12</v>
      </c>
      <c r="H105" s="7" t="str">
        <f>'VA Sizing'!Z28</f>
        <v>m3/h</v>
      </c>
    </row>
    <row r="106" spans="6:8">
      <c r="F106" s="7" t="str">
        <f>IF(LEFT('VA Sizing'!V28,1)=" ","Combination may require a viscosity calibration",
IF(RIGHT('VA Sizing'!V28,1)=" ","Combination requires a greater operating pressure",""))</f>
        <v/>
      </c>
      <c r="G106" s="7"/>
    </row>
    <row r="107" spans="6:8">
      <c r="F107" s="7" t="str">
        <f>IFERROR(IF(AND(G102="A61",OR('Modified Inputs'!$K$2&gt;150,'Modified Inputs'!$I$2&gt;165)),"Pressure and/or Temperature limits exceeded 150 Degrees F and 150 psig                                                      Please contact ABB for more information",
IF(AND(G102="10A4",OR(LEFT(G104,4)="(D1)",LEFT(G104,4)="(D2)",LEFT(G104,4)="(E1)"),OR('Modified Inputs'!$K$2&gt;100,'Modified Inputs'!$I$2&gt;115)),"Pressure and/or Temperature limits exceeded 100 Degrees F and 100 psig                                                      Please contact ABB for more information",
IF(AND(G102="10A4",OR(LEFT(G104,4)="(B1)",LEFT(G104,4)="(B2)",LEFT(G104,4)="(C1)",LEFT(G104,4)="(C2)"),OR('Modified Inputs'!$K$2&gt;100,'Modified Inputs'!$I$2&gt;215)),"Pressure and/or Temperature limits exceeded 100 Degrees F and 200 psig                                                      Please contact ABB for more information",
IF(AND(G102="10A4",OR(LEFT(G104,4)="(A1)",LEFT(G104,4)="(A2)",LEFT(G104,4)="(A3)",LEFT(G104,4)="(A4)",LEFT(G104,4)="(A6)"),OR('Modified Inputs'!$K$2&gt;100,'Modified Inputs'!$I$2&gt;265)),"Pressure and/or Temperature limits exceeded 100 Degrees F and 250 psig                                                      Please contact ABB for more information",
IF(AND(G102="10A22",OR(LEFT(G104,3)="(2)",LEFT(G104,3)="(3)"),OR('Modified Inputs'!$K$2&gt;100,'Modified Inputs'!$I$2&gt;190)),"Pressure and/or Temperature limits exceeded 100 Degrees F and 175 psig                                                      Please contact ABB for more information",
IF(AND(G102="10A22",OR(LEFT(G104,3)="(4)",LEFT(G104,3)="(5)"),OR('Modified Inputs'!$K$2&gt;100,'Modified Inputs'!$I$2&gt;115)),"Pressure and/or Temperature limits exceeded 100 Degrees F and 100 psig                                                      Please contact ABB for more information",
IF(AND(G102="10A22",OR(LEFT(G104,3)="(6)"),OR('Modified Inputs'!$K$2&gt;100,'Modified Inputs'!$I$2&gt;90)),"Pressure and/or Temperature limits exceeded 100 Degrees F and 75 psig                                                      Please contact ABB for more information",""))))))),"")</f>
        <v/>
      </c>
      <c r="G107" s="7"/>
    </row>
    <row r="108" spans="6:8">
      <c r="F108" t="str">
        <f>IF('VA Sizing'!$N$2="10A61","",
IF('VA Sizing'!$N$2="10A4","Float Code",
IF('VA Sizing'!$N$2="10A22","Application","")))</f>
        <v/>
      </c>
      <c r="G108" t="str">
        <f>IFERROR(IF('VA Sizing'!$N$2="10A61","",
IF(AND('VA Sizing'!$N$2="10A4",'VA Sizing'!V23="Alarm Floats"),VLOOKUP('VA Sizing'!V28,#REF!,7,FALSE),
IF(AND('VA Sizing'!$N$2="10A4",'VA Sizing'!V23="Tantalum Floats (TA)"),VLOOKUP('VA Sizing'!V28,#REF!,7,FALSE),
IF(AND('VA Sizing'!$N$2="10A4",'VA Sizing'!V23="Teflon Floats (PTFE)"),VLOOKUP('VA Sizing'!V28,#REF!,7,FALSE),
IF(AND('VA Sizing'!$N$2="10A4",'VA Sizing'!V23="PVC Floats"),VLOOKUP('VA Sizing'!V28,#REF!,7,FALSE),
IF('VA Sizing'!$N$2="10A22","","")))))),"")</f>
        <v/>
      </c>
    </row>
  </sheetData>
  <mergeCells count="1">
    <mergeCell ref="F1:G1"/>
  </mergeCell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2:R70"/>
  <sheetViews>
    <sheetView topLeftCell="B1" workbookViewId="0">
      <selection activeCell="B21" sqref="B21"/>
    </sheetView>
  </sheetViews>
  <sheetFormatPr defaultRowHeight="15"/>
  <cols>
    <col min="2" max="2" width="23.140625" customWidth="1"/>
    <col min="3" max="3" width="21.85546875" bestFit="1" customWidth="1"/>
    <col min="4" max="4" width="16.28515625" bestFit="1" customWidth="1"/>
    <col min="5" max="5" width="19.140625" bestFit="1" customWidth="1"/>
    <col min="8" max="8" width="13.140625" bestFit="1" customWidth="1"/>
    <col min="9" max="9" width="13" bestFit="1" customWidth="1"/>
    <col min="10" max="10" width="12.140625" bestFit="1" customWidth="1"/>
    <col min="11" max="11" width="12.85546875" bestFit="1" customWidth="1"/>
    <col min="12" max="12" width="12" bestFit="1" customWidth="1"/>
    <col min="13" max="14" width="9.42578125" bestFit="1" customWidth="1"/>
    <col min="17" max="17" width="16.28515625" bestFit="1" customWidth="1"/>
    <col min="18" max="18" width="15.42578125" customWidth="1"/>
  </cols>
  <sheetData>
    <row r="2" spans="2:18">
      <c r="B2" s="46" t="s">
        <v>183</v>
      </c>
      <c r="C2" s="46" t="s">
        <v>180</v>
      </c>
      <c r="D2" s="46" t="s">
        <v>171</v>
      </c>
      <c r="E2" s="46" t="s">
        <v>179</v>
      </c>
    </row>
    <row r="3" spans="2:18" ht="15" customHeight="1">
      <c r="B3" s="7"/>
      <c r="C3" s="7"/>
      <c r="D3" s="7"/>
      <c r="E3" s="7"/>
      <c r="O3" s="110" t="s">
        <v>449</v>
      </c>
      <c r="P3" s="110" t="s">
        <v>450</v>
      </c>
      <c r="Q3" s="110" t="s">
        <v>11</v>
      </c>
      <c r="R3" s="110" t="s">
        <v>13</v>
      </c>
    </row>
    <row r="4" spans="2:18">
      <c r="B4" s="46" t="s">
        <v>460</v>
      </c>
      <c r="C4" s="46" t="s">
        <v>452</v>
      </c>
      <c r="O4" s="110" t="s">
        <v>182</v>
      </c>
      <c r="P4" s="110" t="s">
        <v>451</v>
      </c>
      <c r="Q4" s="110" t="s">
        <v>12</v>
      </c>
      <c r="R4" s="110" t="s">
        <v>14</v>
      </c>
    </row>
    <row r="5" spans="2:18">
      <c r="B5" s="7">
        <f>IF(C3="⁰C",B3,
IF(C3="⁰F",(B3-32)*(5/9),0))</f>
        <v>0</v>
      </c>
      <c r="C5" s="7">
        <f>IF(E3="psi(a)",D3,
IF(E3="psi(g)",D3+14.7,
IF(E3="bar(a)",D3*14.5,
IF(E3="bar(g)",D3*14.5+14.7,
IF(E3="atm(a)",D3*14.7,
IF(E3="atm(g)",D3*14.7+14.7,0))))))</f>
        <v>0</v>
      </c>
      <c r="D5" s="112" t="s">
        <v>464</v>
      </c>
      <c r="E5" s="46" t="s">
        <v>466</v>
      </c>
      <c r="O5" s="109">
        <v>100</v>
      </c>
      <c r="P5" s="111">
        <v>14.709723534</v>
      </c>
      <c r="Q5" s="109">
        <v>5.9815767436296205E-4</v>
      </c>
      <c r="R5" s="111">
        <v>1.2269000000000002E-2</v>
      </c>
    </row>
    <row r="6" spans="2:18">
      <c r="D6" t="s">
        <v>173</v>
      </c>
      <c r="E6" s="7">
        <f>IF(AND(B3="",C3="",D3="",E3=""),1,
IF(AND(NOT(D3=""),E3=""),1,
IF(AND(NOT(E3=""),D3=""),1,
IF(AND(NOT(B3=""),C3=""),1,
IF(AND(NOT(C3=""),B3=""),1,0)))))</f>
        <v>1</v>
      </c>
      <c r="O6" s="109">
        <v>110</v>
      </c>
      <c r="P6" s="111">
        <v>20.795505426000002</v>
      </c>
      <c r="Q6" s="109">
        <v>8.2692466716282145E-4</v>
      </c>
      <c r="R6" s="111">
        <v>1.2611799999999999E-2</v>
      </c>
    </row>
    <row r="7" spans="2:18">
      <c r="B7" t="s">
        <v>453</v>
      </c>
      <c r="O7" s="109">
        <v>120</v>
      </c>
      <c r="P7" s="111">
        <v>28.814639859000003</v>
      </c>
      <c r="Q7" s="109">
        <v>1.1220825852782765E-3</v>
      </c>
      <c r="R7" s="111">
        <v>1.2956000000000002E-2</v>
      </c>
    </row>
    <row r="8" spans="2:18">
      <c r="B8" s="46" t="s">
        <v>455</v>
      </c>
      <c r="C8" s="46" t="s">
        <v>454</v>
      </c>
      <c r="E8" s="7" t="s">
        <v>467</v>
      </c>
      <c r="O8" s="109">
        <v>130</v>
      </c>
      <c r="P8" s="111">
        <v>39.200789556000004</v>
      </c>
      <c r="Q8" s="109">
        <v>1.497005988023952E-3</v>
      </c>
      <c r="R8" s="111">
        <v>1.33013E-2</v>
      </c>
    </row>
    <row r="9" spans="2:18">
      <c r="B9" s="7">
        <f>B5</f>
        <v>0</v>
      </c>
      <c r="C9" s="7">
        <f>H19*(B9)^4+I19*(B9)^3+J19*(B9)^2+K19*B9+L19</f>
        <v>127.27195849156237</v>
      </c>
      <c r="D9" t="str">
        <f>IF(NOT(B9=0),"Filled","Empty")</f>
        <v>Empty</v>
      </c>
      <c r="E9" s="7">
        <f>IF(C17&lt;14.7,1,0)</f>
        <v>1</v>
      </c>
      <c r="O9" s="109">
        <v>140</v>
      </c>
      <c r="P9" s="111">
        <v>52.436930057999994</v>
      </c>
      <c r="Q9" s="109">
        <v>1.9667617268167964E-3</v>
      </c>
      <c r="R9" s="111">
        <v>1.3646700000000001E-2</v>
      </c>
    </row>
    <row r="10" spans="2:18">
      <c r="E10" s="7" t="s">
        <v>468</v>
      </c>
      <c r="O10" s="109">
        <v>150</v>
      </c>
      <c r="P10" s="111">
        <v>69.061151232</v>
      </c>
      <c r="Q10" s="109">
        <v>2.5480952987641738E-3</v>
      </c>
      <c r="R10" s="111">
        <v>1.39919E-2</v>
      </c>
    </row>
    <row r="11" spans="2:18">
      <c r="B11" t="s">
        <v>456</v>
      </c>
      <c r="E11" s="7">
        <f>IF(C17&gt;3052,1,0)</f>
        <v>0</v>
      </c>
      <c r="O11" s="109">
        <v>160</v>
      </c>
      <c r="P11" s="111">
        <v>89.662306139999998</v>
      </c>
      <c r="Q11" s="109">
        <v>3.2596649064476173E-3</v>
      </c>
      <c r="R11" s="111">
        <v>1.4336800000000002E-2</v>
      </c>
    </row>
    <row r="12" spans="2:18">
      <c r="B12" s="46" t="s">
        <v>457</v>
      </c>
      <c r="C12" s="46" t="s">
        <v>171</v>
      </c>
      <c r="O12" s="109">
        <v>170</v>
      </c>
      <c r="P12" s="111">
        <v>114.89886594000001</v>
      </c>
      <c r="Q12" s="109">
        <v>4.1221814584278E-3</v>
      </c>
      <c r="R12" s="111">
        <v>1.4681000000000001E-2</v>
      </c>
    </row>
    <row r="13" spans="2:18">
      <c r="B13" s="7">
        <f>53.381*(C13^0.2424)</f>
        <v>0</v>
      </c>
      <c r="C13" s="7">
        <f>C5</f>
        <v>0</v>
      </c>
      <c r="D13" t="str">
        <f>IF(NOT(B13=0),"Filled","Empty")</f>
        <v>Empty</v>
      </c>
      <c r="E13" s="7" t="s">
        <v>469</v>
      </c>
      <c r="O13" s="109">
        <v>180</v>
      </c>
      <c r="P13" s="111">
        <v>145.44380555999999</v>
      </c>
      <c r="Q13" s="109">
        <v>5.1588939331407343E-3</v>
      </c>
      <c r="R13" s="111">
        <v>1.5025500000000002E-2</v>
      </c>
    </row>
    <row r="14" spans="2:18">
      <c r="E14" s="7">
        <f>IF(B17&lt;100,1,0)</f>
        <v>1</v>
      </c>
      <c r="O14" s="109">
        <v>190</v>
      </c>
      <c r="P14" s="111">
        <v>182.05132104</v>
      </c>
      <c r="Q14" s="109">
        <v>6.3954975697109234E-3</v>
      </c>
      <c r="R14" s="111">
        <v>1.5369799999999999E-2</v>
      </c>
    </row>
    <row r="15" spans="2:18">
      <c r="B15" s="240" t="s">
        <v>458</v>
      </c>
      <c r="C15" s="240"/>
      <c r="O15" s="109">
        <v>200</v>
      </c>
      <c r="P15" s="111">
        <v>225.51911973</v>
      </c>
      <c r="Q15" s="109">
        <v>7.8610172156277029E-3</v>
      </c>
      <c r="R15" s="111">
        <v>1.5714800000000001E-2</v>
      </c>
    </row>
    <row r="16" spans="2:18">
      <c r="B16" s="46" t="s">
        <v>459</v>
      </c>
      <c r="C16" s="46" t="s">
        <v>461</v>
      </c>
      <c r="E16" s="7" t="s">
        <v>470</v>
      </c>
      <c r="O16" s="109">
        <v>210</v>
      </c>
      <c r="P16" s="111">
        <v>276.68842029000001</v>
      </c>
      <c r="Q16" s="109">
        <v>9.5886470419023883E-3</v>
      </c>
      <c r="R16" s="111">
        <v>1.6061400000000003E-2</v>
      </c>
    </row>
    <row r="17" spans="2:18">
      <c r="B17" s="104">
        <f>IF(B9=0,B13,B9)</f>
        <v>0</v>
      </c>
      <c r="C17" s="104">
        <f>IF(B9=0,C13,C9)</f>
        <v>0</v>
      </c>
      <c r="E17" s="7">
        <f>IF(B17&gt;370,1,0)</f>
        <v>0</v>
      </c>
      <c r="O17" s="109">
        <v>220</v>
      </c>
      <c r="P17" s="111">
        <v>336.42944891999997</v>
      </c>
      <c r="Q17" s="109">
        <v>1.1615750958299455E-2</v>
      </c>
      <c r="R17" s="111">
        <v>1.6410800000000003E-2</v>
      </c>
    </row>
    <row r="18" spans="2:18">
      <c r="B18" s="113"/>
      <c r="C18" s="113"/>
      <c r="O18" s="109">
        <v>230</v>
      </c>
      <c r="P18" s="111">
        <v>405.68495066999998</v>
      </c>
      <c r="Q18" s="109">
        <v>1.3986013986013988E-2</v>
      </c>
      <c r="R18" s="111">
        <v>1.67647E-2</v>
      </c>
    </row>
    <row r="19" spans="2:18">
      <c r="B19" s="46" t="s">
        <v>462</v>
      </c>
      <c r="C19" s="46" t="s">
        <v>463</v>
      </c>
      <c r="E19" s="7" t="s">
        <v>471</v>
      </c>
      <c r="H19">
        <f t="array" ref="H19:L19">LINEST(P5:P32,O5:O32^{1,2,3,4})</f>
        <v>2.9579781942811233E-7</v>
      </c>
      <c r="I19">
        <v>-9.6500714422309249E-5</v>
      </c>
      <c r="J19">
        <v>2.4283267979178725E-2</v>
      </c>
      <c r="K19">
        <v>-2.8645503880300134</v>
      </c>
      <c r="L19">
        <v>127.27195849156237</v>
      </c>
      <c r="O19" s="109">
        <v>240</v>
      </c>
      <c r="P19" s="111">
        <v>485.42667813000003</v>
      </c>
      <c r="Q19" s="109">
        <v>1.6747613465081225E-2</v>
      </c>
      <c r="R19" s="111">
        <v>1.7124999999999998E-2</v>
      </c>
    </row>
    <row r="20" spans="2:18">
      <c r="B20" s="7">
        <f>IF(B17&lt;260.00001,H49*(B17)^6+I49*(B17)^5+J49*(B17)^4+K49*(B17)^3+L49*(B17)^2+M49*B17+N49,H51*(B17)^6+I51*(B17)^5+J51*(B17)^4+K51*(B17)^3+L51*(B17)^2+M51*B17+N51)</f>
        <v>3.2143294258594572E-3</v>
      </c>
      <c r="C20" s="7">
        <f>IF(B17&lt;260.0001,H70*(B20)^6+I70*(B20)^5+J70*(B20)^4+K70*(B20)^3+L70*(B20)^2+M70*B20+N70,0.0648*B20+0.0165)</f>
        <v>1.4348852412725139E-2</v>
      </c>
      <c r="E20" s="7">
        <f>IF(OR(E9=1,E11=1,E14=1,E17=1),1,0)</f>
        <v>1</v>
      </c>
      <c r="O20" s="109">
        <v>250</v>
      </c>
      <c r="P20" s="111">
        <v>576.69890273999999</v>
      </c>
      <c r="Q20" s="109">
        <v>1.9968051118210862E-2</v>
      </c>
      <c r="R20" s="111">
        <v>1.7495E-2</v>
      </c>
    </row>
    <row r="21" spans="2:18">
      <c r="O21" s="109">
        <v>260</v>
      </c>
      <c r="P21" s="111">
        <v>680.56039971000007</v>
      </c>
      <c r="Q21" s="109">
        <v>2.3713540431586438E-2</v>
      </c>
      <c r="R21" s="111">
        <v>1.7877000000000001E-2</v>
      </c>
    </row>
    <row r="22" spans="2:18">
      <c r="O22" s="109">
        <v>270</v>
      </c>
      <c r="P22" s="111">
        <v>798.14246309999999</v>
      </c>
      <c r="Q22" s="109">
        <v>2.8074115665356541E-2</v>
      </c>
      <c r="R22" s="111">
        <v>1.8277000000000002E-2</v>
      </c>
    </row>
    <row r="23" spans="2:18">
      <c r="B23" s="240" t="s">
        <v>472</v>
      </c>
      <c r="C23" s="240"/>
      <c r="D23" s="240"/>
      <c r="E23" s="240"/>
      <c r="O23" s="109">
        <v>280</v>
      </c>
      <c r="P23" s="111">
        <v>930.64890581999998</v>
      </c>
      <c r="Q23" s="109">
        <v>3.316749585406302E-2</v>
      </c>
      <c r="R23" s="111">
        <v>1.8670000000000003E-2</v>
      </c>
    </row>
    <row r="24" spans="2:18">
      <c r="B24" s="46" t="s">
        <v>449</v>
      </c>
      <c r="C24" s="46" t="s">
        <v>47</v>
      </c>
      <c r="D24" s="46" t="s">
        <v>450</v>
      </c>
      <c r="E24" s="46" t="s">
        <v>47</v>
      </c>
      <c r="O24" s="109">
        <v>290</v>
      </c>
      <c r="P24" s="111">
        <v>1079.34155586</v>
      </c>
      <c r="Q24" s="109">
        <v>3.9123630672926443E-2</v>
      </c>
      <c r="R24" s="111">
        <v>1.9154100000000004E-2</v>
      </c>
    </row>
    <row r="25" spans="2:18">
      <c r="B25" s="7"/>
      <c r="C25" s="7"/>
      <c r="D25" s="7"/>
      <c r="E25" s="7"/>
      <c r="O25" s="109">
        <v>300</v>
      </c>
      <c r="P25" s="111">
        <v>1245.56926383</v>
      </c>
      <c r="Q25" s="109">
        <v>4.6168051708217916E-2</v>
      </c>
      <c r="R25" s="111">
        <v>1.9651200000000004E-2</v>
      </c>
    </row>
    <row r="26" spans="2:18">
      <c r="O26" s="109">
        <v>310</v>
      </c>
      <c r="P26" s="111">
        <v>1430.8114142700001</v>
      </c>
      <c r="Q26" s="109">
        <v>5.452562704471102E-2</v>
      </c>
      <c r="R26" s="111">
        <v>2.0207000000000006E-2</v>
      </c>
    </row>
    <row r="27" spans="2:18">
      <c r="O27" s="109">
        <v>320</v>
      </c>
      <c r="P27" s="111">
        <v>1636.6054068000001</v>
      </c>
      <c r="Q27" s="109">
        <v>6.464124111182934E-2</v>
      </c>
      <c r="R27" s="111">
        <v>2.0846000000000003E-2</v>
      </c>
    </row>
    <row r="28" spans="2:18">
      <c r="O28" s="109">
        <v>330</v>
      </c>
      <c r="P28" s="111">
        <v>1864.8947466000002</v>
      </c>
      <c r="Q28" s="109">
        <v>7.7041602465331288E-2</v>
      </c>
      <c r="R28" s="111">
        <v>2.16054E-2</v>
      </c>
    </row>
    <row r="29" spans="2:18">
      <c r="O29" s="109">
        <v>340</v>
      </c>
      <c r="P29" s="111">
        <v>2117.6954577000001</v>
      </c>
      <c r="Q29" s="109">
        <v>9.27643784786642E-2</v>
      </c>
      <c r="R29" s="111">
        <v>2.2553000000000004E-2</v>
      </c>
    </row>
    <row r="30" spans="2:18">
      <c r="O30" s="109">
        <v>350</v>
      </c>
      <c r="P30" s="111">
        <v>2397.3281433000002</v>
      </c>
      <c r="Q30" s="109">
        <v>0.11363636363636363</v>
      </c>
      <c r="R30" s="111">
        <v>2.3821000000000002E-2</v>
      </c>
    </row>
    <row r="31" spans="2:18">
      <c r="O31" s="109">
        <v>360</v>
      </c>
      <c r="P31" s="111">
        <v>2707.2737081999999</v>
      </c>
      <c r="Q31" s="109">
        <v>0.14388489208633096</v>
      </c>
      <c r="R31" s="111">
        <v>2.5729000000000005E-2</v>
      </c>
    </row>
    <row r="32" spans="2:18">
      <c r="O32" s="109">
        <v>370</v>
      </c>
      <c r="P32" s="111">
        <v>3052.1733588000002</v>
      </c>
      <c r="Q32" s="109">
        <v>0.20202020202020199</v>
      </c>
      <c r="R32" s="111">
        <v>2.9700000000000004E-2</v>
      </c>
    </row>
    <row r="33" spans="18:18">
      <c r="R33" s="30"/>
    </row>
    <row r="34" spans="18:18">
      <c r="R34" s="30"/>
    </row>
    <row r="35" spans="18:18">
      <c r="R35" s="30"/>
    </row>
    <row r="36" spans="18:18">
      <c r="R36" s="30"/>
    </row>
    <row r="37" spans="18:18">
      <c r="R37" s="30"/>
    </row>
    <row r="38" spans="18:18">
      <c r="R38" s="30"/>
    </row>
    <row r="39" spans="18:18">
      <c r="R39" s="30"/>
    </row>
    <row r="40" spans="18:18">
      <c r="R40" s="30"/>
    </row>
    <row r="41" spans="18:18">
      <c r="R41" s="30"/>
    </row>
    <row r="42" spans="18:18">
      <c r="R42" s="30"/>
    </row>
    <row r="43" spans="18:18">
      <c r="R43" s="30"/>
    </row>
    <row r="44" spans="18:18">
      <c r="R44" s="30"/>
    </row>
    <row r="45" spans="18:18">
      <c r="R45" s="30"/>
    </row>
    <row r="46" spans="18:18">
      <c r="R46" s="30"/>
    </row>
    <row r="47" spans="18:18">
      <c r="R47" s="30"/>
    </row>
    <row r="48" spans="18:18">
      <c r="R48" s="30"/>
    </row>
    <row r="49" spans="8:18">
      <c r="H49">
        <f t="array" ref="H49:N49">LINEST(Q5:Q21,O5:O21^{1,2,3,4,5,6})</f>
        <v>2.8751233223996836E-16</v>
      </c>
      <c r="I49">
        <v>-2.52406365640718E-13</v>
      </c>
      <c r="J49">
        <v>1.0035540238038779E-10</v>
      </c>
      <c r="K49">
        <v>-1.9504556642020205E-8</v>
      </c>
      <c r="L49">
        <v>2.2152549244248422E-6</v>
      </c>
      <c r="M49">
        <v>-1.3062956929503733E-4</v>
      </c>
      <c r="N49">
        <v>3.2143294258594572E-3</v>
      </c>
      <c r="R49" s="30"/>
    </row>
    <row r="50" spans="8:18">
      <c r="R50" s="30"/>
    </row>
    <row r="51" spans="8:18">
      <c r="H51">
        <f t="array" ref="H51:N51">LINEST(Q21:Q32,O21:O32^{1,2,3,4,5,6})</f>
        <v>1.1838634494303623E-12</v>
      </c>
      <c r="I51">
        <v>-2.1706288468493398E-9</v>
      </c>
      <c r="J51">
        <v>1.655182620264217E-6</v>
      </c>
      <c r="K51">
        <v>-6.717925072005081E-4</v>
      </c>
      <c r="L51">
        <v>0.15305380480574574</v>
      </c>
      <c r="M51">
        <v>-18.557560539085618</v>
      </c>
      <c r="N51">
        <v>935.48176204632114</v>
      </c>
      <c r="R51" s="30"/>
    </row>
    <row r="52" spans="8:18">
      <c r="R52" s="30"/>
    </row>
    <row r="70" spans="8:14">
      <c r="H70">
        <f t="array" ref="H70:N70">LINEST(R5:R21,Q5:Q21^{1,2,3,4,5,6})</f>
        <v>-937108391.31712174</v>
      </c>
      <c r="I70">
        <v>73391534.461281061</v>
      </c>
      <c r="J70">
        <v>-2262590.6326697329</v>
      </c>
      <c r="K70">
        <v>35157.164949576254</v>
      </c>
      <c r="L70">
        <v>-297.53466817093198</v>
      </c>
      <c r="M70">
        <v>1.5449001368027202</v>
      </c>
      <c r="N70">
        <v>1.1506940502944308E-2</v>
      </c>
    </row>
  </sheetData>
  <mergeCells count="2">
    <mergeCell ref="B15:C15"/>
    <mergeCell ref="B23:E23"/>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L15"/>
  <sheetViews>
    <sheetView workbookViewId="0">
      <selection activeCell="B15" sqref="B15"/>
    </sheetView>
  </sheetViews>
  <sheetFormatPr defaultRowHeight="15"/>
  <cols>
    <col min="1" max="1" width="16.7109375" bestFit="1" customWidth="1"/>
    <col min="2" max="2" width="17.5703125" bestFit="1" customWidth="1"/>
    <col min="3" max="3" width="19.140625" customWidth="1"/>
    <col min="4" max="4" width="14.28515625" bestFit="1" customWidth="1"/>
    <col min="5" max="5" width="12" bestFit="1" customWidth="1"/>
    <col min="6" max="6" width="10.85546875" bestFit="1" customWidth="1"/>
    <col min="10" max="10" width="13" customWidth="1"/>
    <col min="11" max="11" width="12" bestFit="1" customWidth="1"/>
  </cols>
  <sheetData>
    <row r="1" spans="1:12">
      <c r="A1" s="99" t="s">
        <v>425</v>
      </c>
      <c r="B1" s="99" t="s">
        <v>426</v>
      </c>
      <c r="C1" s="99" t="s">
        <v>427</v>
      </c>
      <c r="D1" s="99" t="s">
        <v>428</v>
      </c>
    </row>
    <row r="2" spans="1:12" ht="15.75" thickBot="1">
      <c r="A2" s="5"/>
      <c r="B2" s="5"/>
      <c r="C2" s="5"/>
      <c r="D2" s="5"/>
      <c r="E2" s="5"/>
      <c r="F2" s="237" t="s">
        <v>431</v>
      </c>
      <c r="G2" s="237"/>
    </row>
    <row r="3" spans="1:12" ht="15.75" thickBot="1">
      <c r="A3" s="103"/>
      <c r="B3" s="103"/>
      <c r="C3" s="103"/>
      <c r="D3" s="103"/>
      <c r="E3" s="103">
        <f>SUM(A3:D3)</f>
        <v>0</v>
      </c>
      <c r="F3">
        <f>IF(AND(NOT(A3=""),NOT(E3=100)),1,0)</f>
        <v>0</v>
      </c>
      <c r="G3" s="105">
        <f>IF(OR(F3=1,F4=1),1,0)</f>
        <v>0</v>
      </c>
      <c r="H3" t="s">
        <v>429</v>
      </c>
    </row>
    <row r="4" spans="1:12">
      <c r="A4" s="107"/>
      <c r="B4" s="107"/>
      <c r="C4" s="107"/>
      <c r="D4" s="107"/>
      <c r="E4" s="107">
        <f>SUM(A4:D4)</f>
        <v>0</v>
      </c>
      <c r="F4">
        <f>IF(AND(NOT(A4=""),NOT(E4=100)),1,0)</f>
        <v>0</v>
      </c>
      <c r="H4" t="s">
        <v>430</v>
      </c>
    </row>
    <row r="5" spans="1:12" ht="15.75" thickBot="1">
      <c r="A5">
        <f>SUM(VLOOKUP(A2,'10A61 5" Calcs'!J3:L30,2,FALSE),VLOOKUP(B2,'10A61 5" Calcs'!J3:L30,2,FALSE),VLOOKUP(C2,'10A61 5" Calcs'!J3:L30,2,FALSE),VLOOKUP(D2,'10A61 5" Calcs'!J3:L30,2,FALSE))</f>
        <v>0</v>
      </c>
      <c r="B5">
        <f>SUM(VLOOKUP(A2,'10A61 5" Calcs'!J3:L30,3,FALSE),VLOOKUP(B2,'10A61 5" Calcs'!J3:L30,3,FALSE),VLOOKUP(C2,'10A61 5" Calcs'!J3:L30,3,FALSE),VLOOKUP(D2,'10A61 5" Calcs'!J3:L30,3,FALSE))</f>
        <v>0</v>
      </c>
      <c r="F5" s="237" t="s">
        <v>432</v>
      </c>
      <c r="G5" s="237"/>
      <c r="H5" s="237"/>
      <c r="I5" s="237"/>
    </row>
    <row r="6" spans="1:12" ht="15.75" thickBot="1">
      <c r="A6" t="s">
        <v>447</v>
      </c>
      <c r="B6" t="s">
        <v>448</v>
      </c>
      <c r="F6">
        <f>IF(OR(AND(NOT(A2=""),A3="",A4="")),1,0)</f>
        <v>0</v>
      </c>
      <c r="G6">
        <f>IF(OR(AND(NOT(B2=""),B3="",B4="")),1,0)</f>
        <v>0</v>
      </c>
      <c r="H6">
        <f>IF(OR(AND(NOT(C2=""),C3="",C4="")),1,0)</f>
        <v>0</v>
      </c>
      <c r="I6">
        <f t="shared" ref="I6" si="0">IF(OR(AND(NOT(D2=""),D3="",D4="")),1,0)</f>
        <v>0</v>
      </c>
      <c r="J6" s="105">
        <f>IF(G3=1,0,
IF(OR(F6=1,G6=1,H6=1,I6=1),1,0))</f>
        <v>0</v>
      </c>
    </row>
    <row r="7" spans="1:12" ht="15.75" thickBot="1">
      <c r="A7" t="s">
        <v>445</v>
      </c>
      <c r="B7" t="s">
        <v>445</v>
      </c>
      <c r="C7" t="s">
        <v>445</v>
      </c>
      <c r="D7" t="s">
        <v>445</v>
      </c>
      <c r="F7" s="237" t="s">
        <v>433</v>
      </c>
      <c r="G7" s="237"/>
      <c r="H7" s="237"/>
      <c r="I7" s="237"/>
    </row>
    <row r="8" spans="1:12" ht="15.75" thickBot="1">
      <c r="A8">
        <f>((A3*A5)/VLOOKUP(A2,'10A61 5" Calcs'!$J$3:$O$30,6,FALSE))</f>
        <v>0</v>
      </c>
      <c r="B8">
        <f>(B3*A5)/VLOOKUP(B2,'10A61 5" Calcs'!$J$3:$O$30,6,FALSE)</f>
        <v>0</v>
      </c>
      <c r="C8">
        <f>(C3*A5)/VLOOKUP(C2,'10A61 5" Calcs'!$J$3:$O$30,6,FALSE)</f>
        <v>0</v>
      </c>
      <c r="D8">
        <f>(D3*A5)/VLOOKUP(D2,'10A61 5" Calcs'!$J$3:$O$30,6,FALSE)</f>
        <v>0</v>
      </c>
      <c r="F8">
        <f>IF(AND(NOT(A3=""),NOT(A4="")),1,0)</f>
        <v>0</v>
      </c>
      <c r="G8">
        <f t="shared" ref="G8:I8" si="1">IF(AND(NOT(B3=""),NOT(B4="")),1,0)</f>
        <v>0</v>
      </c>
      <c r="H8">
        <f t="shared" si="1"/>
        <v>0</v>
      </c>
      <c r="I8">
        <f t="shared" si="1"/>
        <v>0</v>
      </c>
      <c r="J8" s="105">
        <f>IF(OR(F8=1,G8=1,H8=1,I8=1),1,0)</f>
        <v>0</v>
      </c>
      <c r="L8" s="105">
        <f>IF(OR(J6=1,J8=1,J10=1,F12=1),1,0)</f>
        <v>1</v>
      </c>
    </row>
    <row r="9" spans="1:12" ht="15.75" thickBot="1">
      <c r="A9" t="e">
        <f>A8/SUM($A$8:$D$8)</f>
        <v>#DIV/0!</v>
      </c>
      <c r="B9" t="e">
        <f t="shared" ref="B9:D9" si="2">B8/SUM($A$8:$D$8)</f>
        <v>#DIV/0!</v>
      </c>
      <c r="C9" t="e">
        <f t="shared" si="2"/>
        <v>#DIV/0!</v>
      </c>
      <c r="D9" t="e">
        <f t="shared" si="2"/>
        <v>#DIV/0!</v>
      </c>
      <c r="F9" s="237" t="s">
        <v>434</v>
      </c>
      <c r="G9" s="237"/>
      <c r="H9" s="237"/>
      <c r="I9" s="237"/>
      <c r="L9" s="105">
        <f>IF(AND(G3=0,J6=0,J8=0,J10=0,F12=0),0,1)</f>
        <v>1</v>
      </c>
    </row>
    <row r="10" spans="1:12" ht="15.75" thickBot="1">
      <c r="A10" t="s">
        <v>446</v>
      </c>
      <c r="B10" t="s">
        <v>446</v>
      </c>
      <c r="C10" t="s">
        <v>446</v>
      </c>
      <c r="D10" t="s">
        <v>446</v>
      </c>
      <c r="F10">
        <f>IF(AND(OR(NOT(A3=""),NOT(A4="")),A2=""),1,0)</f>
        <v>0</v>
      </c>
      <c r="G10">
        <f t="shared" ref="G10:I10" si="3">IF(AND(OR(NOT(B3=""),NOT(B4="")),B2=""),1,0)</f>
        <v>0</v>
      </c>
      <c r="H10">
        <f t="shared" si="3"/>
        <v>0</v>
      </c>
      <c r="I10">
        <f t="shared" si="3"/>
        <v>0</v>
      </c>
      <c r="J10" s="105">
        <f>IF(OR(F10=1,G10=1,H10=1,I10=1),1,0)</f>
        <v>0</v>
      </c>
    </row>
    <row r="11" spans="1:12" ht="15.75" thickBot="1">
      <c r="A11">
        <f>(A3*B5)/VLOOKUP(A2,'10A61 5" Calcs'!$J$3:$O$30,6,FALSE)</f>
        <v>0</v>
      </c>
      <c r="B11">
        <f>(B3*B5)/VLOOKUP(B2,'10A61 5" Calcs'!$J$3:$O$30,6,FALSE)</f>
        <v>0</v>
      </c>
      <c r="C11">
        <f>(C3*B5)/VLOOKUP(C2,'10A61 5" Calcs'!$J$3:$O$30,6,FALSE)</f>
        <v>0</v>
      </c>
      <c r="D11">
        <f>(D3*B5)/VLOOKUP(D2,'10A61 5" Calcs'!$J$3:$O$30,6,FALSE)</f>
        <v>0</v>
      </c>
      <c r="F11" t="s">
        <v>435</v>
      </c>
    </row>
    <row r="12" spans="1:12" ht="15.75" thickBot="1">
      <c r="A12" t="e">
        <f>A11/SUM($A$11:$D$11)</f>
        <v>#DIV/0!</v>
      </c>
      <c r="B12" t="e">
        <f t="shared" ref="B12:D12" si="4">B11/SUM($A$11:$D$11)</f>
        <v>#DIV/0!</v>
      </c>
      <c r="C12" t="e">
        <f t="shared" si="4"/>
        <v>#DIV/0!</v>
      </c>
      <c r="D12" t="e">
        <f t="shared" si="4"/>
        <v>#DIV/0!</v>
      </c>
      <c r="F12" s="105">
        <f>IF(OR(AND(A2="",A3="",A4="",B2="",B3="",B4="",C2="",C3="",C4="",D2="",D3="",D4=""),E2=""),1,0)</f>
        <v>1</v>
      </c>
    </row>
    <row r="13" spans="1:12">
      <c r="A13" s="238" t="s">
        <v>442</v>
      </c>
      <c r="B13" s="238"/>
      <c r="C13" s="238" t="s">
        <v>443</v>
      </c>
      <c r="D13" s="238"/>
    </row>
    <row r="14" spans="1:12">
      <c r="A14" s="101" t="s">
        <v>439</v>
      </c>
      <c r="B14" s="101" t="s">
        <v>440</v>
      </c>
      <c r="C14" s="101" t="s">
        <v>439</v>
      </c>
      <c r="D14" s="101" t="s">
        <v>440</v>
      </c>
      <c r="E14" s="101" t="s">
        <v>13</v>
      </c>
      <c r="F14" s="101" t="s">
        <v>441</v>
      </c>
    </row>
    <row r="15" spans="1:12">
      <c r="A15" s="101" t="str">
        <f>IF(AND(NOT(A2=""),NOT(B2=""),NOT(C2=""),NOT(D2="")),VLOOKUP(A2,'10A61 5" Calcs'!J3:K29,2,FALSE)*(MixedGas!A3/MixedGas!E3)+VLOOKUP(B2,'10A61 5" Calcs'!J3:K29,2,FALSE)*(B3/MixedGas!E3)+VLOOKUP(C2,'10A61 5" Calcs'!J3:K29,2,FALSE)*(C3/MixedGas!E3)+VLOOKUP(D2,'10A61 5" Calcs'!J3:K29,2,FALSE)*(D3/MixedGas!E3),
IF(AND(NOT(A2=""),NOT(B2=""),NOT(C2="")),VLOOKUP(A2,'10A61 5" Calcs'!J3:K29,2,FALSE)*(MixedGas!A3/MixedGas!E3)+VLOOKUP(B2,'10A61 5" Calcs'!J3:K29,2,FALSE)*(B3/MixedGas!E3)+VLOOKUP(C2,'10A61 5" Calcs'!J3:K29,2,FALSE)*(C3/MixedGas!E3),
IF(AND(NOT(A2=""),NOT(B2="")),VLOOKUP(A2,'10A61 5" Calcs'!J3:K29,2,FALSE)*(MixedGas!A3/MixedGas!E3)+VLOOKUP(B2,'10A61 5" Calcs'!J3:K29,2,FALSE)*(B3/MixedGas!E3),
IF(AND(NOT(A2="")),VLOOKUP(A2,'10A61 5" Calcs'!J3:K29,2,FALSE)*(MixedGas!A3/MixedGas!E3),""))))</f>
        <v/>
      </c>
      <c r="B15" s="101" t="e">
        <f>VLOOKUP(A2,'10A61 5" Calcs'!$J$3:$L$30,2,FALSE)*MixedGas!A9+VLOOKUP(B2,'10A61 5" Calcs'!$J$3:$L$30,2,FALSE)*MixedGas!B9+VLOOKUP(C2,'10A61 5" Calcs'!$J$3:$L$30,2,FALSE)*MixedGas!C9+VLOOKUP(D2,'10A61 5" Calcs'!$J$3:$L$30,2,FALSE)*MixedGas!D9</f>
        <v>#DIV/0!</v>
      </c>
      <c r="C15" s="101" t="str">
        <f>IF(AND(NOT(A2=""),NOT(B2=""),NOT(C2=""),NOT(D2="")),VLOOKUP(A2,'10A61 5" Calcs'!J3:L29,3,FALSE)*(MixedGas!A3/MixedGas!E3)+VLOOKUP(B2,'10A61 5" Calcs'!J3:L29,3,FALSE)*(B3/MixedGas!E3)+VLOOKUP(C2,'10A61 5" Calcs'!J3:L29,3,FALSE)*(C3/MixedGas!E3)+VLOOKUP(D2,'10A61 5" Calcs'!J3:L29,3,FALSE)*(D3/MixedGas!E3),
IF(AND(NOT(A2=""),NOT(B2=""),NOT(C2="")),VLOOKUP(A2,'10A61 5" Calcs'!J3:L29,3,FALSE)*(MixedGas!A3/MixedGas!E3)+VLOOKUP(B2,'10A61 5" Calcs'!J3:L29,3,FALSE)*(B3/MixedGas!E3)+VLOOKUP(C2,'10A61 5" Calcs'!J3:L29,3,FALSE)*(C3/MixedGas!E3),
IF(AND(NOT(A2=""),NOT(B2="")),VLOOKUP(A2,'10A61 5" Calcs'!J3:L29,3,FALSE)*(MixedGas!A3/MixedGas!E3)+VLOOKUP(B2,'10A61 5" Calcs'!J3:L29,3,FALSE)*(B3/MixedGas!E3),
IF(AND(NOT(A2="")),VLOOKUP(A2,'10A61 5" Calcs'!J3:L29,3,FALSE)*(MixedGas!A3/MixedGas!E3),""))))</f>
        <v/>
      </c>
      <c r="D15" s="101" t="e">
        <f>VLOOKUP(A2,'10A61 5" Calcs'!$J$3:$L$30,3,FALSE)*MixedGas!A12+VLOOKUP(B2,'10A61 5" Calcs'!$J$3:$L$30,3,FALSE)*MixedGas!B12+VLOOKUP(C2,'10A61 5" Calcs'!$J$3:$L$30,3,FALSE)*MixedGas!C12+VLOOKUP(D2,'10A61 5" Calcs'!$J$3:$L$30,3,FALSE)*MixedGas!D12</f>
        <v>#DIV/0!</v>
      </c>
      <c r="E15" s="101">
        <f>EXP((A3/100)*LN(VLOOKUP(A2,'10A61 5" Calcs'!$J$3:$M$30,4,FALSE))+(B3/100)*LN(VLOOKUP(B2,'10A61 5" Calcs'!$J$3:$M$30,4,FALSE))+(C3/100)*LN(VLOOKUP(C2,'10A61 5" Calcs'!$J$3:$M$30,4,FALSE))+(D3/100)*LN(VLOOKUP(D2,'10A61 5" Calcs'!$J$3:$M$30,4,FALSE)))</f>
        <v>1</v>
      </c>
      <c r="F15" s="101" t="b">
        <f>IF(AND(NOT(A2=""),NOT(B2=""),NOT(C2=""),NOT(D2="")),AVERAGE(VLOOKUP(A2,'10A61 5" Calcs'!$J$3:$N$30,5,FALSE),VLOOKUP(B2,'10A61 5" Calcs'!$J$3:$N$30,5,FALSE),VLOOKUP(C2,'10A61 5" Calcs'!$J$3:$N$30,5,FALSE),VLOOKUP(D2,'10A61 5" Calcs'!$J$3:$N$30,5,FALSE)),
IF(AND(NOT(A2=""),NOT(B2=""),NOT(C2="")),AVERAGE(VLOOKUP(A2,'10A61 5" Calcs'!$J$3:$N$30,5,FALSE),VLOOKUP(B2,'10A61 5" Calcs'!$J$3:$N$30,5,FALSE),VLOOKUP(C2,'10A61 5" Calcs'!$J$3:$N$30,5,FALSE)),
IF(AND(NOT(A2=""),NOT(B2="")),AVERAGE(VLOOKUP(A2,'10A61 5" Calcs'!$J$3:$N$30,5,FALSE),VLOOKUP(B2,'10A61 5" Calcs'!$J$3:$N$30,5,FALSE)),
IF(AND(NOT(A2="")),AVERAGE(VLOOKUP(A2,'10A61 5" Calcs'!$J$3:$N$30,5,FALSE))))))</f>
        <v>0</v>
      </c>
    </row>
  </sheetData>
  <mergeCells count="6">
    <mergeCell ref="F2:G2"/>
    <mergeCell ref="F5:I5"/>
    <mergeCell ref="F7:I7"/>
    <mergeCell ref="F9:I9"/>
    <mergeCell ref="A13:B13"/>
    <mergeCell ref="C13:D13"/>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2:Q141"/>
  <sheetViews>
    <sheetView topLeftCell="A114" workbookViewId="0">
      <selection activeCell="P134" sqref="P134"/>
    </sheetView>
  </sheetViews>
  <sheetFormatPr defaultRowHeight="15"/>
  <cols>
    <col min="1" max="1" width="10.5703125" bestFit="1" customWidth="1"/>
    <col min="3" max="3" width="16.140625" bestFit="1" customWidth="1"/>
    <col min="6" max="6" width="16.140625" bestFit="1" customWidth="1"/>
    <col min="7" max="7" width="9.7109375" style="3" bestFit="1" customWidth="1"/>
    <col min="8" max="8" width="9.140625" style="3"/>
    <col min="11" max="11" width="20.7109375" customWidth="1"/>
    <col min="12" max="12" width="17.28515625" bestFit="1" customWidth="1"/>
  </cols>
  <sheetData>
    <row r="2" spans="1:17">
      <c r="A2" s="240" t="s">
        <v>482</v>
      </c>
      <c r="B2" s="240"/>
      <c r="C2" s="240"/>
      <c r="F2" t="s">
        <v>363</v>
      </c>
      <c r="K2" t="s">
        <v>15</v>
      </c>
      <c r="L2" t="s">
        <v>16</v>
      </c>
    </row>
    <row r="3" spans="1:17">
      <c r="A3" s="46" t="s">
        <v>484</v>
      </c>
      <c r="B3" s="46" t="s">
        <v>369</v>
      </c>
      <c r="C3" s="46" t="s">
        <v>483</v>
      </c>
      <c r="E3" s="243" t="s">
        <v>496</v>
      </c>
      <c r="F3" s="150" t="str">
        <f>'10A61 3" Gas+liquid Results'!E4</f>
        <v>1/8-08-BG</v>
      </c>
      <c r="G3" s="3" t="s">
        <v>509</v>
      </c>
      <c r="H3" t="s">
        <v>494</v>
      </c>
      <c r="I3" s="3" t="s">
        <v>819</v>
      </c>
      <c r="J3" t="s">
        <v>508</v>
      </c>
      <c r="K3" t="str">
        <f>CONCATENATE("(",I3,")"," ",J3,"-",G3,H3,"+",M3)</f>
        <v>(F1) FP-1/8-08-P3+BG</v>
      </c>
      <c r="L3" t="str">
        <f>CONCATENATE("(",VLOOKUP(RIGHT(F3,2),$A$4:$C$9,2,FALSE),")"," ",VLOOKUP(RIGHT(F3,2),$A$4:$C$9,3,FALSE))</f>
        <v>(A) Black Glass</v>
      </c>
      <c r="M3" t="str">
        <f>RIGHT(F3,2)</f>
        <v>BG</v>
      </c>
      <c r="O3" s="7" t="s">
        <v>528</v>
      </c>
      <c r="P3" s="7" t="s">
        <v>533</v>
      </c>
      <c r="Q3" s="7" t="s">
        <v>529</v>
      </c>
    </row>
    <row r="4" spans="1:17">
      <c r="A4" s="7" t="s">
        <v>18</v>
      </c>
      <c r="B4" s="7" t="s">
        <v>148</v>
      </c>
      <c r="C4" s="7" t="s">
        <v>488</v>
      </c>
      <c r="E4" s="244"/>
      <c r="F4" s="150" t="str">
        <f>'10A61 3" Gas+liquid Results'!E5</f>
        <v>1/8-08-SA</v>
      </c>
      <c r="G4" s="3" t="s">
        <v>509</v>
      </c>
      <c r="H4" t="s">
        <v>494</v>
      </c>
      <c r="I4" s="3" t="s">
        <v>834</v>
      </c>
      <c r="J4" t="s">
        <v>508</v>
      </c>
      <c r="K4" t="str">
        <f t="shared" ref="K4:K71" si="0">CONCATENATE("(",I4,")"," ",J4,"-",G4,H4,"+",M4)</f>
        <v>(F5) FP-1/8-08-P3+SA</v>
      </c>
      <c r="L4" t="str">
        <f t="shared" ref="L4:L71" si="1">CONCATENATE("(",VLOOKUP(RIGHT(F4,2),$A$4:$C$9,2,FALSE),")"," ",VLOOKUP(RIGHT(F4,2),$A$4:$C$9,3,FALSE))</f>
        <v>(C) Saphire</v>
      </c>
      <c r="M4" t="str">
        <f t="shared" ref="M4:M71" si="2">RIGHT(F4,2)</f>
        <v>SA</v>
      </c>
    </row>
    <row r="5" spans="1:17">
      <c r="A5" s="7" t="s">
        <v>142</v>
      </c>
      <c r="B5" s="7" t="s">
        <v>149</v>
      </c>
      <c r="C5" s="7" t="s">
        <v>489</v>
      </c>
      <c r="E5" s="244"/>
      <c r="F5" s="150" t="str">
        <f>'10A61 3" Gas+liquid Results'!E6</f>
        <v>1/8-08-SS</v>
      </c>
      <c r="G5" s="3" t="s">
        <v>509</v>
      </c>
      <c r="H5" t="s">
        <v>494</v>
      </c>
      <c r="I5" s="3" t="s">
        <v>835</v>
      </c>
      <c r="J5" t="s">
        <v>508</v>
      </c>
      <c r="K5" t="str">
        <f t="shared" si="0"/>
        <v>(F6) FP-1/8-08-P3+SS</v>
      </c>
      <c r="L5" t="str">
        <f t="shared" si="1"/>
        <v>(D) Stainless Steel</v>
      </c>
      <c r="M5" t="str">
        <f t="shared" si="2"/>
        <v>SS</v>
      </c>
    </row>
    <row r="6" spans="1:17">
      <c r="A6" s="7" t="s">
        <v>21</v>
      </c>
      <c r="B6" s="7" t="s">
        <v>124</v>
      </c>
      <c r="C6" s="7" t="s">
        <v>490</v>
      </c>
      <c r="E6" s="244"/>
      <c r="F6" s="150" t="str">
        <f>'10A61 3" Gas+liquid Results'!E7</f>
        <v>1/8-08-CA</v>
      </c>
      <c r="G6" s="3" t="s">
        <v>509</v>
      </c>
      <c r="H6" t="s">
        <v>494</v>
      </c>
      <c r="I6" s="3" t="s">
        <v>833</v>
      </c>
      <c r="J6" t="s">
        <v>508</v>
      </c>
      <c r="K6" t="str">
        <f t="shared" si="0"/>
        <v>(F2) FP-1/8-08-P3+CA</v>
      </c>
      <c r="L6" t="str">
        <f t="shared" si="1"/>
        <v>(E) Carboloy</v>
      </c>
      <c r="M6" t="str">
        <f t="shared" si="2"/>
        <v>CA</v>
      </c>
    </row>
    <row r="7" spans="1:17">
      <c r="A7" s="7" t="s">
        <v>23</v>
      </c>
      <c r="B7" s="7" t="s">
        <v>485</v>
      </c>
      <c r="C7" s="7" t="s">
        <v>491</v>
      </c>
      <c r="E7" s="244"/>
      <c r="F7" s="150" t="str">
        <f>'10A61 3" Gas+liquid Results'!E8</f>
        <v>1/8-08-TA</v>
      </c>
      <c r="G7" s="3" t="s">
        <v>509</v>
      </c>
      <c r="H7" t="s">
        <v>494</v>
      </c>
      <c r="I7" s="3" t="s">
        <v>836</v>
      </c>
      <c r="J7" t="s">
        <v>508</v>
      </c>
      <c r="K7" t="str">
        <f t="shared" si="0"/>
        <v>(F7) FP-1/8-08-P3+TA</v>
      </c>
      <c r="L7" t="str">
        <f t="shared" si="1"/>
        <v>(F) Tantalum</v>
      </c>
      <c r="M7" t="str">
        <f t="shared" si="2"/>
        <v>TA</v>
      </c>
    </row>
    <row r="8" spans="1:17">
      <c r="A8" s="7" t="s">
        <v>26</v>
      </c>
      <c r="B8" s="7" t="s">
        <v>486</v>
      </c>
      <c r="C8" s="7" t="s">
        <v>492</v>
      </c>
      <c r="E8" s="244"/>
      <c r="F8" s="150" t="str">
        <f>'10A61 3" Gas+liquid Results'!E9</f>
        <v>1/8-20-BG</v>
      </c>
      <c r="G8" s="3" t="s">
        <v>510</v>
      </c>
      <c r="H8" t="s">
        <v>494</v>
      </c>
      <c r="I8" s="3" t="s">
        <v>837</v>
      </c>
      <c r="J8" t="s">
        <v>508</v>
      </c>
      <c r="K8" t="str">
        <f t="shared" si="0"/>
        <v>(F8) FP-1/8-20-P3+BG</v>
      </c>
      <c r="L8" t="str">
        <f t="shared" si="1"/>
        <v>(A) Black Glass</v>
      </c>
      <c r="M8" t="str">
        <f t="shared" si="2"/>
        <v>BG</v>
      </c>
    </row>
    <row r="9" spans="1:17">
      <c r="A9" s="7" t="s">
        <v>126</v>
      </c>
      <c r="B9" s="7" t="s">
        <v>487</v>
      </c>
      <c r="C9" s="7" t="s">
        <v>493</v>
      </c>
      <c r="E9" s="244"/>
      <c r="F9" s="150" t="str">
        <f>'10A61 3" Gas+liquid Results'!E10</f>
        <v>1/8-20-SA</v>
      </c>
      <c r="G9" s="3" t="s">
        <v>510</v>
      </c>
      <c r="H9" t="s">
        <v>494</v>
      </c>
      <c r="I9" s="3" t="s">
        <v>839</v>
      </c>
      <c r="J9" t="s">
        <v>508</v>
      </c>
      <c r="K9" t="str">
        <f t="shared" si="0"/>
        <v>(G1) FP-1/8-20-P3+SA</v>
      </c>
      <c r="L9" t="str">
        <f t="shared" si="1"/>
        <v>(C) Saphire</v>
      </c>
      <c r="M9" t="str">
        <f t="shared" si="2"/>
        <v>SA</v>
      </c>
    </row>
    <row r="10" spans="1:17">
      <c r="E10" s="244"/>
      <c r="F10" s="150" t="str">
        <f>'10A61 3" Gas+liquid Results'!E11</f>
        <v>1/8-20-SS</v>
      </c>
      <c r="G10" s="3" t="s">
        <v>510</v>
      </c>
      <c r="H10" t="s">
        <v>494</v>
      </c>
      <c r="I10" s="3" t="s">
        <v>840</v>
      </c>
      <c r="J10" t="s">
        <v>508</v>
      </c>
      <c r="K10" t="str">
        <f t="shared" si="0"/>
        <v>(G2) FP-1/8-20-P3+SS</v>
      </c>
      <c r="L10" t="str">
        <f t="shared" si="1"/>
        <v>(D) Stainless Steel</v>
      </c>
      <c r="M10" t="str">
        <f t="shared" si="2"/>
        <v>SS</v>
      </c>
    </row>
    <row r="11" spans="1:17">
      <c r="E11" s="244"/>
      <c r="F11" s="150" t="str">
        <f>'10A61 3" Gas+liquid Results'!E12</f>
        <v>1/8-20-CA</v>
      </c>
      <c r="G11" s="3" t="s">
        <v>510</v>
      </c>
      <c r="H11" t="s">
        <v>494</v>
      </c>
      <c r="I11" s="3" t="s">
        <v>838</v>
      </c>
      <c r="J11" t="s">
        <v>508</v>
      </c>
      <c r="K11" t="str">
        <f t="shared" si="0"/>
        <v>(F9) FP-1/8-20-P3+CA</v>
      </c>
      <c r="L11" t="str">
        <f t="shared" si="1"/>
        <v>(E) Carboloy</v>
      </c>
      <c r="M11" t="str">
        <f t="shared" si="2"/>
        <v>CA</v>
      </c>
    </row>
    <row r="12" spans="1:17">
      <c r="E12" s="244"/>
      <c r="F12" s="150" t="str">
        <f>'10A61 3" Gas+liquid Results'!E13</f>
        <v>1/8-20-TA</v>
      </c>
      <c r="G12" s="3" t="s">
        <v>510</v>
      </c>
      <c r="H12" t="s">
        <v>494</v>
      </c>
      <c r="I12" s="3" t="s">
        <v>841</v>
      </c>
      <c r="J12" t="s">
        <v>508</v>
      </c>
      <c r="K12" t="str">
        <f t="shared" si="0"/>
        <v>(H1) FP-1/8-20-P3+TA</v>
      </c>
      <c r="L12" t="str">
        <f t="shared" si="1"/>
        <v>(F) Tantalum</v>
      </c>
      <c r="M12" t="str">
        <f t="shared" si="2"/>
        <v>TA</v>
      </c>
    </row>
    <row r="13" spans="1:17">
      <c r="E13" s="244"/>
      <c r="F13" s="150" t="str">
        <f>'10A61 3" Gas+liquid Results'!E14</f>
        <v>1/4-15-BG</v>
      </c>
      <c r="G13" s="3" t="s">
        <v>511</v>
      </c>
      <c r="H13" t="s">
        <v>494</v>
      </c>
      <c r="I13" s="3" t="s">
        <v>865</v>
      </c>
      <c r="J13" t="s">
        <v>508</v>
      </c>
      <c r="K13" t="str">
        <f t="shared" si="0"/>
        <v>(M2) FP-1/4-15-P3+BG</v>
      </c>
      <c r="L13" t="str">
        <f t="shared" si="1"/>
        <v>(A) Black Glass</v>
      </c>
      <c r="M13" t="str">
        <f t="shared" si="2"/>
        <v>BG</v>
      </c>
    </row>
    <row r="14" spans="1:17">
      <c r="E14" s="244"/>
      <c r="F14" s="150" t="str">
        <f>'10A61 3" Gas+liquid Results'!E15</f>
        <v>1/4-15-SA</v>
      </c>
      <c r="G14" s="3" t="s">
        <v>511</v>
      </c>
      <c r="H14" t="s">
        <v>494</v>
      </c>
      <c r="I14" s="3" t="s">
        <v>867</v>
      </c>
      <c r="J14" t="s">
        <v>508</v>
      </c>
      <c r="K14" t="str">
        <f t="shared" si="0"/>
        <v>(N3) FP-1/4-15-P3+SA</v>
      </c>
      <c r="L14" t="str">
        <f t="shared" si="1"/>
        <v>(C) Saphire</v>
      </c>
      <c r="M14" t="str">
        <f t="shared" si="2"/>
        <v>SA</v>
      </c>
    </row>
    <row r="15" spans="1:17">
      <c r="E15" s="244"/>
      <c r="F15" s="150" t="str">
        <f>'10A61 3" Gas+liquid Results'!E16</f>
        <v>1/4-15-SS</v>
      </c>
      <c r="G15" s="3" t="s">
        <v>511</v>
      </c>
      <c r="H15" t="s">
        <v>494</v>
      </c>
      <c r="I15" s="3" t="s">
        <v>868</v>
      </c>
      <c r="J15" t="s">
        <v>508</v>
      </c>
      <c r="K15" t="str">
        <f t="shared" si="0"/>
        <v>(N6) FP-1/4-15-P3+SS</v>
      </c>
      <c r="L15" t="str">
        <f t="shared" si="1"/>
        <v>(D) Stainless Steel</v>
      </c>
      <c r="M15" t="str">
        <f t="shared" si="2"/>
        <v>SS</v>
      </c>
    </row>
    <row r="16" spans="1:17">
      <c r="E16" s="244"/>
      <c r="F16" s="150" t="str">
        <f>'10A61 3" Gas+liquid Results'!E17</f>
        <v>1/4-15-CA</v>
      </c>
      <c r="G16" s="3" t="s">
        <v>511</v>
      </c>
      <c r="H16" t="s">
        <v>494</v>
      </c>
      <c r="I16" s="3" t="s">
        <v>866</v>
      </c>
      <c r="J16" t="s">
        <v>508</v>
      </c>
      <c r="K16" t="str">
        <f t="shared" si="0"/>
        <v>(M3) FP-1/4-15-P3+CA</v>
      </c>
      <c r="L16" t="str">
        <f t="shared" si="1"/>
        <v>(E) Carboloy</v>
      </c>
      <c r="M16" t="str">
        <f t="shared" si="2"/>
        <v>CA</v>
      </c>
    </row>
    <row r="17" spans="5:13">
      <c r="E17" s="244"/>
      <c r="F17" s="150" t="str">
        <f>'10A61 3" Gas+liquid Results'!E18</f>
        <v>1/4-15-TA</v>
      </c>
      <c r="G17" s="3" t="s">
        <v>511</v>
      </c>
      <c r="H17" t="s">
        <v>494</v>
      </c>
      <c r="I17" s="3" t="s">
        <v>869</v>
      </c>
      <c r="J17" t="s">
        <v>508</v>
      </c>
      <c r="K17" t="str">
        <f t="shared" si="0"/>
        <v>(N7) FP-1/4-15-P3+TA</v>
      </c>
      <c r="L17" t="str">
        <f t="shared" si="1"/>
        <v>(F) Tantalum</v>
      </c>
      <c r="M17" t="str">
        <f t="shared" si="2"/>
        <v>TA</v>
      </c>
    </row>
    <row r="18" spans="5:13">
      <c r="E18" s="244"/>
      <c r="F18" s="150" t="str">
        <f>'10A61 3" Gas+liquid Results'!E19</f>
        <v>1/4-20-BG</v>
      </c>
      <c r="G18" s="3" t="s">
        <v>512</v>
      </c>
      <c r="H18" t="s">
        <v>494</v>
      </c>
      <c r="I18" s="3" t="s">
        <v>870</v>
      </c>
      <c r="J18" t="s">
        <v>508</v>
      </c>
      <c r="K18" t="str">
        <f t="shared" si="0"/>
        <v>(N4) FP-1/4-20-P3+BG</v>
      </c>
      <c r="L18" t="str">
        <f t="shared" si="1"/>
        <v>(A) Black Glass</v>
      </c>
      <c r="M18" t="str">
        <f t="shared" si="2"/>
        <v>BG</v>
      </c>
    </row>
    <row r="19" spans="5:13">
      <c r="E19" s="244"/>
      <c r="F19" s="150" t="str">
        <f>'10A61 3" Gas+liquid Results'!E20</f>
        <v>1/4-20-SA</v>
      </c>
      <c r="G19" s="3" t="s">
        <v>512</v>
      </c>
      <c r="H19" t="s">
        <v>494</v>
      </c>
      <c r="I19" s="3" t="s">
        <v>871</v>
      </c>
      <c r="J19" t="s">
        <v>508</v>
      </c>
      <c r="K19" t="str">
        <f t="shared" si="0"/>
        <v>(M5) FP-1/4-20-P3+SA</v>
      </c>
      <c r="L19" t="str">
        <f t="shared" si="1"/>
        <v>(C) Saphire</v>
      </c>
      <c r="M19" t="str">
        <f t="shared" si="2"/>
        <v>SA</v>
      </c>
    </row>
    <row r="20" spans="5:13">
      <c r="E20" s="244"/>
      <c r="F20" s="150" t="str">
        <f>'10A61 3" Gas+liquid Results'!E21</f>
        <v>1/4-20-SS</v>
      </c>
      <c r="G20" s="3" t="s">
        <v>512</v>
      </c>
      <c r="H20" t="s">
        <v>494</v>
      </c>
      <c r="I20" s="3" t="s">
        <v>872</v>
      </c>
      <c r="J20" t="s">
        <v>508</v>
      </c>
      <c r="K20" t="str">
        <f t="shared" si="0"/>
        <v>(M6) FP-1/4-20-P3+SS</v>
      </c>
      <c r="L20" t="str">
        <f t="shared" si="1"/>
        <v>(D) Stainless Steel</v>
      </c>
      <c r="M20" t="str">
        <f t="shared" si="2"/>
        <v>SS</v>
      </c>
    </row>
    <row r="21" spans="5:13">
      <c r="E21" s="244"/>
      <c r="F21" s="150" t="str">
        <f>'10A61 3" Gas+liquid Results'!E22</f>
        <v>1/4-20-CA</v>
      </c>
      <c r="G21" s="3" t="s">
        <v>512</v>
      </c>
      <c r="H21" t="s">
        <v>494</v>
      </c>
      <c r="I21" s="3" t="s">
        <v>731</v>
      </c>
      <c r="J21" t="s">
        <v>508</v>
      </c>
      <c r="K21" t="str">
        <f t="shared" si="0"/>
        <v>(N1) FP-1/4-20-P3+CA</v>
      </c>
      <c r="L21" t="str">
        <f t="shared" si="1"/>
        <v>(E) Carboloy</v>
      </c>
      <c r="M21" t="str">
        <f t="shared" si="2"/>
        <v>CA</v>
      </c>
    </row>
    <row r="22" spans="5:13">
      <c r="E22" s="244"/>
      <c r="F22" s="150" t="str">
        <f>'10A61 3" Gas+liquid Results'!E23</f>
        <v>1/4-20-TA</v>
      </c>
      <c r="G22" s="3" t="s">
        <v>512</v>
      </c>
      <c r="H22" t="s">
        <v>494</v>
      </c>
      <c r="I22" s="3" t="s">
        <v>873</v>
      </c>
      <c r="J22" t="s">
        <v>508</v>
      </c>
      <c r="K22" t="str">
        <f t="shared" si="0"/>
        <v>(M7) FP-1/4-20-P3+TA</v>
      </c>
      <c r="L22" t="str">
        <f t="shared" si="1"/>
        <v>(F) Tantalum</v>
      </c>
      <c r="M22" t="str">
        <f t="shared" si="2"/>
        <v>TA</v>
      </c>
    </row>
    <row r="23" spans="5:13">
      <c r="E23" s="244"/>
      <c r="F23" s="150" t="str">
        <f>'10A61 3" Gas+liquid Results'!E24</f>
        <v>1/4-41-G-BG</v>
      </c>
      <c r="G23" s="3" t="s">
        <v>513</v>
      </c>
      <c r="H23" t="s">
        <v>495</v>
      </c>
      <c r="I23" s="3" t="s">
        <v>874</v>
      </c>
      <c r="J23" t="s">
        <v>508</v>
      </c>
      <c r="K23" t="str">
        <f t="shared" si="0"/>
        <v>(M8) FP-1/4-41-G3+BG</v>
      </c>
      <c r="L23" t="str">
        <f t="shared" si="1"/>
        <v>(A) Black Glass</v>
      </c>
      <c r="M23" t="str">
        <f t="shared" si="2"/>
        <v>BG</v>
      </c>
    </row>
    <row r="24" spans="5:13">
      <c r="E24" s="244"/>
      <c r="F24" s="150" t="str">
        <f>'10A61 3" Gas+liquid Results'!E25</f>
        <v>1/4-41-G-SA</v>
      </c>
      <c r="G24" s="3" t="s">
        <v>513</v>
      </c>
      <c r="H24" t="s">
        <v>495</v>
      </c>
      <c r="I24" s="3" t="s">
        <v>876</v>
      </c>
      <c r="J24" t="s">
        <v>508</v>
      </c>
      <c r="K24" t="str">
        <f t="shared" si="0"/>
        <v>(N5) FP-1/4-41-G3+SA</v>
      </c>
      <c r="L24" t="str">
        <f t="shared" si="1"/>
        <v>(C) Saphire</v>
      </c>
      <c r="M24" t="str">
        <f t="shared" si="2"/>
        <v>SA</v>
      </c>
    </row>
    <row r="25" spans="5:13">
      <c r="E25" s="244"/>
      <c r="F25" s="150" t="str">
        <f>'10A61 3" Gas+liquid Results'!E26</f>
        <v>1/4-41-G-SS</v>
      </c>
      <c r="G25" s="3" t="s">
        <v>513</v>
      </c>
      <c r="H25" t="s">
        <v>495</v>
      </c>
      <c r="I25" s="3" t="s">
        <v>877</v>
      </c>
      <c r="J25" t="s">
        <v>508</v>
      </c>
      <c r="K25" t="str">
        <f t="shared" si="0"/>
        <v>(N8) FP-1/4-41-G3+SS</v>
      </c>
      <c r="L25" t="str">
        <f t="shared" si="1"/>
        <v>(D) Stainless Steel</v>
      </c>
      <c r="M25" t="str">
        <f t="shared" si="2"/>
        <v>SS</v>
      </c>
    </row>
    <row r="26" spans="5:13">
      <c r="E26" s="244"/>
      <c r="F26" s="150" t="str">
        <f>'10A61 3" Gas+liquid Results'!E27</f>
        <v>1/4-41-G-CA</v>
      </c>
      <c r="G26" s="3" t="s">
        <v>513</v>
      </c>
      <c r="H26" t="s">
        <v>495</v>
      </c>
      <c r="I26" s="3" t="s">
        <v>875</v>
      </c>
      <c r="J26" t="s">
        <v>508</v>
      </c>
      <c r="K26" t="str">
        <f t="shared" si="0"/>
        <v>(M9) FP-1/4-41-G3+CA</v>
      </c>
      <c r="L26" t="str">
        <f t="shared" si="1"/>
        <v>(E) Carboloy</v>
      </c>
      <c r="M26" t="str">
        <f t="shared" si="2"/>
        <v>CA</v>
      </c>
    </row>
    <row r="27" spans="5:13">
      <c r="E27" s="244"/>
      <c r="F27" s="150" t="str">
        <f>'10A61 3" Gas+liquid Results'!E28</f>
        <v>1/4-41-G-TA</v>
      </c>
      <c r="G27" s="3" t="s">
        <v>513</v>
      </c>
      <c r="H27" t="s">
        <v>495</v>
      </c>
      <c r="I27" s="3" t="s">
        <v>878</v>
      </c>
      <c r="J27" t="s">
        <v>508</v>
      </c>
      <c r="K27" t="str">
        <f t="shared" si="0"/>
        <v>(N9) FP-1/4-41-G3+TA</v>
      </c>
      <c r="L27" t="str">
        <f t="shared" si="1"/>
        <v>(F) Tantalum</v>
      </c>
      <c r="M27" t="str">
        <f t="shared" si="2"/>
        <v>TA</v>
      </c>
    </row>
    <row r="28" spans="5:13">
      <c r="E28" s="244"/>
      <c r="F28" s="150" t="str">
        <f>'10A61 3" Gas+liquid Results'!E29</f>
        <v>1/4-41-P-BG</v>
      </c>
      <c r="G28" s="3" t="s">
        <v>513</v>
      </c>
      <c r="H28" t="s">
        <v>494</v>
      </c>
      <c r="I28" s="3" t="s">
        <v>356</v>
      </c>
      <c r="J28" t="s">
        <v>508</v>
      </c>
      <c r="K28" t="str">
        <f t="shared" si="0"/>
        <v>(P0) FP-1/4-41-P3+BG</v>
      </c>
      <c r="L28" t="str">
        <f t="shared" si="1"/>
        <v>(A) Black Glass</v>
      </c>
      <c r="M28" t="str">
        <f t="shared" si="2"/>
        <v>BG</v>
      </c>
    </row>
    <row r="29" spans="5:13">
      <c r="E29" s="244"/>
      <c r="F29" s="150" t="s">
        <v>88</v>
      </c>
      <c r="G29" s="3" t="s">
        <v>511</v>
      </c>
      <c r="H29" t="s">
        <v>494</v>
      </c>
      <c r="I29" s="3" t="s">
        <v>914</v>
      </c>
      <c r="J29" t="s">
        <v>508</v>
      </c>
      <c r="K29" t="str">
        <f t="shared" si="0"/>
        <v>(N0) FP-1/4-15-P3+CD</v>
      </c>
      <c r="L29" t="str">
        <f t="shared" si="1"/>
        <v>(B) Constant Density</v>
      </c>
      <c r="M29" t="str">
        <f t="shared" si="2"/>
        <v>CD</v>
      </c>
    </row>
    <row r="30" spans="5:13">
      <c r="E30" s="244"/>
      <c r="F30" s="150" t="s">
        <v>90</v>
      </c>
      <c r="G30" s="3" t="s">
        <v>512</v>
      </c>
      <c r="H30" t="s">
        <v>494</v>
      </c>
      <c r="I30" s="3" t="s">
        <v>915</v>
      </c>
      <c r="J30" t="s">
        <v>508</v>
      </c>
      <c r="K30" t="str">
        <f t="shared" si="0"/>
        <v>(M4) FP-1/4-20-P3+CD</v>
      </c>
      <c r="L30" t="str">
        <f t="shared" si="1"/>
        <v>(B) Constant Density</v>
      </c>
      <c r="M30" t="str">
        <f t="shared" si="2"/>
        <v>CD</v>
      </c>
    </row>
    <row r="31" spans="5:13">
      <c r="E31" s="244"/>
      <c r="F31" s="150" t="s">
        <v>912</v>
      </c>
      <c r="G31" s="3" t="s">
        <v>513</v>
      </c>
      <c r="H31" t="s">
        <v>495</v>
      </c>
      <c r="I31" s="3" t="s">
        <v>732</v>
      </c>
      <c r="J31" t="s">
        <v>508</v>
      </c>
      <c r="K31" t="str">
        <f t="shared" si="0"/>
        <v>(N2) FP-1/4-41-G3+CD</v>
      </c>
      <c r="L31" t="str">
        <f t="shared" si="1"/>
        <v>(B) Constant Density</v>
      </c>
      <c r="M31" t="str">
        <f t="shared" si="2"/>
        <v>CD</v>
      </c>
    </row>
    <row r="32" spans="5:13">
      <c r="E32" s="244"/>
      <c r="F32" s="150" t="s">
        <v>913</v>
      </c>
      <c r="G32" s="3" t="s">
        <v>513</v>
      </c>
      <c r="H32" t="s">
        <v>494</v>
      </c>
      <c r="I32" s="3" t="s">
        <v>916</v>
      </c>
      <c r="J32" t="s">
        <v>508</v>
      </c>
      <c r="K32" t="str">
        <f t="shared" si="0"/>
        <v>(P2) FP-1/4-41-P3+CD</v>
      </c>
      <c r="L32" t="str">
        <f t="shared" si="1"/>
        <v>(B) Constant Density</v>
      </c>
      <c r="M32" t="str">
        <f t="shared" si="2"/>
        <v>CD</v>
      </c>
    </row>
    <row r="33" spans="5:13">
      <c r="E33" s="244"/>
      <c r="F33" s="150" t="str">
        <f>'10A61 3" Gas+liquid Results'!E30</f>
        <v>1/4-41-P-SA</v>
      </c>
      <c r="G33" s="3" t="s">
        <v>513</v>
      </c>
      <c r="H33" t="s">
        <v>494</v>
      </c>
      <c r="I33" s="3" t="s">
        <v>494</v>
      </c>
      <c r="J33" t="s">
        <v>508</v>
      </c>
      <c r="K33" t="str">
        <f t="shared" si="0"/>
        <v>(P3) FP-1/4-41-P3+SA</v>
      </c>
      <c r="L33" t="str">
        <f t="shared" si="1"/>
        <v>(C) Saphire</v>
      </c>
      <c r="M33" t="str">
        <f t="shared" si="2"/>
        <v>SA</v>
      </c>
    </row>
    <row r="34" spans="5:13">
      <c r="E34" s="244"/>
      <c r="F34" s="150" t="str">
        <f>'10A61 3" Gas+liquid Results'!E31</f>
        <v>1/4-41-P-SS</v>
      </c>
      <c r="G34" s="3" t="s">
        <v>513</v>
      </c>
      <c r="H34" t="s">
        <v>494</v>
      </c>
      <c r="I34" s="3" t="s">
        <v>879</v>
      </c>
      <c r="J34" t="s">
        <v>508</v>
      </c>
      <c r="K34" t="str">
        <f t="shared" si="0"/>
        <v>(P4) FP-1/4-41-P3+SS</v>
      </c>
      <c r="L34" t="str">
        <f t="shared" si="1"/>
        <v>(D) Stainless Steel</v>
      </c>
      <c r="M34" t="str">
        <f t="shared" si="2"/>
        <v>SS</v>
      </c>
    </row>
    <row r="35" spans="5:13">
      <c r="E35" s="244"/>
      <c r="F35" s="150" t="str">
        <f>'10A61 3" Gas+liquid Results'!E32</f>
        <v>1/4-41-P-CA</v>
      </c>
      <c r="G35" s="3" t="s">
        <v>513</v>
      </c>
      <c r="H35" t="s">
        <v>494</v>
      </c>
      <c r="I35" s="3" t="s">
        <v>880</v>
      </c>
      <c r="J35" t="s">
        <v>508</v>
      </c>
      <c r="K35" t="str">
        <f t="shared" si="0"/>
        <v>(P1) FP-1/4-41-P3+CA</v>
      </c>
      <c r="L35" t="str">
        <f t="shared" si="1"/>
        <v>(E) Carboloy</v>
      </c>
      <c r="M35" t="str">
        <f t="shared" si="2"/>
        <v>CA</v>
      </c>
    </row>
    <row r="36" spans="5:13">
      <c r="E36" s="245"/>
      <c r="F36" s="150" t="str">
        <f>'10A61 3" Gas+liquid Results'!E33</f>
        <v>1/4-41-P-TA</v>
      </c>
      <c r="G36" s="3" t="s">
        <v>513</v>
      </c>
      <c r="H36" t="s">
        <v>494</v>
      </c>
      <c r="I36" s="3" t="s">
        <v>881</v>
      </c>
      <c r="J36" t="s">
        <v>508</v>
      </c>
      <c r="K36" t="str">
        <f t="shared" si="0"/>
        <v>(R1) FP-1/4-41-P3+TA</v>
      </c>
      <c r="L36" t="str">
        <f t="shared" si="1"/>
        <v>(F) Tantalum</v>
      </c>
      <c r="M36" t="str">
        <f t="shared" si="2"/>
        <v>TA</v>
      </c>
    </row>
    <row r="37" spans="5:13">
      <c r="E37" s="243" t="s">
        <v>497</v>
      </c>
      <c r="F37" s="150" t="str">
        <f>'10A61 5" + 6" Results'!E3</f>
        <v>1/4-25-CD</v>
      </c>
      <c r="G37" s="3" t="s">
        <v>514</v>
      </c>
      <c r="H37" t="s">
        <v>499</v>
      </c>
      <c r="I37" s="3" t="s">
        <v>904</v>
      </c>
      <c r="J37" t="s">
        <v>508</v>
      </c>
      <c r="K37" t="str">
        <f t="shared" si="0"/>
        <v>(T2) FP-1/4-25-G5+CD</v>
      </c>
      <c r="L37" t="str">
        <f t="shared" si="1"/>
        <v>(B) Constant Density</v>
      </c>
      <c r="M37" t="str">
        <f t="shared" si="2"/>
        <v>CD</v>
      </c>
    </row>
    <row r="38" spans="5:13">
      <c r="E38" s="244"/>
      <c r="F38" s="150" t="str">
        <f>'10A61 5" + 6" Results'!E4</f>
        <v>1/4-25-SA</v>
      </c>
      <c r="G38" s="3" t="s">
        <v>514</v>
      </c>
      <c r="H38" t="s">
        <v>499</v>
      </c>
      <c r="I38" s="3" t="s">
        <v>903</v>
      </c>
      <c r="J38" t="s">
        <v>508</v>
      </c>
      <c r="K38" t="str">
        <f t="shared" si="0"/>
        <v>(T3) FP-1/4-25-G5+SA</v>
      </c>
      <c r="L38" t="str">
        <f t="shared" si="1"/>
        <v>(C) Saphire</v>
      </c>
      <c r="M38" t="str">
        <f t="shared" si="2"/>
        <v>SA</v>
      </c>
    </row>
    <row r="39" spans="5:13">
      <c r="E39" s="244"/>
      <c r="F39" s="150" t="str">
        <f>'10A61 5" + 6" Results'!E5</f>
        <v>1/4-25-SS</v>
      </c>
      <c r="G39" s="3" t="s">
        <v>514</v>
      </c>
      <c r="H39" t="s">
        <v>499</v>
      </c>
      <c r="I39" s="3" t="s">
        <v>902</v>
      </c>
      <c r="J39" t="s">
        <v>508</v>
      </c>
      <c r="K39" t="str">
        <f t="shared" si="0"/>
        <v>(T4) FP-1/4-25-G5+SS</v>
      </c>
      <c r="L39" t="str">
        <f t="shared" si="1"/>
        <v>(D) Stainless Steel</v>
      </c>
      <c r="M39" t="str">
        <f t="shared" si="2"/>
        <v>SS</v>
      </c>
    </row>
    <row r="40" spans="5:13">
      <c r="E40" s="244"/>
      <c r="F40" s="150" t="str">
        <f>'10A61 5" + 6" Results'!E6</f>
        <v>1/4-25-CA</v>
      </c>
      <c r="G40" s="3" t="s">
        <v>514</v>
      </c>
      <c r="H40" t="s">
        <v>499</v>
      </c>
      <c r="I40" s="3" t="s">
        <v>901</v>
      </c>
      <c r="J40" t="s">
        <v>508</v>
      </c>
      <c r="K40" t="str">
        <f t="shared" si="0"/>
        <v>(T1) FP-1/4-25-G5+CA</v>
      </c>
      <c r="L40" t="str">
        <f t="shared" si="1"/>
        <v>(E) Carboloy</v>
      </c>
      <c r="M40" t="str">
        <f t="shared" si="2"/>
        <v>CA</v>
      </c>
    </row>
    <row r="41" spans="5:13">
      <c r="E41" s="244"/>
      <c r="F41" s="150" t="str">
        <f>'10A61 5" + 6" Results'!E7</f>
        <v>1/4-25-TA</v>
      </c>
      <c r="G41" s="3" t="s">
        <v>514</v>
      </c>
      <c r="H41" t="s">
        <v>499</v>
      </c>
      <c r="I41" s="3" t="s">
        <v>900</v>
      </c>
      <c r="J41" t="s">
        <v>508</v>
      </c>
      <c r="K41" t="str">
        <f t="shared" si="0"/>
        <v>(T5) FP-1/4-25-G5+TA</v>
      </c>
      <c r="L41" t="str">
        <f t="shared" si="1"/>
        <v>(F) Tantalum</v>
      </c>
      <c r="M41" t="str">
        <f t="shared" si="2"/>
        <v>TA</v>
      </c>
    </row>
    <row r="42" spans="5:13">
      <c r="E42" s="244"/>
      <c r="F42" s="150" t="str">
        <f>'10A61 5" + 6" Results'!E8</f>
        <v>1/4-25-BG</v>
      </c>
      <c r="G42" s="3" t="s">
        <v>514</v>
      </c>
      <c r="H42" t="s">
        <v>499</v>
      </c>
      <c r="I42" s="3" t="s">
        <v>355</v>
      </c>
      <c r="J42" t="s">
        <v>508</v>
      </c>
      <c r="K42" t="str">
        <f t="shared" si="0"/>
        <v>(T0) FP-1/4-25-G5+BG</v>
      </c>
      <c r="L42" t="str">
        <f t="shared" si="1"/>
        <v>(A) Black Glass</v>
      </c>
      <c r="M42" t="str">
        <f t="shared" si="2"/>
        <v>BG</v>
      </c>
    </row>
    <row r="43" spans="5:13">
      <c r="E43" s="244"/>
      <c r="F43" s="150" t="str">
        <f>'10A61 5" + 6" Results'!E9</f>
        <v>1/4-20-CD</v>
      </c>
      <c r="G43" s="3" t="s">
        <v>512</v>
      </c>
      <c r="H43" t="s">
        <v>499</v>
      </c>
      <c r="I43" s="3" t="s">
        <v>899</v>
      </c>
      <c r="J43" t="s">
        <v>508</v>
      </c>
      <c r="K43" t="str">
        <f t="shared" si="0"/>
        <v>(S6) FP-1/4-20-G5+CD</v>
      </c>
      <c r="L43" t="str">
        <f t="shared" si="1"/>
        <v>(B) Constant Density</v>
      </c>
      <c r="M43" t="str">
        <f t="shared" si="2"/>
        <v>CD</v>
      </c>
    </row>
    <row r="44" spans="5:13">
      <c r="E44" s="244"/>
      <c r="F44" s="150" t="str">
        <f>'10A61 5" + 6" Results'!E10</f>
        <v>1/4-20-SA</v>
      </c>
      <c r="G44" s="3" t="s">
        <v>512</v>
      </c>
      <c r="H44" t="s">
        <v>499</v>
      </c>
      <c r="I44" s="3" t="s">
        <v>898</v>
      </c>
      <c r="J44" t="s">
        <v>508</v>
      </c>
      <c r="K44" t="str">
        <f t="shared" si="0"/>
        <v>(S7) FP-1/4-20-G5+SA</v>
      </c>
      <c r="L44" t="str">
        <f t="shared" si="1"/>
        <v>(C) Saphire</v>
      </c>
      <c r="M44" t="str">
        <f t="shared" si="2"/>
        <v>SA</v>
      </c>
    </row>
    <row r="45" spans="5:13">
      <c r="E45" s="244"/>
      <c r="F45" s="150" t="str">
        <f>'10A61 5" + 6" Results'!E11</f>
        <v>1/4-20-SS</v>
      </c>
      <c r="G45" s="3" t="s">
        <v>512</v>
      </c>
      <c r="H45" t="s">
        <v>499</v>
      </c>
      <c r="I45" s="3" t="s">
        <v>897</v>
      </c>
      <c r="J45" t="s">
        <v>508</v>
      </c>
      <c r="K45" t="str">
        <f t="shared" si="0"/>
        <v>(S8) FP-1/4-20-G5+SS</v>
      </c>
      <c r="L45" t="str">
        <f t="shared" si="1"/>
        <v>(D) Stainless Steel</v>
      </c>
      <c r="M45" t="str">
        <f t="shared" si="2"/>
        <v>SS</v>
      </c>
    </row>
    <row r="46" spans="5:13">
      <c r="E46" s="244"/>
      <c r="F46" s="150" t="str">
        <f>'10A61 5" + 6" Results'!E12</f>
        <v>1/4-20-CA</v>
      </c>
      <c r="G46" s="3" t="s">
        <v>512</v>
      </c>
      <c r="H46" t="s">
        <v>499</v>
      </c>
      <c r="I46" s="3" t="s">
        <v>896</v>
      </c>
      <c r="J46" t="s">
        <v>508</v>
      </c>
      <c r="K46" t="str">
        <f t="shared" si="0"/>
        <v>(S5) FP-1/4-20-G5+CA</v>
      </c>
      <c r="L46" t="str">
        <f t="shared" si="1"/>
        <v>(E) Carboloy</v>
      </c>
      <c r="M46" t="str">
        <f t="shared" si="2"/>
        <v>CA</v>
      </c>
    </row>
    <row r="47" spans="5:13">
      <c r="E47" s="244"/>
      <c r="F47" s="150" t="str">
        <f>'10A61 5" + 6" Results'!E13</f>
        <v>1/4-20-TA</v>
      </c>
      <c r="G47" s="3" t="s">
        <v>512</v>
      </c>
      <c r="H47" t="s">
        <v>499</v>
      </c>
      <c r="I47" s="3" t="s">
        <v>895</v>
      </c>
      <c r="J47" t="s">
        <v>508</v>
      </c>
      <c r="K47" t="str">
        <f t="shared" si="0"/>
        <v>(S9) FP-1/4-20-G5+TA</v>
      </c>
      <c r="L47" t="str">
        <f t="shared" si="1"/>
        <v>(F) Tantalum</v>
      </c>
      <c r="M47" t="str">
        <f t="shared" si="2"/>
        <v>TA</v>
      </c>
    </row>
    <row r="48" spans="5:13">
      <c r="E48" s="244"/>
      <c r="F48" s="150" t="str">
        <f>'10A61 5" + 6" Results'!E14</f>
        <v>1/4-20-BG</v>
      </c>
      <c r="G48" s="3" t="s">
        <v>512</v>
      </c>
      <c r="H48" t="s">
        <v>499</v>
      </c>
      <c r="I48" s="3" t="s">
        <v>894</v>
      </c>
      <c r="J48" t="s">
        <v>508</v>
      </c>
      <c r="K48" t="str">
        <f t="shared" si="0"/>
        <v>(S4) FP-1/4-20-G5+BG</v>
      </c>
      <c r="L48" t="str">
        <f t="shared" si="1"/>
        <v>(A) Black Glass</v>
      </c>
      <c r="M48" t="str">
        <f t="shared" si="2"/>
        <v>BG</v>
      </c>
    </row>
    <row r="49" spans="5:13">
      <c r="E49" s="244"/>
      <c r="F49" s="150" t="str">
        <f>'10A61 5" + 6" Results'!E15</f>
        <v>1/4-16-CD</v>
      </c>
      <c r="G49" s="3" t="s">
        <v>515</v>
      </c>
      <c r="H49" t="s">
        <v>499</v>
      </c>
      <c r="I49" s="3" t="s">
        <v>893</v>
      </c>
      <c r="J49" t="s">
        <v>508</v>
      </c>
      <c r="K49" t="str">
        <f t="shared" si="0"/>
        <v>(S0) FP-1/4-16-G5+CD</v>
      </c>
      <c r="L49" t="str">
        <f t="shared" si="1"/>
        <v>(B) Constant Density</v>
      </c>
      <c r="M49" t="str">
        <f t="shared" si="2"/>
        <v>CD</v>
      </c>
    </row>
    <row r="50" spans="5:13">
      <c r="E50" s="244"/>
      <c r="F50" s="150" t="str">
        <f>'10A61 5" + 6" Results'!E16</f>
        <v>1/4-16-SA</v>
      </c>
      <c r="G50" s="3" t="s">
        <v>515</v>
      </c>
      <c r="H50" t="s">
        <v>499</v>
      </c>
      <c r="I50" s="3" t="s">
        <v>892</v>
      </c>
      <c r="J50" t="s">
        <v>508</v>
      </c>
      <c r="K50" t="str">
        <f t="shared" si="0"/>
        <v>(S1) FP-1/4-16-G5+SA</v>
      </c>
      <c r="L50" t="str">
        <f t="shared" si="1"/>
        <v>(C) Saphire</v>
      </c>
      <c r="M50" t="str">
        <f t="shared" si="2"/>
        <v>SA</v>
      </c>
    </row>
    <row r="51" spans="5:13">
      <c r="E51" s="244"/>
      <c r="F51" s="150" t="str">
        <f>'10A61 5" + 6" Results'!E17</f>
        <v>1/4-16-SS</v>
      </c>
      <c r="G51" s="3" t="s">
        <v>515</v>
      </c>
      <c r="H51" t="s">
        <v>499</v>
      </c>
      <c r="I51" s="3" t="s">
        <v>891</v>
      </c>
      <c r="J51" t="s">
        <v>508</v>
      </c>
      <c r="K51" t="str">
        <f t="shared" si="0"/>
        <v>(S2) FP-1/4-16-G5+SS</v>
      </c>
      <c r="L51" t="str">
        <f t="shared" si="1"/>
        <v>(D) Stainless Steel</v>
      </c>
      <c r="M51" t="str">
        <f t="shared" si="2"/>
        <v>SS</v>
      </c>
    </row>
    <row r="52" spans="5:13">
      <c r="E52" s="244"/>
      <c r="F52" s="150" t="str">
        <f>'10A61 5" + 6" Results'!E18</f>
        <v>1/4-16-CA</v>
      </c>
      <c r="G52" s="3" t="s">
        <v>515</v>
      </c>
      <c r="H52" t="s">
        <v>499</v>
      </c>
      <c r="I52" s="3" t="s">
        <v>890</v>
      </c>
      <c r="J52" t="s">
        <v>508</v>
      </c>
      <c r="K52" t="str">
        <f t="shared" si="0"/>
        <v>(R9) FP-1/4-16-G5+CA</v>
      </c>
      <c r="L52" t="str">
        <f t="shared" si="1"/>
        <v>(E) Carboloy</v>
      </c>
      <c r="M52" t="str">
        <f t="shared" si="2"/>
        <v>CA</v>
      </c>
    </row>
    <row r="53" spans="5:13">
      <c r="E53" s="244"/>
      <c r="F53" s="150" t="str">
        <f>'10A61 5" + 6" Results'!E19</f>
        <v>1/4-16-TA</v>
      </c>
      <c r="G53" s="3" t="s">
        <v>515</v>
      </c>
      <c r="H53" t="s">
        <v>499</v>
      </c>
      <c r="I53" s="3" t="s">
        <v>889</v>
      </c>
      <c r="J53" t="s">
        <v>508</v>
      </c>
      <c r="K53" t="str">
        <f t="shared" si="0"/>
        <v>(S3) FP-1/4-16-G5+TA</v>
      </c>
      <c r="L53" t="str">
        <f t="shared" si="1"/>
        <v>(F) Tantalum</v>
      </c>
      <c r="M53" t="str">
        <f t="shared" si="2"/>
        <v>TA</v>
      </c>
    </row>
    <row r="54" spans="5:13">
      <c r="E54" s="244"/>
      <c r="F54" s="150" t="str">
        <f>'10A61 5" + 6" Results'!E20</f>
        <v>1/4-16-BG</v>
      </c>
      <c r="G54" s="3" t="s">
        <v>515</v>
      </c>
      <c r="H54" t="s">
        <v>499</v>
      </c>
      <c r="I54" s="3" t="s">
        <v>888</v>
      </c>
      <c r="J54" t="s">
        <v>508</v>
      </c>
      <c r="K54" t="str">
        <f t="shared" si="0"/>
        <v>(R8) FP-1/4-16-G5+BG</v>
      </c>
      <c r="L54" t="str">
        <f t="shared" si="1"/>
        <v>(A) Black Glass</v>
      </c>
      <c r="M54" t="str">
        <f t="shared" si="2"/>
        <v>BG</v>
      </c>
    </row>
    <row r="55" spans="5:13">
      <c r="E55" s="244"/>
      <c r="F55" s="150" t="str">
        <f>'10A61 5" + 6" Results'!E21</f>
        <v>1/4-10-CD</v>
      </c>
      <c r="G55" s="3" t="s">
        <v>516</v>
      </c>
      <c r="H55" t="s">
        <v>499</v>
      </c>
      <c r="I55" s="3" t="s">
        <v>887</v>
      </c>
      <c r="J55" t="s">
        <v>508</v>
      </c>
      <c r="K55" t="str">
        <f t="shared" si="0"/>
        <v>(R4) FP-1/4-10-G5+CD</v>
      </c>
      <c r="L55" t="str">
        <f t="shared" si="1"/>
        <v>(B) Constant Density</v>
      </c>
      <c r="M55" t="str">
        <f t="shared" si="2"/>
        <v>CD</v>
      </c>
    </row>
    <row r="56" spans="5:13">
      <c r="E56" s="244"/>
      <c r="F56" s="150" t="str">
        <f>'10A61 5" + 6" Results'!E22</f>
        <v>1/4-10-SA</v>
      </c>
      <c r="G56" s="3" t="s">
        <v>516</v>
      </c>
      <c r="H56" t="s">
        <v>499</v>
      </c>
      <c r="I56" s="3" t="s">
        <v>886</v>
      </c>
      <c r="J56" t="s">
        <v>508</v>
      </c>
      <c r="K56" t="str">
        <f t="shared" si="0"/>
        <v>(R5) FP-1/4-10-G5+SA</v>
      </c>
      <c r="L56" t="str">
        <f t="shared" si="1"/>
        <v>(C) Saphire</v>
      </c>
      <c r="M56" t="str">
        <f t="shared" si="2"/>
        <v>SA</v>
      </c>
    </row>
    <row r="57" spans="5:13">
      <c r="E57" s="244"/>
      <c r="F57" s="150" t="str">
        <f>'10A61 5" + 6" Results'!E23</f>
        <v>1/4-10-SS</v>
      </c>
      <c r="G57" s="3" t="s">
        <v>516</v>
      </c>
      <c r="H57" t="s">
        <v>499</v>
      </c>
      <c r="I57" s="3" t="s">
        <v>885</v>
      </c>
      <c r="J57" t="s">
        <v>508</v>
      </c>
      <c r="K57" t="str">
        <f t="shared" si="0"/>
        <v>(R6) FP-1/4-10-G5+SS</v>
      </c>
      <c r="L57" t="str">
        <f t="shared" si="1"/>
        <v>(D) Stainless Steel</v>
      </c>
      <c r="M57" t="str">
        <f t="shared" si="2"/>
        <v>SS</v>
      </c>
    </row>
    <row r="58" spans="5:13">
      <c r="E58" s="244"/>
      <c r="F58" s="150" t="str">
        <f>'10A61 5" + 6" Results'!E24</f>
        <v>1/4-10-CA</v>
      </c>
      <c r="G58" s="3" t="s">
        <v>516</v>
      </c>
      <c r="H58" t="s">
        <v>499</v>
      </c>
      <c r="I58" s="3" t="s">
        <v>884</v>
      </c>
      <c r="J58" t="s">
        <v>508</v>
      </c>
      <c r="K58" t="str">
        <f t="shared" si="0"/>
        <v>(R3) FP-1/4-10-G5+CA</v>
      </c>
      <c r="L58" t="str">
        <f t="shared" si="1"/>
        <v>(E) Carboloy</v>
      </c>
      <c r="M58" t="str">
        <f t="shared" si="2"/>
        <v>CA</v>
      </c>
    </row>
    <row r="59" spans="5:13">
      <c r="E59" s="244"/>
      <c r="F59" s="150" t="str">
        <f>'10A61 5" + 6" Results'!E25</f>
        <v>1/4-10-TA</v>
      </c>
      <c r="G59" s="3" t="s">
        <v>516</v>
      </c>
      <c r="H59" t="s">
        <v>499</v>
      </c>
      <c r="I59" s="3" t="s">
        <v>883</v>
      </c>
      <c r="J59" t="s">
        <v>508</v>
      </c>
      <c r="K59" t="str">
        <f t="shared" si="0"/>
        <v>(R7) FP-1/4-10-G5+TA</v>
      </c>
      <c r="L59" t="str">
        <f t="shared" si="1"/>
        <v>(F) Tantalum</v>
      </c>
      <c r="M59" t="str">
        <f t="shared" si="2"/>
        <v>TA</v>
      </c>
    </row>
    <row r="60" spans="5:13">
      <c r="E60" s="244"/>
      <c r="F60" s="150" t="str">
        <f>'10A61 5" + 6" Results'!E26</f>
        <v>1/4-10-BG</v>
      </c>
      <c r="G60" s="3" t="s">
        <v>516</v>
      </c>
      <c r="H60" t="s">
        <v>499</v>
      </c>
      <c r="I60" s="3" t="s">
        <v>882</v>
      </c>
      <c r="J60" t="s">
        <v>508</v>
      </c>
      <c r="K60" t="str">
        <f t="shared" si="0"/>
        <v>(R2) FP-1/4-10-G5+BG</v>
      </c>
      <c r="L60" t="str">
        <f t="shared" si="1"/>
        <v>(A) Black Glass</v>
      </c>
      <c r="M60" t="str">
        <f t="shared" si="2"/>
        <v>BG</v>
      </c>
    </row>
    <row r="61" spans="5:13">
      <c r="E61" s="244"/>
      <c r="F61" s="150" t="str">
        <f>'10A61 5" + 6" Results'!E27</f>
        <v>1/8-12-SA</v>
      </c>
      <c r="G61" s="3" t="s">
        <v>517</v>
      </c>
      <c r="H61" t="s">
        <v>499</v>
      </c>
      <c r="I61" s="3" t="s">
        <v>849</v>
      </c>
      <c r="J61" t="s">
        <v>508</v>
      </c>
      <c r="K61" t="str">
        <f t="shared" si="0"/>
        <v>(H9) FP-1/8-12-G5+SA</v>
      </c>
      <c r="L61" t="str">
        <f t="shared" si="1"/>
        <v>(C) Saphire</v>
      </c>
      <c r="M61" t="str">
        <f t="shared" si="2"/>
        <v>SA</v>
      </c>
    </row>
    <row r="62" spans="5:13">
      <c r="E62" s="244"/>
      <c r="F62" s="150" t="str">
        <f>'10A61 5" + 6" Results'!E28</f>
        <v>1/8-12-SS</v>
      </c>
      <c r="G62" s="3" t="s">
        <v>517</v>
      </c>
      <c r="H62" t="s">
        <v>499</v>
      </c>
      <c r="I62" s="3" t="s">
        <v>850</v>
      </c>
      <c r="J62" t="s">
        <v>508</v>
      </c>
      <c r="K62" t="str">
        <f t="shared" si="0"/>
        <v>(J0) FP-1/8-12-G5+SS</v>
      </c>
      <c r="L62" t="str">
        <f t="shared" si="1"/>
        <v>(D) Stainless Steel</v>
      </c>
      <c r="M62" t="str">
        <f t="shared" si="2"/>
        <v>SS</v>
      </c>
    </row>
    <row r="63" spans="5:13">
      <c r="E63" s="244"/>
      <c r="F63" s="150" t="str">
        <f>'10A61 5" + 6" Results'!E29</f>
        <v>1/8-12-CA</v>
      </c>
      <c r="G63" s="3" t="s">
        <v>517</v>
      </c>
      <c r="H63" t="s">
        <v>499</v>
      </c>
      <c r="I63" s="3" t="s">
        <v>848</v>
      </c>
      <c r="J63" t="s">
        <v>508</v>
      </c>
      <c r="K63" t="str">
        <f t="shared" si="0"/>
        <v>(H8) FP-1/8-12-G5+CA</v>
      </c>
      <c r="L63" t="str">
        <f t="shared" si="1"/>
        <v>(E) Carboloy</v>
      </c>
      <c r="M63" t="str">
        <f t="shared" si="2"/>
        <v>CA</v>
      </c>
    </row>
    <row r="64" spans="5:13">
      <c r="E64" s="244"/>
      <c r="F64" s="150" t="str">
        <f>'10A61 5" + 6" Results'!E30</f>
        <v>1/8-12-TA</v>
      </c>
      <c r="G64" s="3" t="s">
        <v>517</v>
      </c>
      <c r="H64" t="s">
        <v>499</v>
      </c>
      <c r="I64" s="3" t="s">
        <v>851</v>
      </c>
      <c r="J64" t="s">
        <v>508</v>
      </c>
      <c r="K64" t="str">
        <f t="shared" si="0"/>
        <v>(J1) FP-1/8-12-G5+TA</v>
      </c>
      <c r="L64" t="str">
        <f t="shared" si="1"/>
        <v>(F) Tantalum</v>
      </c>
      <c r="M64" t="str">
        <f t="shared" si="2"/>
        <v>TA</v>
      </c>
    </row>
    <row r="65" spans="5:13">
      <c r="E65" s="244"/>
      <c r="F65" s="150" t="str">
        <f>'10A61 5" + 6" Results'!E31</f>
        <v>1/8-12-BG</v>
      </c>
      <c r="G65" s="3" t="s">
        <v>517</v>
      </c>
      <c r="H65" t="s">
        <v>499</v>
      </c>
      <c r="I65" s="3" t="s">
        <v>847</v>
      </c>
      <c r="J65" t="s">
        <v>508</v>
      </c>
      <c r="K65" t="str">
        <f t="shared" si="0"/>
        <v>(H7) FP-1/8-12-G5+BG</v>
      </c>
      <c r="L65" t="str">
        <f t="shared" si="1"/>
        <v>(A) Black Glass</v>
      </c>
      <c r="M65" t="str">
        <f t="shared" si="2"/>
        <v>BG</v>
      </c>
    </row>
    <row r="66" spans="5:13">
      <c r="E66" s="244"/>
      <c r="F66" s="150" t="str">
        <f>'10A61 5" + 6" Results'!E32</f>
        <v>1/8-08-SA</v>
      </c>
      <c r="G66" s="3" t="s">
        <v>509</v>
      </c>
      <c r="H66" t="s">
        <v>499</v>
      </c>
      <c r="I66" s="3" t="s">
        <v>844</v>
      </c>
      <c r="J66" t="s">
        <v>508</v>
      </c>
      <c r="K66" t="str">
        <f t="shared" si="0"/>
        <v>(H4) FP-1/8-08-G5+SA</v>
      </c>
      <c r="L66" t="str">
        <f t="shared" si="1"/>
        <v>(C) Saphire</v>
      </c>
      <c r="M66" t="str">
        <f t="shared" si="2"/>
        <v>SA</v>
      </c>
    </row>
    <row r="67" spans="5:13">
      <c r="E67" s="244"/>
      <c r="F67" s="150" t="str">
        <f>'10A61 5" + 6" Results'!E33</f>
        <v>1/8-08-SS</v>
      </c>
      <c r="G67" s="3" t="s">
        <v>509</v>
      </c>
      <c r="H67" t="s">
        <v>499</v>
      </c>
      <c r="I67" s="3" t="s">
        <v>845</v>
      </c>
      <c r="J67" t="s">
        <v>508</v>
      </c>
      <c r="K67" t="str">
        <f t="shared" si="0"/>
        <v>(H5) FP-1/8-08-G5+SS</v>
      </c>
      <c r="L67" t="str">
        <f t="shared" si="1"/>
        <v>(D) Stainless Steel</v>
      </c>
      <c r="M67" t="str">
        <f t="shared" si="2"/>
        <v>SS</v>
      </c>
    </row>
    <row r="68" spans="5:13">
      <c r="E68" s="244"/>
      <c r="F68" s="150" t="str">
        <f>'10A61 5" + 6" Results'!E34</f>
        <v>1/8-08-CA</v>
      </c>
      <c r="G68" s="3" t="s">
        <v>509</v>
      </c>
      <c r="H68" t="s">
        <v>499</v>
      </c>
      <c r="I68" s="3" t="s">
        <v>843</v>
      </c>
      <c r="J68" t="s">
        <v>508</v>
      </c>
      <c r="K68" t="str">
        <f t="shared" si="0"/>
        <v>(H3) FP-1/8-08-G5+CA</v>
      </c>
      <c r="L68" t="str">
        <f t="shared" si="1"/>
        <v>(E) Carboloy</v>
      </c>
      <c r="M68" t="str">
        <f t="shared" si="2"/>
        <v>CA</v>
      </c>
    </row>
    <row r="69" spans="5:13">
      <c r="E69" s="244"/>
      <c r="F69" s="150" t="str">
        <f>'10A61 5" + 6" Results'!E35</f>
        <v>1/8-08-TA</v>
      </c>
      <c r="G69" s="3" t="s">
        <v>509</v>
      </c>
      <c r="H69" t="s">
        <v>499</v>
      </c>
      <c r="I69" s="3" t="s">
        <v>846</v>
      </c>
      <c r="J69" t="s">
        <v>508</v>
      </c>
      <c r="K69" t="str">
        <f t="shared" si="0"/>
        <v>(H6) FP-1/8-08-G5+TA</v>
      </c>
      <c r="L69" t="str">
        <f t="shared" si="1"/>
        <v>(F) Tantalum</v>
      </c>
      <c r="M69" t="str">
        <f t="shared" si="2"/>
        <v>TA</v>
      </c>
    </row>
    <row r="70" spans="5:13">
      <c r="E70" s="244"/>
      <c r="F70" s="150" t="str">
        <f>'10A61 5" + 6" Results'!E36</f>
        <v>1/8-08-BG</v>
      </c>
      <c r="G70" s="3" t="s">
        <v>509</v>
      </c>
      <c r="H70" t="s">
        <v>499</v>
      </c>
      <c r="I70" s="3" t="s">
        <v>842</v>
      </c>
      <c r="J70" t="s">
        <v>508</v>
      </c>
      <c r="K70" t="str">
        <f t="shared" si="0"/>
        <v>(H2) FP-1/8-08-G5+BG</v>
      </c>
      <c r="L70" t="str">
        <f t="shared" si="1"/>
        <v>(A) Black Glass</v>
      </c>
      <c r="M70" t="str">
        <f t="shared" si="2"/>
        <v>BG</v>
      </c>
    </row>
    <row r="71" spans="5:13">
      <c r="E71" s="244"/>
      <c r="F71" s="150" t="str">
        <f>'10A61 5" + 6" Results'!E37</f>
        <v>1/16-12-SA</v>
      </c>
      <c r="G71" s="3" t="s">
        <v>518</v>
      </c>
      <c r="H71" t="s">
        <v>499</v>
      </c>
      <c r="I71" s="3" t="s">
        <v>822</v>
      </c>
      <c r="J71" t="s">
        <v>508</v>
      </c>
      <c r="K71" t="str">
        <f t="shared" si="0"/>
        <v>(B8) FP-1/16-12-G5+SA</v>
      </c>
      <c r="L71" t="str">
        <f t="shared" si="1"/>
        <v>(C) Saphire</v>
      </c>
      <c r="M71" t="str">
        <f t="shared" si="2"/>
        <v>SA</v>
      </c>
    </row>
    <row r="72" spans="5:13">
      <c r="E72" s="244"/>
      <c r="F72" s="150" t="str">
        <f>'10A61 5" + 6" Results'!E38</f>
        <v>1/16-12-SS</v>
      </c>
      <c r="G72" s="3" t="s">
        <v>518</v>
      </c>
      <c r="H72" t="s">
        <v>499</v>
      </c>
      <c r="I72" s="3" t="s">
        <v>823</v>
      </c>
      <c r="J72" t="s">
        <v>508</v>
      </c>
      <c r="K72" t="str">
        <f t="shared" ref="K72:K141" si="3">CONCATENATE("(",I72,")"," ",J72,"-",G72,H72,"+",M72)</f>
        <v>(B9) FP-1/16-12-G5+SS</v>
      </c>
      <c r="L72" t="str">
        <f t="shared" ref="L72:L141" si="4">CONCATENATE("(",VLOOKUP(RIGHT(F72,2),$A$4:$C$9,2,FALSE),")"," ",VLOOKUP(RIGHT(F72,2),$A$4:$C$9,3,FALSE))</f>
        <v>(D) Stainless Steel</v>
      </c>
      <c r="M72" t="str">
        <f t="shared" ref="M72:M141" si="5">RIGHT(F72,2)</f>
        <v>SS</v>
      </c>
    </row>
    <row r="73" spans="5:13">
      <c r="E73" s="244"/>
      <c r="F73" s="150" t="str">
        <f>'10A61 5" + 6" Results'!E39</f>
        <v>1/16-12-CA</v>
      </c>
      <c r="G73" s="3" t="s">
        <v>518</v>
      </c>
      <c r="H73" t="s">
        <v>499</v>
      </c>
      <c r="I73" s="3" t="s">
        <v>821</v>
      </c>
      <c r="J73" t="s">
        <v>508</v>
      </c>
      <c r="K73" t="str">
        <f t="shared" si="3"/>
        <v>(B7) FP-1/16-12-G5+CA</v>
      </c>
      <c r="L73" t="str">
        <f t="shared" si="4"/>
        <v>(E) Carboloy</v>
      </c>
      <c r="M73" t="str">
        <f t="shared" si="5"/>
        <v>CA</v>
      </c>
    </row>
    <row r="74" spans="5:13">
      <c r="E74" s="244"/>
      <c r="F74" s="150" t="str">
        <f>'10A61 5" + 6" Results'!E40</f>
        <v>1/16-12-TA</v>
      </c>
      <c r="G74" s="3" t="s">
        <v>518</v>
      </c>
      <c r="H74" t="s">
        <v>499</v>
      </c>
      <c r="I74" s="3" t="s">
        <v>824</v>
      </c>
      <c r="J74" t="s">
        <v>508</v>
      </c>
      <c r="K74" t="str">
        <f t="shared" si="3"/>
        <v>(C0) FP-1/16-12-G5+TA</v>
      </c>
      <c r="L74" t="str">
        <f t="shared" si="4"/>
        <v>(F) Tantalum</v>
      </c>
      <c r="M74" t="str">
        <f t="shared" si="5"/>
        <v>TA</v>
      </c>
    </row>
    <row r="75" spans="5:13">
      <c r="E75" s="244"/>
      <c r="F75" s="150" t="str">
        <f>'10A61 5" + 6" Results'!E41</f>
        <v>1/16-12-BG</v>
      </c>
      <c r="G75" s="3" t="s">
        <v>518</v>
      </c>
      <c r="H75" t="s">
        <v>499</v>
      </c>
      <c r="I75" s="3" t="s">
        <v>820</v>
      </c>
      <c r="J75" t="s">
        <v>508</v>
      </c>
      <c r="K75" t="str">
        <f t="shared" si="3"/>
        <v>(B6) FP-1/16-12-G5+BG</v>
      </c>
      <c r="L75" t="str">
        <f t="shared" si="4"/>
        <v>(A) Black Glass</v>
      </c>
      <c r="M75" t="str">
        <f t="shared" si="5"/>
        <v>BG</v>
      </c>
    </row>
    <row r="76" spans="5:13">
      <c r="E76" s="244"/>
      <c r="F76" s="150" t="str">
        <f>'10A61 5" + 6" Results'!E42</f>
        <v>1/16-16-SA</v>
      </c>
      <c r="G76" s="3" t="s">
        <v>519</v>
      </c>
      <c r="H76" t="s">
        <v>499</v>
      </c>
      <c r="I76" s="3" t="s">
        <v>825</v>
      </c>
      <c r="J76" t="s">
        <v>508</v>
      </c>
      <c r="K76" t="str">
        <f t="shared" si="3"/>
        <v>(C3) FP-1/16-16-G5+SA</v>
      </c>
      <c r="L76" t="str">
        <f t="shared" si="4"/>
        <v>(C) Saphire</v>
      </c>
      <c r="M76" t="str">
        <f t="shared" si="5"/>
        <v>SA</v>
      </c>
    </row>
    <row r="77" spans="5:13">
      <c r="E77" s="244"/>
      <c r="F77" s="150" t="str">
        <f>'10A61 5" + 6" Results'!E43</f>
        <v>1/16-16-SS</v>
      </c>
      <c r="G77" s="3" t="s">
        <v>519</v>
      </c>
      <c r="H77" t="s">
        <v>499</v>
      </c>
      <c r="I77" s="3" t="s">
        <v>826</v>
      </c>
      <c r="J77" t="s">
        <v>508</v>
      </c>
      <c r="K77" t="str">
        <f t="shared" si="3"/>
        <v>(C4) FP-1/16-16-G5+SS</v>
      </c>
      <c r="L77" t="str">
        <f t="shared" si="4"/>
        <v>(D) Stainless Steel</v>
      </c>
      <c r="M77" t="str">
        <f t="shared" si="5"/>
        <v>SS</v>
      </c>
    </row>
    <row r="78" spans="5:13">
      <c r="E78" s="244"/>
      <c r="F78" s="150" t="str">
        <f>'10A61 5" + 6" Results'!E44</f>
        <v>1/16-16-CA</v>
      </c>
      <c r="G78" s="3" t="s">
        <v>519</v>
      </c>
      <c r="H78" t="s">
        <v>499</v>
      </c>
      <c r="I78" s="3" t="s">
        <v>531</v>
      </c>
      <c r="J78" t="s">
        <v>508</v>
      </c>
      <c r="K78" t="str">
        <f t="shared" si="3"/>
        <v>(C2) FP-1/16-16-G5+CA</v>
      </c>
      <c r="L78" t="str">
        <f t="shared" si="4"/>
        <v>(E) Carboloy</v>
      </c>
      <c r="M78" t="str">
        <f t="shared" si="5"/>
        <v>CA</v>
      </c>
    </row>
    <row r="79" spans="5:13">
      <c r="E79" s="244"/>
      <c r="F79" s="150" t="str">
        <f>'10A61 5" + 6" Results'!E45</f>
        <v>1/16-16-TA</v>
      </c>
      <c r="G79" s="3" t="s">
        <v>519</v>
      </c>
      <c r="H79" t="s">
        <v>499</v>
      </c>
      <c r="I79" s="3" t="s">
        <v>827</v>
      </c>
      <c r="J79" t="s">
        <v>508</v>
      </c>
      <c r="K79" t="str">
        <f t="shared" si="3"/>
        <v>(C5) FP-1/16-16-G5+TA</v>
      </c>
      <c r="L79" t="str">
        <f t="shared" si="4"/>
        <v>(F) Tantalum</v>
      </c>
      <c r="M79" t="str">
        <f t="shared" si="5"/>
        <v>TA</v>
      </c>
    </row>
    <row r="80" spans="5:13">
      <c r="E80" s="244"/>
      <c r="F80" s="150" t="str">
        <f>'10A61 5" + 6" Results'!E46</f>
        <v>1/16-16-BG</v>
      </c>
      <c r="G80" s="3" t="s">
        <v>519</v>
      </c>
      <c r="H80" t="s">
        <v>499</v>
      </c>
      <c r="I80" s="3" t="s">
        <v>530</v>
      </c>
      <c r="J80" t="s">
        <v>508</v>
      </c>
      <c r="K80" t="str">
        <f t="shared" si="3"/>
        <v>(C1) FP-1/16-16-G5+BG</v>
      </c>
      <c r="L80" t="str">
        <f t="shared" si="4"/>
        <v>(A) Black Glass</v>
      </c>
      <c r="M80" t="str">
        <f t="shared" si="5"/>
        <v>BG</v>
      </c>
    </row>
    <row r="81" spans="5:13">
      <c r="E81" s="244"/>
      <c r="F81" s="150" t="str">
        <f>'10A61 5" + 6" Results'!E47</f>
        <v>1/16-20-SA</v>
      </c>
      <c r="G81" s="3" t="s">
        <v>520</v>
      </c>
      <c r="H81" t="s">
        <v>499</v>
      </c>
      <c r="I81" s="3" t="s">
        <v>830</v>
      </c>
      <c r="J81" t="s">
        <v>508</v>
      </c>
      <c r="K81" t="str">
        <f t="shared" si="3"/>
        <v>(C8) FP-1/16-20-G5+SA</v>
      </c>
      <c r="L81" t="str">
        <f t="shared" si="4"/>
        <v>(C) Saphire</v>
      </c>
      <c r="M81" t="str">
        <f t="shared" si="5"/>
        <v>SA</v>
      </c>
    </row>
    <row r="82" spans="5:13">
      <c r="E82" s="244"/>
      <c r="F82" s="150" t="str">
        <f>'10A61 5" + 6" Results'!E48</f>
        <v>1/16-20-SS</v>
      </c>
      <c r="G82" s="3" t="s">
        <v>520</v>
      </c>
      <c r="H82" t="s">
        <v>499</v>
      </c>
      <c r="I82" s="3" t="s">
        <v>831</v>
      </c>
      <c r="J82" t="s">
        <v>508</v>
      </c>
      <c r="K82" t="str">
        <f t="shared" si="3"/>
        <v>(C9) FP-1/16-20-G5+SS</v>
      </c>
      <c r="L82" t="str">
        <f t="shared" si="4"/>
        <v>(D) Stainless Steel</v>
      </c>
      <c r="M82" t="str">
        <f t="shared" si="5"/>
        <v>SS</v>
      </c>
    </row>
    <row r="83" spans="5:13">
      <c r="E83" s="244"/>
      <c r="F83" s="150" t="str">
        <f>'10A61 5" + 6" Results'!E49</f>
        <v>1/16-20-CA</v>
      </c>
      <c r="G83" s="3" t="s">
        <v>520</v>
      </c>
      <c r="H83" t="s">
        <v>499</v>
      </c>
      <c r="I83" s="3" t="s">
        <v>829</v>
      </c>
      <c r="J83" t="s">
        <v>508</v>
      </c>
      <c r="K83" t="str">
        <f t="shared" si="3"/>
        <v>(C7) FP-1/16-20-G5+CA</v>
      </c>
      <c r="L83" t="str">
        <f t="shared" si="4"/>
        <v>(E) Carboloy</v>
      </c>
      <c r="M83" t="str">
        <f t="shared" si="5"/>
        <v>CA</v>
      </c>
    </row>
    <row r="84" spans="5:13">
      <c r="E84" s="244"/>
      <c r="F84" s="150" t="str">
        <f>'10A61 5" + 6" Results'!E50</f>
        <v>1/16-20-TA</v>
      </c>
      <c r="G84" s="3" t="s">
        <v>520</v>
      </c>
      <c r="H84" t="s">
        <v>499</v>
      </c>
      <c r="I84" s="3" t="s">
        <v>832</v>
      </c>
      <c r="J84" t="s">
        <v>508</v>
      </c>
      <c r="K84" t="str">
        <f t="shared" si="3"/>
        <v>(D0) FP-1/16-20-G5+TA</v>
      </c>
      <c r="L84" t="str">
        <f t="shared" si="4"/>
        <v>(F) Tantalum</v>
      </c>
      <c r="M84" t="str">
        <f t="shared" si="5"/>
        <v>TA</v>
      </c>
    </row>
    <row r="85" spans="5:13">
      <c r="E85" s="244"/>
      <c r="F85" s="150" t="str">
        <f>'10A61 5" + 6" Results'!E51</f>
        <v>1/16-20-BG</v>
      </c>
      <c r="G85" s="3" t="s">
        <v>520</v>
      </c>
      <c r="H85" t="s">
        <v>499</v>
      </c>
      <c r="I85" s="3" t="s">
        <v>828</v>
      </c>
      <c r="J85" t="s">
        <v>508</v>
      </c>
      <c r="K85" t="str">
        <f t="shared" si="3"/>
        <v>(C6) FP-1/16-20-G5+BG</v>
      </c>
      <c r="L85" t="str">
        <f t="shared" si="4"/>
        <v>(A) Black Glass</v>
      </c>
      <c r="M85" t="str">
        <f t="shared" si="5"/>
        <v>BG</v>
      </c>
    </row>
    <row r="86" spans="5:13">
      <c r="E86" s="244"/>
      <c r="F86" s="150" t="str">
        <f>'10A61 5" + 6" Results'!E52</f>
        <v>1/8-25-SA</v>
      </c>
      <c r="G86" s="3" t="s">
        <v>521</v>
      </c>
      <c r="H86" t="s">
        <v>499</v>
      </c>
      <c r="I86" s="3" t="s">
        <v>862</v>
      </c>
      <c r="J86" t="s">
        <v>508</v>
      </c>
      <c r="K86" t="str">
        <f t="shared" si="3"/>
        <v>(K4) FP-1/8-25-G5+SA</v>
      </c>
      <c r="L86" t="str">
        <f t="shared" si="4"/>
        <v>(C) Saphire</v>
      </c>
      <c r="M86" t="str">
        <f t="shared" si="5"/>
        <v>SA</v>
      </c>
    </row>
    <row r="87" spans="5:13">
      <c r="E87" s="244"/>
      <c r="F87" s="150" t="str">
        <f>'10A61 5" + 6" Results'!E53</f>
        <v>1/8-25-SS</v>
      </c>
      <c r="G87" s="3" t="s">
        <v>521</v>
      </c>
      <c r="H87" t="s">
        <v>499</v>
      </c>
      <c r="I87" s="3" t="s">
        <v>863</v>
      </c>
      <c r="J87" t="s">
        <v>508</v>
      </c>
      <c r="K87" t="str">
        <f t="shared" si="3"/>
        <v>(K5) FP-1/8-25-G5+SS</v>
      </c>
      <c r="L87" t="str">
        <f t="shared" si="4"/>
        <v>(D) Stainless Steel</v>
      </c>
      <c r="M87" t="str">
        <f t="shared" si="5"/>
        <v>SS</v>
      </c>
    </row>
    <row r="88" spans="5:13">
      <c r="E88" s="244"/>
      <c r="F88" s="150" t="str">
        <f>'10A61 5" + 6" Results'!E54</f>
        <v>1/8-25-CA</v>
      </c>
      <c r="G88" s="3" t="s">
        <v>521</v>
      </c>
      <c r="H88" t="s">
        <v>499</v>
      </c>
      <c r="I88" s="3" t="s">
        <v>861</v>
      </c>
      <c r="J88" t="s">
        <v>508</v>
      </c>
      <c r="K88" t="str">
        <f t="shared" si="3"/>
        <v>(K3) FP-1/8-25-G5+CA</v>
      </c>
      <c r="L88" t="str">
        <f t="shared" si="4"/>
        <v>(E) Carboloy</v>
      </c>
      <c r="M88" t="str">
        <f t="shared" si="5"/>
        <v>CA</v>
      </c>
    </row>
    <row r="89" spans="5:13">
      <c r="E89" s="244"/>
      <c r="F89" s="150" t="str">
        <f>'10A61 5" + 6" Results'!E55</f>
        <v>1/8-25-TA</v>
      </c>
      <c r="G89" s="3" t="s">
        <v>521</v>
      </c>
      <c r="H89" t="s">
        <v>499</v>
      </c>
      <c r="I89" s="3" t="s">
        <v>864</v>
      </c>
      <c r="J89" t="s">
        <v>508</v>
      </c>
      <c r="K89" t="str">
        <f t="shared" si="3"/>
        <v>(L1) FP-1/8-25-G5+TA</v>
      </c>
      <c r="L89" t="str">
        <f t="shared" si="4"/>
        <v>(F) Tantalum</v>
      </c>
      <c r="M89" t="str">
        <f t="shared" si="5"/>
        <v>TA</v>
      </c>
    </row>
    <row r="90" spans="5:13">
      <c r="E90" s="244"/>
      <c r="F90" s="150" t="str">
        <f>'10A61 5" + 6" Results'!E56</f>
        <v>1/8-25-BG</v>
      </c>
      <c r="G90" s="3" t="s">
        <v>521</v>
      </c>
      <c r="H90" t="s">
        <v>499</v>
      </c>
      <c r="I90" s="3" t="s">
        <v>734</v>
      </c>
      <c r="J90" t="s">
        <v>508</v>
      </c>
      <c r="K90" t="str">
        <f t="shared" si="3"/>
        <v>(K2) FP-1/8-25-G5+BG</v>
      </c>
      <c r="L90" t="str">
        <f t="shared" si="4"/>
        <v>(A) Black Glass</v>
      </c>
      <c r="M90" t="str">
        <f t="shared" si="5"/>
        <v>BG</v>
      </c>
    </row>
    <row r="91" spans="5:13">
      <c r="E91" s="244"/>
      <c r="F91" s="150" t="str">
        <f>'10A61 5" + 6" Results'!E57</f>
        <v>1/8-20-SA</v>
      </c>
      <c r="G91" s="3" t="s">
        <v>510</v>
      </c>
      <c r="H91" t="s">
        <v>499</v>
      </c>
      <c r="I91" s="3" t="s">
        <v>859</v>
      </c>
      <c r="J91" t="s">
        <v>508</v>
      </c>
      <c r="K91" t="str">
        <f t="shared" si="3"/>
        <v>(J9) FP-1/8-20-G5+SA</v>
      </c>
      <c r="L91" t="str">
        <f t="shared" si="4"/>
        <v>(C) Saphire</v>
      </c>
      <c r="M91" t="str">
        <f t="shared" si="5"/>
        <v>SA</v>
      </c>
    </row>
    <row r="92" spans="5:13">
      <c r="E92" s="244"/>
      <c r="F92" s="150" t="str">
        <f>'10A61 5" + 6" Results'!E58</f>
        <v>1/8-20-SS</v>
      </c>
      <c r="G92" s="3" t="s">
        <v>510</v>
      </c>
      <c r="H92" t="s">
        <v>499</v>
      </c>
      <c r="I92" s="3" t="s">
        <v>860</v>
      </c>
      <c r="J92" t="s">
        <v>508</v>
      </c>
      <c r="K92" t="str">
        <f t="shared" si="3"/>
        <v>(K0) FP-1/8-20-G5+SS</v>
      </c>
      <c r="L92" t="str">
        <f t="shared" si="4"/>
        <v>(D) Stainless Steel</v>
      </c>
      <c r="M92" t="str">
        <f t="shared" si="5"/>
        <v>SS</v>
      </c>
    </row>
    <row r="93" spans="5:13">
      <c r="E93" s="244"/>
      <c r="F93" s="150" t="str">
        <f>'10A61 5" + 6" Results'!E59</f>
        <v>1/8-20-CA</v>
      </c>
      <c r="G93" s="3" t="s">
        <v>510</v>
      </c>
      <c r="H93" t="s">
        <v>499</v>
      </c>
      <c r="I93" s="3" t="s">
        <v>858</v>
      </c>
      <c r="J93" t="s">
        <v>508</v>
      </c>
      <c r="K93" t="str">
        <f t="shared" si="3"/>
        <v>(J8) FP-1/8-20-G5+CA</v>
      </c>
      <c r="L93" t="str">
        <f t="shared" si="4"/>
        <v>(E) Carboloy</v>
      </c>
      <c r="M93" t="str">
        <f t="shared" si="5"/>
        <v>CA</v>
      </c>
    </row>
    <row r="94" spans="5:13">
      <c r="E94" s="244"/>
      <c r="F94" s="150" t="str">
        <f>'10A61 5" + 6" Results'!E60</f>
        <v>1/8-20-TA</v>
      </c>
      <c r="G94" s="3" t="s">
        <v>510</v>
      </c>
      <c r="H94" t="s">
        <v>499</v>
      </c>
      <c r="I94" s="3" t="s">
        <v>733</v>
      </c>
      <c r="J94" t="s">
        <v>508</v>
      </c>
      <c r="K94" t="str">
        <f t="shared" si="3"/>
        <v>(K1) FP-1/8-20-G5+TA</v>
      </c>
      <c r="L94" t="str">
        <f t="shared" si="4"/>
        <v>(F) Tantalum</v>
      </c>
      <c r="M94" t="str">
        <f t="shared" si="5"/>
        <v>TA</v>
      </c>
    </row>
    <row r="95" spans="5:13">
      <c r="E95" s="244"/>
      <c r="F95" s="150" t="str">
        <f>'10A61 5" + 6" Results'!E61</f>
        <v>1/8-20-BG</v>
      </c>
      <c r="G95" s="3" t="s">
        <v>510</v>
      </c>
      <c r="H95" t="s">
        <v>499</v>
      </c>
      <c r="I95" s="3" t="s">
        <v>857</v>
      </c>
      <c r="J95" t="s">
        <v>508</v>
      </c>
      <c r="K95" t="str">
        <f t="shared" si="3"/>
        <v>(J7) FP-1/8-20-G5+BG</v>
      </c>
      <c r="L95" t="str">
        <f t="shared" si="4"/>
        <v>(A) Black Glass</v>
      </c>
      <c r="M95" t="str">
        <f t="shared" si="5"/>
        <v>BG</v>
      </c>
    </row>
    <row r="96" spans="5:13">
      <c r="E96" s="244"/>
      <c r="F96" s="150" t="str">
        <f>'10A61 5" + 6" Results'!E62</f>
        <v>1/8-16-SA</v>
      </c>
      <c r="G96" s="3" t="s">
        <v>522</v>
      </c>
      <c r="H96" t="s">
        <v>499</v>
      </c>
      <c r="I96" s="3" t="s">
        <v>854</v>
      </c>
      <c r="J96" t="s">
        <v>508</v>
      </c>
      <c r="K96" t="str">
        <f t="shared" si="3"/>
        <v>(J4) FP-1/8-16-G5+SA</v>
      </c>
      <c r="L96" t="str">
        <f t="shared" si="4"/>
        <v>(C) Saphire</v>
      </c>
      <c r="M96" t="str">
        <f t="shared" si="5"/>
        <v>SA</v>
      </c>
    </row>
    <row r="97" spans="5:13">
      <c r="E97" s="244"/>
      <c r="F97" s="150" t="str">
        <f>'10A61 5" + 6" Results'!E63</f>
        <v>1/8-16-SS</v>
      </c>
      <c r="G97" s="3" t="s">
        <v>522</v>
      </c>
      <c r="H97" t="s">
        <v>499</v>
      </c>
      <c r="I97" s="3" t="s">
        <v>855</v>
      </c>
      <c r="J97" t="s">
        <v>508</v>
      </c>
      <c r="K97" t="str">
        <f t="shared" si="3"/>
        <v>(J5) FP-1/8-16-G5+SS</v>
      </c>
      <c r="L97" t="str">
        <f t="shared" si="4"/>
        <v>(D) Stainless Steel</v>
      </c>
      <c r="M97" t="str">
        <f t="shared" si="5"/>
        <v>SS</v>
      </c>
    </row>
    <row r="98" spans="5:13">
      <c r="E98" s="244"/>
      <c r="F98" s="150" t="str">
        <f>'10A61 5" + 6" Results'!E64</f>
        <v>1/8-16-CA</v>
      </c>
      <c r="G98" s="3" t="s">
        <v>522</v>
      </c>
      <c r="H98" t="s">
        <v>499</v>
      </c>
      <c r="I98" s="3" t="s">
        <v>853</v>
      </c>
      <c r="J98" t="s">
        <v>508</v>
      </c>
      <c r="K98" t="str">
        <f t="shared" si="3"/>
        <v>(J3) FP-1/8-16-G5+CA</v>
      </c>
      <c r="L98" t="str">
        <f t="shared" si="4"/>
        <v>(E) Carboloy</v>
      </c>
      <c r="M98" t="str">
        <f t="shared" si="5"/>
        <v>CA</v>
      </c>
    </row>
    <row r="99" spans="5:13">
      <c r="E99" s="244"/>
      <c r="F99" s="150" t="str">
        <f>'10A61 5" + 6" Results'!E65</f>
        <v>1/8-16-TA</v>
      </c>
      <c r="G99" s="3" t="s">
        <v>522</v>
      </c>
      <c r="H99" t="s">
        <v>499</v>
      </c>
      <c r="I99" s="3" t="s">
        <v>856</v>
      </c>
      <c r="J99" t="s">
        <v>508</v>
      </c>
      <c r="K99" t="str">
        <f t="shared" si="3"/>
        <v>(J6) FP-1/8-16-G5+TA</v>
      </c>
      <c r="L99" t="str">
        <f t="shared" si="4"/>
        <v>(F) Tantalum</v>
      </c>
      <c r="M99" t="str">
        <f t="shared" si="5"/>
        <v>TA</v>
      </c>
    </row>
    <row r="100" spans="5:13">
      <c r="E100" s="244"/>
      <c r="F100" s="150" t="str">
        <f>'10A61 5" + 6" Results'!E66</f>
        <v>1/8-16-BG</v>
      </c>
      <c r="G100" s="3" t="s">
        <v>522</v>
      </c>
      <c r="H100" t="s">
        <v>499</v>
      </c>
      <c r="I100" s="3" t="s">
        <v>852</v>
      </c>
      <c r="J100" t="s">
        <v>508</v>
      </c>
      <c r="K100" t="str">
        <f t="shared" si="3"/>
        <v>(J2) FP-1/8-16-G5+BG</v>
      </c>
      <c r="L100" t="str">
        <f t="shared" si="4"/>
        <v>(A) Black Glass</v>
      </c>
      <c r="M100" t="str">
        <f t="shared" si="5"/>
        <v>BG</v>
      </c>
    </row>
    <row r="101" spans="5:13">
      <c r="E101" s="244"/>
      <c r="F101" s="150" t="str">
        <f>'10A61 5" + 6" Results'!E67</f>
        <v>1/4-40-G-6-BG</v>
      </c>
      <c r="G101" s="3" t="s">
        <v>523</v>
      </c>
      <c r="H101" t="s">
        <v>500</v>
      </c>
      <c r="I101" s="3" t="s">
        <v>905</v>
      </c>
      <c r="J101" t="s">
        <v>508</v>
      </c>
      <c r="K101" t="str">
        <f t="shared" si="3"/>
        <v>(T6) FP-1/4-40-G6+BG</v>
      </c>
      <c r="L101" t="str">
        <f t="shared" si="4"/>
        <v>(A) Black Glass</v>
      </c>
      <c r="M101" t="str">
        <f t="shared" si="5"/>
        <v>BG</v>
      </c>
    </row>
    <row r="102" spans="5:13">
      <c r="E102" s="244"/>
      <c r="F102" s="150" t="str">
        <f>'10A61 5" + 6" Results'!E68</f>
        <v>1/4-40-G-6-SA</v>
      </c>
      <c r="G102" s="3" t="s">
        <v>523</v>
      </c>
      <c r="H102" t="s">
        <v>500</v>
      </c>
      <c r="I102" s="3" t="s">
        <v>906</v>
      </c>
      <c r="J102" t="s">
        <v>508</v>
      </c>
      <c r="K102" t="str">
        <f t="shared" si="3"/>
        <v>(T9) FP-1/4-40-G6+SA</v>
      </c>
      <c r="L102" t="str">
        <f t="shared" si="4"/>
        <v>(C) Saphire</v>
      </c>
      <c r="M102" t="str">
        <f t="shared" si="5"/>
        <v>SA</v>
      </c>
    </row>
    <row r="103" spans="5:13">
      <c r="E103" s="244"/>
      <c r="F103" s="150" t="str">
        <f>'10A61 5" + 6" Results'!E69</f>
        <v>1/4-40-G-6-SS</v>
      </c>
      <c r="G103" s="3" t="s">
        <v>523</v>
      </c>
      <c r="H103" t="s">
        <v>500</v>
      </c>
      <c r="I103" s="3" t="s">
        <v>907</v>
      </c>
      <c r="J103" t="s">
        <v>508</v>
      </c>
      <c r="K103" t="str">
        <f t="shared" si="3"/>
        <v>(V0) FP-1/4-40-G6+SS</v>
      </c>
      <c r="L103" t="str">
        <f t="shared" si="4"/>
        <v>(D) Stainless Steel</v>
      </c>
      <c r="M103" t="str">
        <f t="shared" si="5"/>
        <v>SS</v>
      </c>
    </row>
    <row r="104" spans="5:13">
      <c r="E104" s="244"/>
      <c r="F104" s="150" t="str">
        <f>'10A61 5" + 6" Results'!E70</f>
        <v>1/4-40-G-6-CA</v>
      </c>
      <c r="G104" s="3" t="s">
        <v>523</v>
      </c>
      <c r="H104" t="s">
        <v>500</v>
      </c>
      <c r="I104" s="3" t="s">
        <v>908</v>
      </c>
      <c r="J104" t="s">
        <v>508</v>
      </c>
      <c r="K104" t="str">
        <f t="shared" si="3"/>
        <v>(T7) FP-1/4-40-G6+CA</v>
      </c>
      <c r="L104" t="str">
        <f t="shared" si="4"/>
        <v>(E) Carboloy</v>
      </c>
      <c r="M104" t="str">
        <f t="shared" si="5"/>
        <v>CA</v>
      </c>
    </row>
    <row r="105" spans="5:13">
      <c r="E105" s="245"/>
      <c r="F105" s="150" t="str">
        <f>'10A61 5" + 6" Results'!E71</f>
        <v>1/4-40-G-6-TA</v>
      </c>
      <c r="G105" s="3" t="s">
        <v>523</v>
      </c>
      <c r="H105" t="s">
        <v>500</v>
      </c>
      <c r="I105" s="3" t="s">
        <v>909</v>
      </c>
      <c r="J105" t="s">
        <v>508</v>
      </c>
      <c r="K105" t="str">
        <f t="shared" si="3"/>
        <v>(W1) FP-1/4-40-G6+TA</v>
      </c>
      <c r="L105" t="str">
        <f t="shared" si="4"/>
        <v>(F) Tantalum</v>
      </c>
      <c r="M105" t="str">
        <f t="shared" si="5"/>
        <v>TA</v>
      </c>
    </row>
    <row r="106" spans="5:13">
      <c r="E106" s="243" t="s">
        <v>498</v>
      </c>
      <c r="F106" s="117" t="str">
        <f>'10A61 10" Results'!F4</f>
        <v>1/8-077-G-10-BG</v>
      </c>
      <c r="G106" s="3" t="s">
        <v>524</v>
      </c>
      <c r="H106" t="s">
        <v>501</v>
      </c>
      <c r="I106" s="3" t="s">
        <v>502</v>
      </c>
      <c r="J106" t="s">
        <v>508</v>
      </c>
      <c r="K106" t="str">
        <f t="shared" si="3"/>
        <v>(27) FP-1/8-077-G10+BG</v>
      </c>
      <c r="L106" t="str">
        <f t="shared" si="4"/>
        <v>(A) Black Glass</v>
      </c>
      <c r="M106" t="str">
        <f t="shared" si="5"/>
        <v>BG</v>
      </c>
    </row>
    <row r="107" spans="5:13">
      <c r="E107" s="244"/>
      <c r="F107" s="117" t="str">
        <f>'10A61 10" Results'!F5</f>
        <v>1/8-077-G-10-SA</v>
      </c>
      <c r="G107" s="3" t="s">
        <v>524</v>
      </c>
      <c r="H107" t="s">
        <v>501</v>
      </c>
      <c r="I107" s="3" t="s">
        <v>502</v>
      </c>
      <c r="J107" t="s">
        <v>508</v>
      </c>
      <c r="K107" t="str">
        <f t="shared" si="3"/>
        <v>(27) FP-1/8-077-G10+SA</v>
      </c>
      <c r="L107" t="str">
        <f t="shared" si="4"/>
        <v>(C) Saphire</v>
      </c>
      <c r="M107" t="str">
        <f t="shared" si="5"/>
        <v>SA</v>
      </c>
    </row>
    <row r="108" spans="5:13">
      <c r="E108" s="244"/>
      <c r="F108" s="117" t="str">
        <f>'10A61 10" Results'!F6</f>
        <v>1/8-077-G-10-SS</v>
      </c>
      <c r="G108" s="3" t="s">
        <v>524</v>
      </c>
      <c r="H108" t="s">
        <v>501</v>
      </c>
      <c r="I108" s="3" t="s">
        <v>502</v>
      </c>
      <c r="J108" t="s">
        <v>508</v>
      </c>
      <c r="K108" t="str">
        <f t="shared" si="3"/>
        <v>(27) FP-1/8-077-G10+SS</v>
      </c>
      <c r="L108" t="str">
        <f t="shared" si="4"/>
        <v>(D) Stainless Steel</v>
      </c>
      <c r="M108" t="str">
        <f t="shared" si="5"/>
        <v>SS</v>
      </c>
    </row>
    <row r="109" spans="5:13">
      <c r="E109" s="244"/>
      <c r="F109" s="117" t="str">
        <f>'10A61 10" Results'!F7</f>
        <v>1/8-077-G-10-CA</v>
      </c>
      <c r="G109" s="3" t="s">
        <v>524</v>
      </c>
      <c r="H109" t="s">
        <v>501</v>
      </c>
      <c r="I109" s="3" t="s">
        <v>502</v>
      </c>
      <c r="J109" t="s">
        <v>508</v>
      </c>
      <c r="K109" t="str">
        <f t="shared" si="3"/>
        <v>(27) FP-1/8-077-G10+CA</v>
      </c>
      <c r="L109" t="str">
        <f t="shared" si="4"/>
        <v>(E) Carboloy</v>
      </c>
      <c r="M109" t="str">
        <f t="shared" si="5"/>
        <v>CA</v>
      </c>
    </row>
    <row r="110" spans="5:13">
      <c r="E110" s="244"/>
      <c r="F110" s="117" t="str">
        <f>'10A61 10" Results'!F8</f>
        <v>1/8-077-G-10-TA</v>
      </c>
      <c r="G110" s="3" t="s">
        <v>524</v>
      </c>
      <c r="H110" t="s">
        <v>501</v>
      </c>
      <c r="I110" s="3" t="s">
        <v>502</v>
      </c>
      <c r="J110" t="s">
        <v>508</v>
      </c>
      <c r="K110" t="str">
        <f t="shared" si="3"/>
        <v>(27) FP-1/8-077-G10+TA</v>
      </c>
      <c r="L110" t="str">
        <f t="shared" si="4"/>
        <v>(F) Tantalum</v>
      </c>
      <c r="M110" t="str">
        <f t="shared" si="5"/>
        <v>TA</v>
      </c>
    </row>
    <row r="111" spans="5:13">
      <c r="E111" s="244"/>
      <c r="F111" s="117" t="str">
        <f>'10A61 10" Results'!F9</f>
        <v>1/8-13.3-G-10-BG</v>
      </c>
      <c r="G111" s="3" t="s">
        <v>525</v>
      </c>
      <c r="H111" t="s">
        <v>501</v>
      </c>
      <c r="I111" s="3" t="s">
        <v>503</v>
      </c>
      <c r="J111" t="s">
        <v>508</v>
      </c>
      <c r="K111" t="str">
        <f t="shared" si="3"/>
        <v>(28) FP-1/8-13.3-G10+BG</v>
      </c>
      <c r="L111" t="str">
        <f t="shared" si="4"/>
        <v>(A) Black Glass</v>
      </c>
      <c r="M111" t="str">
        <f t="shared" si="5"/>
        <v>BG</v>
      </c>
    </row>
    <row r="112" spans="5:13">
      <c r="E112" s="244"/>
      <c r="F112" s="117" t="str">
        <f>'10A61 10" Results'!F10</f>
        <v>1/8-13.3-G-10-SA</v>
      </c>
      <c r="G112" s="3" t="s">
        <v>525</v>
      </c>
      <c r="H112" t="s">
        <v>501</v>
      </c>
      <c r="I112" s="3" t="s">
        <v>503</v>
      </c>
      <c r="J112" t="s">
        <v>508</v>
      </c>
      <c r="K112" t="str">
        <f t="shared" si="3"/>
        <v>(28) FP-1/8-13.3-G10+SA</v>
      </c>
      <c r="L112" t="str">
        <f t="shared" si="4"/>
        <v>(C) Saphire</v>
      </c>
      <c r="M112" t="str">
        <f t="shared" si="5"/>
        <v>SA</v>
      </c>
    </row>
    <row r="113" spans="5:13">
      <c r="E113" s="244"/>
      <c r="F113" s="117" t="str">
        <f>'10A61 10" Results'!F11</f>
        <v>1/8-13.3-G-10-SS</v>
      </c>
      <c r="G113" s="3" t="s">
        <v>525</v>
      </c>
      <c r="H113" t="s">
        <v>501</v>
      </c>
      <c r="I113" s="3" t="s">
        <v>503</v>
      </c>
      <c r="J113" t="s">
        <v>508</v>
      </c>
      <c r="K113" t="str">
        <f t="shared" si="3"/>
        <v>(28) FP-1/8-13.3-G10+SS</v>
      </c>
      <c r="L113" t="str">
        <f t="shared" si="4"/>
        <v>(D) Stainless Steel</v>
      </c>
      <c r="M113" t="str">
        <f t="shared" si="5"/>
        <v>SS</v>
      </c>
    </row>
    <row r="114" spans="5:13">
      <c r="E114" s="244"/>
      <c r="F114" s="117" t="str">
        <f>'10A61 10" Results'!F12</f>
        <v>1/8-13.3-G-10-CA</v>
      </c>
      <c r="G114" s="3" t="s">
        <v>525</v>
      </c>
      <c r="H114" t="s">
        <v>501</v>
      </c>
      <c r="I114" s="3" t="s">
        <v>503</v>
      </c>
      <c r="J114" t="s">
        <v>508</v>
      </c>
      <c r="K114" t="str">
        <f t="shared" si="3"/>
        <v>(28) FP-1/8-13.3-G10+CA</v>
      </c>
      <c r="L114" t="str">
        <f t="shared" si="4"/>
        <v>(E) Carboloy</v>
      </c>
      <c r="M114" t="str">
        <f t="shared" si="5"/>
        <v>CA</v>
      </c>
    </row>
    <row r="115" spans="5:13">
      <c r="E115" s="244"/>
      <c r="F115" s="117" t="str">
        <f>'10A61 10" Results'!F13</f>
        <v>1/8-13.3-G-10-TA</v>
      </c>
      <c r="G115" s="3" t="s">
        <v>525</v>
      </c>
      <c r="H115" t="s">
        <v>501</v>
      </c>
      <c r="I115" s="3" t="s">
        <v>503</v>
      </c>
      <c r="J115" t="s">
        <v>508</v>
      </c>
      <c r="K115" t="str">
        <f t="shared" si="3"/>
        <v>(28) FP-1/8-13.3-G10+TA</v>
      </c>
      <c r="L115" t="str">
        <f t="shared" si="4"/>
        <v>(F) Tantalum</v>
      </c>
      <c r="M115" t="str">
        <f t="shared" si="5"/>
        <v>TA</v>
      </c>
    </row>
    <row r="116" spans="5:13">
      <c r="E116" s="244"/>
      <c r="F116" s="117" t="str">
        <f>'10A61 10" Results'!F14</f>
        <v>1/8-32-G-10-BG</v>
      </c>
      <c r="G116" s="3" t="s">
        <v>526</v>
      </c>
      <c r="H116" t="s">
        <v>501</v>
      </c>
      <c r="I116" s="3" t="s">
        <v>504</v>
      </c>
      <c r="J116" t="s">
        <v>508</v>
      </c>
      <c r="K116" t="str">
        <f t="shared" si="3"/>
        <v>(29) FP-1/8-32-G10+BG</v>
      </c>
      <c r="L116" t="str">
        <f t="shared" si="4"/>
        <v>(A) Black Glass</v>
      </c>
      <c r="M116" t="str">
        <f t="shared" si="5"/>
        <v>BG</v>
      </c>
    </row>
    <row r="117" spans="5:13">
      <c r="E117" s="244"/>
      <c r="F117" s="117" t="str">
        <f>'10A61 10" Results'!F15</f>
        <v>1/8-32-G-10-SA</v>
      </c>
      <c r="G117" s="3" t="s">
        <v>526</v>
      </c>
      <c r="H117" t="s">
        <v>501</v>
      </c>
      <c r="I117" s="3" t="s">
        <v>504</v>
      </c>
      <c r="J117" t="s">
        <v>508</v>
      </c>
      <c r="K117" t="str">
        <f t="shared" si="3"/>
        <v>(29) FP-1/8-32-G10+SA</v>
      </c>
      <c r="L117" t="str">
        <f t="shared" si="4"/>
        <v>(C) Saphire</v>
      </c>
      <c r="M117" t="str">
        <f t="shared" si="5"/>
        <v>SA</v>
      </c>
    </row>
    <row r="118" spans="5:13">
      <c r="E118" s="244"/>
      <c r="F118" s="117" t="str">
        <f>'10A61 10" Results'!F16</f>
        <v>1/8-32-G-10-SS</v>
      </c>
      <c r="G118" s="3" t="s">
        <v>526</v>
      </c>
      <c r="H118" t="s">
        <v>501</v>
      </c>
      <c r="I118" s="3" t="s">
        <v>504</v>
      </c>
      <c r="J118" t="s">
        <v>508</v>
      </c>
      <c r="K118" t="str">
        <f t="shared" si="3"/>
        <v>(29) FP-1/8-32-G10+SS</v>
      </c>
      <c r="L118" t="str">
        <f t="shared" si="4"/>
        <v>(D) Stainless Steel</v>
      </c>
      <c r="M118" t="str">
        <f t="shared" si="5"/>
        <v>SS</v>
      </c>
    </row>
    <row r="119" spans="5:13">
      <c r="E119" s="244"/>
      <c r="F119" s="117" t="str">
        <f>'10A61 10" Results'!F17</f>
        <v>1/8-32-G-10-CA</v>
      </c>
      <c r="G119" s="3" t="s">
        <v>526</v>
      </c>
      <c r="H119" t="s">
        <v>501</v>
      </c>
      <c r="I119" s="3" t="s">
        <v>504</v>
      </c>
      <c r="J119" t="s">
        <v>508</v>
      </c>
      <c r="K119" t="str">
        <f t="shared" si="3"/>
        <v>(29) FP-1/8-32-G10+CA</v>
      </c>
      <c r="L119" t="str">
        <f t="shared" si="4"/>
        <v>(E) Carboloy</v>
      </c>
      <c r="M119" t="str">
        <f t="shared" si="5"/>
        <v>CA</v>
      </c>
    </row>
    <row r="120" spans="5:13">
      <c r="E120" s="244"/>
      <c r="F120" s="117" t="str">
        <f>'10A61 10" Results'!F18</f>
        <v>1/8-32-G-10-TA</v>
      </c>
      <c r="G120" s="3" t="s">
        <v>526</v>
      </c>
      <c r="H120" t="s">
        <v>501</v>
      </c>
      <c r="I120" s="3" t="s">
        <v>504</v>
      </c>
      <c r="J120" t="s">
        <v>508</v>
      </c>
      <c r="K120" t="str">
        <f t="shared" si="3"/>
        <v>(29) FP-1/8-32-G10+TA</v>
      </c>
      <c r="L120" t="str">
        <f t="shared" si="4"/>
        <v>(F) Tantalum</v>
      </c>
      <c r="M120" t="str">
        <f t="shared" si="5"/>
        <v>TA</v>
      </c>
    </row>
    <row r="121" spans="5:13">
      <c r="E121" s="244"/>
      <c r="F121" s="117" t="str">
        <f>'10A61 10" Results'!F19</f>
        <v>1/4-10-G-10-BG</v>
      </c>
      <c r="G121" s="3" t="s">
        <v>516</v>
      </c>
      <c r="H121" t="s">
        <v>501</v>
      </c>
      <c r="I121" s="3" t="s">
        <v>505</v>
      </c>
      <c r="J121" t="s">
        <v>508</v>
      </c>
      <c r="K121" t="str">
        <f t="shared" si="3"/>
        <v>(30) FP-1/4-10-G10+BG</v>
      </c>
      <c r="L121" t="str">
        <f t="shared" si="4"/>
        <v>(A) Black Glass</v>
      </c>
      <c r="M121" t="str">
        <f t="shared" si="5"/>
        <v>BG</v>
      </c>
    </row>
    <row r="122" spans="5:13">
      <c r="E122" s="244"/>
      <c r="F122" s="117" t="str">
        <f>'10A61 10" Results'!F20</f>
        <v>1/4-10-G-10-SA</v>
      </c>
      <c r="G122" s="3" t="s">
        <v>516</v>
      </c>
      <c r="H122" t="s">
        <v>501</v>
      </c>
      <c r="I122" s="3" t="s">
        <v>505</v>
      </c>
      <c r="J122" t="s">
        <v>508</v>
      </c>
      <c r="K122" t="str">
        <f t="shared" si="3"/>
        <v>(30) FP-1/4-10-G10+SA</v>
      </c>
      <c r="L122" t="str">
        <f t="shared" si="4"/>
        <v>(C) Saphire</v>
      </c>
      <c r="M122" t="str">
        <f t="shared" si="5"/>
        <v>SA</v>
      </c>
    </row>
    <row r="123" spans="5:13">
      <c r="E123" s="244"/>
      <c r="F123" s="117" t="str">
        <f>'10A61 10" Results'!F21</f>
        <v>1/4-10-G-10-SS</v>
      </c>
      <c r="G123" s="3" t="s">
        <v>516</v>
      </c>
      <c r="H123" t="s">
        <v>501</v>
      </c>
      <c r="I123" s="3" t="s">
        <v>505</v>
      </c>
      <c r="J123" t="s">
        <v>508</v>
      </c>
      <c r="K123" t="str">
        <f t="shared" si="3"/>
        <v>(30) FP-1/4-10-G10+SS</v>
      </c>
      <c r="L123" t="str">
        <f t="shared" si="4"/>
        <v>(D) Stainless Steel</v>
      </c>
      <c r="M123" t="str">
        <f t="shared" si="5"/>
        <v>SS</v>
      </c>
    </row>
    <row r="124" spans="5:13">
      <c r="E124" s="244"/>
      <c r="F124" s="117" t="str">
        <f>'10A61 10" Results'!F22</f>
        <v>1/4-10-G-10-CA</v>
      </c>
      <c r="G124" s="3" t="s">
        <v>516</v>
      </c>
      <c r="H124" t="s">
        <v>501</v>
      </c>
      <c r="I124" s="3" t="s">
        <v>505</v>
      </c>
      <c r="J124" t="s">
        <v>508</v>
      </c>
      <c r="K124" t="str">
        <f t="shared" si="3"/>
        <v>(30) FP-1/4-10-G10+CA</v>
      </c>
      <c r="L124" t="str">
        <f t="shared" si="4"/>
        <v>(E) Carboloy</v>
      </c>
      <c r="M124" t="str">
        <f t="shared" si="5"/>
        <v>CA</v>
      </c>
    </row>
    <row r="125" spans="5:13">
      <c r="E125" s="244"/>
      <c r="F125" s="117" t="str">
        <f>'10A61 10" Results'!F23</f>
        <v>1/4-10-G-10-TA</v>
      </c>
      <c r="G125" s="3" t="s">
        <v>516</v>
      </c>
      <c r="H125" t="s">
        <v>501</v>
      </c>
      <c r="I125" s="3" t="s">
        <v>505</v>
      </c>
      <c r="J125" t="s">
        <v>508</v>
      </c>
      <c r="K125" t="str">
        <f t="shared" si="3"/>
        <v>(30) FP-1/4-10-G10+TA</v>
      </c>
      <c r="L125" t="str">
        <f t="shared" si="4"/>
        <v>(F) Tantalum</v>
      </c>
      <c r="M125" t="str">
        <f t="shared" si="5"/>
        <v>TA</v>
      </c>
    </row>
    <row r="126" spans="5:13">
      <c r="E126" s="244"/>
      <c r="F126" s="117" t="str">
        <f>'10A61 10" Results'!F24</f>
        <v>1/4-19-G-10-BG</v>
      </c>
      <c r="G126" s="3" t="s">
        <v>527</v>
      </c>
      <c r="H126" t="s">
        <v>501</v>
      </c>
      <c r="I126" s="3" t="s">
        <v>506</v>
      </c>
      <c r="J126" t="s">
        <v>508</v>
      </c>
      <c r="K126" t="str">
        <f t="shared" si="3"/>
        <v>(31) FP-1/4-19-G10+BG</v>
      </c>
      <c r="L126" t="str">
        <f t="shared" si="4"/>
        <v>(A) Black Glass</v>
      </c>
      <c r="M126" t="str">
        <f t="shared" si="5"/>
        <v>BG</v>
      </c>
    </row>
    <row r="127" spans="5:13">
      <c r="E127" s="244"/>
      <c r="F127" s="117" t="str">
        <f>'10A61 10" Results'!F25</f>
        <v>1/4-19-G-10-SA</v>
      </c>
      <c r="G127" s="3" t="s">
        <v>527</v>
      </c>
      <c r="H127" t="s">
        <v>501</v>
      </c>
      <c r="I127" s="3" t="s">
        <v>506</v>
      </c>
      <c r="J127" t="s">
        <v>508</v>
      </c>
      <c r="K127" t="str">
        <f t="shared" si="3"/>
        <v>(31) FP-1/4-19-G10+SA</v>
      </c>
      <c r="L127" t="str">
        <f t="shared" si="4"/>
        <v>(C) Saphire</v>
      </c>
      <c r="M127" t="str">
        <f t="shared" si="5"/>
        <v>SA</v>
      </c>
    </row>
    <row r="128" spans="5:13">
      <c r="E128" s="244"/>
      <c r="F128" s="117" t="str">
        <f>'10A61 10" Results'!F26</f>
        <v>1/4-19-G-10-SS</v>
      </c>
      <c r="G128" s="3" t="s">
        <v>527</v>
      </c>
      <c r="H128" t="s">
        <v>501</v>
      </c>
      <c r="I128" s="3" t="s">
        <v>506</v>
      </c>
      <c r="J128" t="s">
        <v>508</v>
      </c>
      <c r="K128" t="str">
        <f t="shared" si="3"/>
        <v>(31) FP-1/4-19-G10+SS</v>
      </c>
      <c r="L128" t="str">
        <f t="shared" si="4"/>
        <v>(D) Stainless Steel</v>
      </c>
      <c r="M128" t="str">
        <f t="shared" si="5"/>
        <v>SS</v>
      </c>
    </row>
    <row r="129" spans="5:13">
      <c r="E129" s="244"/>
      <c r="F129" s="117" t="str">
        <f>'10A61 10" Results'!F27</f>
        <v>1/4-19-G-10-CA</v>
      </c>
      <c r="G129" s="3" t="s">
        <v>527</v>
      </c>
      <c r="H129" t="s">
        <v>501</v>
      </c>
      <c r="I129" s="3" t="s">
        <v>506</v>
      </c>
      <c r="J129" t="s">
        <v>508</v>
      </c>
      <c r="K129" t="str">
        <f t="shared" si="3"/>
        <v>(31) FP-1/4-19-G10+CA</v>
      </c>
      <c r="L129" t="str">
        <f t="shared" si="4"/>
        <v>(E) Carboloy</v>
      </c>
      <c r="M129" t="str">
        <f t="shared" si="5"/>
        <v>CA</v>
      </c>
    </row>
    <row r="130" spans="5:13">
      <c r="E130" s="244"/>
      <c r="F130" s="149" t="s">
        <v>301</v>
      </c>
      <c r="G130" s="3" t="s">
        <v>523</v>
      </c>
      <c r="H130" t="s">
        <v>500</v>
      </c>
      <c r="I130" s="3" t="s">
        <v>905</v>
      </c>
      <c r="J130" t="s">
        <v>508</v>
      </c>
      <c r="K130" t="str">
        <f t="shared" ref="K130:K135" si="6">CONCATENATE("(",I130,")"," ",J130,"-",G130,H130,"+",M130)</f>
        <v>(T6) FP-1/4-40-G6+BG</v>
      </c>
      <c r="L130" t="str">
        <f t="shared" ref="L130:L135" si="7">CONCATENATE("(",VLOOKUP(RIGHT(F130,2),$A$4:$C$9,2,FALSE),")"," ",VLOOKUP(RIGHT(F130,2),$A$4:$C$9,3,FALSE))</f>
        <v>(A) Black Glass</v>
      </c>
      <c r="M130" t="str">
        <f t="shared" ref="M130:M135" si="8">RIGHT(F130,2)</f>
        <v>BG</v>
      </c>
    </row>
    <row r="131" spans="5:13">
      <c r="E131" s="244"/>
      <c r="F131" s="149" t="s">
        <v>302</v>
      </c>
      <c r="G131" s="3" t="s">
        <v>523</v>
      </c>
      <c r="H131" t="s">
        <v>500</v>
      </c>
      <c r="I131" s="3" t="s">
        <v>906</v>
      </c>
      <c r="J131" t="s">
        <v>508</v>
      </c>
      <c r="K131" t="str">
        <f t="shared" si="6"/>
        <v>(T9) FP-1/4-40-G6+SA</v>
      </c>
      <c r="L131" t="str">
        <f t="shared" si="7"/>
        <v>(C) Saphire</v>
      </c>
      <c r="M131" t="str">
        <f t="shared" si="8"/>
        <v>SA</v>
      </c>
    </row>
    <row r="132" spans="5:13">
      <c r="E132" s="244"/>
      <c r="F132" s="149" t="s">
        <v>303</v>
      </c>
      <c r="G132" s="3" t="s">
        <v>523</v>
      </c>
      <c r="H132" t="s">
        <v>500</v>
      </c>
      <c r="I132" s="3" t="s">
        <v>907</v>
      </c>
      <c r="J132" t="s">
        <v>508</v>
      </c>
      <c r="K132" t="str">
        <f t="shared" si="6"/>
        <v>(V0) FP-1/4-40-G6+SS</v>
      </c>
      <c r="L132" t="str">
        <f t="shared" si="7"/>
        <v>(D) Stainless Steel</v>
      </c>
      <c r="M132" t="str">
        <f t="shared" si="8"/>
        <v>SS</v>
      </c>
    </row>
    <row r="133" spans="5:13">
      <c r="E133" s="244"/>
      <c r="F133" s="149" t="s">
        <v>304</v>
      </c>
      <c r="G133" s="3" t="s">
        <v>523</v>
      </c>
      <c r="H133" t="s">
        <v>500</v>
      </c>
      <c r="I133" s="3" t="s">
        <v>908</v>
      </c>
      <c r="J133" t="s">
        <v>508</v>
      </c>
      <c r="K133" t="str">
        <f t="shared" si="6"/>
        <v>(T7) FP-1/4-40-G6+CA</v>
      </c>
      <c r="L133" t="str">
        <f t="shared" si="7"/>
        <v>(E) Carboloy</v>
      </c>
      <c r="M133" t="str">
        <f t="shared" si="8"/>
        <v>CA</v>
      </c>
    </row>
    <row r="134" spans="5:13">
      <c r="E134" s="244"/>
      <c r="F134" s="149" t="s">
        <v>305</v>
      </c>
      <c r="G134" s="3" t="s">
        <v>523</v>
      </c>
      <c r="H134" t="s">
        <v>500</v>
      </c>
      <c r="I134" s="3" t="s">
        <v>909</v>
      </c>
      <c r="J134" t="s">
        <v>508</v>
      </c>
      <c r="K134" t="str">
        <f t="shared" si="6"/>
        <v>(W1) FP-1/4-40-G6+TA</v>
      </c>
      <c r="L134" t="str">
        <f t="shared" si="7"/>
        <v>(F) Tantalum</v>
      </c>
      <c r="M134" t="str">
        <f t="shared" si="8"/>
        <v>TA</v>
      </c>
    </row>
    <row r="135" spans="5:13">
      <c r="E135" s="244"/>
      <c r="F135" s="149" t="s">
        <v>911</v>
      </c>
      <c r="G135" s="3" t="s">
        <v>523</v>
      </c>
      <c r="H135" t="s">
        <v>917</v>
      </c>
      <c r="I135" s="3" t="s">
        <v>918</v>
      </c>
      <c r="J135" t="s">
        <v>508</v>
      </c>
      <c r="K135" t="str">
        <f t="shared" si="6"/>
        <v>(T8) FP-1/4-40-G7+CD</v>
      </c>
      <c r="L135" t="str">
        <f t="shared" si="7"/>
        <v>(B) Constant Density</v>
      </c>
      <c r="M135" t="str">
        <f t="shared" si="8"/>
        <v>CD</v>
      </c>
    </row>
    <row r="136" spans="5:13">
      <c r="E136" s="244"/>
      <c r="F136" s="117" t="str">
        <f>'10A61 10" Results'!F28</f>
        <v>1/4-19-G-10-TA</v>
      </c>
      <c r="G136" s="3" t="s">
        <v>527</v>
      </c>
      <c r="H136" t="s">
        <v>501</v>
      </c>
      <c r="I136" s="3" t="s">
        <v>506</v>
      </c>
      <c r="J136" t="s">
        <v>508</v>
      </c>
      <c r="K136" t="str">
        <f t="shared" si="3"/>
        <v>(31) FP-1/4-19-G10+TA</v>
      </c>
      <c r="L136" t="str">
        <f t="shared" si="4"/>
        <v>(F) Tantalum</v>
      </c>
      <c r="M136" t="str">
        <f t="shared" si="5"/>
        <v>TA</v>
      </c>
    </row>
    <row r="137" spans="5:13">
      <c r="E137" s="244"/>
      <c r="F137" s="117" t="str">
        <f>'10A61 10" Results'!F29</f>
        <v>1/4-40-G-10-BG</v>
      </c>
      <c r="G137" s="3" t="s">
        <v>523</v>
      </c>
      <c r="H137" t="s">
        <v>501</v>
      </c>
      <c r="I137" s="3" t="s">
        <v>507</v>
      </c>
      <c r="J137" t="s">
        <v>508</v>
      </c>
      <c r="K137" t="str">
        <f t="shared" si="3"/>
        <v>(32) FP-1/4-40-G10+BG</v>
      </c>
      <c r="L137" t="str">
        <f t="shared" si="4"/>
        <v>(A) Black Glass</v>
      </c>
      <c r="M137" t="str">
        <f t="shared" si="5"/>
        <v>BG</v>
      </c>
    </row>
    <row r="138" spans="5:13">
      <c r="E138" s="244"/>
      <c r="F138" s="117" t="str">
        <f>'10A61 10" Results'!F30</f>
        <v>1/4-40-G-10-SA</v>
      </c>
      <c r="G138" s="3" t="s">
        <v>523</v>
      </c>
      <c r="H138" t="s">
        <v>501</v>
      </c>
      <c r="I138" s="3" t="s">
        <v>507</v>
      </c>
      <c r="J138" t="s">
        <v>508</v>
      </c>
      <c r="K138" t="str">
        <f t="shared" si="3"/>
        <v>(32) FP-1/4-40-G10+SA</v>
      </c>
      <c r="L138" t="str">
        <f t="shared" si="4"/>
        <v>(C) Saphire</v>
      </c>
      <c r="M138" t="str">
        <f t="shared" si="5"/>
        <v>SA</v>
      </c>
    </row>
    <row r="139" spans="5:13">
      <c r="E139" s="244"/>
      <c r="F139" s="117" t="str">
        <f>'10A61 10" Results'!F31</f>
        <v>1/4-40-G-10-SS</v>
      </c>
      <c r="G139" s="3" t="s">
        <v>523</v>
      </c>
      <c r="H139" t="s">
        <v>501</v>
      </c>
      <c r="I139" s="3" t="s">
        <v>507</v>
      </c>
      <c r="J139" t="s">
        <v>508</v>
      </c>
      <c r="K139" t="str">
        <f t="shared" si="3"/>
        <v>(32) FP-1/4-40-G10+SS</v>
      </c>
      <c r="L139" t="str">
        <f t="shared" si="4"/>
        <v>(D) Stainless Steel</v>
      </c>
      <c r="M139" t="str">
        <f t="shared" si="5"/>
        <v>SS</v>
      </c>
    </row>
    <row r="140" spans="5:13">
      <c r="E140" s="244"/>
      <c r="F140" s="117" t="str">
        <f>'10A61 10" Results'!F32</f>
        <v>1/4-40-G-10-CA</v>
      </c>
      <c r="G140" s="3" t="s">
        <v>523</v>
      </c>
      <c r="H140" t="s">
        <v>501</v>
      </c>
      <c r="I140" s="3" t="s">
        <v>507</v>
      </c>
      <c r="J140" t="s">
        <v>508</v>
      </c>
      <c r="K140" t="str">
        <f t="shared" si="3"/>
        <v>(32) FP-1/4-40-G10+CA</v>
      </c>
      <c r="L140" t="str">
        <f t="shared" si="4"/>
        <v>(E) Carboloy</v>
      </c>
      <c r="M140" t="str">
        <f t="shared" si="5"/>
        <v>CA</v>
      </c>
    </row>
    <row r="141" spans="5:13">
      <c r="E141" s="245"/>
      <c r="F141" s="117" t="str">
        <f>'10A61 10" Results'!F33</f>
        <v>1/4-40-G-10-TA</v>
      </c>
      <c r="G141" s="3" t="s">
        <v>523</v>
      </c>
      <c r="H141" t="s">
        <v>501</v>
      </c>
      <c r="I141" s="3" t="s">
        <v>507</v>
      </c>
      <c r="J141" t="s">
        <v>508</v>
      </c>
      <c r="K141" t="str">
        <f t="shared" si="3"/>
        <v>(32) FP-1/4-40-G10+TA</v>
      </c>
      <c r="L141" t="str">
        <f t="shared" si="4"/>
        <v>(F) Tantalum</v>
      </c>
      <c r="M141" t="str">
        <f t="shared" si="5"/>
        <v>TA</v>
      </c>
    </row>
  </sheetData>
  <mergeCells count="4">
    <mergeCell ref="A2:C2"/>
    <mergeCell ref="E3:E36"/>
    <mergeCell ref="E37:E105"/>
    <mergeCell ref="E106:E141"/>
  </mergeCell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2:L36"/>
  <sheetViews>
    <sheetView zoomScaleNormal="100" workbookViewId="0">
      <selection activeCell="N2" sqref="N2:Q3"/>
    </sheetView>
  </sheetViews>
  <sheetFormatPr defaultRowHeight="15"/>
  <cols>
    <col min="1" max="1" width="36.85546875" customWidth="1"/>
    <col min="4" max="4" width="32.5703125" customWidth="1"/>
    <col min="8" max="8" width="19" customWidth="1"/>
  </cols>
  <sheetData>
    <row r="2" spans="1:8">
      <c r="A2" s="65" t="s">
        <v>364</v>
      </c>
    </row>
    <row r="3" spans="1:8">
      <c r="A3" s="65" t="str">
        <f>'VA Sizing'!N2</f>
        <v>10A61</v>
      </c>
    </row>
    <row r="4" spans="1:8">
      <c r="D4" s="238" t="s">
        <v>363</v>
      </c>
      <c r="E4" s="238"/>
    </row>
    <row r="5" spans="1:8" ht="222" customHeight="1">
      <c r="D5" s="5" t="s">
        <v>6</v>
      </c>
      <c r="E5" s="5">
        <v>5</v>
      </c>
    </row>
    <row r="6" spans="1:8" ht="228" customHeight="1">
      <c r="D6" s="5" t="s">
        <v>7</v>
      </c>
      <c r="E6" s="5">
        <v>6</v>
      </c>
    </row>
    <row r="7" spans="1:8" ht="258" customHeight="1">
      <c r="D7" s="5" t="s">
        <v>8</v>
      </c>
      <c r="E7" s="5">
        <v>7</v>
      </c>
    </row>
    <row r="8" spans="1:8" ht="243" customHeight="1">
      <c r="D8" s="5" t="s">
        <v>9</v>
      </c>
      <c r="E8" s="5">
        <v>8</v>
      </c>
    </row>
    <row r="9" spans="1:8" ht="240" customHeight="1">
      <c r="D9" s="5" t="s">
        <v>10</v>
      </c>
      <c r="E9" s="5">
        <v>9</v>
      </c>
    </row>
    <row r="10" spans="1:8" ht="144.75" customHeight="1">
      <c r="A10" s="81"/>
      <c r="D10" s="5">
        <v>0</v>
      </c>
      <c r="E10" s="13">
        <v>10</v>
      </c>
    </row>
    <row r="15" spans="1:8">
      <c r="H15" t="s">
        <v>424</v>
      </c>
    </row>
    <row r="16" spans="1:8">
      <c r="H16" t="str">
        <f>IF(AND(RIGHT('VA Sizing'!B4,1)=" ",'VA Sizing'!C3="Gas"),"Pressed",'VA Sizing'!C3)</f>
        <v>Liquid</v>
      </c>
    </row>
    <row r="17" spans="8:12">
      <c r="K17" s="238" t="s">
        <v>363</v>
      </c>
      <c r="L17" s="238"/>
    </row>
    <row r="18" spans="8:12" ht="27" customHeight="1">
      <c r="I18" s="1"/>
      <c r="J18" s="1"/>
      <c r="K18" s="5" t="s">
        <v>109</v>
      </c>
      <c r="L18" s="5">
        <v>18</v>
      </c>
    </row>
    <row r="19" spans="8:12" ht="27" customHeight="1">
      <c r="I19" s="1"/>
      <c r="J19" s="1"/>
      <c r="K19" s="5">
        <v>0</v>
      </c>
      <c r="L19" s="5">
        <v>19</v>
      </c>
    </row>
    <row r="20" spans="8:12" ht="36.75" customHeight="1">
      <c r="H20" s="102"/>
      <c r="I20" s="1"/>
      <c r="J20" s="1"/>
      <c r="K20" s="5" t="s">
        <v>110</v>
      </c>
      <c r="L20" s="5">
        <v>20</v>
      </c>
    </row>
    <row r="21" spans="8:12">
      <c r="K21" s="5"/>
      <c r="L21" s="5"/>
    </row>
    <row r="22" spans="8:12" ht="33.75" customHeight="1">
      <c r="H22" s="106" t="s">
        <v>424</v>
      </c>
      <c r="K22" s="5" t="s">
        <v>436</v>
      </c>
      <c r="L22" s="13">
        <v>22</v>
      </c>
    </row>
    <row r="29" spans="8:12">
      <c r="H29" t="s">
        <v>473</v>
      </c>
    </row>
    <row r="30" spans="8:12">
      <c r="H30" t="str">
        <f>IF(AND(RIGHT('VA Sizing'!B3,1)=" ",'VA Sizing'!C3="Gas"),"Pressed",'VA Sizing'!C3)</f>
        <v>Liquid</v>
      </c>
    </row>
    <row r="31" spans="8:12">
      <c r="K31" s="238" t="s">
        <v>363</v>
      </c>
      <c r="L31" s="238"/>
    </row>
    <row r="32" spans="8:12">
      <c r="I32" s="1"/>
      <c r="J32" s="1"/>
      <c r="K32" s="5" t="s">
        <v>109</v>
      </c>
      <c r="L32" s="5">
        <v>32</v>
      </c>
    </row>
    <row r="33" spans="8:12">
      <c r="I33" s="1"/>
      <c r="J33" s="1"/>
      <c r="K33" s="5">
        <v>0</v>
      </c>
      <c r="L33" s="5">
        <v>33</v>
      </c>
    </row>
    <row r="34" spans="8:12" ht="36.75" customHeight="1">
      <c r="H34" s="102" t="s">
        <v>473</v>
      </c>
      <c r="I34" s="1"/>
      <c r="J34" s="1"/>
      <c r="K34" s="5" t="s">
        <v>110</v>
      </c>
      <c r="L34" s="5">
        <v>34</v>
      </c>
    </row>
    <row r="35" spans="8:12">
      <c r="K35" s="5"/>
      <c r="L35" s="5"/>
    </row>
    <row r="36" spans="8:12" ht="33" customHeight="1">
      <c r="H36" s="106" t="s">
        <v>473</v>
      </c>
      <c r="K36" s="5" t="s">
        <v>436</v>
      </c>
      <c r="L36" s="13">
        <v>36</v>
      </c>
    </row>
  </sheetData>
  <mergeCells count="3">
    <mergeCell ref="D4:E4"/>
    <mergeCell ref="K17:L17"/>
    <mergeCell ref="K31:L31"/>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O42"/>
  <sheetViews>
    <sheetView topLeftCell="F1" workbookViewId="0">
      <selection activeCell="G31" sqref="G31"/>
    </sheetView>
  </sheetViews>
  <sheetFormatPr defaultRowHeight="15"/>
  <cols>
    <col min="2" max="2" width="10.85546875" bestFit="1" customWidth="1"/>
    <col min="3" max="3" width="16.85546875" bestFit="1" customWidth="1"/>
    <col min="4" max="4" width="22" bestFit="1" customWidth="1"/>
    <col min="5" max="5" width="22.7109375" bestFit="1" customWidth="1"/>
    <col min="6" max="6" width="13.85546875" bestFit="1" customWidth="1"/>
    <col min="7" max="7" width="18.140625" bestFit="1" customWidth="1"/>
    <col min="8" max="8" width="19.5703125" bestFit="1" customWidth="1"/>
    <col min="9" max="9" width="23.28515625" bestFit="1" customWidth="1"/>
    <col min="10" max="10" width="19.5703125" bestFit="1" customWidth="1"/>
    <col min="11" max="11" width="28.5703125" bestFit="1" customWidth="1"/>
    <col min="12" max="12" width="24.42578125" bestFit="1" customWidth="1"/>
    <col min="13" max="13" width="34.7109375" bestFit="1" customWidth="1"/>
    <col min="14" max="14" width="14.140625" bestFit="1" customWidth="1"/>
    <col min="15" max="15" width="26.85546875" bestFit="1" customWidth="1"/>
  </cols>
  <sheetData>
    <row r="1" spans="2:15">
      <c r="B1" s="46" t="s">
        <v>106</v>
      </c>
      <c r="C1" s="46" t="s">
        <v>107</v>
      </c>
      <c r="D1" s="46" t="s">
        <v>108</v>
      </c>
      <c r="E1" s="47" t="s">
        <v>112</v>
      </c>
      <c r="G1" s="49" t="s">
        <v>170</v>
      </c>
      <c r="H1" s="49" t="s">
        <v>171</v>
      </c>
      <c r="I1" s="49" t="s">
        <v>178</v>
      </c>
      <c r="J1" s="49" t="s">
        <v>183</v>
      </c>
      <c r="K1" s="49" t="s">
        <v>192</v>
      </c>
      <c r="L1" s="49" t="s">
        <v>196</v>
      </c>
      <c r="M1" s="49" t="s">
        <v>197</v>
      </c>
      <c r="N1" s="49" t="s">
        <v>191</v>
      </c>
      <c r="O1" s="49" t="s">
        <v>193</v>
      </c>
    </row>
    <row r="2" spans="2:15">
      <c r="B2" s="7" t="s">
        <v>109</v>
      </c>
      <c r="C2" s="7" t="str">
        <f>IF('VA Sizing'!C3="Liquid","",
IF('VA Sizing'!C3="Gas","Air",""))</f>
        <v/>
      </c>
      <c r="D2" s="7" t="str">
        <f>IF('VA Sizing'!$C$3="Gas","Actual","")</f>
        <v/>
      </c>
      <c r="E2" s="7" t="s">
        <v>114</v>
      </c>
      <c r="G2" s="7">
        <f>IF('VA Sizing'!$D$8="cP",'VA Sizing'!$C$8,'VA Sizing'!C8*'Modified Inputs'!$M$2)</f>
        <v>1</v>
      </c>
      <c r="H2" s="7">
        <f>'VA Sizing'!$C$9</f>
        <v>10</v>
      </c>
      <c r="I2" s="7">
        <f>IF('VA Sizing'!D9="kpa(a)",'Modified Inputs'!H2*0.145038,
IF('VA Sizing'!D9="kpa(g)",'Modified Inputs'!H2*0.145038+14.7,
IF('VA Sizing'!D9="inH2O(a)",'Modified Inputs'!H2*0.0360912,
IF('VA Sizing'!D9="inH2O(g)",'Modified Inputs'!H2*0.0360912+14.7,
IF('VA Sizing'!D9="kg/cm2(a)",'Modified Inputs'!H2*14.2233,
IF('VA Sizing'!D9="kg/cm2(g)",'Modified Inputs'!H2*14.2233+14.7,$I$3))))))</f>
        <v>145</v>
      </c>
      <c r="J2" s="7">
        <f>'VA Sizing'!C10</f>
        <v>60</v>
      </c>
      <c r="K2" s="7">
        <f>IF('VA Sizing'!D10='Modified Inputs'!G10,'Modified Inputs'!J2*9/5+32,'Modified Inputs'!J2)</f>
        <v>140</v>
      </c>
      <c r="L2" s="7">
        <f>'VA Sizing'!C11</f>
        <v>990</v>
      </c>
      <c r="M2" s="7">
        <f>IF('VA Sizing'!$D$11='Modified Inputs'!$H$8,'Modified Inputs'!L2,
IF('VA Sizing'!$D$11='Modified Inputs'!$H$9,'Modified Inputs'!L2*0.001,
IF('VA Sizing'!$D$11='Modified Inputs'!$H$10,'Modified Inputs'!L2,
IF('VA Sizing'!$D$11='Modified Inputs'!$H$11,'Modified Inputs'!L2,
IF('VA Sizing'!$D$11='Modified Inputs'!$H$12,'Modified Inputs'!L2,
IF('VA Sizing'!$D$11='Modified Inputs'!$H$13,'Modified Inputs'!L2*0.0160184,
IF('VA Sizing'!$D$11='Modified Inputs'!$H$14,'Modified Inputs'!L2*0.119826,'Modified Inputs'!L2)))))))</f>
        <v>0.99</v>
      </c>
      <c r="N2" s="7">
        <f>'VA Sizing'!C12</f>
        <v>0.05</v>
      </c>
      <c r="O2" s="7">
        <f>N2/VLOOKUP('VA Sizing'!D12,'Modified Inputs'!I8:J32,2,FALSE)</f>
        <v>833.33333333333337</v>
      </c>
    </row>
    <row r="3" spans="2:15">
      <c r="B3" s="7" t="s">
        <v>110</v>
      </c>
      <c r="C3" s="7" t="str">
        <f>IF('VA Sizing'!$C$3="Liquid","Water",
IF('VA Sizing'!$C$3="Gas","Argon (Ar)",""))</f>
        <v>Water</v>
      </c>
      <c r="D3" s="7" t="str">
        <f>IF('VA Sizing'!$C$3="Gas","Normal","")</f>
        <v/>
      </c>
      <c r="E3" s="7" t="s">
        <v>115</v>
      </c>
      <c r="I3" s="7">
        <f>IF('VA Sizing'!D9="psi(g)",'Modified Inputs'!H2+14.7,
IF('VA Sizing'!D9="bar(a)",'Modified Inputs'!H2*14.5,
IF('VA Sizing'!D9="bar(g)",'Modified Inputs'!H2*14.5+14.7,
IF('VA Sizing'!D9="atm(a)",'Modified Inputs'!H2*14.7,
IF('VA Sizing'!D9="atm(g)",'Modified Inputs'!H2*14.7+14.7,'Modified Inputs'!H2)))))</f>
        <v>145</v>
      </c>
      <c r="J3">
        <f>IF('VA Sizing'!$C$4="Steam",(Steam!$C$17-14.7)*0.0689476,
IF('VA Sizing'!$D$9="bar(g)",'VA Sizing'!$C$9,(I2-14.7)*0.0689476))</f>
        <v>8.9838722799999999</v>
      </c>
      <c r="K3">
        <f>(K2+460)*(5/9)</f>
        <v>333.33333333333337</v>
      </c>
      <c r="L3" s="49" t="s">
        <v>198</v>
      </c>
      <c r="M3" s="49" t="s">
        <v>199</v>
      </c>
      <c r="N3">
        <v>0.05</v>
      </c>
    </row>
    <row r="4" spans="2:15">
      <c r="C4" s="7" t="str">
        <f>IF('VA Sizing'!$C$3="Liquid","Other",
IF('VA Sizing'!$C$3="Gas","Butane (C4H10)",""))</f>
        <v>Other</v>
      </c>
      <c r="D4" s="7" t="str">
        <f>IF('VA Sizing'!$C$3="Gas","Standard","")</f>
        <v/>
      </c>
      <c r="E4" s="34"/>
      <c r="G4" s="7" t="s">
        <v>574</v>
      </c>
      <c r="J4" t="s">
        <v>735</v>
      </c>
      <c r="L4" s="7">
        <f>'VA Sizing'!C7</f>
        <v>0</v>
      </c>
      <c r="M4" s="7">
        <f>IF('VA Sizing'!$D$7='Modified Inputs'!$H$9,'Modified Inputs'!L4*0.001,
IF('VA Sizing'!$D$7='Modified Inputs'!$H$10,'Modified Inputs'!L4,
IF('VA Sizing'!$D$7='Modified Inputs'!$H$11,'Modified Inputs'!L4,
IF('VA Sizing'!$D$7='Modified Inputs'!$H$12,'Modified Inputs'!L4,
IF('VA Sizing'!$D$7='Modified Inputs'!$H$13,'Modified Inputs'!L4*0.0160184,
IF('VA Sizing'!$D$7='Modified Inputs'!$H$14,'Modified Inputs'!L4*0.119826,'Modified Inputs'!L4))))))</f>
        <v>0</v>
      </c>
    </row>
    <row r="5" spans="2:15">
      <c r="C5" s="7" t="str">
        <f>IF('VA Sizing'!$C$3="Gas","Acetylene (C2H2)","")</f>
        <v/>
      </c>
      <c r="G5" s="7" t="s">
        <v>14</v>
      </c>
    </row>
    <row r="6" spans="2:15" ht="15.75" thickBot="1">
      <c r="C6" s="7" t="str">
        <f>IF('VA Sizing'!$C$3="Gas","Ammonia (NH3)","")</f>
        <v/>
      </c>
      <c r="G6" s="7" t="s">
        <v>575</v>
      </c>
      <c r="I6" s="49" t="s">
        <v>194</v>
      </c>
      <c r="J6" s="49" t="s">
        <v>195</v>
      </c>
    </row>
    <row r="7" spans="2:15" ht="15.75" thickBot="1">
      <c r="C7" s="7" t="str">
        <f>IF('VA Sizing'!$C$3="Gas","Carbon Monoxide (CO)","")</f>
        <v/>
      </c>
      <c r="H7" s="55" t="s">
        <v>184</v>
      </c>
      <c r="I7" s="49"/>
      <c r="J7" s="49"/>
      <c r="L7" s="105">
        <f>IF(AND(OR('VA Sizing'!N2="10A61",'VA Sizing'!N2="10A22",'VA Sizing'!N2="10A4"),OR('VA Sizing'!C4="Butane (C4H10)",'VA Sizing'!C4="Carbon Monoxide (CO)",'VA Sizing'!C4="Chlorine (Cl)",'VA Sizing'!C4="Ethane (C2H6)",'VA Sizing'!C4="Ethylene (C2H4)",'VA Sizing'!C4="Hydrochloric Acid (HCl)",'VA Sizing'!C4="Acetylene (C2H2)",'VA Sizing'!C4="Hydrogen (H2)",'VA Sizing'!C4="Hydrogen Sulfide (H2S)",'VA Sizing'!C4="Methane (CH4)",'VA Sizing'!C4="Methyl Chloride (CH3Cl)",'VA Sizing'!C4="Natural Gas",'VA Sizing'!C4="Propane (C3H8)",'VA Sizing'!C4="Propylene (C3H6)",'VA Sizing'!C4="Sulfur Dioxide (SO2)")),1,0)</f>
        <v>0</v>
      </c>
    </row>
    <row r="8" spans="2:15" ht="15.75" thickBot="1">
      <c r="C8" s="7" t="str">
        <f>IF('VA Sizing'!$C$3="Gas","Carbon Dioxide (CO2)","")</f>
        <v/>
      </c>
      <c r="F8" s="53" t="s">
        <v>179</v>
      </c>
      <c r="G8" s="53" t="s">
        <v>180</v>
      </c>
      <c r="H8" s="56" t="str">
        <f>IF('VA Sizing'!$C$3="Liquid","S.G.","")</f>
        <v>S.G.</v>
      </c>
      <c r="I8" s="139" t="str">
        <f>IF(AND('VA Sizing'!$C$3="Gas",'VA Sizing'!$C$5="Standard"),"sccm","cc/min")</f>
        <v>cc/min</v>
      </c>
      <c r="J8">
        <v>1</v>
      </c>
      <c r="L8" s="105" t="str">
        <f>IF('VA Sizing'!$N$2="10A32","Please consult the factory or the 10A32 Specification Sheet for the meter's temperature and pressure limitations",
IF(L7=1,"ABB is unable to supply glass meters with this hazardous gas. Please contact the factory for exceptions. ABB recommends using the metal 10A32 or FAM54 Meter for this application.",""))</f>
        <v/>
      </c>
    </row>
    <row r="9" spans="2:15" ht="17.25">
      <c r="C9" s="7" t="str">
        <f>IF('VA Sizing'!$C$3="Gas","Chlorine (Cl2)","")</f>
        <v/>
      </c>
      <c r="F9" s="7" t="s">
        <v>173</v>
      </c>
      <c r="G9" s="54" t="s">
        <v>181</v>
      </c>
      <c r="H9" s="56" t="s">
        <v>185</v>
      </c>
      <c r="I9" s="7" t="s">
        <v>29</v>
      </c>
      <c r="J9" s="7">
        <v>1</v>
      </c>
    </row>
    <row r="10" spans="2:15">
      <c r="C10" s="7" t="str">
        <f>IF('VA Sizing'!$C$3="Gas","Ethane (C2H6)","")</f>
        <v/>
      </c>
      <c r="F10" s="7" t="s">
        <v>172</v>
      </c>
      <c r="G10" s="54" t="s">
        <v>182</v>
      </c>
      <c r="H10" s="56" t="s">
        <v>187</v>
      </c>
      <c r="I10" s="7" t="s">
        <v>42</v>
      </c>
      <c r="J10" s="7">
        <v>60</v>
      </c>
    </row>
    <row r="11" spans="2:15">
      <c r="C11" s="7" t="str">
        <f>IF('VA Sizing'!$C$3="Gas","Ethylene (C2H4)","")</f>
        <v/>
      </c>
      <c r="F11" s="7" t="s">
        <v>174</v>
      </c>
      <c r="G11" s="7"/>
      <c r="H11" s="56" t="s">
        <v>186</v>
      </c>
      <c r="I11" s="7" t="s">
        <v>43</v>
      </c>
      <c r="J11" s="7">
        <f>1/60</f>
        <v>1.6666666666666666E-2</v>
      </c>
    </row>
    <row r="12" spans="2:15" ht="17.25">
      <c r="C12" s="7" t="str">
        <f>IF('VA Sizing'!$C$3="Gas","Helium (He)","")</f>
        <v/>
      </c>
      <c r="F12" s="7" t="s">
        <v>175</v>
      </c>
      <c r="G12" s="7"/>
      <c r="H12" s="56" t="s">
        <v>188</v>
      </c>
      <c r="I12" s="7" t="s">
        <v>30</v>
      </c>
      <c r="J12" s="7">
        <v>0.06</v>
      </c>
    </row>
    <row r="13" spans="2:15" ht="17.25">
      <c r="C13" s="7" t="str">
        <f>IF('VA Sizing'!$C$3="Gas","Hydrochloric Acid (HCl)","")</f>
        <v/>
      </c>
      <c r="F13" s="7" t="s">
        <v>176</v>
      </c>
      <c r="G13" s="7"/>
      <c r="H13" s="56" t="s">
        <v>189</v>
      </c>
      <c r="I13" s="7" t="s">
        <v>31</v>
      </c>
      <c r="J13" s="7">
        <v>1E-3</v>
      </c>
    </row>
    <row r="14" spans="2:15">
      <c r="C14" s="7" t="str">
        <f>IF('VA Sizing'!$C$3="Gas","Hydrogen (H2)","")</f>
        <v/>
      </c>
      <c r="F14" s="7" t="s">
        <v>177</v>
      </c>
      <c r="G14" s="7"/>
      <c r="H14" s="56" t="s">
        <v>190</v>
      </c>
      <c r="I14" s="7" t="s">
        <v>32</v>
      </c>
      <c r="J14" s="7">
        <v>1.6666666699999999E-5</v>
      </c>
    </row>
    <row r="15" spans="2:15">
      <c r="C15" s="7" t="str">
        <f>IF('VA Sizing'!$C$3="Gas","Hydrogen Sulfide (H2S)","")</f>
        <v/>
      </c>
      <c r="F15" s="48" t="s">
        <v>576</v>
      </c>
      <c r="I15" s="7" t="s">
        <v>33</v>
      </c>
      <c r="J15" s="7">
        <v>6.0000000000000002E-5</v>
      </c>
      <c r="L15" s="7" t="s">
        <v>186</v>
      </c>
      <c r="M15" s="7">
        <v>1</v>
      </c>
    </row>
    <row r="16" spans="2:15">
      <c r="C16" s="7" t="str">
        <f>IF('VA Sizing'!$C$3="Gas","Krypton (Kr)","")</f>
        <v/>
      </c>
      <c r="F16" s="48" t="s">
        <v>577</v>
      </c>
      <c r="G16" s="54" t="s">
        <v>465</v>
      </c>
      <c r="I16" s="7" t="s">
        <v>34</v>
      </c>
      <c r="J16" s="7">
        <v>9.9999999999999995E-7</v>
      </c>
      <c r="L16" s="7" t="s">
        <v>538</v>
      </c>
      <c r="M16" s="7">
        <v>1</v>
      </c>
    </row>
    <row r="17" spans="3:13">
      <c r="C17" s="7" t="str">
        <f>IF('VA Sizing'!$C$3="Gas","Methane (CH4)","")</f>
        <v/>
      </c>
      <c r="F17" s="48" t="s">
        <v>578</v>
      </c>
      <c r="G17" s="54" t="s">
        <v>464</v>
      </c>
      <c r="I17" s="140" t="str">
        <f>IF(AND('VA Sizing'!$C$3="Gas",'VA Sizing'!$C$5="Standard"),"scfh","ft3/h")</f>
        <v>ft3/h</v>
      </c>
      <c r="J17" s="7">
        <v>2.1189999999999998E-3</v>
      </c>
      <c r="L17" s="7" t="s">
        <v>537</v>
      </c>
      <c r="M17" s="7">
        <v>1E-3</v>
      </c>
    </row>
    <row r="18" spans="3:13">
      <c r="C18" s="7" t="str">
        <f>IF('VA Sizing'!$C$3="Gas","Methyl Chloride (CH3Cl)","")</f>
        <v/>
      </c>
      <c r="F18" s="48" t="s">
        <v>579</v>
      </c>
      <c r="I18" s="140" t="str">
        <f>IF(AND('VA Sizing'!$C$3="Gas",'VA Sizing'!$C$5="Standard"),"scfm","ft3/min")</f>
        <v>ft3/min</v>
      </c>
      <c r="J18" s="7">
        <v>3.5309999999999999E-5</v>
      </c>
      <c r="L18" s="7" t="s">
        <v>187</v>
      </c>
      <c r="M18" s="7">
        <v>1</v>
      </c>
    </row>
    <row r="19" spans="3:13">
      <c r="C19" s="7" t="str">
        <f>IF('VA Sizing'!$C$3="Gas","Natural Gas","")</f>
        <v/>
      </c>
      <c r="F19" s="48" t="s">
        <v>580</v>
      </c>
      <c r="I19" s="140" t="str">
        <f>IF(AND('VA Sizing'!$C$3="Gas",'VA Sizing'!$C$5="Standard"),"scfs","ft3/s")</f>
        <v>ft3/s</v>
      </c>
      <c r="J19" s="7">
        <v>5.8859999999999996E-7</v>
      </c>
      <c r="L19" s="7" t="s">
        <v>539</v>
      </c>
      <c r="M19" s="7">
        <v>1.6018399999999999E-2</v>
      </c>
    </row>
    <row r="20" spans="3:13">
      <c r="C20" s="7" t="str">
        <f>IF('VA Sizing'!$C$3="Gas","Neon (Ne)","")</f>
        <v/>
      </c>
      <c r="F20" s="48" t="s">
        <v>581</v>
      </c>
      <c r="I20" s="7" t="s">
        <v>38</v>
      </c>
      <c r="J20" s="7">
        <v>1.32E-2</v>
      </c>
      <c r="L20" s="7" t="s">
        <v>190</v>
      </c>
      <c r="M20" s="7">
        <v>0.119826</v>
      </c>
    </row>
    <row r="21" spans="3:13">
      <c r="C21" s="7" t="str">
        <f>IF('VA Sizing'!$C$3="Gas","Nitric Oxide (NO)","")</f>
        <v/>
      </c>
      <c r="I21" s="7" t="s">
        <v>39</v>
      </c>
      <c r="J21" s="7">
        <v>2.2000000000000001E-4</v>
      </c>
    </row>
    <row r="22" spans="3:13">
      <c r="C22" s="7" t="str">
        <f>IF('VA Sizing'!$C$3="Gas","Nitrogen (N2)","")</f>
        <v/>
      </c>
      <c r="I22" s="7" t="s">
        <v>40</v>
      </c>
      <c r="J22" s="7">
        <v>1.585E-2</v>
      </c>
    </row>
    <row r="23" spans="3:13">
      <c r="C23" s="7" t="str">
        <f>IF('VA Sizing'!$C$3="Gas","Nitrous Oxide (N2O)","")</f>
        <v/>
      </c>
      <c r="I23" s="7" t="s">
        <v>41</v>
      </c>
      <c r="J23" s="7">
        <v>2.6420000000000003E-4</v>
      </c>
    </row>
    <row r="24" spans="3:13">
      <c r="C24" s="7" t="str">
        <f>IF('VA Sizing'!$C$3="Gas","Oxygen (O2)","")</f>
        <v/>
      </c>
      <c r="I24" s="7" t="s">
        <v>44</v>
      </c>
      <c r="J24" s="7">
        <v>3.6629999999999998</v>
      </c>
    </row>
    <row r="25" spans="3:13">
      <c r="C25" s="7" t="str">
        <f>IF('VA Sizing'!$C$3="Gas","Propane (C3H8)","")</f>
        <v/>
      </c>
      <c r="I25" s="7" t="s">
        <v>45</v>
      </c>
      <c r="J25" s="7">
        <v>6.1019999999999998E-2</v>
      </c>
    </row>
    <row r="26" spans="3:13">
      <c r="C26" s="7" t="str">
        <f>IF('VA Sizing'!$C$3="Gas","Propylene (C3H6)","")</f>
        <v/>
      </c>
      <c r="I26" s="7" t="s">
        <v>46</v>
      </c>
      <c r="J26" s="7">
        <v>1.018E-3</v>
      </c>
    </row>
    <row r="27" spans="3:13">
      <c r="C27" s="7" t="str">
        <f>IF('VA Sizing'!$C$3="Gas","Sulfur Dioxide (SO2)","")</f>
        <v/>
      </c>
      <c r="I27" s="48" t="str">
        <f>IF(AND('VA Sizing'!$C$3="Gas",OR('VA Sizing'!$C$5="Standard",'VA Sizing'!$C$5="Normal")),"","g/min")</f>
        <v>g/min</v>
      </c>
      <c r="J27" s="7">
        <f>IF('VA Sizing'!C3="Gas",'10A61 5" Calcs'!O46,
IF('VA Sizing'!C3="Liquid",'Modified Inputs'!M2,""))</f>
        <v>0.99</v>
      </c>
    </row>
    <row r="28" spans="3:13">
      <c r="C28" s="7" t="str">
        <f>IF('VA Sizing'!$C$3="Gas"," Other","")</f>
        <v/>
      </c>
      <c r="I28" s="48" t="str">
        <f>IF(AND('VA Sizing'!$C$3="Gas",OR('VA Sizing'!$C$5="Standard",'VA Sizing'!$C$5="Normal")),"","g/h")</f>
        <v>g/h</v>
      </c>
      <c r="J28" s="7">
        <f>IF('VA Sizing'!C3="Gas",'10A61 5" Calcs'!O46*60,
IF('VA Sizing'!C3="Liquid",'Modified Inputs'!M2*60,""))</f>
        <v>59.4</v>
      </c>
    </row>
    <row r="29" spans="3:13">
      <c r="I29" s="48" t="str">
        <f>IF(AND('VA Sizing'!$C$3="Gas",OR('VA Sizing'!$C$5="Standard",'VA Sizing'!$C$5="Normal")),"","kg/min")</f>
        <v>kg/min</v>
      </c>
      <c r="J29" s="7">
        <f>IF('VA Sizing'!C3="Gas",'10A61 5" Calcs'!O46/1000,
IF('VA Sizing'!C3="Liquid",'Modified Inputs'!M2/1000,""))</f>
        <v>9.8999999999999999E-4</v>
      </c>
    </row>
    <row r="30" spans="3:13">
      <c r="D30" s="7" t="s">
        <v>437</v>
      </c>
      <c r="G30" s="76" t="s">
        <v>359</v>
      </c>
      <c r="I30" s="48" t="str">
        <f>IF(AND('VA Sizing'!$C$3="Gas",OR('VA Sizing'!$C$5="Standard",'VA Sizing'!$C$5="Normal")),"","kg/h")</f>
        <v>kg/h</v>
      </c>
      <c r="J30" s="7">
        <f>IF('VA Sizing'!C3="Gas",'10A61 5" Calcs'!O46*(60/1000),
IF('VA Sizing'!C3="Liquid",'Modified Inputs'!M2*(60/1000),""))</f>
        <v>5.9399999999999994E-2</v>
      </c>
    </row>
    <row r="31" spans="3:13">
      <c r="D31" s="7" t="s">
        <v>438</v>
      </c>
      <c r="G31" s="75" t="str">
        <f>IF('VA Sizing'!$C$4="Steam","10A32",
IF('VA Sizing'!$C$12="","","A61"))</f>
        <v>A61</v>
      </c>
      <c r="I31" s="48" t="str">
        <f>IF(AND('VA Sizing'!$C$3="Gas",OR('VA Sizing'!$C$5="Standard",'VA Sizing'!$C$5="Normal")),"","lb/min")</f>
        <v>lb/min</v>
      </c>
      <c r="J31" s="7">
        <f>IF('VA Sizing'!C3="Gas",'10A61 5" Calcs'!O46/453.592,
IF('VA Sizing'!C3="Liquid",'Modified Inputs'!M2/453.592,""))</f>
        <v>2.1825781759819396E-3</v>
      </c>
    </row>
    <row r="32" spans="3:13">
      <c r="G32" s="86" t="str">
        <f>IF('VA Sizing'!$C$4="Steam","FAM54",
IF('VA Sizing'!$C$12="","","10A4"))</f>
        <v>10A4</v>
      </c>
      <c r="I32" s="48" t="str">
        <f>IF(AND('VA Sizing'!$C$3="Gas",OR('VA Sizing'!$C$5="Standard",'VA Sizing'!$C$5="Normal")),"","lb/h")</f>
        <v>lb/h</v>
      </c>
      <c r="J32" s="7">
        <f>IF('VA Sizing'!C3="Gas",'10A61 5" Calcs'!O46*(60/453.592),
IF('VA Sizing'!C3="Liquid",'Modified Inputs'!M2*(60/453.592),""))</f>
        <v>0.13095469055891637</v>
      </c>
    </row>
    <row r="33" spans="4:7">
      <c r="G33" s="86" t="str">
        <f>IF('VA Sizing'!$C$4="Steam","",
IF('VA Sizing'!$C$12="","","10A22"))</f>
        <v>10A22</v>
      </c>
    </row>
    <row r="34" spans="4:7">
      <c r="G34" s="86" t="str">
        <f>IF('VA Sizing'!$C$4="Steam","",
IF('VA Sizing'!$C$12="","","10A32"))</f>
        <v>10A32</v>
      </c>
    </row>
    <row r="35" spans="4:7">
      <c r="G35" s="86" t="str">
        <f>IF('VA Sizing'!$C$4="Steam","",
IF('VA Sizing'!$C$12="","","FAM54"))</f>
        <v>FAM54</v>
      </c>
    </row>
    <row r="39" spans="4:7">
      <c r="D39" s="7" t="str">
        <f>IF('VA Sizing'!V22="Additional Floats","Alarm Floats","")</f>
        <v/>
      </c>
    </row>
    <row r="40" spans="4:7">
      <c r="D40" s="7" t="str">
        <f>IF(AND('VA Sizing'!V22="Additional Floats",'VA Sizing'!C3="Liquid"),"Tantalum Floats (TA)","")</f>
        <v/>
      </c>
    </row>
    <row r="41" spans="4:7">
      <c r="D41" s="7" t="str">
        <f>IF(AND('VA Sizing'!V22="Additional Floats",'VA Sizing'!C3="Liquid"),"Teflon Floats (PTFE)","")</f>
        <v/>
      </c>
    </row>
    <row r="42" spans="4:7">
      <c r="D42" s="7" t="str">
        <f>IF(AND('VA Sizing'!V22="Additional Floats",'VA Sizing'!C3="Liquid"),"PVC Floats","")</f>
        <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E9:G18"/>
  <sheetViews>
    <sheetView topLeftCell="A7" workbookViewId="0">
      <selection activeCell="N2" sqref="N2:Q3"/>
    </sheetView>
  </sheetViews>
  <sheetFormatPr defaultRowHeight="15"/>
  <cols>
    <col min="5" max="5" width="22.28515625" bestFit="1" customWidth="1"/>
    <col min="7" max="7" width="37" customWidth="1"/>
  </cols>
  <sheetData>
    <row r="9" spans="5:7" ht="30">
      <c r="E9" s="70" t="s">
        <v>111</v>
      </c>
      <c r="F9" s="5" t="s">
        <v>406</v>
      </c>
      <c r="G9" s="77" t="s">
        <v>414</v>
      </c>
    </row>
    <row r="10" spans="5:7">
      <c r="E10" s="70" t="s">
        <v>0</v>
      </c>
      <c r="F10" s="5" t="s">
        <v>407</v>
      </c>
      <c r="G10" s="77" t="s">
        <v>415</v>
      </c>
    </row>
    <row r="11" spans="5:7" ht="102.75">
      <c r="E11" s="70" t="s">
        <v>1</v>
      </c>
      <c r="F11" s="5" t="s">
        <v>408</v>
      </c>
      <c r="G11" s="89" t="s">
        <v>727</v>
      </c>
    </row>
    <row r="12" spans="5:7" ht="45">
      <c r="E12" s="70" t="s">
        <v>112</v>
      </c>
      <c r="F12" s="5" t="s">
        <v>412</v>
      </c>
      <c r="G12" s="77" t="s">
        <v>419</v>
      </c>
    </row>
    <row r="13" spans="5:7" ht="28.5" customHeight="1">
      <c r="E13" s="73" t="s">
        <v>3</v>
      </c>
      <c r="F13" s="5" t="s">
        <v>405</v>
      </c>
      <c r="G13" s="77" t="s">
        <v>420</v>
      </c>
    </row>
    <row r="14" spans="5:7" ht="45" customHeight="1">
      <c r="E14" s="73" t="s">
        <v>352</v>
      </c>
      <c r="F14" s="5" t="s">
        <v>413</v>
      </c>
      <c r="G14" s="77" t="s">
        <v>418</v>
      </c>
    </row>
    <row r="15" spans="5:7" ht="60">
      <c r="E15" s="70" t="s">
        <v>4</v>
      </c>
      <c r="F15" s="5" t="s">
        <v>404</v>
      </c>
      <c r="G15" s="77" t="s">
        <v>416</v>
      </c>
    </row>
    <row r="16" spans="5:7" ht="60">
      <c r="E16" s="70" t="s">
        <v>5</v>
      </c>
      <c r="F16" s="5" t="s">
        <v>409</v>
      </c>
      <c r="G16" s="77" t="s">
        <v>417</v>
      </c>
    </row>
    <row r="17" spans="5:7" ht="30">
      <c r="E17" s="73" t="s">
        <v>113</v>
      </c>
      <c r="F17" s="5" t="s">
        <v>410</v>
      </c>
      <c r="G17" s="77" t="s">
        <v>421</v>
      </c>
    </row>
    <row r="18" spans="5:7" ht="60">
      <c r="E18" s="71" t="s">
        <v>116</v>
      </c>
      <c r="F18" s="5" t="s">
        <v>411</v>
      </c>
      <c r="G18" s="77" t="s">
        <v>422</v>
      </c>
    </row>
  </sheetData>
  <conditionalFormatting sqref="E11">
    <cfRule type="expression" dxfId="10" priority="10">
      <formula>$C$3="Liquid"</formula>
    </cfRule>
  </conditionalFormatting>
  <conditionalFormatting sqref="E12">
    <cfRule type="expression" dxfId="9" priority="9">
      <formula>AND($C$3="Gas",AND(NOT($C$4="Natural Gas"),NOT($C$4=" Other")))</formula>
    </cfRule>
    <cfRule type="expression" dxfId="8" priority="11">
      <formula>$C$3="Liquid"</formula>
    </cfRule>
  </conditionalFormatting>
  <conditionalFormatting sqref="E17">
    <cfRule type="expression" dxfId="7" priority="1">
      <formula>AND($C$3="Gas",NOT($C$4="Natural Gas"),NOT($C$4=" Other"))</formula>
    </cfRule>
    <cfRule type="expression" dxfId="6" priority="7">
      <formula>AND($C$3="Gas",$C$6="at Reference Conditions",OR($C$4=" Other",$C$4="Natural Gas"))</formula>
    </cfRule>
  </conditionalFormatting>
  <conditionalFormatting sqref="E13">
    <cfRule type="expression" dxfId="5" priority="4">
      <formula>AND($C$3="Gas",$C$4="Natural Gas",$C$6="at Reference Conditions")</formula>
    </cfRule>
    <cfRule type="expression" dxfId="4" priority="5">
      <formula>AND($C$3="Gas",NOT($C$4=" Other"),NOT($C$4="Natural Gas"))</formula>
    </cfRule>
    <cfRule type="expression" dxfId="3" priority="6">
      <formula>$C$3="Liquid"</formula>
    </cfRule>
    <cfRule type="expression" dxfId="2" priority="8">
      <formula>AND($C$3="Gas",$C$6="at Operating Conditions",OR($C$4=" Other",$C$4="Natural Gas"))</formula>
    </cfRule>
  </conditionalFormatting>
  <conditionalFormatting sqref="E14">
    <cfRule type="expression" dxfId="1" priority="2">
      <formula>AND($C$3="Gas",$C$4="Natural Gas")</formula>
    </cfRule>
    <cfRule type="expression" dxfId="0" priority="3">
      <formula>AND($C$3="Gas",NOT($C$4="Natural Gas"),NOT($C$4=" Other"))</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5:F10"/>
  <sheetViews>
    <sheetView topLeftCell="A4" workbookViewId="0">
      <selection activeCell="N2" sqref="N2:Q3"/>
    </sheetView>
  </sheetViews>
  <sheetFormatPr defaultRowHeight="15"/>
  <cols>
    <col min="3" max="3" width="31.85546875" customWidth="1"/>
    <col min="4" max="4" width="60.85546875" customWidth="1"/>
    <col min="5" max="5" width="37.28515625" customWidth="1"/>
  </cols>
  <sheetData>
    <row r="5" spans="2:6">
      <c r="B5" s="65" t="s">
        <v>365</v>
      </c>
      <c r="C5" s="65" t="s">
        <v>366</v>
      </c>
      <c r="D5" s="65" t="s">
        <v>367</v>
      </c>
      <c r="E5" s="65" t="s">
        <v>368</v>
      </c>
    </row>
    <row r="6" spans="2:6" ht="165">
      <c r="B6" s="5" t="s">
        <v>6</v>
      </c>
      <c r="C6" s="78" t="s">
        <v>818</v>
      </c>
      <c r="D6" s="79" t="s">
        <v>566</v>
      </c>
      <c r="E6" s="78" t="s">
        <v>910</v>
      </c>
      <c r="F6" s="127" t="s">
        <v>571</v>
      </c>
    </row>
    <row r="7" spans="2:6" ht="285">
      <c r="B7" s="5" t="s">
        <v>7</v>
      </c>
      <c r="C7" s="78" t="s">
        <v>728</v>
      </c>
      <c r="D7" s="80" t="s">
        <v>567</v>
      </c>
      <c r="E7" s="78" t="s">
        <v>568</v>
      </c>
      <c r="F7" s="127" t="s">
        <v>582</v>
      </c>
    </row>
    <row r="8" spans="2:6" ht="89.25" customHeight="1">
      <c r="B8" s="5" t="s">
        <v>8</v>
      </c>
      <c r="C8" s="78" t="s">
        <v>585</v>
      </c>
      <c r="D8" s="80" t="s">
        <v>569</v>
      </c>
      <c r="E8" s="78" t="s">
        <v>570</v>
      </c>
      <c r="F8" s="127" t="s">
        <v>572</v>
      </c>
    </row>
    <row r="9" spans="2:6" ht="110.25" customHeight="1">
      <c r="B9" s="5" t="s">
        <v>9</v>
      </c>
      <c r="C9" s="78" t="s">
        <v>736</v>
      </c>
      <c r="D9" s="80" t="s">
        <v>738</v>
      </c>
      <c r="E9" s="78" t="s">
        <v>740</v>
      </c>
      <c r="F9" s="127" t="s">
        <v>737</v>
      </c>
    </row>
    <row r="10" spans="2:6" ht="103.5" customHeight="1">
      <c r="B10" s="5" t="s">
        <v>10</v>
      </c>
      <c r="C10" s="78" t="s">
        <v>741</v>
      </c>
      <c r="D10" s="80" t="s">
        <v>742</v>
      </c>
      <c r="E10" s="78" t="s">
        <v>739</v>
      </c>
      <c r="F10" s="127" t="s">
        <v>743</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L15"/>
  <sheetViews>
    <sheetView showGridLines="0" showRowColHeaders="0" workbookViewId="0">
      <selection activeCell="G36" sqref="G36"/>
    </sheetView>
  </sheetViews>
  <sheetFormatPr defaultRowHeight="15"/>
  <cols>
    <col min="2" max="2" width="9.140625" style="3"/>
    <col min="3" max="3" width="8.5703125" bestFit="1" customWidth="1"/>
    <col min="6" max="6" width="10.5703125" style="3" bestFit="1" customWidth="1"/>
  </cols>
  <sheetData>
    <row r="2" spans="2:12">
      <c r="B2" s="240" t="s">
        <v>59</v>
      </c>
      <c r="C2" s="240"/>
      <c r="D2" s="240"/>
      <c r="E2" s="62"/>
      <c r="F2" s="240" t="s">
        <v>333</v>
      </c>
      <c r="G2" s="240"/>
      <c r="H2" s="240"/>
      <c r="J2" s="240" t="s">
        <v>341</v>
      </c>
      <c r="K2" s="240"/>
      <c r="L2" s="240"/>
    </row>
    <row r="3" spans="2:12">
      <c r="B3" s="69" t="s">
        <v>15</v>
      </c>
      <c r="C3" s="61" t="s">
        <v>331</v>
      </c>
      <c r="D3" s="61" t="s">
        <v>332</v>
      </c>
      <c r="E3" s="62"/>
      <c r="F3" s="69" t="s">
        <v>15</v>
      </c>
      <c r="G3" s="61" t="s">
        <v>331</v>
      </c>
      <c r="H3" s="61" t="s">
        <v>332</v>
      </c>
      <c r="J3" s="69" t="s">
        <v>15</v>
      </c>
      <c r="K3" s="61" t="s">
        <v>331</v>
      </c>
      <c r="L3" s="61" t="s">
        <v>332</v>
      </c>
    </row>
    <row r="4" spans="2:12">
      <c r="B4" s="6" t="s">
        <v>216</v>
      </c>
      <c r="C4" s="5" t="s">
        <v>260</v>
      </c>
      <c r="D4" s="5">
        <v>10</v>
      </c>
      <c r="F4" s="67" t="s">
        <v>121</v>
      </c>
      <c r="G4" s="60" t="s">
        <v>123</v>
      </c>
      <c r="H4" s="60">
        <v>30</v>
      </c>
      <c r="J4" s="67" t="s">
        <v>336</v>
      </c>
      <c r="K4" s="60" t="s">
        <v>260</v>
      </c>
      <c r="L4" s="60">
        <v>10</v>
      </c>
    </row>
    <row r="5" spans="2:12">
      <c r="B5" s="6" t="s">
        <v>267</v>
      </c>
      <c r="C5" s="5" t="s">
        <v>260</v>
      </c>
      <c r="D5" s="5">
        <v>60</v>
      </c>
      <c r="F5" s="67" t="s">
        <v>120</v>
      </c>
      <c r="G5" s="60" t="s">
        <v>123</v>
      </c>
      <c r="H5" s="60">
        <v>30</v>
      </c>
      <c r="J5" s="67" t="s">
        <v>337</v>
      </c>
      <c r="K5" s="60" t="s">
        <v>260</v>
      </c>
      <c r="L5" s="60">
        <v>60</v>
      </c>
    </row>
    <row r="6" spans="2:12">
      <c r="B6" s="6" t="s">
        <v>268</v>
      </c>
      <c r="C6" s="5" t="s">
        <v>260</v>
      </c>
      <c r="D6" s="5">
        <v>60</v>
      </c>
      <c r="F6" s="67" t="s">
        <v>119</v>
      </c>
      <c r="G6" s="60" t="s">
        <v>123</v>
      </c>
      <c r="H6" s="60">
        <v>30</v>
      </c>
      <c r="J6" s="67" t="s">
        <v>338</v>
      </c>
      <c r="K6" s="60" t="s">
        <v>260</v>
      </c>
      <c r="L6" s="60">
        <v>60</v>
      </c>
    </row>
    <row r="7" spans="2:12">
      <c r="B7" s="6" t="s">
        <v>120</v>
      </c>
      <c r="C7" s="5" t="s">
        <v>260</v>
      </c>
      <c r="D7" s="5">
        <v>60</v>
      </c>
      <c r="F7" s="67" t="s">
        <v>118</v>
      </c>
      <c r="G7" s="60" t="s">
        <v>123</v>
      </c>
      <c r="H7" s="60">
        <v>30</v>
      </c>
      <c r="J7" s="67" t="s">
        <v>118</v>
      </c>
      <c r="K7" s="60" t="s">
        <v>260</v>
      </c>
      <c r="L7" s="60">
        <v>60</v>
      </c>
    </row>
    <row r="8" spans="2:12">
      <c r="B8" s="6" t="s">
        <v>269</v>
      </c>
      <c r="C8" s="5" t="s">
        <v>260</v>
      </c>
      <c r="D8" s="5">
        <v>60</v>
      </c>
      <c r="F8" s="67" t="s">
        <v>215</v>
      </c>
      <c r="G8" s="60" t="s">
        <v>123</v>
      </c>
      <c r="H8" s="60">
        <v>30</v>
      </c>
      <c r="J8" s="67" t="s">
        <v>339</v>
      </c>
      <c r="K8" s="60" t="s">
        <v>260</v>
      </c>
      <c r="L8" s="60">
        <v>60</v>
      </c>
    </row>
    <row r="9" spans="2:12">
      <c r="B9" s="6" t="s">
        <v>270</v>
      </c>
      <c r="C9" s="5" t="s">
        <v>260</v>
      </c>
      <c r="D9" s="5">
        <v>60</v>
      </c>
      <c r="F9" s="67" t="s">
        <v>216</v>
      </c>
      <c r="G9" s="60" t="s">
        <v>123</v>
      </c>
      <c r="H9" s="60">
        <v>30</v>
      </c>
      <c r="J9" s="67" t="s">
        <v>340</v>
      </c>
      <c r="K9" s="60" t="s">
        <v>260</v>
      </c>
      <c r="L9" s="60">
        <v>60</v>
      </c>
    </row>
    <row r="10" spans="2:12">
      <c r="B10" s="6"/>
      <c r="C10" s="5"/>
      <c r="D10" s="5"/>
      <c r="F10" s="68" t="s">
        <v>217</v>
      </c>
      <c r="G10" s="60" t="s">
        <v>123</v>
      </c>
      <c r="H10" s="64">
        <v>30</v>
      </c>
      <c r="J10" s="68"/>
      <c r="K10" s="60"/>
      <c r="L10" s="64"/>
    </row>
    <row r="11" spans="2:12">
      <c r="B11" s="6"/>
      <c r="C11" s="5"/>
      <c r="D11" s="5"/>
      <c r="F11" s="68" t="s">
        <v>218</v>
      </c>
      <c r="G11" s="60" t="s">
        <v>123</v>
      </c>
      <c r="H11" s="64">
        <v>30</v>
      </c>
      <c r="J11" s="68"/>
      <c r="K11" s="60"/>
      <c r="L11" s="64"/>
    </row>
    <row r="12" spans="2:12">
      <c r="B12" s="6"/>
      <c r="C12" s="5"/>
      <c r="D12" s="5"/>
      <c r="F12" s="68" t="s">
        <v>219</v>
      </c>
      <c r="G12" s="60" t="s">
        <v>123</v>
      </c>
      <c r="H12" s="64">
        <v>30</v>
      </c>
      <c r="J12" s="68"/>
      <c r="K12" s="60"/>
      <c r="L12" s="64"/>
    </row>
    <row r="13" spans="2:12">
      <c r="B13" s="6"/>
      <c r="C13" s="5"/>
      <c r="D13" s="5"/>
      <c r="F13" s="67" t="s">
        <v>334</v>
      </c>
      <c r="G13" s="60" t="s">
        <v>123</v>
      </c>
      <c r="H13" s="60">
        <v>30</v>
      </c>
      <c r="J13" s="67"/>
      <c r="K13" s="60"/>
      <c r="L13" s="60"/>
    </row>
    <row r="14" spans="2:12">
      <c r="B14" s="6"/>
      <c r="C14" s="5"/>
      <c r="D14" s="5"/>
      <c r="F14" s="67" t="s">
        <v>267</v>
      </c>
      <c r="G14" s="60" t="s">
        <v>123</v>
      </c>
      <c r="H14" s="60">
        <v>30</v>
      </c>
      <c r="J14" s="67"/>
      <c r="K14" s="60"/>
      <c r="L14" s="60"/>
    </row>
    <row r="15" spans="2:12">
      <c r="B15" s="6"/>
      <c r="C15" s="5"/>
      <c r="D15" s="5"/>
      <c r="F15" s="67" t="s">
        <v>335</v>
      </c>
      <c r="G15" s="60" t="s">
        <v>123</v>
      </c>
      <c r="H15" s="60">
        <v>30</v>
      </c>
      <c r="J15" s="67"/>
      <c r="K15" s="60"/>
      <c r="L15" s="60"/>
    </row>
  </sheetData>
  <mergeCells count="3">
    <mergeCell ref="B2:D2"/>
    <mergeCell ref="F2:H2"/>
    <mergeCell ref="J2:L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5</vt:i4>
      </vt:variant>
    </vt:vector>
  </HeadingPairs>
  <TitlesOfParts>
    <vt:vector size="40" baseType="lpstr">
      <vt:lpstr>VA Sizing</vt:lpstr>
      <vt:lpstr>10A61 Liquid 1.5"</vt:lpstr>
      <vt:lpstr>10A61 Liquid 3"</vt:lpstr>
      <vt:lpstr>10A61 Liquid 3" ViscosityLINEST</vt:lpstr>
      <vt:lpstr>10A61 3" Density LINEST</vt:lpstr>
      <vt:lpstr>10A61 3" Results Interpol.</vt:lpstr>
      <vt:lpstr>Sheet2</vt:lpstr>
      <vt:lpstr>5" Theoretical Test</vt:lpstr>
      <vt:lpstr>10A61 3" Gas+liquid Curves</vt:lpstr>
      <vt:lpstr>10A61 3" Gas+liquid Calcs</vt:lpstr>
      <vt:lpstr>10A61 Water</vt:lpstr>
      <vt:lpstr>10A61 5" Curves</vt:lpstr>
      <vt:lpstr>10A61 3" Gas+liquid Results</vt:lpstr>
      <vt:lpstr>10A61 3</vt:lpstr>
      <vt:lpstr>10A61 5" + 6" Results</vt:lpstr>
      <vt:lpstr>10A61 10"+6" Curves</vt:lpstr>
      <vt:lpstr>10A61 10"+6" Calcs</vt:lpstr>
      <vt:lpstr>10A61 10" Results</vt:lpstr>
      <vt:lpstr>Sheet1</vt:lpstr>
      <vt:lpstr>10A61 5</vt:lpstr>
      <vt:lpstr>10A61 10</vt:lpstr>
      <vt:lpstr>Log</vt:lpstr>
      <vt:lpstr>10A61 5" Calcs</vt:lpstr>
      <vt:lpstr>10A61 N Number</vt:lpstr>
      <vt:lpstr>IX Preview</vt:lpstr>
      <vt:lpstr>Temp-Press Limits</vt:lpstr>
      <vt:lpstr>SizingSummary</vt:lpstr>
      <vt:lpstr>Steam</vt:lpstr>
      <vt:lpstr>MixedGas</vt:lpstr>
      <vt:lpstr>10A61 Naming</vt:lpstr>
      <vt:lpstr>Photos</vt:lpstr>
      <vt:lpstr>Modified Inputs</vt:lpstr>
      <vt:lpstr>Assistant</vt:lpstr>
      <vt:lpstr>Descriptions</vt:lpstr>
      <vt:lpstr>Viscosity Limits</vt:lpstr>
      <vt:lpstr>Composition</vt:lpstr>
      <vt:lpstr>cP</vt:lpstr>
      <vt:lpstr>Gas</vt:lpstr>
      <vt:lpstr>Pressure</vt:lpstr>
      <vt:lpstr>Temperature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Trivelli, Peter,  N.</dc:creator>
  <cp:lastModifiedBy>Michael Dye</cp:lastModifiedBy>
  <cp:lastPrinted>2015-11-05T21:59:43Z</cp:lastPrinted>
  <dcterms:created xsi:type="dcterms:W3CDTF">2015-07-20T18:33:31Z</dcterms:created>
  <dcterms:modified xsi:type="dcterms:W3CDTF">2018-03-19T11:52:45Z</dcterms:modified>
</cp:coreProperties>
</file>