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sign\Solve\Configuration\Configuration Data\Venturi\Source docs\"/>
    </mc:Choice>
  </mc:AlternateContent>
  <xr:revisionPtr revIDLastSave="0" documentId="13_ncr:1_{0ACF29FB-A12D-4EFB-9BD4-96C490869C87}" xr6:coauthVersionLast="40" xr6:coauthVersionMax="40" xr10:uidLastSave="{00000000-0000-0000-0000-000000000000}"/>
  <bookViews>
    <workbookView xWindow="0" yWindow="0" windowWidth="28800" windowHeight="12330" activeTab="1" xr2:uid="{00000000-000D-0000-FFFF-FFFF00000000}"/>
  </bookViews>
  <sheets>
    <sheet name="Sheet1" sheetId="1" r:id="rId1"/>
    <sheet name="Input" sheetId="19" r:id="rId2"/>
    <sheet name="Bi Directional" sheetId="24" r:id="rId3"/>
  </sheets>
  <definedNames>
    <definedName name="Bore">Input!$G$26</definedName>
    <definedName name="Calc">Sheet1!$J$1:$J$2</definedName>
    <definedName name="Comp">Input!$B$8</definedName>
    <definedName name="DP">Input!$B$26</definedName>
    <definedName name="Element">Input!$B$16</definedName>
    <definedName name="Flow">Input!$B$13</definedName>
    <definedName name="Fluid">Sheet1!$E$1:$E$2</definedName>
    <definedName name="Fluid_in">Input!$B$4</definedName>
    <definedName name="ID">Input!$B$23</definedName>
    <definedName name="Isentropic">Input!$B$10</definedName>
    <definedName name="Materials">Sheet1!$G$1:$G$2</definedName>
    <definedName name="OpDens">Input!$B$7</definedName>
    <definedName name="OpPress">Input!$B$5</definedName>
    <definedName name="OpTemp">Input!$B$6</definedName>
    <definedName name="Orifice1">Sheet1!$C$1:$C$3</definedName>
    <definedName name="Pipemat" localSheetId="2">Input!#REF!</definedName>
    <definedName name="Pipemat">Input!#REF!</definedName>
    <definedName name="Visc">Input!$B$9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9" l="1"/>
  <c r="K2" i="19" l="1"/>
  <c r="B34" i="24" l="1"/>
  <c r="B37" i="24"/>
  <c r="B32" i="24"/>
  <c r="B28" i="24"/>
  <c r="B27" i="24"/>
  <c r="B26" i="24"/>
  <c r="B29" i="24" s="1"/>
  <c r="B25" i="24"/>
  <c r="E1" i="24"/>
  <c r="B38" i="24" l="1"/>
  <c r="B36" i="24" s="1"/>
  <c r="F38" i="24"/>
  <c r="B30" i="24"/>
  <c r="B31" i="24" s="1"/>
  <c r="B33" i="24" s="1"/>
  <c r="F36" i="24"/>
  <c r="B41" i="24"/>
  <c r="B43" i="24" s="1"/>
  <c r="B49" i="24" l="1"/>
  <c r="B45" i="24"/>
  <c r="B46" i="24" s="1"/>
  <c r="F39" i="24"/>
  <c r="F40" i="24" s="1"/>
  <c r="F37" i="24"/>
  <c r="B47" i="24" l="1"/>
  <c r="F42" i="24"/>
  <c r="F43" i="24" s="1"/>
  <c r="F48" i="24"/>
  <c r="F46" i="24"/>
  <c r="K1" i="19" l="1"/>
  <c r="F1" i="24" l="1"/>
  <c r="B36" i="19" l="1"/>
  <c r="B32" i="19"/>
  <c r="B30" i="19"/>
  <c r="B33" i="19" s="1"/>
  <c r="B29" i="19"/>
  <c r="B31" i="19"/>
  <c r="B34" i="19" l="1"/>
  <c r="B35" i="19" s="1"/>
  <c r="B37" i="19" s="1"/>
  <c r="B17" i="19" l="1"/>
  <c r="B21" i="19"/>
  <c r="B48" i="24" l="1"/>
  <c r="B50" i="24" s="1"/>
  <c r="B56" i="24" l="1"/>
  <c r="B52" i="24"/>
  <c r="B53" i="24" s="1"/>
  <c r="B54" i="24" l="1"/>
  <c r="B55" i="24" s="1"/>
  <c r="B57" i="24" s="1"/>
  <c r="B63" i="24" l="1"/>
  <c r="B59" i="24"/>
  <c r="B61" i="24" s="1"/>
  <c r="C62" i="24" l="1"/>
  <c r="B60" i="24"/>
  <c r="B62" i="24" l="1"/>
  <c r="B64" i="24" s="1"/>
  <c r="B77" i="24" s="1"/>
  <c r="B72" i="24" l="1"/>
  <c r="B68" i="24"/>
  <c r="B66" i="24"/>
  <c r="B73" i="24" l="1"/>
  <c r="B75" i="24" s="1"/>
  <c r="B76" i="24"/>
  <c r="F44" i="24" l="1"/>
  <c r="F45" i="24" s="1"/>
  <c r="B65" i="24"/>
  <c r="F47" i="24" l="1"/>
  <c r="F53" i="24"/>
  <c r="F56" i="24" s="1"/>
  <c r="F51" i="24" l="1"/>
</calcChain>
</file>

<file path=xl/sharedStrings.xml><?xml version="1.0" encoding="utf-8"?>
<sst xmlns="http://schemas.openxmlformats.org/spreadsheetml/2006/main" count="158" uniqueCount="96">
  <si>
    <t>Fluid</t>
  </si>
  <si>
    <t>Operating Pressure</t>
  </si>
  <si>
    <t>Operating Temperature</t>
  </si>
  <si>
    <t>Operating Density</t>
  </si>
  <si>
    <t>Compressibility</t>
  </si>
  <si>
    <t>Operating Viscosity</t>
  </si>
  <si>
    <t>Isentropic Index</t>
  </si>
  <si>
    <t>Materials</t>
  </si>
  <si>
    <t>Pipe ID</t>
  </si>
  <si>
    <t>Liquid</t>
  </si>
  <si>
    <t>Gas</t>
  </si>
  <si>
    <t>Pa[A]</t>
  </si>
  <si>
    <t>°K</t>
  </si>
  <si>
    <t>kg/s</t>
  </si>
  <si>
    <t>kg/m³</t>
  </si>
  <si>
    <t>m</t>
  </si>
  <si>
    <t>m2</t>
  </si>
  <si>
    <t>m/s</t>
  </si>
  <si>
    <t>Pa.s</t>
  </si>
  <si>
    <t>kg/m3</t>
  </si>
  <si>
    <t>Convert Operating Pressure</t>
  </si>
  <si>
    <t>Convert temperature</t>
  </si>
  <si>
    <t>Calculate mass flow (if not given)</t>
  </si>
  <si>
    <t>Calc/convert density</t>
  </si>
  <si>
    <t>Convert diameter with expans.</t>
  </si>
  <si>
    <t>Calc pipe area</t>
  </si>
  <si>
    <t>Calc pipe velocity</t>
  </si>
  <si>
    <t>Calculate viscosity</t>
  </si>
  <si>
    <t>Calc Reynolds Number</t>
  </si>
  <si>
    <t>316L Pipe</t>
  </si>
  <si>
    <t>CS Pipe</t>
  </si>
  <si>
    <t>DP</t>
  </si>
  <si>
    <t>Bore</t>
  </si>
  <si>
    <t>Downstream Pressure, P2</t>
  </si>
  <si>
    <r>
      <t>Sizing Factor, S</t>
    </r>
    <r>
      <rPr>
        <vertAlign val="subscript"/>
        <sz val="11"/>
        <color theme="1"/>
        <rFont val="Calibri"/>
        <family val="2"/>
      </rPr>
      <t>M</t>
    </r>
  </si>
  <si>
    <r>
      <t>N Factor for Mass Flow, N*</t>
    </r>
    <r>
      <rPr>
        <vertAlign val="subscript"/>
        <sz val="11"/>
        <color theme="1"/>
        <rFont val="Calibri"/>
        <family val="2"/>
      </rPr>
      <t>Mρ</t>
    </r>
  </si>
  <si>
    <t>[kg/s]</t>
  </si>
  <si>
    <r>
      <t>Co-efficient of Discharge, C</t>
    </r>
    <r>
      <rPr>
        <vertAlign val="subscript"/>
        <sz val="11"/>
        <color theme="1"/>
        <rFont val="Calibri"/>
        <family val="2"/>
      </rPr>
      <t>0</t>
    </r>
  </si>
  <si>
    <r>
      <t>Expansibility Factor, Y</t>
    </r>
    <r>
      <rPr>
        <vertAlign val="subscript"/>
        <sz val="11"/>
        <color theme="1"/>
        <rFont val="Calibri"/>
        <family val="2"/>
      </rPr>
      <t>0</t>
    </r>
  </si>
  <si>
    <t>qm</t>
  </si>
  <si>
    <t>Machined Bore</t>
  </si>
  <si>
    <t>mm</t>
  </si>
  <si>
    <t>Machined Bore (mm)</t>
  </si>
  <si>
    <r>
      <t>Beta, β</t>
    </r>
    <r>
      <rPr>
        <vertAlign val="subscript"/>
        <sz val="11"/>
        <color theme="1"/>
        <rFont val="Calibri"/>
        <family val="2"/>
      </rPr>
      <t>1</t>
    </r>
  </si>
  <si>
    <r>
      <t>Co-efficient of Discharge, C</t>
    </r>
    <r>
      <rPr>
        <vertAlign val="subscript"/>
        <sz val="11"/>
        <color theme="1"/>
        <rFont val="Calibri"/>
        <family val="2"/>
      </rPr>
      <t>1</t>
    </r>
  </si>
  <si>
    <r>
      <t>Expansibility Factor, Y</t>
    </r>
    <r>
      <rPr>
        <vertAlign val="subscript"/>
        <sz val="11"/>
        <color theme="1"/>
        <rFont val="Calibri"/>
        <family val="2"/>
      </rPr>
      <t>1</t>
    </r>
  </si>
  <si>
    <t>A</t>
  </si>
  <si>
    <t>Co-efficient of Discharge, C</t>
  </si>
  <si>
    <r>
      <t xml:space="preserve">Differential Pressure, </t>
    </r>
    <r>
      <rPr>
        <sz val="11"/>
        <color theme="1"/>
        <rFont val="Comic Sans MS"/>
        <family val="4"/>
      </rPr>
      <t>Δ</t>
    </r>
    <r>
      <rPr>
        <sz val="8.8000000000000007"/>
        <color theme="1"/>
        <rFont val="Calibri"/>
        <family val="2"/>
      </rPr>
      <t>p</t>
    </r>
  </si>
  <si>
    <r>
      <t>Initial Expansibility Factor, Y</t>
    </r>
    <r>
      <rPr>
        <vertAlign val="subscript"/>
        <sz val="11"/>
        <color theme="1"/>
        <rFont val="Calibri"/>
        <family val="2"/>
      </rPr>
      <t>0</t>
    </r>
  </si>
  <si>
    <t>Operating Bore</t>
  </si>
  <si>
    <t>CALCULATION TYPE</t>
  </si>
  <si>
    <t>P2/P1</t>
  </si>
  <si>
    <r>
      <t>Co-efficient of Discharge, C</t>
    </r>
    <r>
      <rPr>
        <vertAlign val="subscript"/>
        <sz val="11"/>
        <color theme="1"/>
        <rFont val="Calibri"/>
        <family val="2"/>
      </rPr>
      <t>2</t>
    </r>
  </si>
  <si>
    <r>
      <t>Expansibility Factor, Y</t>
    </r>
    <r>
      <rPr>
        <vertAlign val="subscript"/>
        <sz val="11"/>
        <color theme="1"/>
        <rFont val="Calibri"/>
        <family val="2"/>
      </rPr>
      <t>2</t>
    </r>
  </si>
  <si>
    <t>Throat Bore</t>
  </si>
  <si>
    <t>Element (Throat)</t>
  </si>
  <si>
    <t>Pipe</t>
  </si>
  <si>
    <t>Co-efficient of Discharge By Model Type</t>
  </si>
  <si>
    <t>Venturi Type</t>
  </si>
  <si>
    <t xml:space="preserve">Flowrate </t>
  </si>
  <si>
    <t>As Calibrated Co-efficient of Discharge "OVERIDE"</t>
  </si>
  <si>
    <t xml:space="preserve">Enter Calibrated C of E </t>
  </si>
  <si>
    <t>Size By Bore</t>
  </si>
  <si>
    <t>Beta, β0</t>
  </si>
  <si>
    <t>Initial Beta, β</t>
  </si>
  <si>
    <r>
      <t>Beta, β</t>
    </r>
    <r>
      <rPr>
        <vertAlign val="subscript"/>
        <sz val="11"/>
        <color theme="1"/>
        <rFont val="Calibri"/>
        <family val="2"/>
      </rPr>
      <t>0</t>
    </r>
  </si>
  <si>
    <r>
      <t>Beta, β</t>
    </r>
    <r>
      <rPr>
        <vertAlign val="subscript"/>
        <sz val="11"/>
        <color theme="1"/>
        <rFont val="Calibri"/>
        <family val="2"/>
      </rPr>
      <t>2</t>
    </r>
  </si>
  <si>
    <t>Sizing Factor, SM</t>
  </si>
  <si>
    <t>Venturi Type Code</t>
  </si>
  <si>
    <t>Uncertainty C</t>
  </si>
  <si>
    <t>E</t>
  </si>
  <si>
    <t>Relative Uncertainty Y</t>
  </si>
  <si>
    <t>Calc Reynolds Number "ReD"</t>
  </si>
  <si>
    <t>Calc Reynolds Number "Red"</t>
  </si>
  <si>
    <t>Pressure Loss 10.5 deg cone</t>
  </si>
  <si>
    <t>Reynolds Number Re*:</t>
  </si>
  <si>
    <r>
      <t>λ</t>
    </r>
    <r>
      <rPr>
        <vertAlign val="subscript"/>
        <sz val="11"/>
        <color theme="1"/>
        <rFont val="Arial"/>
        <family val="2"/>
      </rPr>
      <t>sp</t>
    </r>
    <r>
      <rPr>
        <sz val="10"/>
        <color theme="1"/>
        <rFont val="Calibri"/>
        <family val="2"/>
      </rPr>
      <t>:</t>
    </r>
  </si>
  <si>
    <t>Ra/d:</t>
  </si>
  <si>
    <t>Tapping Dia</t>
  </si>
  <si>
    <t>Ra</t>
  </si>
  <si>
    <t>Tapping Diameter dtap:</t>
  </si>
  <si>
    <t>λsp:</t>
  </si>
  <si>
    <t>Bi-Directional</t>
  </si>
  <si>
    <t>c</t>
  </si>
  <si>
    <t>ISO TR15337:2003</t>
  </si>
  <si>
    <t>Initial Co-efficient of Discharge</t>
  </si>
  <si>
    <t>Says 21 degress in SAP data???</t>
  </si>
  <si>
    <t>Uncert</t>
  </si>
  <si>
    <t>&gt;&gt;&gt; FROM THIS TABLE &gt;&gt;&gt;</t>
  </si>
  <si>
    <t>Min Red</t>
  </si>
  <si>
    <t>Max Red</t>
  </si>
  <si>
    <t>Pa</t>
  </si>
  <si>
    <t>1/(1.74-2*LOG10(((2*PI()*Input!B19)/(B29*B50))+(18.7/(B52*SQRT(B46)))))^2</t>
  </si>
  <si>
    <t>1/(1.74-2*LOG10(((2*PI()*Input!B19)/(B29*B43))+(18.7/(B45))))^2</t>
  </si>
  <si>
    <t>1/(1.74-2*LOG10(((2*PI()*Input!B19)/(F38))+(18.7/(F42))))^2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</si>
</sst>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"/>
    <numFmt numFmtId="166" formatCode="0.000"/>
    <numFmt numFmtId="167" formatCode="0.0000%"/>
  </numFmts>
  <fonts count="29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trike/>
      <sz val="11"/>
      <color rgb="FFFF0000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Comic Sans MS"/>
      <family val="4"/>
    </font>
    <font>
      <sz val="8.8000000000000007"/>
      <color theme="1"/>
      <name val="Calibri"/>
      <family val="2"/>
    </font>
    <font>
      <b/>
      <sz val="14"/>
      <color theme="1"/>
      <name val="Calibri"/>
      <family val="2"/>
    </font>
    <font>
      <sz val="11"/>
      <name val="Wingdings"/>
      <charset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color rgb="FF000000"/>
      <name val="Segoe UI"/>
      <family val="2"/>
    </font>
    <font>
      <b/>
      <sz val="14"/>
      <color indexed="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</font>
    <font>
      <vertAlign val="subscript"/>
      <sz val="11"/>
      <color theme="1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1" fillId="11" borderId="0" applyNumberFormat="0" applyBorder="0" applyAlignment="0" applyProtection="0"/>
    <xf numFmtId="0" fontId="6" fillId="0" borderId="0"/>
    <xf numFmtId="0" fontId="10" fillId="0" borderId="0"/>
    <xf numFmtId="0" fontId="1" fillId="0" borderId="0"/>
    <xf numFmtId="9" fontId="25" fillId="0" borderId="0" applyFont="0" applyFill="0" applyBorder="0" applyAlignment="0" applyProtection="0"/>
  </cellStyleXfs>
  <cellXfs count="93">
    <xf numFmtId="0" fontId="0" fillId="0" borderId="0" xfId="0"/>
    <xf numFmtId="0" fontId="7" fillId="0" borderId="0" xfId="8" applyFont="1" applyFill="1"/>
    <xf numFmtId="0" fontId="8" fillId="0" borderId="0" xfId="0" applyFont="1" applyFill="1"/>
    <xf numFmtId="0" fontId="9" fillId="0" borderId="0" xfId="0" applyFont="1"/>
    <xf numFmtId="0" fontId="10" fillId="0" borderId="0" xfId="14"/>
    <xf numFmtId="0" fontId="12" fillId="0" borderId="0" xfId="0" applyFont="1"/>
    <xf numFmtId="0" fontId="9" fillId="12" borderId="1" xfId="0" applyFont="1" applyFill="1" applyBorder="1"/>
    <xf numFmtId="0" fontId="9" fillId="13" borderId="2" xfId="0" applyFont="1" applyFill="1" applyBorder="1"/>
    <xf numFmtId="0" fontId="9" fillId="13" borderId="3" xfId="0" applyFont="1" applyFill="1" applyBorder="1"/>
    <xf numFmtId="0" fontId="6" fillId="13" borderId="4" xfId="13" applyFill="1" applyBorder="1"/>
    <xf numFmtId="0" fontId="9" fillId="13" borderId="5" xfId="0" applyFont="1" applyFill="1" applyBorder="1"/>
    <xf numFmtId="0" fontId="9" fillId="13" borderId="0" xfId="0" applyFont="1" applyFill="1" applyBorder="1"/>
    <xf numFmtId="0" fontId="6" fillId="13" borderId="6" xfId="13" applyFill="1" applyBorder="1"/>
    <xf numFmtId="0" fontId="1" fillId="13" borderId="6" xfId="15" applyFill="1" applyBorder="1"/>
    <xf numFmtId="0" fontId="9" fillId="13" borderId="7" xfId="0" applyFont="1" applyFill="1" applyBorder="1"/>
    <xf numFmtId="0" fontId="9" fillId="13" borderId="9" xfId="0" applyFont="1" applyFill="1" applyBorder="1"/>
    <xf numFmtId="0" fontId="6" fillId="0" borderId="0" xfId="13"/>
    <xf numFmtId="0" fontId="6" fillId="0" borderId="0" xfId="13" applyFont="1"/>
    <xf numFmtId="0" fontId="6" fillId="0" borderId="0" xfId="13" applyAlignment="1">
      <alignment vertical="center"/>
    </xf>
    <xf numFmtId="0" fontId="2" fillId="0" borderId="0" xfId="13" applyFont="1"/>
    <xf numFmtId="0" fontId="9" fillId="0" borderId="0" xfId="0" applyFont="1" applyFill="1"/>
    <xf numFmtId="0" fontId="11" fillId="0" borderId="0" xfId="0" applyFont="1" applyFill="1"/>
    <xf numFmtId="0" fontId="0" fillId="0" borderId="0" xfId="0" applyAlignment="1">
      <alignment horizontal="center" vertical="center"/>
    </xf>
    <xf numFmtId="0" fontId="1" fillId="0" borderId="0" xfId="8" applyFont="1" applyFill="1"/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8" fillId="16" borderId="0" xfId="15" applyNumberFormat="1" applyFont="1" applyFill="1" applyBorder="1" applyAlignment="1" applyProtection="1"/>
    <xf numFmtId="0" fontId="19" fillId="16" borderId="0" xfId="0" applyFont="1" applyFill="1" applyBorder="1"/>
    <xf numFmtId="0" fontId="19" fillId="0" borderId="0" xfId="0" applyFont="1" applyFill="1" applyBorder="1"/>
    <xf numFmtId="0" fontId="8" fillId="0" borderId="0" xfId="0" applyFont="1" applyFill="1" applyBorder="1"/>
    <xf numFmtId="0" fontId="17" fillId="0" borderId="0" xfId="0" applyFont="1" applyFill="1" applyBorder="1" applyAlignment="1">
      <alignment horizontal="center" vertical="center"/>
    </xf>
    <xf numFmtId="2" fontId="16" fillId="15" borderId="0" xfId="0" applyNumberFormat="1" applyFont="1" applyFill="1"/>
    <xf numFmtId="2" fontId="20" fillId="15" borderId="0" xfId="0" applyNumberFormat="1" applyFont="1" applyFill="1"/>
    <xf numFmtId="0" fontId="9" fillId="0" borderId="0" xfId="0" applyFont="1" applyFill="1" applyBorder="1"/>
    <xf numFmtId="0" fontId="9" fillId="15" borderId="0" xfId="0" applyFont="1" applyFill="1"/>
    <xf numFmtId="0" fontId="9" fillId="0" borderId="0" xfId="0" quotePrefix="1" applyFont="1"/>
    <xf numFmtId="0" fontId="9" fillId="17" borderId="10" xfId="0" applyFont="1" applyFill="1" applyBorder="1" applyAlignment="1">
      <alignment horizontal="center" vertical="center"/>
    </xf>
    <xf numFmtId="0" fontId="9" fillId="17" borderId="11" xfId="0" applyFont="1" applyFill="1" applyBorder="1"/>
    <xf numFmtId="0" fontId="9" fillId="12" borderId="1" xfId="0" applyFont="1" applyFill="1" applyBorder="1" applyAlignment="1">
      <alignment horizontal="center" vertical="center"/>
    </xf>
    <xf numFmtId="0" fontId="9" fillId="17" borderId="12" xfId="0" applyFont="1" applyFill="1" applyBorder="1" applyAlignment="1">
      <alignment horizontal="center" vertical="center"/>
    </xf>
    <xf numFmtId="0" fontId="9" fillId="0" borderId="0" xfId="0" applyFont="1" applyBorder="1"/>
    <xf numFmtId="0" fontId="21" fillId="17" borderId="10" xfId="0" applyFont="1" applyFill="1" applyBorder="1"/>
    <xf numFmtId="0" fontId="23" fillId="15" borderId="0" xfId="15" applyNumberFormat="1" applyFont="1" applyFill="1" applyBorder="1" applyAlignment="1" applyProtection="1">
      <alignment horizontal="center" vertical="center"/>
    </xf>
    <xf numFmtId="0" fontId="20" fillId="18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4" fillId="15" borderId="0" xfId="0" applyFont="1" applyFill="1" applyBorder="1" applyAlignment="1">
      <alignment horizontal="center"/>
    </xf>
    <xf numFmtId="1" fontId="9" fillId="0" borderId="0" xfId="0" applyNumberFormat="1" applyFont="1"/>
    <xf numFmtId="1" fontId="16" fillId="15" borderId="0" xfId="0" applyNumberFormat="1" applyFont="1" applyFill="1"/>
    <xf numFmtId="2" fontId="9" fillId="0" borderId="0" xfId="0" applyNumberFormat="1" applyFont="1" applyFill="1" applyBorder="1"/>
    <xf numFmtId="164" fontId="9" fillId="15" borderId="0" xfId="0" applyNumberFormat="1" applyFont="1" applyFill="1"/>
    <xf numFmtId="10" fontId="9" fillId="0" borderId="0" xfId="16" applyNumberFormat="1" applyFont="1"/>
    <xf numFmtId="0" fontId="9" fillId="15" borderId="0" xfId="0" applyFont="1" applyFill="1" applyAlignment="1">
      <alignment horizontal="right"/>
    </xf>
    <xf numFmtId="0" fontId="9" fillId="0" borderId="0" xfId="0" applyNumberFormat="1" applyFont="1"/>
    <xf numFmtId="165" fontId="9" fillId="0" borderId="1" xfId="0" applyNumberFormat="1" applyFont="1" applyBorder="1"/>
    <xf numFmtId="11" fontId="9" fillId="0" borderId="0" xfId="0" applyNumberFormat="1" applyFont="1"/>
    <xf numFmtId="0" fontId="9" fillId="13" borderId="6" xfId="0" applyFont="1" applyFill="1" applyBorder="1"/>
    <xf numFmtId="0" fontId="9" fillId="0" borderId="0" xfId="0" applyFont="1" applyFill="1" applyAlignment="1"/>
    <xf numFmtId="0" fontId="0" fillId="20" borderId="0" xfId="0" applyFill="1"/>
    <xf numFmtId="11" fontId="9" fillId="15" borderId="0" xfId="0" applyNumberFormat="1" applyFont="1" applyFill="1"/>
    <xf numFmtId="164" fontId="9" fillId="0" borderId="0" xfId="0" applyNumberFormat="1" applyFont="1" applyFill="1"/>
    <xf numFmtId="9" fontId="9" fillId="0" borderId="0" xfId="16" applyFont="1" applyFill="1"/>
    <xf numFmtId="10" fontId="9" fillId="0" borderId="0" xfId="16" applyNumberFormat="1" applyFont="1" applyFill="1"/>
    <xf numFmtId="10" fontId="9" fillId="0" borderId="0" xfId="16" applyNumberFormat="1" applyFont="1" applyFill="1" applyAlignment="1">
      <alignment horizontal="left" vertical="center"/>
    </xf>
    <xf numFmtId="0" fontId="9" fillId="0" borderId="0" xfId="0" applyFont="1" applyFill="1" applyAlignment="1">
      <alignment horizontal="right"/>
    </xf>
    <xf numFmtId="9" fontId="9" fillId="0" borderId="0" xfId="16" applyFont="1" applyFill="1" applyBorder="1" applyAlignment="1">
      <alignment horizontal="left"/>
    </xf>
    <xf numFmtId="9" fontId="9" fillId="0" borderId="0" xfId="16" applyFont="1" applyFill="1" applyAlignment="1">
      <alignment horizontal="left"/>
    </xf>
    <xf numFmtId="0" fontId="0" fillId="0" borderId="0" xfId="0" applyFill="1"/>
    <xf numFmtId="0" fontId="0" fillId="15" borderId="0" xfId="0" applyFill="1"/>
    <xf numFmtId="0" fontId="9" fillId="15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2" fontId="9" fillId="0" borderId="0" xfId="0" applyNumberFormat="1" applyFont="1" applyBorder="1"/>
    <xf numFmtId="0" fontId="9" fillId="0" borderId="0" xfId="0" applyFont="1" applyFill="1" applyBorder="1" applyAlignment="1">
      <alignment horizontal="right"/>
    </xf>
    <xf numFmtId="9" fontId="9" fillId="15" borderId="0" xfId="0" quotePrefix="1" applyNumberFormat="1" applyFont="1" applyFill="1" applyAlignment="1">
      <alignment horizontal="right" vertical="center"/>
    </xf>
    <xf numFmtId="0" fontId="20" fillId="13" borderId="5" xfId="0" applyFont="1" applyFill="1" applyBorder="1"/>
    <xf numFmtId="0" fontId="20" fillId="13" borderId="0" xfId="0" applyFont="1" applyFill="1" applyBorder="1"/>
    <xf numFmtId="0" fontId="27" fillId="13" borderId="6" xfId="13" applyFont="1" applyFill="1" applyBorder="1"/>
    <xf numFmtId="0" fontId="11" fillId="0" borderId="0" xfId="0" applyFont="1"/>
    <xf numFmtId="2" fontId="11" fillId="0" borderId="0" xfId="0" applyNumberFormat="1" applyFont="1" applyFill="1"/>
    <xf numFmtId="0" fontId="9" fillId="12" borderId="0" xfId="0" applyFont="1" applyFill="1"/>
    <xf numFmtId="0" fontId="28" fillId="21" borderId="0" xfId="0" applyFont="1" applyFill="1"/>
    <xf numFmtId="9" fontId="9" fillId="0" borderId="0" xfId="0" applyNumberFormat="1" applyFont="1"/>
    <xf numFmtId="10" fontId="9" fillId="0" borderId="0" xfId="0" applyNumberFormat="1" applyFont="1"/>
    <xf numFmtId="3" fontId="9" fillId="15" borderId="0" xfId="0" applyNumberFormat="1" applyFont="1" applyFill="1"/>
    <xf numFmtId="3" fontId="9" fillId="0" borderId="0" xfId="0" applyNumberFormat="1" applyFont="1"/>
    <xf numFmtId="3" fontId="9" fillId="12" borderId="0" xfId="0" applyNumberFormat="1" applyFont="1" applyFill="1"/>
    <xf numFmtId="3" fontId="9" fillId="13" borderId="0" xfId="0" applyNumberFormat="1" applyFont="1" applyFill="1" applyBorder="1"/>
    <xf numFmtId="166" fontId="9" fillId="14" borderId="0" xfId="0" applyNumberFormat="1" applyFont="1" applyFill="1"/>
    <xf numFmtId="167" fontId="9" fillId="0" borderId="0" xfId="0" applyNumberFormat="1" applyFont="1"/>
    <xf numFmtId="166" fontId="9" fillId="0" borderId="0" xfId="0" applyNumberFormat="1" applyFont="1"/>
    <xf numFmtId="3" fontId="9" fillId="13" borderId="8" xfId="0" applyNumberFormat="1" applyFont="1" applyFill="1" applyBorder="1"/>
    <xf numFmtId="11" fontId="10" fillId="12" borderId="1" xfId="14" applyNumberFormat="1" applyFill="1" applyBorder="1"/>
    <xf numFmtId="11" fontId="0" fillId="19" borderId="0" xfId="0" applyNumberFormat="1" applyFill="1"/>
    <xf numFmtId="0" fontId="9" fillId="0" borderId="0" xfId="0" applyFont="1" applyAlignment="1">
      <alignment horizontal="left" vertical="center" wrapText="1"/>
    </xf>
  </cellXfs>
  <cellStyles count="17">
    <cellStyle name="40% - Accent1 2" xfId="6" xr:uid="{00000000-0005-0000-0000-000000000000}"/>
    <cellStyle name="40% - Accent6 2" xfId="12" xr:uid="{00000000-0005-0000-0000-000001000000}"/>
    <cellStyle name="60% - Accent2 2" xfId="8" xr:uid="{00000000-0005-0000-0000-000002000000}"/>
    <cellStyle name="60% - Accent5 2" xfId="10" xr:uid="{00000000-0005-0000-0000-000003000000}"/>
    <cellStyle name="Accent1 2" xfId="5" xr:uid="{00000000-0005-0000-0000-000004000000}"/>
    <cellStyle name="Accent2 2" xfId="7" xr:uid="{00000000-0005-0000-0000-000005000000}"/>
    <cellStyle name="Accent4 2" xfId="9" xr:uid="{00000000-0005-0000-0000-000006000000}"/>
    <cellStyle name="Accent6 2" xfId="11" xr:uid="{00000000-0005-0000-0000-000007000000}"/>
    <cellStyle name="Good 2" xfId="2" xr:uid="{00000000-0005-0000-0000-000008000000}"/>
    <cellStyle name="Good 3" xfId="4" xr:uid="{00000000-0005-0000-0000-000009000000}"/>
    <cellStyle name="Neutral 2" xfId="3" xr:uid="{00000000-0005-0000-0000-00000A000000}"/>
    <cellStyle name="Normal" xfId="0" builtinId="0"/>
    <cellStyle name="Normal 2" xfId="1" xr:uid="{00000000-0005-0000-0000-00000C000000}"/>
    <cellStyle name="Normal 2 2" xfId="14" xr:uid="{00000000-0005-0000-0000-00000D000000}"/>
    <cellStyle name="Normal 3" xfId="15" xr:uid="{00000000-0005-0000-0000-00000E000000}"/>
    <cellStyle name="Normal 4" xfId="13" xr:uid="{00000000-0005-0000-0000-00000F000000}"/>
    <cellStyle name="Percent" xfId="16" builtinId="5"/>
  </cellStyles>
  <dxfs count="2"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D$20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20</xdr:row>
          <xdr:rowOff>47625</xdr:rowOff>
        </xdr:from>
        <xdr:to>
          <xdr:col>4</xdr:col>
          <xdr:colOff>180975</xdr:colOff>
          <xdr:row>20</xdr:row>
          <xdr:rowOff>180975</xdr:rowOff>
        </xdr:to>
        <xdr:sp macro="" textlink="">
          <xdr:nvSpPr>
            <xdr:cNvPr id="10242" name="Check Box 2" descr="C of E Overide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 of E Overid 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K46"/>
  <sheetViews>
    <sheetView workbookViewId="0"/>
  </sheetViews>
  <sheetFormatPr defaultRowHeight="15" x14ac:dyDescent="0.25"/>
  <cols>
    <col min="1" max="1" width="9.140625" style="2"/>
    <col min="2" max="2" width="22.42578125" style="2" bestFit="1" customWidth="1"/>
    <col min="3" max="3" width="28" style="2" bestFit="1" customWidth="1"/>
    <col min="4" max="6" width="9.140625" style="2"/>
    <col min="7" max="7" width="12.42578125" style="2" customWidth="1"/>
    <col min="8" max="16384" width="9.140625" style="2"/>
  </cols>
  <sheetData>
    <row r="1" spans="2:11" x14ac:dyDescent="0.25">
      <c r="B1" s="1"/>
      <c r="E1" s="3" t="s">
        <v>9</v>
      </c>
      <c r="G1" s="2" t="s">
        <v>29</v>
      </c>
      <c r="H1" s="4">
        <v>1.789E-5</v>
      </c>
      <c r="J1" s="2" t="s">
        <v>31</v>
      </c>
      <c r="K1" s="2" t="s">
        <v>11</v>
      </c>
    </row>
    <row r="2" spans="2:11" x14ac:dyDescent="0.25">
      <c r="B2" s="1"/>
      <c r="E2" s="3" t="s">
        <v>10</v>
      </c>
      <c r="G2" s="2" t="s">
        <v>30</v>
      </c>
      <c r="H2" s="4">
        <v>1.3529999999999999E-5</v>
      </c>
      <c r="J2" s="2" t="s">
        <v>32</v>
      </c>
      <c r="K2" s="2" t="s">
        <v>15</v>
      </c>
    </row>
    <row r="3" spans="2:11" x14ac:dyDescent="0.25">
      <c r="B3" s="1"/>
    </row>
    <row r="4" spans="2:11" x14ac:dyDescent="0.25">
      <c r="B4" s="1"/>
      <c r="C4" s="21"/>
    </row>
    <row r="5" spans="2:11" x14ac:dyDescent="0.25">
      <c r="B5" s="1"/>
    </row>
    <row r="6" spans="2:11" x14ac:dyDescent="0.25">
      <c r="B6" s="1"/>
      <c r="C6" s="21"/>
    </row>
    <row r="7" spans="2:11" x14ac:dyDescent="0.25">
      <c r="B7" s="1"/>
      <c r="C7" s="21"/>
    </row>
    <row r="8" spans="2:11" x14ac:dyDescent="0.25">
      <c r="B8" s="1"/>
      <c r="C8" s="21"/>
    </row>
    <row r="9" spans="2:11" x14ac:dyDescent="0.25">
      <c r="B9" s="1"/>
    </row>
    <row r="10" spans="2:11" x14ac:dyDescent="0.25">
      <c r="B10" s="1"/>
      <c r="C10" s="21"/>
    </row>
    <row r="11" spans="2:11" x14ac:dyDescent="0.25">
      <c r="B11" s="1"/>
      <c r="C11" s="21"/>
    </row>
    <row r="12" spans="2:11" x14ac:dyDescent="0.25">
      <c r="B12" s="1"/>
      <c r="C12" s="21"/>
    </row>
    <row r="13" spans="2:11" x14ac:dyDescent="0.25">
      <c r="B13" s="1"/>
    </row>
    <row r="14" spans="2:11" x14ac:dyDescent="0.25">
      <c r="B14" s="1"/>
    </row>
    <row r="15" spans="2:11" x14ac:dyDescent="0.25">
      <c r="B15" s="1"/>
      <c r="C15" s="21"/>
    </row>
    <row r="16" spans="2:11" x14ac:dyDescent="0.25">
      <c r="B16" s="1"/>
      <c r="C16" s="21"/>
    </row>
    <row r="17" spans="2:10" x14ac:dyDescent="0.25">
      <c r="B17" s="1"/>
      <c r="C17" s="21"/>
    </row>
    <row r="18" spans="2:10" x14ac:dyDescent="0.25">
      <c r="C18" s="21"/>
    </row>
    <row r="19" spans="2:10" x14ac:dyDescent="0.25">
      <c r="C19" s="21"/>
    </row>
    <row r="20" spans="2:10" x14ac:dyDescent="0.25">
      <c r="C20" s="21"/>
    </row>
    <row r="22" spans="2:10" x14ac:dyDescent="0.25">
      <c r="D22" s="29"/>
      <c r="E22" s="29"/>
      <c r="F22" s="29"/>
    </row>
    <row r="23" spans="2:10" x14ac:dyDescent="0.25">
      <c r="B23" s="1"/>
      <c r="C23" s="20"/>
      <c r="D23" s="30"/>
      <c r="E23" s="30"/>
      <c r="F23" s="30"/>
      <c r="G23" s="23"/>
      <c r="H23" s="20"/>
      <c r="I23" s="20"/>
      <c r="J23" s="20"/>
    </row>
    <row r="24" spans="2:10" x14ac:dyDescent="0.25">
      <c r="B24" s="1"/>
      <c r="C24" s="20"/>
      <c r="D24" s="30"/>
      <c r="E24" s="30"/>
      <c r="F24" s="30"/>
      <c r="G24" s="23"/>
      <c r="H24" s="20"/>
      <c r="I24" s="20"/>
      <c r="J24" s="20"/>
    </row>
    <row r="25" spans="2:10" x14ac:dyDescent="0.25">
      <c r="B25" s="1"/>
      <c r="C25" s="20"/>
      <c r="D25" s="30"/>
      <c r="E25" s="30"/>
      <c r="F25" s="30"/>
      <c r="G25" s="23"/>
      <c r="H25" s="20"/>
      <c r="I25" s="20"/>
      <c r="J25" s="20"/>
    </row>
    <row r="26" spans="2:10" x14ac:dyDescent="0.25">
      <c r="B26" s="1"/>
      <c r="C26" s="20"/>
      <c r="D26" s="30"/>
      <c r="E26" s="30"/>
      <c r="F26" s="30"/>
      <c r="G26" s="23"/>
      <c r="H26" s="20"/>
      <c r="I26" s="20"/>
      <c r="J26" s="20"/>
    </row>
    <row r="27" spans="2:10" x14ac:dyDescent="0.25">
      <c r="B27" s="1"/>
      <c r="C27" s="20"/>
      <c r="D27" s="30"/>
      <c r="E27" s="30"/>
      <c r="F27" s="30"/>
      <c r="G27" s="23"/>
      <c r="H27" s="20"/>
      <c r="I27" s="20"/>
      <c r="J27" s="20"/>
    </row>
    <row r="28" spans="2:10" x14ac:dyDescent="0.25">
      <c r="B28" s="1"/>
      <c r="C28" s="20"/>
      <c r="D28" s="30"/>
      <c r="E28" s="30"/>
      <c r="F28" s="30"/>
      <c r="G28" s="23"/>
      <c r="H28" s="20"/>
      <c r="I28" s="20"/>
      <c r="J28" s="20"/>
    </row>
    <row r="29" spans="2:10" x14ac:dyDescent="0.25">
      <c r="B29" s="1"/>
      <c r="C29" s="20"/>
      <c r="D29" s="30"/>
      <c r="E29" s="30"/>
      <c r="F29" s="30"/>
      <c r="G29" s="23"/>
      <c r="H29" s="20"/>
      <c r="I29" s="20"/>
      <c r="J29" s="20"/>
    </row>
    <row r="30" spans="2:10" x14ac:dyDescent="0.25">
      <c r="B30" s="1"/>
      <c r="C30" s="20"/>
      <c r="D30" s="30"/>
      <c r="E30" s="30"/>
      <c r="F30" s="30"/>
      <c r="G30" s="23"/>
      <c r="H30" s="20"/>
      <c r="I30" s="20"/>
      <c r="J30" s="20"/>
    </row>
    <row r="31" spans="2:10" x14ac:dyDescent="0.25">
      <c r="B31" s="1"/>
      <c r="C31" s="20"/>
      <c r="D31" s="30"/>
      <c r="E31" s="30"/>
      <c r="F31" s="30"/>
      <c r="G31" s="23"/>
      <c r="H31" s="20"/>
      <c r="I31" s="20"/>
      <c r="J31" s="20"/>
    </row>
    <row r="32" spans="2:10" x14ac:dyDescent="0.25">
      <c r="B32" s="1"/>
      <c r="C32" s="20"/>
      <c r="D32" s="30"/>
      <c r="E32" s="30"/>
      <c r="F32" s="30"/>
      <c r="G32" s="23"/>
      <c r="H32" s="20"/>
      <c r="I32" s="20"/>
      <c r="J32" s="20"/>
    </row>
    <row r="33" spans="2:10" x14ac:dyDescent="0.25">
      <c r="B33" s="1"/>
      <c r="C33" s="20"/>
      <c r="D33" s="30"/>
      <c r="E33" s="30"/>
      <c r="F33" s="30"/>
      <c r="G33" s="23"/>
      <c r="H33" s="20"/>
      <c r="I33" s="20"/>
      <c r="J33" s="20"/>
    </row>
    <row r="34" spans="2:10" x14ac:dyDescent="0.25">
      <c r="B34" s="1"/>
      <c r="C34" s="20"/>
      <c r="D34" s="30"/>
      <c r="E34" s="30"/>
      <c r="F34" s="30"/>
      <c r="G34" s="23"/>
      <c r="H34" s="20"/>
      <c r="I34" s="20"/>
      <c r="J34" s="20"/>
    </row>
    <row r="35" spans="2:10" x14ac:dyDescent="0.25">
      <c r="B35" s="1"/>
      <c r="C35" s="20"/>
      <c r="D35" s="30"/>
      <c r="E35" s="30"/>
      <c r="F35" s="30"/>
      <c r="G35" s="23"/>
      <c r="H35" s="20"/>
      <c r="I35" s="20"/>
      <c r="J35" s="20"/>
    </row>
    <row r="36" spans="2:10" x14ac:dyDescent="0.25">
      <c r="B36" s="1"/>
      <c r="C36" s="20"/>
      <c r="D36" s="30"/>
      <c r="E36" s="30"/>
      <c r="F36" s="30"/>
      <c r="G36" s="23"/>
      <c r="H36" s="20"/>
      <c r="I36" s="20"/>
      <c r="J36" s="20"/>
    </row>
    <row r="37" spans="2:10" x14ac:dyDescent="0.25">
      <c r="B37" s="1"/>
      <c r="C37" s="20"/>
      <c r="D37" s="30"/>
      <c r="E37" s="30"/>
      <c r="F37" s="30"/>
      <c r="G37" s="23"/>
      <c r="H37" s="20"/>
      <c r="I37" s="20"/>
      <c r="J37" s="20"/>
    </row>
    <row r="38" spans="2:10" x14ac:dyDescent="0.25">
      <c r="B38" s="1"/>
      <c r="C38" s="20"/>
      <c r="D38" s="30"/>
      <c r="E38" s="30"/>
      <c r="F38" s="30"/>
      <c r="G38" s="23"/>
      <c r="H38" s="20"/>
      <c r="I38" s="20"/>
      <c r="J38" s="20"/>
    </row>
    <row r="39" spans="2:10" x14ac:dyDescent="0.25">
      <c r="B39" s="1"/>
      <c r="C39" s="20"/>
      <c r="D39" s="30"/>
      <c r="E39" s="30"/>
      <c r="F39" s="30"/>
      <c r="G39" s="23"/>
      <c r="H39" s="20"/>
      <c r="I39" s="20"/>
      <c r="J39" s="20"/>
    </row>
    <row r="40" spans="2:10" x14ac:dyDescent="0.25">
      <c r="C40" s="20"/>
      <c r="D40" s="30"/>
      <c r="E40" s="30"/>
      <c r="F40" s="30"/>
      <c r="G40" s="20"/>
      <c r="H40" s="20"/>
      <c r="I40" s="20"/>
      <c r="J40" s="20"/>
    </row>
    <row r="41" spans="2:10" x14ac:dyDescent="0.25">
      <c r="C41" s="20"/>
      <c r="D41" s="30"/>
      <c r="E41" s="30"/>
      <c r="F41" s="30"/>
      <c r="G41" s="20"/>
      <c r="H41" s="20"/>
      <c r="I41" s="20"/>
      <c r="J41" s="20"/>
    </row>
    <row r="42" spans="2:10" x14ac:dyDescent="0.25">
      <c r="C42" s="20"/>
      <c r="D42" s="30"/>
      <c r="E42" s="30"/>
      <c r="F42" s="30"/>
      <c r="G42" s="20"/>
      <c r="H42" s="20"/>
      <c r="I42" s="20"/>
      <c r="J42" s="20"/>
    </row>
    <row r="43" spans="2:10" x14ac:dyDescent="0.25">
      <c r="D43" s="29"/>
      <c r="E43" s="29"/>
      <c r="F43" s="29"/>
      <c r="G43" s="20"/>
      <c r="H43" s="20"/>
      <c r="I43" s="20"/>
      <c r="J43" s="20"/>
    </row>
    <row r="44" spans="2:10" x14ac:dyDescent="0.25">
      <c r="D44" s="29"/>
      <c r="E44" s="29"/>
      <c r="F44" s="29"/>
      <c r="G44" s="20"/>
      <c r="H44" s="20"/>
      <c r="I44" s="20"/>
      <c r="J44" s="20"/>
    </row>
    <row r="45" spans="2:10" x14ac:dyDescent="0.25">
      <c r="G45" s="20"/>
      <c r="H45" s="20"/>
      <c r="I45" s="20"/>
      <c r="J45" s="20"/>
    </row>
    <row r="46" spans="2:10" x14ac:dyDescent="0.25">
      <c r="G46" s="20"/>
      <c r="H46" s="20"/>
      <c r="I46" s="20"/>
      <c r="J46" s="2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tabSelected="1" zoomScale="80" zoomScaleNormal="80" workbookViewId="0">
      <selection activeCell="E12" sqref="E12"/>
    </sheetView>
  </sheetViews>
  <sheetFormatPr defaultRowHeight="15" x14ac:dyDescent="0.25"/>
  <cols>
    <col min="1" max="1" width="40.7109375" style="3" bestFit="1" customWidth="1"/>
    <col min="2" max="2" width="29.42578125" style="3" bestFit="1" customWidth="1"/>
    <col min="3" max="3" width="17" style="3" bestFit="1" customWidth="1"/>
    <col min="4" max="4" width="9.140625" style="3" hidden="1" customWidth="1"/>
    <col min="5" max="5" width="24.42578125" style="3" customWidth="1"/>
    <col min="6" max="6" width="17.140625" style="3" customWidth="1"/>
    <col min="7" max="7" width="16.42578125" style="3" customWidth="1"/>
    <col min="8" max="8" width="30.85546875" style="3" bestFit="1" customWidth="1"/>
    <col min="9" max="9" width="9.140625" style="3" hidden="1" customWidth="1"/>
    <col min="10" max="10" width="21.28515625" style="3" hidden="1" customWidth="1"/>
    <col min="11" max="12" width="0" style="3" hidden="1" customWidth="1"/>
    <col min="13" max="16384" width="9.140625" style="3"/>
  </cols>
  <sheetData>
    <row r="1" spans="1:12" x14ac:dyDescent="0.25">
      <c r="A1" s="1" t="s">
        <v>69</v>
      </c>
      <c r="B1" s="44" t="str">
        <f>IF(B2="Bi-Directional","V3,V4")</f>
        <v>V3,V4</v>
      </c>
      <c r="K1" s="3">
        <f>ID*1000</f>
        <v>298.8</v>
      </c>
      <c r="L1" s="3" t="s">
        <v>41</v>
      </c>
    </row>
    <row r="2" spans="1:12" x14ac:dyDescent="0.25">
      <c r="A2" s="1" t="s">
        <v>59</v>
      </c>
      <c r="B2" s="6" t="s">
        <v>83</v>
      </c>
      <c r="H2" s="2"/>
      <c r="J2" s="3" t="s">
        <v>83</v>
      </c>
      <c r="K2" s="24">
        <f>OpTemp-273.15</f>
        <v>400</v>
      </c>
      <c r="L2" s="3" t="s">
        <v>84</v>
      </c>
    </row>
    <row r="3" spans="1:12" x14ac:dyDescent="0.25">
      <c r="H3" s="2"/>
    </row>
    <row r="4" spans="1:12" x14ac:dyDescent="0.25">
      <c r="A4" s="3" t="s">
        <v>0</v>
      </c>
      <c r="B4" s="6" t="s">
        <v>10</v>
      </c>
      <c r="H4" s="2"/>
      <c r="J4" s="35"/>
    </row>
    <row r="5" spans="1:12" x14ac:dyDescent="0.25">
      <c r="A5" s="3" t="s">
        <v>1</v>
      </c>
      <c r="B5" s="6">
        <v>4101300</v>
      </c>
      <c r="C5" s="3" t="s">
        <v>11</v>
      </c>
      <c r="E5" s="24"/>
    </row>
    <row r="6" spans="1:12" x14ac:dyDescent="0.25">
      <c r="A6" s="3" t="s">
        <v>2</v>
      </c>
      <c r="B6" s="6">
        <v>673.15</v>
      </c>
      <c r="C6" s="3" t="s">
        <v>12</v>
      </c>
    </row>
    <row r="7" spans="1:12" x14ac:dyDescent="0.25">
      <c r="A7" s="3" t="s">
        <v>3</v>
      </c>
      <c r="B7" s="6">
        <v>13.99</v>
      </c>
      <c r="C7" s="3" t="s">
        <v>19</v>
      </c>
      <c r="E7" s="24"/>
    </row>
    <row r="8" spans="1:12" x14ac:dyDescent="0.25">
      <c r="A8" s="3" t="s">
        <v>4</v>
      </c>
      <c r="B8" s="6">
        <v>0.94399999999999995</v>
      </c>
      <c r="E8" s="24"/>
    </row>
    <row r="9" spans="1:12" x14ac:dyDescent="0.25">
      <c r="A9" s="3" t="s">
        <v>5</v>
      </c>
      <c r="B9" s="6">
        <v>2.4300000000000001E-5</v>
      </c>
      <c r="C9" s="3" t="s">
        <v>18</v>
      </c>
      <c r="E9" s="24"/>
    </row>
    <row r="10" spans="1:12" x14ac:dyDescent="0.25">
      <c r="A10" s="3" t="s">
        <v>6</v>
      </c>
      <c r="B10" s="6">
        <v>1.284</v>
      </c>
      <c r="E10" s="24"/>
    </row>
    <row r="11" spans="1:12" x14ac:dyDescent="0.25">
      <c r="A11" s="5"/>
      <c r="B11" s="5"/>
      <c r="C11" s="5"/>
      <c r="E11" s="24"/>
    </row>
    <row r="12" spans="1:12" x14ac:dyDescent="0.25">
      <c r="E12" s="25"/>
    </row>
    <row r="13" spans="1:12" x14ac:dyDescent="0.25">
      <c r="A13" s="3" t="s">
        <v>60</v>
      </c>
      <c r="B13" s="6">
        <v>22.222000000000001</v>
      </c>
      <c r="C13" s="3" t="s">
        <v>13</v>
      </c>
      <c r="E13" s="25"/>
    </row>
    <row r="14" spans="1:12" x14ac:dyDescent="0.25">
      <c r="E14" s="24"/>
    </row>
    <row r="15" spans="1:12" x14ac:dyDescent="0.25">
      <c r="A15" s="92" t="s">
        <v>7</v>
      </c>
      <c r="B15" s="3" t="s">
        <v>57</v>
      </c>
      <c r="C15" s="90">
        <v>1.6500000000000001E-5</v>
      </c>
      <c r="E15" s="90">
        <v>1.6500000000000001E-5</v>
      </c>
    </row>
    <row r="16" spans="1:12" x14ac:dyDescent="0.25">
      <c r="A16" s="92"/>
      <c r="B16" s="3" t="s">
        <v>56</v>
      </c>
      <c r="C16" s="90">
        <v>1.6500000000000001E-5</v>
      </c>
      <c r="E16" s="90">
        <v>1.6500000000000001E-5</v>
      </c>
    </row>
    <row r="17" spans="1:8" x14ac:dyDescent="0.25">
      <c r="A17" s="3" t="s">
        <v>58</v>
      </c>
      <c r="B17" s="38">
        <f>1.0252-2.5*'Bi Directional'!$D$71-0.008*EXP(-0.4*$F$21/100000)</f>
        <v>1.0171999999999999</v>
      </c>
    </row>
    <row r="18" spans="1:8" x14ac:dyDescent="0.25">
      <c r="A18" s="3" t="s">
        <v>79</v>
      </c>
      <c r="B18" s="3">
        <v>4</v>
      </c>
      <c r="C18" s="3" t="s">
        <v>41</v>
      </c>
    </row>
    <row r="19" spans="1:8" ht="15.75" thickBot="1" x14ac:dyDescent="0.3">
      <c r="A19" s="57" t="s">
        <v>80</v>
      </c>
      <c r="B19" s="91">
        <v>1.5999999999999999E-6</v>
      </c>
      <c r="C19" s="57" t="s">
        <v>15</v>
      </c>
    </row>
    <row r="20" spans="1:8" ht="15.75" thickBot="1" x14ac:dyDescent="0.3">
      <c r="B20" s="36" t="s">
        <v>62</v>
      </c>
      <c r="D20" s="3" t="b">
        <v>0</v>
      </c>
      <c r="E20" s="56"/>
      <c r="F20" s="56"/>
      <c r="G20" s="56"/>
      <c r="H20" s="56"/>
    </row>
    <row r="21" spans="1:8" ht="15.75" thickBot="1" x14ac:dyDescent="0.3">
      <c r="A21" s="41" t="s">
        <v>61</v>
      </c>
      <c r="B21" s="39">
        <f>1.0252-2.5*'Bi Directional'!$D$71-0.008*EXP(-0.4*$F$21/100000)</f>
        <v>1.0171999999999999</v>
      </c>
      <c r="C21" s="37"/>
    </row>
    <row r="23" spans="1:8" x14ac:dyDescent="0.25">
      <c r="A23" s="3" t="s">
        <v>8</v>
      </c>
      <c r="B23" s="3">
        <v>0.29880000000000001</v>
      </c>
      <c r="C23" s="3" t="s">
        <v>15</v>
      </c>
    </row>
    <row r="26" spans="1:8" x14ac:dyDescent="0.25">
      <c r="A26" s="6" t="s">
        <v>31</v>
      </c>
      <c r="B26" s="6">
        <v>25000</v>
      </c>
      <c r="C26" s="3" t="s">
        <v>11</v>
      </c>
      <c r="F26" s="6" t="s">
        <v>55</v>
      </c>
      <c r="G26" s="53">
        <v>0.17760000000000001</v>
      </c>
      <c r="H26" s="3" t="s">
        <v>15</v>
      </c>
    </row>
    <row r="29" spans="1:8" x14ac:dyDescent="0.25">
      <c r="A29" s="7" t="s">
        <v>20</v>
      </c>
      <c r="B29" s="8">
        <f>B5</f>
        <v>4101300</v>
      </c>
      <c r="C29" s="9" t="s">
        <v>11</v>
      </c>
    </row>
    <row r="30" spans="1:8" x14ac:dyDescent="0.25">
      <c r="A30" s="10" t="s">
        <v>21</v>
      </c>
      <c r="B30" s="11">
        <f>B6</f>
        <v>673.15</v>
      </c>
      <c r="C30" s="12" t="s">
        <v>12</v>
      </c>
    </row>
    <row r="31" spans="1:8" x14ac:dyDescent="0.25">
      <c r="A31" s="10" t="s">
        <v>22</v>
      </c>
      <c r="B31" s="11">
        <f>B13</f>
        <v>22.222000000000001</v>
      </c>
      <c r="C31" s="12" t="s">
        <v>13</v>
      </c>
    </row>
    <row r="32" spans="1:8" x14ac:dyDescent="0.25">
      <c r="A32" s="10" t="s">
        <v>23</v>
      </c>
      <c r="B32" s="11">
        <f>B7</f>
        <v>13.99</v>
      </c>
      <c r="C32" s="13" t="s">
        <v>14</v>
      </c>
    </row>
    <row r="33" spans="1:6" x14ac:dyDescent="0.25">
      <c r="A33" s="10" t="s">
        <v>24</v>
      </c>
      <c r="B33" s="11">
        <f>(B23)*(1+C16*(B30-293.15))</f>
        <v>0.300673476</v>
      </c>
      <c r="C33" s="12" t="s">
        <v>15</v>
      </c>
    </row>
    <row r="34" spans="1:6" x14ac:dyDescent="0.25">
      <c r="A34" s="10" t="s">
        <v>25</v>
      </c>
      <c r="B34" s="11">
        <f>((B33/2)^2)*PI()</f>
        <v>7.1003559026849863E-2</v>
      </c>
      <c r="C34" s="12" t="s">
        <v>16</v>
      </c>
      <c r="F34" s="40"/>
    </row>
    <row r="35" spans="1:6" x14ac:dyDescent="0.25">
      <c r="A35" s="10" t="s">
        <v>26</v>
      </c>
      <c r="B35" s="11">
        <f>(B13/B32)/B34</f>
        <v>22.370995510433229</v>
      </c>
      <c r="C35" s="12" t="s">
        <v>17</v>
      </c>
    </row>
    <row r="36" spans="1:6" x14ac:dyDescent="0.25">
      <c r="A36" s="10" t="s">
        <v>27</v>
      </c>
      <c r="B36" s="11">
        <f>B9</f>
        <v>2.4300000000000001E-5</v>
      </c>
      <c r="C36" s="12" t="s">
        <v>18</v>
      </c>
    </row>
    <row r="37" spans="1:6" x14ac:dyDescent="0.25">
      <c r="A37" s="14" t="s">
        <v>28</v>
      </c>
      <c r="B37" s="89">
        <f>(B32*B35*B33)/(B36)</f>
        <v>3872503.9544862518</v>
      </c>
      <c r="C37" s="15"/>
    </row>
  </sheetData>
  <mergeCells count="1">
    <mergeCell ref="A15:A16"/>
  </mergeCells>
  <conditionalFormatting sqref="A10:C10 A8:C8">
    <cfRule type="expression" dxfId="1" priority="1">
      <formula>$B$4="Liquid"</formula>
    </cfRule>
  </conditionalFormatting>
  <dataValidations count="2">
    <dataValidation type="list" allowBlank="1" showInputMessage="1" showErrorMessage="1" sqref="B4" xr:uid="{00000000-0002-0000-0100-000000000000}">
      <formula1>Fluid</formula1>
    </dataValidation>
    <dataValidation type="list" allowBlank="1" showInputMessage="1" showErrorMessage="1" sqref="B2" xr:uid="{00000000-0002-0000-0100-000001000000}">
      <formula1>$J$2:$J$4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2" r:id="rId4" name="Check Box 2">
              <controlPr defaultSize="0" autoFill="0" autoLine="0" autoPict="0" altText="C of E Overide">
                <anchor moveWithCells="1">
                  <from>
                    <xdr:col>2</xdr:col>
                    <xdr:colOff>142875</xdr:colOff>
                    <xdr:row>20</xdr:row>
                    <xdr:rowOff>47625</xdr:rowOff>
                  </from>
                  <to>
                    <xdr:col>4</xdr:col>
                    <xdr:colOff>180975</xdr:colOff>
                    <xdr:row>20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5"/>
  <sheetViews>
    <sheetView zoomScale="80" zoomScaleNormal="80" workbookViewId="0">
      <selection activeCell="E1" sqref="E1"/>
    </sheetView>
  </sheetViews>
  <sheetFormatPr defaultRowHeight="15" x14ac:dyDescent="0.25"/>
  <cols>
    <col min="1" max="1" width="34.5703125" style="3" bestFit="1" customWidth="1"/>
    <col min="2" max="2" width="29.42578125" style="3" bestFit="1" customWidth="1"/>
    <col min="3" max="3" width="7" style="3" customWidth="1"/>
    <col min="4" max="4" width="6.28515625" style="3" customWidth="1"/>
    <col min="5" max="5" width="30.28515625" style="3" bestFit="1" customWidth="1"/>
    <col min="6" max="6" width="17.140625" style="3" customWidth="1"/>
    <col min="7" max="7" width="22.140625" style="3" customWidth="1"/>
    <col min="8" max="8" width="7.85546875" style="3" customWidth="1"/>
    <col min="9" max="9" width="13" style="3" customWidth="1"/>
    <col min="10" max="10" width="9.140625" style="3" customWidth="1"/>
    <col min="11" max="12" width="9.140625" style="3"/>
    <col min="13" max="13" width="15.42578125" style="3" customWidth="1"/>
    <col min="14" max="14" width="13.7109375" bestFit="1" customWidth="1"/>
    <col min="16" max="16" width="17.5703125" customWidth="1"/>
    <col min="20" max="20" width="18.140625" customWidth="1"/>
    <col min="22" max="16384" width="9.140625" style="3"/>
  </cols>
  <sheetData>
    <row r="1" spans="1:7" ht="18.75" x14ac:dyDescent="0.3">
      <c r="A1" s="26" t="s">
        <v>51</v>
      </c>
      <c r="B1" s="27" t="s">
        <v>85</v>
      </c>
      <c r="E1" s="42" t="str">
        <f>Input!B2</f>
        <v>Bi-Directional</v>
      </c>
      <c r="F1" s="45" t="str">
        <f>Input!B1</f>
        <v>V3,V4</v>
      </c>
      <c r="G1" s="28"/>
    </row>
    <row r="2" spans="1:7" hidden="1" x14ac:dyDescent="0.25">
      <c r="A2" s="1"/>
      <c r="B2" s="2"/>
    </row>
    <row r="3" spans="1:7" hidden="1" x14ac:dyDescent="0.25"/>
    <row r="4" spans="1:7" hidden="1" x14ac:dyDescent="0.25"/>
    <row r="5" spans="1:7" hidden="1" x14ac:dyDescent="0.25"/>
    <row r="6" spans="1:7" hidden="1" x14ac:dyDescent="0.25"/>
    <row r="7" spans="1:7" hidden="1" x14ac:dyDescent="0.25"/>
    <row r="8" spans="1:7" hidden="1" x14ac:dyDescent="0.25"/>
    <row r="9" spans="1:7" hidden="1" x14ac:dyDescent="0.25"/>
    <row r="10" spans="1:7" hidden="1" x14ac:dyDescent="0.25"/>
    <row r="11" spans="1:7" hidden="1" x14ac:dyDescent="0.25"/>
    <row r="12" spans="1:7" hidden="1" x14ac:dyDescent="0.25"/>
    <row r="13" spans="1:7" hidden="1" x14ac:dyDescent="0.25"/>
    <row r="14" spans="1:7" hidden="1" x14ac:dyDescent="0.25"/>
    <row r="15" spans="1:7" hidden="1" x14ac:dyDescent="0.25"/>
    <row r="16" spans="1:7" hidden="1" x14ac:dyDescent="0.25"/>
    <row r="17" spans="1:13" hidden="1" x14ac:dyDescent="0.25"/>
    <row r="18" spans="1:13" hidden="1" x14ac:dyDescent="0.25"/>
    <row r="19" spans="1:13" hidden="1" x14ac:dyDescent="0.25"/>
    <row r="20" spans="1:13" hidden="1" x14ac:dyDescent="0.25"/>
    <row r="21" spans="1:13" hidden="1" x14ac:dyDescent="0.25"/>
    <row r="22" spans="1:13" hidden="1" x14ac:dyDescent="0.25"/>
    <row r="23" spans="1:13" hidden="1" x14ac:dyDescent="0.25"/>
    <row r="25" spans="1:13" x14ac:dyDescent="0.25">
      <c r="A25" s="7" t="s">
        <v>20</v>
      </c>
      <c r="B25" s="8">
        <f>OpPress</f>
        <v>4101300</v>
      </c>
      <c r="C25" s="9" t="s">
        <v>11</v>
      </c>
    </row>
    <row r="26" spans="1:13" x14ac:dyDescent="0.25">
      <c r="A26" s="10" t="s">
        <v>21</v>
      </c>
      <c r="B26" s="11">
        <f>OpTemp</f>
        <v>673.15</v>
      </c>
      <c r="C26" s="12" t="s">
        <v>12</v>
      </c>
    </row>
    <row r="27" spans="1:13" x14ac:dyDescent="0.25">
      <c r="A27" s="73" t="s">
        <v>22</v>
      </c>
      <c r="B27" s="74">
        <f>Flow</f>
        <v>22.222000000000001</v>
      </c>
      <c r="C27" s="75" t="s">
        <v>13</v>
      </c>
      <c r="E27" s="2"/>
      <c r="L27" s="40"/>
      <c r="M27" s="40"/>
    </row>
    <row r="28" spans="1:13" x14ac:dyDescent="0.25">
      <c r="A28" s="10" t="s">
        <v>23</v>
      </c>
      <c r="B28" s="11">
        <f>OpDens</f>
        <v>13.99</v>
      </c>
      <c r="C28" s="13" t="s">
        <v>14</v>
      </c>
      <c r="E28" s="2"/>
      <c r="L28" s="40"/>
      <c r="M28" s="40"/>
    </row>
    <row r="29" spans="1:13" x14ac:dyDescent="0.25">
      <c r="A29" s="10" t="s">
        <v>24</v>
      </c>
      <c r="B29" s="11">
        <f>(ID)*(1+Input!C16*(B26-293.15))</f>
        <v>0.300673476</v>
      </c>
      <c r="C29" s="12" t="s">
        <v>15</v>
      </c>
      <c r="E29" s="2"/>
      <c r="L29" s="40"/>
      <c r="M29" s="40"/>
    </row>
    <row r="30" spans="1:13" x14ac:dyDescent="0.25">
      <c r="A30" s="10" t="s">
        <v>25</v>
      </c>
      <c r="B30" s="11">
        <f>((B29/2)^2)*PI()</f>
        <v>7.1003559026849863E-2</v>
      </c>
      <c r="C30" s="12" t="s">
        <v>16</v>
      </c>
      <c r="L30" s="40"/>
      <c r="M30" s="40"/>
    </row>
    <row r="31" spans="1:13" x14ac:dyDescent="0.25">
      <c r="A31" s="10" t="s">
        <v>26</v>
      </c>
      <c r="B31" s="11">
        <f>(Flow/B28)/B30</f>
        <v>22.370995510433229</v>
      </c>
      <c r="C31" s="12" t="s">
        <v>17</v>
      </c>
      <c r="F31" s="54"/>
      <c r="L31" s="40"/>
      <c r="M31" s="40"/>
    </row>
    <row r="32" spans="1:13" x14ac:dyDescent="0.25">
      <c r="A32" s="10" t="s">
        <v>27</v>
      </c>
      <c r="B32" s="11">
        <f>Visc</f>
        <v>2.4300000000000001E-5</v>
      </c>
      <c r="C32" s="12" t="s">
        <v>18</v>
      </c>
      <c r="L32" s="40"/>
      <c r="M32" s="70"/>
    </row>
    <row r="33" spans="1:13" x14ac:dyDescent="0.25">
      <c r="A33" s="10" t="s">
        <v>73</v>
      </c>
      <c r="B33" s="85">
        <f>(B28*B31*B29)/(B32)</f>
        <v>3872503.9544862518</v>
      </c>
      <c r="C33" s="55"/>
      <c r="H33" s="33"/>
      <c r="I33" s="33"/>
      <c r="L33" s="40"/>
      <c r="M33" s="70"/>
    </row>
    <row r="34" spans="1:13" x14ac:dyDescent="0.25">
      <c r="A34" s="34" t="s">
        <v>81</v>
      </c>
      <c r="B34" s="34">
        <f>(1+Input!C16*(Input!K2-20))*Input!B18</f>
        <v>4.02508</v>
      </c>
      <c r="C34" s="51" t="s">
        <v>41</v>
      </c>
      <c r="E34" s="43" t="s">
        <v>63</v>
      </c>
      <c r="I34" s="33"/>
      <c r="L34" s="40"/>
      <c r="M34" s="70"/>
    </row>
    <row r="35" spans="1:13" x14ac:dyDescent="0.25">
      <c r="A35" s="20"/>
      <c r="B35" s="20"/>
      <c r="C35" s="20"/>
      <c r="E35" s="43"/>
      <c r="I35" s="33"/>
      <c r="L35" s="40"/>
      <c r="M35" s="70"/>
    </row>
    <row r="36" spans="1:13" x14ac:dyDescent="0.25">
      <c r="A36" s="3" t="s">
        <v>52</v>
      </c>
      <c r="B36" s="3">
        <f>B38/B25</f>
        <v>0.99390437178455615</v>
      </c>
      <c r="E36" s="3" t="s">
        <v>68</v>
      </c>
      <c r="F36" s="3">
        <f>B27/(B40*((B29*1000)^2)*1*(SQRT(B28))*((SQRT(B37/1000))))</f>
        <v>0.37420467673742835</v>
      </c>
      <c r="H36" s="48"/>
      <c r="I36" s="33"/>
      <c r="L36" s="40"/>
      <c r="M36" s="70"/>
    </row>
    <row r="37" spans="1:13" x14ac:dyDescent="0.25">
      <c r="A37" s="3" t="s">
        <v>31</v>
      </c>
      <c r="B37" s="3">
        <f>DP</f>
        <v>25000</v>
      </c>
      <c r="C37" s="3" t="s">
        <v>11</v>
      </c>
      <c r="E37" s="3" t="s">
        <v>40</v>
      </c>
      <c r="F37" s="3">
        <f>F38/(1+Input!C16*(B26-293.15))</f>
        <v>0.17760000000000001</v>
      </c>
      <c r="G37" s="3" t="s">
        <v>15</v>
      </c>
      <c r="I37" s="33"/>
      <c r="L37" s="40"/>
      <c r="M37" s="70"/>
    </row>
    <row r="38" spans="1:13" x14ac:dyDescent="0.25">
      <c r="A38" s="3" t="s">
        <v>33</v>
      </c>
      <c r="B38" s="3">
        <f>B25-B37</f>
        <v>4076300</v>
      </c>
      <c r="C38" s="3" t="s">
        <v>11</v>
      </c>
      <c r="E38" s="3" t="s">
        <v>50</v>
      </c>
      <c r="F38" s="3">
        <f>Bore*(1+Input!C16*(B26-293.15))</f>
        <v>0.178713552</v>
      </c>
      <c r="G38" s="3" t="s">
        <v>15</v>
      </c>
      <c r="H38" s="33"/>
      <c r="I38" s="33"/>
      <c r="L38" s="40"/>
      <c r="M38" s="70"/>
    </row>
    <row r="39" spans="1:13" x14ac:dyDescent="0.25">
      <c r="E39" s="3" t="s">
        <v>64</v>
      </c>
      <c r="F39" s="20">
        <f>F38/B29</f>
        <v>0.59437751004016059</v>
      </c>
      <c r="H39" s="33"/>
      <c r="I39" s="33"/>
      <c r="L39" s="40"/>
      <c r="M39" s="40"/>
    </row>
    <row r="40" spans="1:13" ht="18" x14ac:dyDescent="0.35">
      <c r="A40" s="3" t="s">
        <v>35</v>
      </c>
      <c r="B40" s="3">
        <v>3.5124070000000003E-5</v>
      </c>
      <c r="C40" s="3" t="s">
        <v>36</v>
      </c>
      <c r="E40" s="3" t="s">
        <v>46</v>
      </c>
      <c r="F40" s="3">
        <f>(19000*F39/$B$33)^0.8</f>
        <v>9.3725826635404127E-3</v>
      </c>
      <c r="H40" s="33"/>
      <c r="I40" s="33"/>
      <c r="L40" s="40" t="s">
        <v>94</v>
      </c>
      <c r="M40" s="40"/>
    </row>
    <row r="41" spans="1:13" ht="18" x14ac:dyDescent="0.35">
      <c r="A41" s="3" t="s">
        <v>34</v>
      </c>
      <c r="B41" s="3">
        <f>B27/(B40*((B29*1000)^2)*1*(SQRT(B28))*((SQRT(B37/1000))))</f>
        <v>0.37420467673742835</v>
      </c>
      <c r="H41" s="33"/>
      <c r="I41" s="33"/>
      <c r="L41" s="40"/>
      <c r="M41" s="40"/>
    </row>
    <row r="42" spans="1:13" x14ac:dyDescent="0.25">
      <c r="A42" s="79" t="s">
        <v>86</v>
      </c>
      <c r="B42" s="79">
        <v>1</v>
      </c>
      <c r="E42" s="78" t="s">
        <v>74</v>
      </c>
      <c r="F42" s="84">
        <f>$B$33/F39</f>
        <v>6515226.2477505188</v>
      </c>
      <c r="H42" s="64"/>
      <c r="I42" s="33"/>
      <c r="L42" s="3" t="s">
        <v>93</v>
      </c>
    </row>
    <row r="43" spans="1:13" x14ac:dyDescent="0.25">
      <c r="A43" s="20" t="s">
        <v>65</v>
      </c>
      <c r="B43" s="20">
        <f>(1+(B42/B41)^2)^-0.25</f>
        <v>0.59200533073420891</v>
      </c>
      <c r="E43" s="34" t="s">
        <v>82</v>
      </c>
      <c r="F43" s="34">
        <f>1/(1.74-2*LOG10(((2*PI()*Input!B19)/(F38))+(18.7/(F42))))^2</f>
        <v>9.6183054498645785E-3</v>
      </c>
      <c r="G43" s="63"/>
      <c r="H43" s="65"/>
      <c r="I43" s="33"/>
    </row>
    <row r="44" spans="1:13" x14ac:dyDescent="0.25">
      <c r="B44" s="20"/>
      <c r="C44" s="20"/>
      <c r="E44" s="34" t="s">
        <v>76</v>
      </c>
      <c r="F44" s="82">
        <f>(B34/B76)*F42</f>
        <v>146741.71911468706</v>
      </c>
      <c r="G44"/>
      <c r="H44" s="33"/>
      <c r="I44" s="33"/>
      <c r="L44" s="3" t="s">
        <v>95</v>
      </c>
      <c r="M44"/>
    </row>
    <row r="45" spans="1:13" x14ac:dyDescent="0.25">
      <c r="A45" s="78" t="s">
        <v>74</v>
      </c>
      <c r="B45" s="84">
        <f>$B$33/B43</f>
        <v>6541332.9128025705</v>
      </c>
      <c r="C45" s="20"/>
      <c r="E45" s="34" t="s">
        <v>47</v>
      </c>
      <c r="F45" s="34">
        <f>1.0252-2.5*$F$43-0.008*EXP(-0.4*$F$44/100000)</f>
        <v>0.99670614693284176</v>
      </c>
      <c r="I45" s="33"/>
      <c r="M45"/>
    </row>
    <row r="46" spans="1:13" ht="18.75" x14ac:dyDescent="0.35">
      <c r="A46" s="66" t="s">
        <v>77</v>
      </c>
      <c r="B46" s="20">
        <f>1/(1.74-2*LOG10(((2*PI()*Input!B19)/(B29*B43))+(18.7/(B45))))^2</f>
        <v>9.6242274195814312E-3</v>
      </c>
      <c r="C46" s="20"/>
      <c r="E46" s="34" t="s">
        <v>49</v>
      </c>
      <c r="F46" s="34">
        <f>IF(Fluid_in="Liquid",1,SQRT(Isentropic*B36^(2/Isentropic)/(Isentropic-1)*(1-F39^4)/(1-F39^4*B36^(2/Isentropic))*(1-B36^((Isentropic-1)/Isentropic))/(1-B36)))</f>
        <v>0.9957614303009954</v>
      </c>
      <c r="H46" s="33"/>
      <c r="I46" s="33"/>
    </row>
    <row r="47" spans="1:13" ht="18" x14ac:dyDescent="0.35">
      <c r="A47" s="3" t="s">
        <v>76</v>
      </c>
      <c r="B47" s="83">
        <f>((B34/1000)/($B$29*B43))*B45</f>
        <v>147917.66188910976</v>
      </c>
      <c r="E47" s="34" t="s">
        <v>43</v>
      </c>
      <c r="F47" s="34">
        <f>((1+((F45*F46/F36))^2)^-0.25)</f>
        <v>0.5939662529970553</v>
      </c>
      <c r="H47" s="33"/>
      <c r="I47" s="33"/>
    </row>
    <row r="48" spans="1:13" ht="18" x14ac:dyDescent="0.35">
      <c r="A48" s="3" t="s">
        <v>37</v>
      </c>
      <c r="B48" s="69">
        <f>1.0252-2.5*$B$46-0.008*EXP(-0.4*$B$47/100000)</f>
        <v>0.99671221567215473</v>
      </c>
      <c r="E48" s="34" t="s">
        <v>71</v>
      </c>
      <c r="F48" s="34">
        <f>1/SQRT(1-F39^4)</f>
        <v>1.0689289346058328</v>
      </c>
    </row>
    <row r="49" spans="1:8" ht="18" x14ac:dyDescent="0.35">
      <c r="A49" s="3" t="s">
        <v>38</v>
      </c>
      <c r="B49" s="20">
        <f>IF(Fluid_in="Liquid",1,SQRT(Isentropic*B36^(2/Isentropic)/(Isentropic-1)*(1-B43^4)/(1-B43^4*B36^(2/Isentropic))*(1-B36^((Isentropic-1)/Isentropic))/(1-B36)))</f>
        <v>0.99577358930737481</v>
      </c>
      <c r="E49" s="3" t="s">
        <v>70</v>
      </c>
      <c r="F49" s="50"/>
    </row>
    <row r="50" spans="1:8" ht="18" x14ac:dyDescent="0.35">
      <c r="A50" s="3" t="s">
        <v>66</v>
      </c>
      <c r="B50" s="20">
        <f>(1+(B48*B49/B41)^2)^-0.25</f>
        <v>0.5939614947943741</v>
      </c>
      <c r="E50" s="3" t="s">
        <v>72</v>
      </c>
    </row>
    <row r="51" spans="1:8" x14ac:dyDescent="0.25">
      <c r="B51" s="69"/>
      <c r="E51" s="76" t="s">
        <v>75</v>
      </c>
      <c r="F51" s="76">
        <f>(0.313-(0.6125*F47)+(0.47*B64^2))*F53</f>
        <v>2871.7531235372476</v>
      </c>
      <c r="G51" s="3" t="s">
        <v>92</v>
      </c>
      <c r="H51" s="76" t="s">
        <v>87</v>
      </c>
    </row>
    <row r="52" spans="1:8" x14ac:dyDescent="0.25">
      <c r="A52" s="78" t="s">
        <v>74</v>
      </c>
      <c r="B52" s="84">
        <f>$B$33/B50</f>
        <v>6519789.5628350275</v>
      </c>
      <c r="F52" s="46"/>
    </row>
    <row r="53" spans="1:8" ht="19.5" x14ac:dyDescent="0.35">
      <c r="A53" s="66" t="s">
        <v>77</v>
      </c>
      <c r="B53" s="20">
        <f>1/(1.74-2*LOG10(((2*PI()*Input!B19)/(B29*B50))+(18.7/(B52*SQRT(B46)))))^2</f>
        <v>1.0253149552114347E-2</v>
      </c>
      <c r="E53" s="3" t="s">
        <v>48</v>
      </c>
      <c r="F53" s="47">
        <f>((B27/((F45/(SQRT(1-(F39^4))))*F46*(PI()/4)*(F38^2)))^2)/(2*B28)</f>
        <v>24921.049440502611</v>
      </c>
      <c r="G53" s="3" t="s">
        <v>11</v>
      </c>
    </row>
    <row r="54" spans="1:8" x14ac:dyDescent="0.25">
      <c r="A54" s="3" t="s">
        <v>76</v>
      </c>
      <c r="B54" s="83">
        <f>((B34/1000)/($B$29*B50))*B52</f>
        <v>146944.95662389364</v>
      </c>
      <c r="F54"/>
    </row>
    <row r="55" spans="1:8" ht="18" x14ac:dyDescent="0.35">
      <c r="A55" s="20" t="s">
        <v>44</v>
      </c>
      <c r="B55" s="69">
        <f>1.0252-2.5*$B$53-0.008*EXP(-0.4*$B$54/100000)</f>
        <v>0.99512265128224764</v>
      </c>
      <c r="D55" s="17"/>
      <c r="E55"/>
      <c r="F55"/>
      <c r="G55"/>
    </row>
    <row r="56" spans="1:8" ht="18" x14ac:dyDescent="0.35">
      <c r="A56" s="20" t="s">
        <v>45</v>
      </c>
      <c r="B56" s="20">
        <f>IF(Fluid_in="Liquid",1,SQRT(Isentropic*B36^(2/Isentropic)/(Isentropic-1)*(1-B50^4)/(1-B50^4*B36^(2/Isentropic))*(1-B36^((Isentropic-1)/Isentropic))/(1-B36)))</f>
        <v>0.99576357717524999</v>
      </c>
      <c r="D56" s="16"/>
      <c r="E56" s="3" t="s">
        <v>39</v>
      </c>
      <c r="F56" s="88">
        <f>(F45/(SQRT(1-(F39^4))))*F46*(PI()/4)*((F38)^2)*(SQRT(2*F53*B28))</f>
        <v>22.222000000000001</v>
      </c>
      <c r="G56" s="3" t="s">
        <v>13</v>
      </c>
    </row>
    <row r="57" spans="1:8" ht="18" x14ac:dyDescent="0.35">
      <c r="A57" s="20" t="s">
        <v>43</v>
      </c>
      <c r="B57" s="20">
        <f>((1+((B55*B56/B41))^2)^-0.25)</f>
        <v>0.59437918256239675</v>
      </c>
    </row>
    <row r="59" spans="1:8" x14ac:dyDescent="0.25">
      <c r="A59" s="34" t="s">
        <v>74</v>
      </c>
      <c r="B59" s="82">
        <f>$B$33/B57</f>
        <v>6515207.9145701304</v>
      </c>
    </row>
    <row r="60" spans="1:8" ht="18.75" x14ac:dyDescent="0.35">
      <c r="A60" s="67" t="s">
        <v>77</v>
      </c>
      <c r="B60" s="49">
        <f>1/(1.74-2*LOG10(((2*PI()*Input!B19)/(B29*B57))+(18.7/(B59*SQRT(B53)))))^2</f>
        <v>1.0233448756851797E-2</v>
      </c>
      <c r="F60" s="3" t="s">
        <v>90</v>
      </c>
      <c r="G60" s="3" t="s">
        <v>91</v>
      </c>
      <c r="H60" s="3" t="s">
        <v>88</v>
      </c>
    </row>
    <row r="61" spans="1:8" x14ac:dyDescent="0.25">
      <c r="A61" s="67" t="s">
        <v>76</v>
      </c>
      <c r="B61" s="82">
        <f>((B34/1000)/($B$29*B57))*B59</f>
        <v>146738.50408651645</v>
      </c>
      <c r="E61" s="71"/>
      <c r="F61" s="83">
        <v>50000</v>
      </c>
      <c r="G61" s="83">
        <v>100000</v>
      </c>
      <c r="H61" s="80">
        <v>0.03</v>
      </c>
    </row>
    <row r="62" spans="1:8" ht="18" x14ac:dyDescent="0.35">
      <c r="A62" s="34" t="s">
        <v>53</v>
      </c>
      <c r="B62" s="68">
        <f>1.0252-2.5*$B$60-0.008*EXP(-0.4*$B$61/100000)</f>
        <v>0.99516823146207445</v>
      </c>
      <c r="C62" s="72">
        <f>IF(AND(B59&gt;F61,G61&gt;B59),H61,IF(AND(B59&gt;F62,G62&gt;B59),H62,IF(AND(B59&gt;F63,G63&gt;B59),H63,H64)))</f>
        <v>0.01</v>
      </c>
      <c r="E62" s="3" t="s">
        <v>89</v>
      </c>
      <c r="F62" s="83">
        <v>100000</v>
      </c>
      <c r="G62" s="83">
        <v>200000</v>
      </c>
      <c r="H62" s="81">
        <v>2.5000000000000001E-2</v>
      </c>
    </row>
    <row r="63" spans="1:8" ht="18" x14ac:dyDescent="0.35">
      <c r="A63" s="34" t="s">
        <v>54</v>
      </c>
      <c r="B63" s="34">
        <f>IF(Fluid_in="Liquid",1,SQRT(Isentropic*B36^(2/Isentropic)/(Isentropic-1)*(1-B57^4)/(1-B57^4*B36^(2/Isentropic))*(1-B36^((Isentropic-1)/Isentropic))/(1-B36)))</f>
        <v>0.99576142165729842</v>
      </c>
      <c r="F63" s="83">
        <v>200000</v>
      </c>
      <c r="G63" s="83">
        <v>300000</v>
      </c>
      <c r="H63" s="81">
        <v>2.5000000000000001E-2</v>
      </c>
    </row>
    <row r="64" spans="1:8" ht="18" x14ac:dyDescent="0.35">
      <c r="A64" s="34" t="s">
        <v>67</v>
      </c>
      <c r="B64" s="34">
        <f>((1+((B62*B63/B41))^2)^-0.25)</f>
        <v>0.59436783254057335</v>
      </c>
      <c r="C64" s="20"/>
      <c r="F64" s="83">
        <v>300000</v>
      </c>
      <c r="G64" s="83">
        <v>10000000</v>
      </c>
      <c r="H64" s="80">
        <v>0.01</v>
      </c>
    </row>
    <row r="65" spans="1:5" x14ac:dyDescent="0.25">
      <c r="A65" s="67" t="s">
        <v>78</v>
      </c>
      <c r="B65" s="58">
        <f>Input!B19/(B76/1000)</f>
        <v>8.9530202567225118E-6</v>
      </c>
    </row>
    <row r="66" spans="1:5" x14ac:dyDescent="0.25">
      <c r="A66" s="34" t="s">
        <v>74</v>
      </c>
      <c r="B66" s="82">
        <f>$B$33/$B$64</f>
        <v>6515332.3286921028</v>
      </c>
    </row>
    <row r="67" spans="1:5" x14ac:dyDescent="0.25">
      <c r="D67" s="62"/>
    </row>
    <row r="68" spans="1:5" x14ac:dyDescent="0.25">
      <c r="A68" s="21" t="s">
        <v>75</v>
      </c>
      <c r="B68" s="77">
        <f>(0.313-(0.6125*B64)+(0.47*B64^2))*B37</f>
        <v>2874.7017284404742</v>
      </c>
      <c r="C68" s="3" t="s">
        <v>92</v>
      </c>
      <c r="E68" s="76" t="s">
        <v>87</v>
      </c>
    </row>
    <row r="69" spans="1:5" x14ac:dyDescent="0.25">
      <c r="A69" s="20" t="s">
        <v>70</v>
      </c>
      <c r="B69" s="60"/>
    </row>
    <row r="70" spans="1:5" ht="15" customHeight="1" x14ac:dyDescent="0.25">
      <c r="A70" s="20" t="s">
        <v>72</v>
      </c>
      <c r="B70" s="61"/>
    </row>
    <row r="71" spans="1:5" x14ac:dyDescent="0.25">
      <c r="A71" s="20"/>
      <c r="B71" s="61"/>
      <c r="D71" s="59"/>
    </row>
    <row r="72" spans="1:5" x14ac:dyDescent="0.25">
      <c r="A72" s="3" t="s">
        <v>50</v>
      </c>
      <c r="B72" s="18">
        <f>B64*B29</f>
        <v>0.17871064223256009</v>
      </c>
      <c r="C72" s="19" t="s">
        <v>15</v>
      </c>
    </row>
    <row r="73" spans="1:5" x14ac:dyDescent="0.25">
      <c r="A73" s="3" t="s">
        <v>40</v>
      </c>
      <c r="B73" s="3">
        <f>B72/(1+Input!C16*(B26-293.15))</f>
        <v>0.17759710836312331</v>
      </c>
      <c r="C73" s="3" t="s">
        <v>15</v>
      </c>
    </row>
    <row r="75" spans="1:5" ht="18.75" x14ac:dyDescent="0.3">
      <c r="A75" s="3" t="s">
        <v>42</v>
      </c>
      <c r="B75" s="31">
        <f>B73*1000</f>
        <v>177.59710836312331</v>
      </c>
      <c r="C75" s="3" t="s">
        <v>41</v>
      </c>
      <c r="E75" s="52"/>
    </row>
    <row r="76" spans="1:5" x14ac:dyDescent="0.25">
      <c r="A76" s="3" t="s">
        <v>50</v>
      </c>
      <c r="B76" s="32">
        <f>B72*1000</f>
        <v>178.71064223256008</v>
      </c>
      <c r="C76" s="3" t="s">
        <v>41</v>
      </c>
    </row>
    <row r="77" spans="1:5" x14ac:dyDescent="0.25">
      <c r="A77" s="3" t="s">
        <v>39</v>
      </c>
      <c r="B77" s="86">
        <f>(B62/(SQRT(1-(B64^4))))*B63*(PI()/4)*((B64*B29)^2)*(SQRT(2*B37*B28))</f>
        <v>22.222002312543367</v>
      </c>
      <c r="C77" s="3" t="s">
        <v>13</v>
      </c>
      <c r="E77" s="87"/>
    </row>
    <row r="85" spans="4:4" x14ac:dyDescent="0.25">
      <c r="D85" s="22"/>
    </row>
  </sheetData>
  <conditionalFormatting sqref="A10:C10 A8:C8">
    <cfRule type="expression" dxfId="0" priority="1">
      <formula>$B$4="Liquid"</formula>
    </cfRule>
  </conditionalFormatting>
  <dataValidations disablePrompts="1" count="1">
    <dataValidation type="list" allowBlank="1" showInputMessage="1" showErrorMessage="1" sqref="B4" xr:uid="{00000000-0002-0000-0200-000000000000}">
      <formula1>Fluid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Sheet1</vt:lpstr>
      <vt:lpstr>Input</vt:lpstr>
      <vt:lpstr>Bi Directional</vt:lpstr>
      <vt:lpstr>Bore</vt:lpstr>
      <vt:lpstr>Calc</vt:lpstr>
      <vt:lpstr>Comp</vt:lpstr>
      <vt:lpstr>DP</vt:lpstr>
      <vt:lpstr>Element</vt:lpstr>
      <vt:lpstr>Flow</vt:lpstr>
      <vt:lpstr>Fluid</vt:lpstr>
      <vt:lpstr>Fluid_in</vt:lpstr>
      <vt:lpstr>ID</vt:lpstr>
      <vt:lpstr>Isentropic</vt:lpstr>
      <vt:lpstr>Materials</vt:lpstr>
      <vt:lpstr>OpDens</vt:lpstr>
      <vt:lpstr>OpPress</vt:lpstr>
      <vt:lpstr>OpTemp</vt:lpstr>
      <vt:lpstr>Orifice1</vt:lpstr>
      <vt:lpstr>Visc</vt:lpstr>
    </vt:vector>
  </TitlesOfParts>
  <Company>ABB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Wilson</dc:creator>
  <cp:lastModifiedBy>Greg Millar</cp:lastModifiedBy>
  <dcterms:created xsi:type="dcterms:W3CDTF">2013-05-07T11:01:21Z</dcterms:created>
  <dcterms:modified xsi:type="dcterms:W3CDTF">2018-12-13T10:43:04Z</dcterms:modified>
</cp:coreProperties>
</file>