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lehay\Desktop\Phase 3.4\Nozzle\"/>
    </mc:Choice>
  </mc:AlternateContent>
  <bookViews>
    <workbookView xWindow="0" yWindow="270" windowWidth="12000" windowHeight="6375" activeTab="5"/>
  </bookViews>
  <sheets>
    <sheet name="Input" sheetId="19" r:id="rId1"/>
    <sheet name=" Nozzle ISA 1932" sheetId="22" r:id="rId2"/>
    <sheet name="Long Radius Nozzle" sheetId="23" r:id="rId3"/>
    <sheet name="ASME MF3CM" sheetId="24" r:id="rId4"/>
    <sheet name="PTC-6 Nozzle Throat Tap" sheetId="25" r:id="rId5"/>
    <sheet name="Venturi Nozzle" sheetId="26" r:id="rId6"/>
  </sheets>
  <definedNames>
    <definedName name="Bore">Input!$G$21</definedName>
    <definedName name="Calc" localSheetId="5">#REF!</definedName>
    <definedName name="Calc">#REF!</definedName>
    <definedName name="Comp">Input!$B$8</definedName>
    <definedName name="DP">Input!$B$21</definedName>
    <definedName name="Element">Input!$B$16</definedName>
    <definedName name="Flow">Input!$B$13</definedName>
    <definedName name="Fluid" localSheetId="5">#REF!</definedName>
    <definedName name="Fluid">#REF!</definedName>
    <definedName name="Fluid_in">Input!$B$4</definedName>
    <definedName name="ID">Input!$B$18</definedName>
    <definedName name="Isentropic">Input!$B$10</definedName>
    <definedName name="Materials" localSheetId="5">#REF!</definedName>
    <definedName name="Materials">#REF!</definedName>
    <definedName name="OpDens">Input!$B$7</definedName>
    <definedName name="OpPress">Input!$B$5</definedName>
    <definedName name="OpTemp">Input!$B$6</definedName>
    <definedName name="Orifice1" localSheetId="5">#REF!</definedName>
    <definedName name="Orifice1">#REF!</definedName>
    <definedName name="Pipemat" localSheetId="3">Input!#REF!</definedName>
    <definedName name="Pipemat" localSheetId="2">Input!#REF!</definedName>
    <definedName name="Pipemat" localSheetId="4">Input!#REF!</definedName>
    <definedName name="Pipemat" localSheetId="5">Input!#REF!</definedName>
    <definedName name="Pipemat">Input!#REF!</definedName>
    <definedName name="Visc">Input!$B$9</definedName>
  </definedNames>
  <calcPr calcId="152511"/>
</workbook>
</file>

<file path=xl/calcChain.xml><?xml version="1.0" encoding="utf-8"?>
<calcChain xmlns="http://schemas.openxmlformats.org/spreadsheetml/2006/main">
  <c r="B35" i="26" l="1"/>
  <c r="B36" i="26" l="1"/>
  <c r="B32" i="26"/>
  <c r="B28" i="26"/>
  <c r="B27" i="26"/>
  <c r="B26" i="26"/>
  <c r="G37" i="26" s="1"/>
  <c r="B25" i="26"/>
  <c r="B37" i="26" l="1"/>
  <c r="G36" i="26"/>
  <c r="G72" i="26" s="1"/>
  <c r="G73" i="26"/>
  <c r="B44" i="26"/>
  <c r="B45" i="26" s="1"/>
  <c r="B48" i="26" s="1"/>
  <c r="B29" i="26"/>
  <c r="B30" i="26" s="1"/>
  <c r="B31" i="26" s="1"/>
  <c r="B33" i="26" s="1"/>
  <c r="H47" i="25"/>
  <c r="C69" i="25"/>
  <c r="B46" i="26" l="1"/>
  <c r="B49" i="26"/>
  <c r="G35" i="26"/>
  <c r="G38" i="26"/>
  <c r="B39" i="25"/>
  <c r="B32" i="25"/>
  <c r="B28" i="25"/>
  <c r="B27" i="25"/>
  <c r="B26" i="25"/>
  <c r="G40" i="25" s="1"/>
  <c r="B25" i="25"/>
  <c r="G43" i="26" l="1"/>
  <c r="G39" i="26"/>
  <c r="G44" i="26"/>
  <c r="B50" i="26"/>
  <c r="B53" i="26" s="1"/>
  <c r="D38" i="25"/>
  <c r="B29" i="25"/>
  <c r="B30" i="25" s="1"/>
  <c r="B40" i="25"/>
  <c r="B38" i="25" s="1"/>
  <c r="G39" i="25"/>
  <c r="G76" i="25" s="1"/>
  <c r="G77" i="25"/>
  <c r="G41" i="25"/>
  <c r="B31" i="25"/>
  <c r="B33" i="25" s="1"/>
  <c r="G38" i="25"/>
  <c r="B68" i="25"/>
  <c r="C71" i="25" s="1"/>
  <c r="B51" i="26" l="1"/>
  <c r="B54" i="26"/>
  <c r="B55" i="26" s="1"/>
  <c r="B58" i="26" s="1"/>
  <c r="G45" i="26"/>
  <c r="B47" i="25"/>
  <c r="B48" i="25" s="1"/>
  <c r="B52" i="25" s="1"/>
  <c r="G43" i="25"/>
  <c r="G47" i="25" s="1"/>
  <c r="G48" i="25"/>
  <c r="G42" i="25"/>
  <c r="B39" i="24"/>
  <c r="B32" i="24"/>
  <c r="B28" i="24"/>
  <c r="B27" i="24"/>
  <c r="B26" i="24"/>
  <c r="B29" i="24" s="1"/>
  <c r="B30" i="24" s="1"/>
  <c r="B25" i="24"/>
  <c r="G46" i="26" l="1"/>
  <c r="H43" i="26"/>
  <c r="G67" i="26"/>
  <c r="G42" i="26" s="1"/>
  <c r="G71" i="26"/>
  <c r="B56" i="26"/>
  <c r="B59" i="26"/>
  <c r="B34" i="25"/>
  <c r="B51" i="25" s="1"/>
  <c r="B53" i="25" s="1"/>
  <c r="B68" i="24"/>
  <c r="C71" i="24" s="1"/>
  <c r="D38" i="24"/>
  <c r="G40" i="24"/>
  <c r="G41" i="24" s="1"/>
  <c r="B40" i="24"/>
  <c r="B38" i="24" s="1"/>
  <c r="B31" i="24"/>
  <c r="B33" i="24" s="1"/>
  <c r="G42" i="24" s="1"/>
  <c r="H46" i="24" s="1"/>
  <c r="G38" i="24"/>
  <c r="B47" i="24"/>
  <c r="B48" i="24" s="1"/>
  <c r="H13" i="19"/>
  <c r="G74" i="26" l="1"/>
  <c r="H44" i="26"/>
  <c r="B65" i="26" s="1"/>
  <c r="C68" i="26" s="1"/>
  <c r="B60" i="26"/>
  <c r="B66" i="26" s="1"/>
  <c r="G47" i="24"/>
  <c r="B35" i="25"/>
  <c r="B56" i="25" s="1"/>
  <c r="B57" i="25"/>
  <c r="B54" i="25"/>
  <c r="G46" i="24"/>
  <c r="G48" i="24" s="1"/>
  <c r="G49" i="24" s="1"/>
  <c r="G76" i="24"/>
  <c r="B52" i="24"/>
  <c r="G39" i="24"/>
  <c r="G75" i="24" s="1"/>
  <c r="B34" i="24"/>
  <c r="B51" i="24" s="1"/>
  <c r="C66" i="23"/>
  <c r="H43" i="23"/>
  <c r="B36" i="23"/>
  <c r="B32" i="23"/>
  <c r="B28" i="23"/>
  <c r="B27" i="23"/>
  <c r="B26" i="23"/>
  <c r="B29" i="23" s="1"/>
  <c r="B30" i="23" s="1"/>
  <c r="B25" i="23"/>
  <c r="H43" i="22"/>
  <c r="C66" i="22"/>
  <c r="B68" i="26" l="1"/>
  <c r="B58" i="25"/>
  <c r="B36" i="25" s="1"/>
  <c r="B31" i="23"/>
  <c r="B33" i="23" s="1"/>
  <c r="B65" i="23"/>
  <c r="C68" i="23" s="1"/>
  <c r="G37" i="23"/>
  <c r="G38" i="23" s="1"/>
  <c r="B37" i="23"/>
  <c r="B35" i="23" s="1"/>
  <c r="G35" i="23"/>
  <c r="B44" i="23"/>
  <c r="B45" i="23" s="1"/>
  <c r="B74" i="26" l="1"/>
  <c r="B69" i="26"/>
  <c r="C66" i="26" s="1"/>
  <c r="B61" i="25"/>
  <c r="B69" i="25"/>
  <c r="B62" i="25"/>
  <c r="G74" i="24"/>
  <c r="G77" i="24" s="1"/>
  <c r="G70" i="24"/>
  <c r="G43" i="23"/>
  <c r="G36" i="23"/>
  <c r="G72" i="23" s="1"/>
  <c r="G73" i="23"/>
  <c r="G39" i="23"/>
  <c r="G44" i="23"/>
  <c r="B48" i="23"/>
  <c r="B46" i="23"/>
  <c r="B49" i="23"/>
  <c r="B32" i="22"/>
  <c r="B28" i="22"/>
  <c r="B27" i="22"/>
  <c r="B26" i="22"/>
  <c r="B29" i="22" s="1"/>
  <c r="B25" i="22"/>
  <c r="B36" i="22"/>
  <c r="B65" i="22" l="1"/>
  <c r="B70" i="26"/>
  <c r="B67" i="26"/>
  <c r="B38" i="26"/>
  <c r="G45" i="24"/>
  <c r="H47" i="24" s="1"/>
  <c r="G45" i="23"/>
  <c r="G67" i="23" s="1"/>
  <c r="G42" i="23" s="1"/>
  <c r="H44" i="23" s="1"/>
  <c r="C68" i="22"/>
  <c r="B50" i="23"/>
  <c r="B53" i="23" s="1"/>
  <c r="B30" i="22"/>
  <c r="B31" i="22" s="1"/>
  <c r="B33" i="22" s="1"/>
  <c r="B44" i="22"/>
  <c r="B45" i="22" s="1"/>
  <c r="G35" i="22"/>
  <c r="B73" i="26" l="1"/>
  <c r="B39" i="26"/>
  <c r="B72" i="26" s="1"/>
  <c r="G71" i="23"/>
  <c r="G74" i="23" s="1"/>
  <c r="G46" i="23"/>
  <c r="B51" i="23"/>
  <c r="B54" i="23"/>
  <c r="B37" i="22"/>
  <c r="B31" i="19"/>
  <c r="B27" i="19"/>
  <c r="B25" i="19"/>
  <c r="B28" i="19" s="1"/>
  <c r="B29" i="19" s="1"/>
  <c r="B24" i="19"/>
  <c r="B26" i="19"/>
  <c r="B55" i="23" l="1"/>
  <c r="B58" i="23" s="1"/>
  <c r="G37" i="22"/>
  <c r="G38" i="22" s="1"/>
  <c r="G43" i="22" s="1"/>
  <c r="B35" i="22"/>
  <c r="B49" i="22" s="1"/>
  <c r="B30" i="19"/>
  <c r="B32" i="19" s="1"/>
  <c r="B56" i="23" l="1"/>
  <c r="B59" i="23"/>
  <c r="G36" i="22"/>
  <c r="G72" i="22" s="1"/>
  <c r="G73" i="22"/>
  <c r="B60" i="23" l="1"/>
  <c r="B66" i="23" s="1"/>
  <c r="G44" i="22"/>
  <c r="G46" i="22"/>
  <c r="B48" i="22"/>
  <c r="G39" i="22"/>
  <c r="B68" i="23" l="1"/>
  <c r="B50" i="22"/>
  <c r="B69" i="23" l="1"/>
  <c r="B74" i="23"/>
  <c r="B53" i="22"/>
  <c r="B67" i="23" l="1"/>
  <c r="B38" i="23"/>
  <c r="B70" i="23"/>
  <c r="B54" i="22"/>
  <c r="B39" i="23" l="1"/>
  <c r="B72" i="23" s="1"/>
  <c r="B73" i="23"/>
  <c r="B55" i="22"/>
  <c r="B58" i="22" s="1"/>
  <c r="B59" i="22" l="1"/>
  <c r="B60" i="22" s="1"/>
  <c r="G45" i="22"/>
  <c r="G71" i="22" l="1"/>
  <c r="G74" i="22" s="1"/>
  <c r="G67" i="22"/>
  <c r="B66" i="22"/>
  <c r="G42" i="22" l="1"/>
  <c r="H44" i="22" s="1"/>
  <c r="B68" i="22"/>
  <c r="B69" i="22" s="1"/>
  <c r="B67" i="22" s="1"/>
  <c r="B70" i="22" l="1"/>
  <c r="B38" i="22"/>
  <c r="B74" i="22"/>
  <c r="B39" i="22" l="1"/>
  <c r="B72" i="22" s="1"/>
  <c r="B73" i="22"/>
  <c r="B53" i="24"/>
  <c r="B35" i="24" s="1"/>
  <c r="B56" i="24" s="1"/>
  <c r="B57" i="24" l="1"/>
  <c r="B58" i="24" l="1"/>
  <c r="B36" i="24" l="1"/>
  <c r="C69" i="24" s="1"/>
  <c r="B62" i="24"/>
  <c r="B61" i="24" l="1"/>
  <c r="B63" i="24" s="1"/>
  <c r="B71" i="24" s="1"/>
  <c r="B69" i="24"/>
  <c r="B77" i="24" l="1"/>
  <c r="B72" i="24"/>
  <c r="B41" i="24" s="1"/>
  <c r="B70" i="24" l="1"/>
  <c r="B73" i="24"/>
  <c r="B42" i="24"/>
  <c r="B75" i="24" s="1"/>
  <c r="B76" i="24"/>
  <c r="B63" i="25"/>
  <c r="B71" i="25" s="1"/>
  <c r="B77" i="25" s="1"/>
  <c r="G49" i="25" l="1"/>
  <c r="B72" i="25"/>
  <c r="G50" i="25" l="1"/>
  <c r="G71" i="25"/>
  <c r="G75" i="25"/>
  <c r="G78" i="25" s="1"/>
  <c r="B70" i="25"/>
  <c r="B41" i="25"/>
  <c r="B73" i="25"/>
  <c r="G46" i="25" l="1"/>
  <c r="H48" i="25" s="1"/>
  <c r="B76" i="25"/>
  <c r="B42" i="25"/>
  <c r="B75" i="25" s="1"/>
</calcChain>
</file>

<file path=xl/sharedStrings.xml><?xml version="1.0" encoding="utf-8"?>
<sst xmlns="http://schemas.openxmlformats.org/spreadsheetml/2006/main" count="457" uniqueCount="89">
  <si>
    <t>Fluid</t>
  </si>
  <si>
    <t>Operating Pressure</t>
  </si>
  <si>
    <t>Operating Temperature</t>
  </si>
  <si>
    <t>Operating Density</t>
  </si>
  <si>
    <t>Compressibility</t>
  </si>
  <si>
    <t>Operating Viscosity</t>
  </si>
  <si>
    <t>Isentropic Index</t>
  </si>
  <si>
    <t>Materials</t>
  </si>
  <si>
    <t>Pipe ID</t>
  </si>
  <si>
    <t>Gas</t>
  </si>
  <si>
    <t>Pa[A]</t>
  </si>
  <si>
    <t>°K</t>
  </si>
  <si>
    <t>kg/s</t>
  </si>
  <si>
    <t>kg/m³</t>
  </si>
  <si>
    <t>m</t>
  </si>
  <si>
    <t>m2</t>
  </si>
  <si>
    <t>m/s</t>
  </si>
  <si>
    <t>Pa.s</t>
  </si>
  <si>
    <t>kg/m3</t>
  </si>
  <si>
    <t>Convert Operating Pressure</t>
  </si>
  <si>
    <t>Convert temperature</t>
  </si>
  <si>
    <t>Calculate mass flow (if not given)</t>
  </si>
  <si>
    <t>Calc/convert density</t>
  </si>
  <si>
    <t>Convert diameter with expans.</t>
  </si>
  <si>
    <t>Calc pipe area</t>
  </si>
  <si>
    <t>Calc pipe velocity</t>
  </si>
  <si>
    <t>Calculate viscosity</t>
  </si>
  <si>
    <t>Calc Reynolds Number</t>
  </si>
  <si>
    <t>DP</t>
  </si>
  <si>
    <t>Downstream Pressure, P2</t>
  </si>
  <si>
    <r>
      <t>Sizing Factor, S</t>
    </r>
    <r>
      <rPr>
        <vertAlign val="subscript"/>
        <sz val="11"/>
        <color theme="1"/>
        <rFont val="Calibri"/>
        <family val="2"/>
      </rPr>
      <t>M</t>
    </r>
  </si>
  <si>
    <r>
      <t>N Factor for Mass Flow, N*</t>
    </r>
    <r>
      <rPr>
        <vertAlign val="subscript"/>
        <sz val="11"/>
        <color theme="1"/>
        <rFont val="Calibri"/>
        <family val="2"/>
      </rPr>
      <t>Mρ</t>
    </r>
  </si>
  <si>
    <t>[kg/s]</t>
  </si>
  <si>
    <r>
      <t>Co-efficient of Discharge, C</t>
    </r>
    <r>
      <rPr>
        <vertAlign val="subscript"/>
        <sz val="11"/>
        <color theme="1"/>
        <rFont val="Calibri"/>
        <family val="2"/>
      </rPr>
      <t>0</t>
    </r>
  </si>
  <si>
    <r>
      <t>Expansibility Factor, Y</t>
    </r>
    <r>
      <rPr>
        <vertAlign val="subscript"/>
        <sz val="11"/>
        <color theme="1"/>
        <rFont val="Calibri"/>
        <family val="2"/>
      </rPr>
      <t>0</t>
    </r>
  </si>
  <si>
    <t>qm</t>
  </si>
  <si>
    <t>Machined Bore</t>
  </si>
  <si>
    <t>Operting Bore</t>
  </si>
  <si>
    <t>mm</t>
  </si>
  <si>
    <t>Machined Bore (mm)</t>
  </si>
  <si>
    <r>
      <t>Beta, β</t>
    </r>
    <r>
      <rPr>
        <vertAlign val="subscript"/>
        <sz val="11"/>
        <color theme="1"/>
        <rFont val="Calibri"/>
        <family val="2"/>
      </rPr>
      <t>1</t>
    </r>
  </si>
  <si>
    <r>
      <t>Co-efficient of Discharge, C</t>
    </r>
    <r>
      <rPr>
        <vertAlign val="subscript"/>
        <sz val="11"/>
        <color theme="1"/>
        <rFont val="Calibri"/>
        <family val="2"/>
      </rPr>
      <t>1</t>
    </r>
  </si>
  <si>
    <r>
      <t>Expansibility Factor, Y</t>
    </r>
    <r>
      <rPr>
        <vertAlign val="subscript"/>
        <sz val="11"/>
        <color theme="1"/>
        <rFont val="Calibri"/>
        <family val="2"/>
      </rPr>
      <t>1</t>
    </r>
  </si>
  <si>
    <t>A</t>
  </si>
  <si>
    <t>Co-efficient of Discharge, C</t>
  </si>
  <si>
    <r>
      <t xml:space="preserve">Differential Pressure, </t>
    </r>
    <r>
      <rPr>
        <sz val="11"/>
        <color theme="1"/>
        <rFont val="Comic Sans MS"/>
        <family val="4"/>
      </rPr>
      <t>Δ</t>
    </r>
    <r>
      <rPr>
        <sz val="8.8000000000000007"/>
        <color theme="1"/>
        <rFont val="Calibri"/>
        <family val="2"/>
      </rPr>
      <t>p</t>
    </r>
  </si>
  <si>
    <t>Operating Bore</t>
  </si>
  <si>
    <t>CALCULATION TYPE</t>
  </si>
  <si>
    <t>ISO 5167:2003</t>
  </si>
  <si>
    <t>P2/P1</t>
  </si>
  <si>
    <t>Throat Bore</t>
  </si>
  <si>
    <t>Element (Throat)</t>
  </si>
  <si>
    <t>Pipe</t>
  </si>
  <si>
    <t>Machined Venturi</t>
  </si>
  <si>
    <t>'As Cast' Venturi</t>
  </si>
  <si>
    <t xml:space="preserve">Flowrate </t>
  </si>
  <si>
    <t>Size By Bore</t>
  </si>
  <si>
    <t>Beta, β0</t>
  </si>
  <si>
    <t>Initial Beta, β</t>
  </si>
  <si>
    <r>
      <t>Beta, β</t>
    </r>
    <r>
      <rPr>
        <vertAlign val="subscript"/>
        <sz val="11"/>
        <color theme="1"/>
        <rFont val="Calibri"/>
        <family val="2"/>
      </rPr>
      <t>0</t>
    </r>
  </si>
  <si>
    <t>Sizing Factor, SM</t>
  </si>
  <si>
    <t>Uncertainty C</t>
  </si>
  <si>
    <t>E</t>
  </si>
  <si>
    <t>Relative Uncertainty Y</t>
  </si>
  <si>
    <t xml:space="preserve">If β2 =&lt;0.6 then 0.8%  /  If β2 &gt;0.6 then (2*β-0.4) in % </t>
  </si>
  <si>
    <t>Pressure Loss</t>
  </si>
  <si>
    <t>+-</t>
  </si>
  <si>
    <t>.</t>
  </si>
  <si>
    <t>If β =&gt;2 and =&lt;0.8 then uncertainty = 2.0%</t>
  </si>
  <si>
    <t>Beta, β</t>
  </si>
  <si>
    <t>Co-efficient of Discharge, C₂</t>
  </si>
  <si>
    <t>Expansibility Factor, Y₂</t>
  </si>
  <si>
    <t>Beta, β₂</t>
  </si>
  <si>
    <t>Uncertainty C₃</t>
  </si>
  <si>
    <t>Relative Uncertainty Y₃</t>
  </si>
  <si>
    <t>Co-efficient of Discharge, C₃</t>
  </si>
  <si>
    <t>Expansibility Factor, Y₃</t>
  </si>
  <si>
    <t>Beta, β₃</t>
  </si>
  <si>
    <t>Initial Expansibility Factor, Y</t>
  </si>
  <si>
    <t>Calc Reynolds Number RaD</t>
  </si>
  <si>
    <t>Calc Reynolds Number Rad₂</t>
  </si>
  <si>
    <t>Calc Reynolds Number Rad ₀</t>
  </si>
  <si>
    <t>Calc Reynolds Number Rad₁</t>
  </si>
  <si>
    <t>Calc Reynolds Number Rad</t>
  </si>
  <si>
    <t>ISA 1932 Nozzle "N2"</t>
  </si>
  <si>
    <t>Long Radius Nozzle "N3"</t>
  </si>
  <si>
    <t>ASME MF3CM Nozzle "N4"</t>
  </si>
  <si>
    <t>PTC-6-Nozzle "N1"</t>
  </si>
  <si>
    <t>Venturi Nozzle "N5"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</si>
</sst>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"/>
  </numFmts>
  <fonts count="2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trike/>
      <sz val="11"/>
      <color rgb="FFFF0000"/>
      <name val="Calibri"/>
      <family val="2"/>
    </font>
    <font>
      <vertAlign val="subscript"/>
      <sz val="11"/>
      <color theme="1"/>
      <name val="Calibri"/>
      <family val="2"/>
    </font>
    <font>
      <sz val="11"/>
      <color theme="1"/>
      <name val="Comic Sans MS"/>
      <family val="4"/>
    </font>
    <font>
      <sz val="8.8000000000000007"/>
      <color theme="1"/>
      <name val="Calibri"/>
      <family val="2"/>
    </font>
    <font>
      <b/>
      <sz val="14"/>
      <color theme="1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  <scheme val="minor"/>
    </font>
    <font>
      <sz val="10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2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6" fillId="0" borderId="0"/>
    <xf numFmtId="0" fontId="10" fillId="0" borderId="0"/>
    <xf numFmtId="0" fontId="1" fillId="0" borderId="0"/>
    <xf numFmtId="9" fontId="21" fillId="0" borderId="0" applyFont="0" applyFill="0" applyBorder="0" applyAlignment="0" applyProtection="0"/>
  </cellStyleXfs>
  <cellXfs count="82">
    <xf numFmtId="0" fontId="0" fillId="0" borderId="0" xfId="0"/>
    <xf numFmtId="0" fontId="7" fillId="0" borderId="0" xfId="8" applyFont="1" applyFill="1"/>
    <xf numFmtId="0" fontId="8" fillId="0" borderId="0" xfId="0" applyFont="1" applyFill="1"/>
    <xf numFmtId="0" fontId="9" fillId="0" borderId="0" xfId="0" applyFont="1"/>
    <xf numFmtId="0" fontId="12" fillId="0" borderId="0" xfId="0" applyFont="1"/>
    <xf numFmtId="0" fontId="9" fillId="12" borderId="1" xfId="0" applyFont="1" applyFill="1" applyBorder="1"/>
    <xf numFmtId="0" fontId="9" fillId="13" borderId="2" xfId="0" applyFont="1" applyFill="1" applyBorder="1"/>
    <xf numFmtId="0" fontId="9" fillId="13" borderId="3" xfId="0" applyFont="1" applyFill="1" applyBorder="1"/>
    <xf numFmtId="0" fontId="6" fillId="13" borderId="4" xfId="13" applyFill="1" applyBorder="1"/>
    <xf numFmtId="0" fontId="9" fillId="13" borderId="5" xfId="0" applyFont="1" applyFill="1" applyBorder="1"/>
    <xf numFmtId="0" fontId="9" fillId="13" borderId="0" xfId="0" applyFont="1" applyFill="1" applyBorder="1"/>
    <xf numFmtId="0" fontId="6" fillId="13" borderId="6" xfId="13" applyFill="1" applyBorder="1"/>
    <xf numFmtId="0" fontId="1" fillId="13" borderId="6" xfId="15" applyFill="1" applyBorder="1"/>
    <xf numFmtId="0" fontId="9" fillId="13" borderId="7" xfId="0" applyFont="1" applyFill="1" applyBorder="1"/>
    <xf numFmtId="0" fontId="9" fillId="13" borderId="8" xfId="0" applyFont="1" applyFill="1" applyBorder="1"/>
    <xf numFmtId="0" fontId="9" fillId="13" borderId="9" xfId="0" applyFont="1" applyFill="1" applyBorder="1"/>
    <xf numFmtId="0" fontId="6" fillId="0" borderId="0" xfId="13"/>
    <xf numFmtId="0" fontId="6" fillId="0" borderId="0" xfId="13" applyFont="1"/>
    <xf numFmtId="0" fontId="6" fillId="0" borderId="0" xfId="13" applyAlignment="1">
      <alignment vertical="center"/>
    </xf>
    <xf numFmtId="0" fontId="2" fillId="0" borderId="0" xfId="13" applyFont="1"/>
    <xf numFmtId="0" fontId="9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7" fillId="16" borderId="0" xfId="15" applyNumberFormat="1" applyFont="1" applyFill="1" applyBorder="1" applyAlignment="1" applyProtection="1"/>
    <xf numFmtId="0" fontId="18" fillId="16" borderId="0" xfId="0" applyFont="1" applyFill="1" applyBorder="1"/>
    <xf numFmtId="0" fontId="18" fillId="0" borderId="0" xfId="0" applyFont="1" applyFill="1" applyBorder="1"/>
    <xf numFmtId="2" fontId="16" fillId="15" borderId="0" xfId="0" applyNumberFormat="1" applyFont="1" applyFill="1"/>
    <xf numFmtId="2" fontId="19" fillId="15" borderId="0" xfId="0" applyNumberFormat="1" applyFont="1" applyFill="1"/>
    <xf numFmtId="2" fontId="9" fillId="15" borderId="0" xfId="0" applyNumberFormat="1" applyFont="1" applyFill="1"/>
    <xf numFmtId="0" fontId="9" fillId="0" borderId="0" xfId="0" applyFont="1" applyFill="1" applyBorder="1"/>
    <xf numFmtId="0" fontId="9" fillId="15" borderId="0" xfId="0" applyFont="1" applyFill="1"/>
    <xf numFmtId="0" fontId="9" fillId="0" borderId="0" xfId="0" quotePrefix="1" applyFont="1"/>
    <xf numFmtId="0" fontId="9" fillId="0" borderId="0" xfId="0" applyFont="1" applyBorder="1"/>
    <xf numFmtId="2" fontId="9" fillId="0" borderId="0" xfId="0" applyNumberFormat="1" applyFont="1"/>
    <xf numFmtId="0" fontId="19" fillId="17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9" fillId="0" borderId="0" xfId="0" applyNumberFormat="1" applyFont="1"/>
    <xf numFmtId="1" fontId="16" fillId="15" borderId="0" xfId="0" applyNumberFormat="1" applyFont="1" applyFill="1"/>
    <xf numFmtId="2" fontId="9" fillId="14" borderId="0" xfId="0" applyNumberFormat="1" applyFont="1" applyFill="1"/>
    <xf numFmtId="2" fontId="9" fillId="0" borderId="0" xfId="0" applyNumberFormat="1" applyFont="1" applyFill="1" applyBorder="1"/>
    <xf numFmtId="164" fontId="9" fillId="15" borderId="0" xfId="0" applyNumberFormat="1" applyFont="1" applyFill="1"/>
    <xf numFmtId="10" fontId="9" fillId="0" borderId="0" xfId="16" applyNumberFormat="1" applyFont="1"/>
    <xf numFmtId="2" fontId="9" fillId="13" borderId="8" xfId="0" applyNumberFormat="1" applyFont="1" applyFill="1" applyBorder="1"/>
    <xf numFmtId="11" fontId="10" fillId="12" borderId="1" xfId="14" applyNumberFormat="1" applyFill="1" applyBorder="1"/>
    <xf numFmtId="0" fontId="9" fillId="0" borderId="0" xfId="0" quotePrefix="1" applyFont="1" applyFill="1" applyAlignment="1">
      <alignment horizontal="right" vertical="center"/>
    </xf>
    <xf numFmtId="2" fontId="9" fillId="0" borderId="0" xfId="16" applyNumberFormat="1" applyFont="1" applyFill="1" applyAlignment="1">
      <alignment horizontal="left" vertical="center"/>
    </xf>
    <xf numFmtId="0" fontId="9" fillId="0" borderId="0" xfId="0" applyFont="1" applyFill="1" applyAlignment="1">
      <alignment horizontal="right"/>
    </xf>
    <xf numFmtId="0" fontId="9" fillId="0" borderId="0" xfId="0" applyFont="1" applyFill="1" applyAlignment="1">
      <alignment horizontal="left"/>
    </xf>
    <xf numFmtId="165" fontId="9" fillId="15" borderId="0" xfId="0" applyNumberFormat="1" applyFont="1" applyFill="1"/>
    <xf numFmtId="1" fontId="9" fillId="13" borderId="8" xfId="0" applyNumberFormat="1" applyFont="1" applyFill="1" applyBorder="1"/>
    <xf numFmtId="11" fontId="9" fillId="0" borderId="0" xfId="0" applyNumberFormat="1" applyFont="1"/>
    <xf numFmtId="0" fontId="9" fillId="15" borderId="0" xfId="0" quotePrefix="1" applyFont="1" applyFill="1" applyAlignment="1">
      <alignment horizontal="right" vertical="center"/>
    </xf>
    <xf numFmtId="10" fontId="9" fillId="15" borderId="0" xfId="16" applyNumberFormat="1" applyFont="1" applyFill="1" applyAlignment="1">
      <alignment horizontal="left" vertical="center"/>
    </xf>
    <xf numFmtId="0" fontId="9" fillId="15" borderId="0" xfId="0" applyFont="1" applyFill="1" applyBorder="1"/>
    <xf numFmtId="10" fontId="9" fillId="15" borderId="0" xfId="0" applyNumberFormat="1" applyFont="1" applyFill="1"/>
    <xf numFmtId="0" fontId="9" fillId="15" borderId="0" xfId="0" quotePrefix="1" applyFont="1" applyFill="1"/>
    <xf numFmtId="0" fontId="9" fillId="0" borderId="0" xfId="0" quotePrefix="1" applyFont="1" applyFill="1" applyBorder="1"/>
    <xf numFmtId="10" fontId="9" fillId="0" borderId="0" xfId="16" quotePrefix="1" applyNumberFormat="1" applyFont="1" applyFill="1" applyBorder="1" applyAlignment="1">
      <alignment horizontal="left"/>
    </xf>
    <xf numFmtId="0" fontId="9" fillId="0" borderId="0" xfId="0" quotePrefix="1" applyFont="1" applyFill="1" applyAlignment="1">
      <alignment horizontal="left"/>
    </xf>
    <xf numFmtId="10" fontId="9" fillId="0" borderId="0" xfId="0" applyNumberFormat="1" applyFont="1" applyAlignment="1">
      <alignment horizontal="left"/>
    </xf>
    <xf numFmtId="2" fontId="11" fillId="0" borderId="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" fontId="9" fillId="13" borderId="0" xfId="0" applyNumberFormat="1" applyFont="1" applyFill="1" applyBorder="1"/>
    <xf numFmtId="0" fontId="9" fillId="13" borderId="6" xfId="0" applyFont="1" applyFill="1" applyBorder="1"/>
    <xf numFmtId="164" fontId="9" fillId="0" borderId="0" xfId="0" applyNumberFormat="1" applyFont="1"/>
    <xf numFmtId="1" fontId="9" fillId="0" borderId="0" xfId="0" applyNumberFormat="1" applyFont="1" applyFill="1" applyBorder="1"/>
    <xf numFmtId="0" fontId="19" fillId="17" borderId="0" xfId="0" applyFont="1" applyFill="1" applyAlignment="1">
      <alignment horizontal="center" vertical="center"/>
    </xf>
    <xf numFmtId="10" fontId="9" fillId="15" borderId="0" xfId="0" applyNumberFormat="1" applyFont="1" applyFill="1" applyAlignment="1">
      <alignment horizontal="left"/>
    </xf>
    <xf numFmtId="9" fontId="9" fillId="15" borderId="0" xfId="16" applyFont="1" applyFill="1" applyAlignment="1">
      <alignment horizontal="left" vertical="top"/>
    </xf>
    <xf numFmtId="9" fontId="9" fillId="15" borderId="0" xfId="16" applyFont="1" applyFill="1"/>
    <xf numFmtId="10" fontId="9" fillId="15" borderId="0" xfId="16" applyNumberFormat="1" applyFont="1" applyFill="1"/>
    <xf numFmtId="10" fontId="9" fillId="15" borderId="0" xfId="16" applyNumberFormat="1" applyFont="1" applyFill="1" applyAlignment="1">
      <alignment horizontal="left"/>
    </xf>
    <xf numFmtId="9" fontId="9" fillId="15" borderId="0" xfId="16" quotePrefix="1" applyFont="1" applyFill="1" applyAlignment="1">
      <alignment horizontal="right" vertical="center"/>
    </xf>
    <xf numFmtId="2" fontId="9" fillId="0" borderId="0" xfId="16" applyNumberFormat="1" applyFont="1"/>
    <xf numFmtId="0" fontId="9" fillId="0" borderId="0" xfId="0" applyFont="1" applyAlignment="1">
      <alignment horizontal="left" vertical="center" wrapText="1"/>
    </xf>
    <xf numFmtId="0" fontId="20" fillId="15" borderId="0" xfId="15" applyNumberFormat="1" applyFont="1" applyFill="1" applyBorder="1" applyAlignment="1" applyProtection="1">
      <alignment horizontal="center" vertical="center"/>
    </xf>
    <xf numFmtId="2" fontId="11" fillId="0" borderId="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0" fontId="9" fillId="0" borderId="0" xfId="16" applyNumberFormat="1" applyFont="1" applyFill="1" applyBorder="1" applyAlignment="1">
      <alignment horizontal="center"/>
    </xf>
    <xf numFmtId="0" fontId="19" fillId="17" borderId="0" xfId="0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left" vertical="top"/>
    </xf>
  </cellXfs>
  <cellStyles count="17">
    <cellStyle name="40% - Accent1 2" xfId="6"/>
    <cellStyle name="40% - Accent6 2" xfId="12"/>
    <cellStyle name="60% - Accent2 2" xfId="8"/>
    <cellStyle name="60% - Accent5 2" xfId="10"/>
    <cellStyle name="Accent1 2" xfId="5"/>
    <cellStyle name="Accent2 2" xfId="7"/>
    <cellStyle name="Accent4 2" xfId="9"/>
    <cellStyle name="Accent6 2" xfId="11"/>
    <cellStyle name="Good 2" xfId="2"/>
    <cellStyle name="Good 3" xfId="4"/>
    <cellStyle name="Neutral 2" xfId="3"/>
    <cellStyle name="Normal" xfId="0" builtinId="0"/>
    <cellStyle name="Normal 2" xfId="1"/>
    <cellStyle name="Normal 2 2" xfId="14"/>
    <cellStyle name="Normal 3" xfId="15"/>
    <cellStyle name="Normal 4" xfId="13"/>
    <cellStyle name="Percent" xfId="16" builtinId="5"/>
  </cellStyles>
  <dxfs count="6"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  <dxf>
      <font>
        <strike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0" zoomScaleNormal="80" workbookViewId="0">
      <selection activeCell="B47" sqref="B47"/>
    </sheetView>
  </sheetViews>
  <sheetFormatPr defaultRowHeight="15" x14ac:dyDescent="0.25"/>
  <cols>
    <col min="1" max="1" width="40.7109375" style="3" bestFit="1" customWidth="1"/>
    <col min="2" max="2" width="29.42578125" style="3" bestFit="1" customWidth="1"/>
    <col min="3" max="3" width="17" style="3" bestFit="1" customWidth="1"/>
    <col min="4" max="4" width="9.140625" style="3" hidden="1" customWidth="1"/>
    <col min="5" max="5" width="24.42578125" style="3" customWidth="1"/>
    <col min="6" max="6" width="17.140625" style="3" customWidth="1"/>
    <col min="7" max="7" width="16.42578125" style="3" customWidth="1"/>
    <col min="8" max="8" width="30.85546875" style="3" bestFit="1" customWidth="1"/>
    <col min="9" max="9" width="9.140625" style="3"/>
    <col min="10" max="10" width="0" style="3" hidden="1" customWidth="1"/>
    <col min="11" max="16384" width="9.140625" style="3"/>
  </cols>
  <sheetData>
    <row r="1" spans="1:10" x14ac:dyDescent="0.25">
      <c r="A1" s="1"/>
      <c r="B1" s="36"/>
    </row>
    <row r="2" spans="1:10" x14ac:dyDescent="0.25">
      <c r="A2" s="1"/>
      <c r="B2" s="36"/>
    </row>
    <row r="3" spans="1:10" x14ac:dyDescent="0.25">
      <c r="H3" s="2"/>
      <c r="J3" s="3" t="s">
        <v>53</v>
      </c>
    </row>
    <row r="4" spans="1:10" x14ac:dyDescent="0.25">
      <c r="A4" s="3" t="s">
        <v>0</v>
      </c>
      <c r="B4" s="5" t="s">
        <v>9</v>
      </c>
      <c r="H4" s="2"/>
      <c r="J4" s="32" t="s">
        <v>54</v>
      </c>
    </row>
    <row r="5" spans="1:10" x14ac:dyDescent="0.25">
      <c r="A5" s="3" t="s">
        <v>1</v>
      </c>
      <c r="B5" s="5">
        <v>5000000</v>
      </c>
      <c r="C5" s="3" t="s">
        <v>10</v>
      </c>
      <c r="E5" s="22"/>
    </row>
    <row r="6" spans="1:10" x14ac:dyDescent="0.25">
      <c r="A6" s="3" t="s">
        <v>2</v>
      </c>
      <c r="B6" s="5">
        <v>294.26</v>
      </c>
      <c r="C6" s="3" t="s">
        <v>11</v>
      </c>
      <c r="E6" s="22"/>
    </row>
    <row r="7" spans="1:10" x14ac:dyDescent="0.25">
      <c r="A7" s="3" t="s">
        <v>3</v>
      </c>
      <c r="B7" s="5">
        <v>1.0660000000000001</v>
      </c>
      <c r="C7" s="3" t="s">
        <v>18</v>
      </c>
      <c r="E7" s="22"/>
    </row>
    <row r="8" spans="1:10" x14ac:dyDescent="0.25">
      <c r="A8" s="3" t="s">
        <v>4</v>
      </c>
      <c r="B8" s="5">
        <v>0.997</v>
      </c>
      <c r="E8" s="22"/>
    </row>
    <row r="9" spans="1:10" x14ac:dyDescent="0.25">
      <c r="A9" s="3" t="s">
        <v>5</v>
      </c>
      <c r="B9" s="5">
        <v>1.8E-5</v>
      </c>
      <c r="C9" s="3" t="s">
        <v>17</v>
      </c>
      <c r="E9" s="22"/>
    </row>
    <row r="10" spans="1:10" x14ac:dyDescent="0.25">
      <c r="A10" s="3" t="s">
        <v>6</v>
      </c>
      <c r="B10" s="5">
        <v>1.4</v>
      </c>
      <c r="E10" s="22"/>
    </row>
    <row r="11" spans="1:10" x14ac:dyDescent="0.25">
      <c r="A11" s="4"/>
      <c r="B11" s="4"/>
      <c r="C11" s="4"/>
      <c r="E11" s="22"/>
    </row>
    <row r="12" spans="1:10" x14ac:dyDescent="0.25">
      <c r="E12" s="23"/>
    </row>
    <row r="13" spans="1:10" x14ac:dyDescent="0.25">
      <c r="A13" s="3" t="s">
        <v>55</v>
      </c>
      <c r="B13" s="5">
        <v>3</v>
      </c>
      <c r="C13" s="3" t="s">
        <v>12</v>
      </c>
      <c r="E13" s="23"/>
      <c r="H13" s="3">
        <f>1/100*80</f>
        <v>0.8</v>
      </c>
    </row>
    <row r="14" spans="1:10" x14ac:dyDescent="0.25">
      <c r="E14" s="22"/>
    </row>
    <row r="15" spans="1:10" x14ac:dyDescent="0.25">
      <c r="A15" s="75" t="s">
        <v>7</v>
      </c>
      <c r="B15" s="3" t="s">
        <v>52</v>
      </c>
      <c r="C15" s="44">
        <v>1.3529999999999999E-5</v>
      </c>
    </row>
    <row r="16" spans="1:10" x14ac:dyDescent="0.25">
      <c r="A16" s="75"/>
      <c r="B16" s="3" t="s">
        <v>51</v>
      </c>
      <c r="C16" s="44">
        <v>1.789E-5</v>
      </c>
    </row>
    <row r="18" spans="1:8" x14ac:dyDescent="0.25">
      <c r="A18" s="3" t="s">
        <v>8</v>
      </c>
      <c r="B18" s="3">
        <v>0.25451079999999998</v>
      </c>
      <c r="C18" s="3" t="s">
        <v>14</v>
      </c>
    </row>
    <row r="21" spans="1:8" x14ac:dyDescent="0.25">
      <c r="A21" s="5" t="s">
        <v>28</v>
      </c>
      <c r="B21" s="5">
        <v>25000</v>
      </c>
      <c r="C21" s="3" t="s">
        <v>10</v>
      </c>
      <c r="F21" s="5" t="s">
        <v>50</v>
      </c>
      <c r="G21" s="5">
        <v>0.12728493960264384</v>
      </c>
      <c r="H21" s="3" t="s">
        <v>14</v>
      </c>
    </row>
    <row r="22" spans="1:8" x14ac:dyDescent="0.25">
      <c r="B22" s="3" t="s">
        <v>67</v>
      </c>
    </row>
    <row r="24" spans="1:8" x14ac:dyDescent="0.25">
      <c r="A24" s="6" t="s">
        <v>19</v>
      </c>
      <c r="B24" s="7">
        <f>B5</f>
        <v>5000000</v>
      </c>
      <c r="C24" s="8" t="s">
        <v>10</v>
      </c>
    </row>
    <row r="25" spans="1:8" x14ac:dyDescent="0.25">
      <c r="A25" s="9" t="s">
        <v>20</v>
      </c>
      <c r="B25" s="10">
        <f>B6</f>
        <v>294.26</v>
      </c>
      <c r="C25" s="11" t="s">
        <v>11</v>
      </c>
    </row>
    <row r="26" spans="1:8" x14ac:dyDescent="0.25">
      <c r="A26" s="9" t="s">
        <v>21</v>
      </c>
      <c r="B26" s="10">
        <f>B13</f>
        <v>3</v>
      </c>
      <c r="C26" s="11" t="s">
        <v>12</v>
      </c>
    </row>
    <row r="27" spans="1:8" x14ac:dyDescent="0.25">
      <c r="A27" s="9" t="s">
        <v>22</v>
      </c>
      <c r="B27" s="10">
        <f>B7</f>
        <v>1.0660000000000001</v>
      </c>
      <c r="C27" s="12" t="s">
        <v>13</v>
      </c>
    </row>
    <row r="28" spans="1:8" x14ac:dyDescent="0.25">
      <c r="A28" s="9" t="s">
        <v>23</v>
      </c>
      <c r="B28" s="10">
        <f>(B18)*(1+C16*(B25-293.15))</f>
        <v>0.25451585405001526</v>
      </c>
      <c r="C28" s="11" t="s">
        <v>14</v>
      </c>
    </row>
    <row r="29" spans="1:8" x14ac:dyDescent="0.25">
      <c r="A29" s="9" t="s">
        <v>24</v>
      </c>
      <c r="B29" s="10">
        <f>((B28/2)^2)*PI()</f>
        <v>5.087677352676219E-2</v>
      </c>
      <c r="C29" s="11" t="s">
        <v>15</v>
      </c>
    </row>
    <row r="30" spans="1:8" x14ac:dyDescent="0.25">
      <c r="A30" s="9" t="s">
        <v>25</v>
      </c>
      <c r="B30" s="10">
        <f>(B13/B27)/B29</f>
        <v>55.315200173602427</v>
      </c>
      <c r="C30" s="11" t="s">
        <v>16</v>
      </c>
      <c r="F30" s="33"/>
    </row>
    <row r="31" spans="1:8" x14ac:dyDescent="0.25">
      <c r="A31" s="9" t="s">
        <v>26</v>
      </c>
      <c r="B31" s="10">
        <f>B9</f>
        <v>1.8E-5</v>
      </c>
      <c r="C31" s="11" t="s">
        <v>17</v>
      </c>
    </row>
    <row r="32" spans="1:8" x14ac:dyDescent="0.25">
      <c r="A32" s="13" t="s">
        <v>27</v>
      </c>
      <c r="B32" s="14">
        <f>(B27*B30*B28)/(B31)</f>
        <v>833765.7061924825</v>
      </c>
      <c r="C32" s="15"/>
    </row>
  </sheetData>
  <mergeCells count="1">
    <mergeCell ref="A15:A16"/>
  </mergeCells>
  <conditionalFormatting sqref="A10:C10 A8:C8">
    <cfRule type="expression" dxfId="5" priority="1">
      <formula>$B$4="Liquid"</formula>
    </cfRule>
  </conditionalFormatting>
  <dataValidations count="1">
    <dataValidation type="list" allowBlank="1" showInputMessage="1" showErrorMessage="1" sqref="B4">
      <formula1>Fluid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80" zoomScaleNormal="80" workbookViewId="0">
      <selection activeCell="E1" sqref="E1:F1"/>
    </sheetView>
  </sheetViews>
  <sheetFormatPr defaultRowHeight="15" x14ac:dyDescent="0.25"/>
  <cols>
    <col min="1" max="1" width="34.5703125" style="3" bestFit="1" customWidth="1"/>
    <col min="2" max="2" width="29.42578125" style="3" bestFit="1" customWidth="1"/>
    <col min="3" max="3" width="7" style="3" customWidth="1"/>
    <col min="4" max="4" width="14.140625" style="3" customWidth="1"/>
    <col min="5" max="6" width="30.28515625" style="3" bestFit="1" customWidth="1"/>
    <col min="7" max="7" width="13" style="3" bestFit="1" customWidth="1"/>
    <col min="8" max="8" width="18.28515625" style="3" customWidth="1"/>
    <col min="9" max="9" width="24.28515625" style="3" customWidth="1"/>
    <col min="10" max="10" width="9.140625" style="3" customWidth="1"/>
    <col min="11" max="16384" width="9.140625" style="3"/>
  </cols>
  <sheetData>
    <row r="1" spans="1:7" ht="18.75" x14ac:dyDescent="0.25">
      <c r="A1" s="24" t="s">
        <v>47</v>
      </c>
      <c r="B1" s="25" t="s">
        <v>48</v>
      </c>
      <c r="E1" s="76" t="s">
        <v>84</v>
      </c>
      <c r="F1" s="76"/>
      <c r="G1" s="26"/>
    </row>
    <row r="2" spans="1:7" hidden="1" x14ac:dyDescent="0.25">
      <c r="A2" s="1"/>
      <c r="B2" s="2"/>
    </row>
    <row r="3" spans="1:7" hidden="1" x14ac:dyDescent="0.25"/>
    <row r="4" spans="1:7" hidden="1" x14ac:dyDescent="0.25"/>
    <row r="5" spans="1:7" hidden="1" x14ac:dyDescent="0.25"/>
    <row r="6" spans="1:7" hidden="1" x14ac:dyDescent="0.25"/>
    <row r="7" spans="1:7" hidden="1" x14ac:dyDescent="0.25"/>
    <row r="8" spans="1:7" hidden="1" x14ac:dyDescent="0.25"/>
    <row r="9" spans="1:7" hidden="1" x14ac:dyDescent="0.25"/>
    <row r="10" spans="1:7" hidden="1" x14ac:dyDescent="0.25"/>
    <row r="11" spans="1:7" hidden="1" x14ac:dyDescent="0.25"/>
    <row r="12" spans="1:7" hidden="1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spans="1:5" hidden="1" x14ac:dyDescent="0.25"/>
    <row r="18" spans="1:5" hidden="1" x14ac:dyDescent="0.25"/>
    <row r="19" spans="1:5" hidden="1" x14ac:dyDescent="0.25"/>
    <row r="20" spans="1:5" hidden="1" x14ac:dyDescent="0.25"/>
    <row r="21" spans="1:5" hidden="1" x14ac:dyDescent="0.25"/>
    <row r="22" spans="1:5" hidden="1" x14ac:dyDescent="0.25"/>
    <row r="23" spans="1:5" hidden="1" x14ac:dyDescent="0.25"/>
    <row r="25" spans="1:5" x14ac:dyDescent="0.25">
      <c r="A25" s="6" t="s">
        <v>19</v>
      </c>
      <c r="B25" s="7">
        <f>OpPress</f>
        <v>5000000</v>
      </c>
      <c r="C25" s="8" t="s">
        <v>10</v>
      </c>
    </row>
    <row r="26" spans="1:5" x14ac:dyDescent="0.25">
      <c r="A26" s="9" t="s">
        <v>20</v>
      </c>
      <c r="B26" s="10">
        <f>OpTemp</f>
        <v>294.26</v>
      </c>
      <c r="C26" s="11" t="s">
        <v>11</v>
      </c>
    </row>
    <row r="27" spans="1:5" x14ac:dyDescent="0.25">
      <c r="A27" s="9" t="s">
        <v>21</v>
      </c>
      <c r="B27" s="10">
        <f>Flow</f>
        <v>3</v>
      </c>
      <c r="C27" s="11" t="s">
        <v>12</v>
      </c>
      <c r="E27" s="2"/>
    </row>
    <row r="28" spans="1:5" x14ac:dyDescent="0.25">
      <c r="A28" s="9" t="s">
        <v>22</v>
      </c>
      <c r="B28" s="10">
        <f>OpDens</f>
        <v>1.0660000000000001</v>
      </c>
      <c r="C28" s="12" t="s">
        <v>13</v>
      </c>
      <c r="E28" s="2"/>
    </row>
    <row r="29" spans="1:5" x14ac:dyDescent="0.25">
      <c r="A29" s="9" t="s">
        <v>23</v>
      </c>
      <c r="B29" s="10">
        <f>(ID)*(1+Input!C16*(B26-293.15))</f>
        <v>0.25451585405001526</v>
      </c>
      <c r="C29" s="11" t="s">
        <v>14</v>
      </c>
      <c r="E29" s="2"/>
    </row>
    <row r="30" spans="1:5" x14ac:dyDescent="0.25">
      <c r="A30" s="9" t="s">
        <v>24</v>
      </c>
      <c r="B30" s="10">
        <f>((B29/2)^2)*PI()</f>
        <v>5.087677352676219E-2</v>
      </c>
      <c r="C30" s="11" t="s">
        <v>15</v>
      </c>
    </row>
    <row r="31" spans="1:5" x14ac:dyDescent="0.25">
      <c r="A31" s="9" t="s">
        <v>25</v>
      </c>
      <c r="B31" s="10">
        <f>(Flow/B28)/B30</f>
        <v>55.315200173602427</v>
      </c>
      <c r="C31" s="11" t="s">
        <v>16</v>
      </c>
    </row>
    <row r="32" spans="1:5" x14ac:dyDescent="0.25">
      <c r="A32" s="9" t="s">
        <v>26</v>
      </c>
      <c r="B32" s="10">
        <f>Visc</f>
        <v>1.8E-5</v>
      </c>
      <c r="C32" s="11" t="s">
        <v>17</v>
      </c>
    </row>
    <row r="33" spans="1:12" x14ac:dyDescent="0.25">
      <c r="A33" s="13" t="s">
        <v>27</v>
      </c>
      <c r="B33" s="50">
        <f>(B28*B31*B29)/(B32)</f>
        <v>833765.7061924825</v>
      </c>
      <c r="C33" s="15"/>
      <c r="H33" s="30"/>
      <c r="I33" s="30"/>
    </row>
    <row r="34" spans="1:12" x14ac:dyDescent="0.25">
      <c r="F34" s="35" t="s">
        <v>56</v>
      </c>
      <c r="J34" s="30"/>
    </row>
    <row r="35" spans="1:12" x14ac:dyDescent="0.25">
      <c r="A35" s="3" t="s">
        <v>49</v>
      </c>
      <c r="B35" s="3">
        <f>B37/B25</f>
        <v>0.995</v>
      </c>
      <c r="F35" s="3" t="s">
        <v>60</v>
      </c>
      <c r="G35" s="3">
        <f>B27/(B43*((B29*1000)^2)*1*(SQRT(B28))*((SQRT(B36/1000))))</f>
        <v>0.25541013917016603</v>
      </c>
      <c r="I35" s="40"/>
      <c r="J35" s="30"/>
    </row>
    <row r="36" spans="1:12" x14ac:dyDescent="0.25">
      <c r="A36" s="3" t="s">
        <v>28</v>
      </c>
      <c r="B36" s="3">
        <f>DP</f>
        <v>25000</v>
      </c>
      <c r="C36" s="3" t="s">
        <v>10</v>
      </c>
      <c r="F36" s="3" t="s">
        <v>36</v>
      </c>
      <c r="G36" s="3">
        <f>G37/(1+Input!C16*(B26-293.15))</f>
        <v>0.12728493960264384</v>
      </c>
      <c r="J36" s="30"/>
    </row>
    <row r="37" spans="1:12" x14ac:dyDescent="0.25">
      <c r="A37" s="3" t="s">
        <v>29</v>
      </c>
      <c r="B37" s="3">
        <f>B25-B36</f>
        <v>4975000</v>
      </c>
      <c r="C37" s="3" t="s">
        <v>10</v>
      </c>
      <c r="F37" s="3" t="s">
        <v>46</v>
      </c>
      <c r="G37" s="3">
        <f>Bore*(1+Input!C16*(B26-293.15))</f>
        <v>0.12728746721424597</v>
      </c>
      <c r="H37" s="3" t="s">
        <v>14</v>
      </c>
      <c r="I37" s="30"/>
      <c r="J37" s="30"/>
    </row>
    <row r="38" spans="1:12" x14ac:dyDescent="0.25">
      <c r="A38" s="3" t="s">
        <v>37</v>
      </c>
      <c r="B38" s="18">
        <f>B69*B29</f>
        <v>0.12823431212052924</v>
      </c>
      <c r="C38" s="19" t="s">
        <v>14</v>
      </c>
      <c r="F38" s="3" t="s">
        <v>57</v>
      </c>
      <c r="G38" s="20">
        <f>G37/B29</f>
        <v>0.50011606424027533</v>
      </c>
      <c r="I38" s="30"/>
      <c r="J38" s="30"/>
    </row>
    <row r="39" spans="1:12" x14ac:dyDescent="0.25">
      <c r="A39" s="3" t="s">
        <v>36</v>
      </c>
      <c r="B39" s="3">
        <f>B38/(1+Input!C16*(B26-293.15))</f>
        <v>0.12823176570694902</v>
      </c>
      <c r="C39" s="3" t="s">
        <v>14</v>
      </c>
      <c r="F39" s="3" t="s">
        <v>43</v>
      </c>
      <c r="G39" s="3">
        <f>(19000*G38/$B$33)^0.8</f>
        <v>2.7888445159408116E-2</v>
      </c>
      <c r="I39" s="30"/>
      <c r="J39" s="30"/>
    </row>
    <row r="40" spans="1:12" x14ac:dyDescent="0.25">
      <c r="I40" s="30"/>
      <c r="J40" s="30"/>
    </row>
    <row r="41" spans="1:12" x14ac:dyDescent="0.25">
      <c r="F41" s="3" t="s">
        <v>61</v>
      </c>
      <c r="G41" s="77" t="s">
        <v>64</v>
      </c>
      <c r="H41" s="78"/>
      <c r="I41" s="78"/>
      <c r="J41" s="30"/>
    </row>
    <row r="42" spans="1:12" x14ac:dyDescent="0.25">
      <c r="F42" s="3" t="s">
        <v>63</v>
      </c>
      <c r="G42" s="42">
        <f>2*(G67/B25)/100</f>
        <v>1.0292673456245205E-4</v>
      </c>
      <c r="H42" s="59" t="s">
        <v>66</v>
      </c>
      <c r="I42" s="48"/>
      <c r="J42" s="30"/>
    </row>
    <row r="43" spans="1:12" ht="18" x14ac:dyDescent="0.35">
      <c r="A43" s="3" t="s">
        <v>31</v>
      </c>
      <c r="B43" s="3">
        <v>3.5124070000000003E-5</v>
      </c>
      <c r="C43" s="3" t="s">
        <v>32</v>
      </c>
      <c r="F43" s="31" t="s">
        <v>44</v>
      </c>
      <c r="G43" s="49">
        <f>0.99-0.2262*G38^4.1-(0.00175*G38^2-0.0033*G38^4.15)*(10^6/B33)*1.15</f>
        <v>0.97644960294315231</v>
      </c>
      <c r="H43" s="47" t="str">
        <f>G41</f>
        <v xml:space="preserve">If β2 =&lt;0.6 then 0.8%  /  If β2 &gt;0.6 then (2*β-0.4) in % </v>
      </c>
      <c r="I43" s="58" t="s">
        <v>66</v>
      </c>
      <c r="J43" s="30"/>
      <c r="L43" s="51"/>
    </row>
    <row r="44" spans="1:12" ht="18" x14ac:dyDescent="0.35">
      <c r="A44" s="3" t="s">
        <v>30</v>
      </c>
      <c r="B44" s="3">
        <f>B27/(B43*((B29*1000)^2)*1*(SQRT(B28))*((SQRT(B36/1000))))</f>
        <v>0.25541013917016603</v>
      </c>
      <c r="F44" s="31" t="s">
        <v>78</v>
      </c>
      <c r="G44" s="31">
        <f>IF(Fluid_in="Liquid",1,SQRT(Isentropic*B35^(2/Isentropic)/(Isentropic-1)*(1-G38^4)/(1-G38^4*B35^(2/Isentropic))*(1-B35^((Isentropic-1)/Isentropic))/(1-B35)))</f>
        <v>0.9970804802421146</v>
      </c>
      <c r="H44" s="60">
        <f>G42</f>
        <v>1.0292673456245205E-4</v>
      </c>
      <c r="I44" s="57" t="s">
        <v>66</v>
      </c>
      <c r="J44" s="30"/>
    </row>
    <row r="45" spans="1:12" x14ac:dyDescent="0.25">
      <c r="A45" s="3" t="s">
        <v>58</v>
      </c>
      <c r="B45" s="20">
        <f>((1+((0.9975/B44))^2)^-0.25)</f>
        <v>0.49804428419590169</v>
      </c>
      <c r="F45" s="31" t="s">
        <v>69</v>
      </c>
      <c r="G45" s="31">
        <f>((1+((G43*G44/G35))^2)^-0.25)</f>
        <v>0.50373586864519504</v>
      </c>
      <c r="J45" s="30"/>
    </row>
    <row r="46" spans="1:12" x14ac:dyDescent="0.25">
      <c r="B46" s="20"/>
      <c r="F46" s="31" t="s">
        <v>62</v>
      </c>
      <c r="G46" s="31">
        <f>1/SQRT(1-G38^4)</f>
        <v>1.0328275371074969</v>
      </c>
      <c r="I46" s="30"/>
      <c r="J46" s="30"/>
    </row>
    <row r="47" spans="1:12" x14ac:dyDescent="0.25">
      <c r="B47" s="20"/>
      <c r="I47" s="30"/>
      <c r="J47" s="30"/>
    </row>
    <row r="48" spans="1:12" ht="18" x14ac:dyDescent="0.35">
      <c r="A48" s="3" t="s">
        <v>33</v>
      </c>
      <c r="B48" s="20">
        <f>0.99-0.2262*B45^4.1-(0.00175*B45^2-0.0033*B45^4.15)*(10^6/B33)*1.15</f>
        <v>0.97667302915036958</v>
      </c>
    </row>
    <row r="49" spans="1:7" ht="18" x14ac:dyDescent="0.35">
      <c r="A49" s="3" t="s">
        <v>34</v>
      </c>
      <c r="B49" s="20">
        <f>IF(Fluid_in="Liquid",1,SQRT(Isentropic*B35^(2/Isentropic)/(Isentropic-1)*(1-B45^4)/(1-B45^4*B35^(2/Isentropic))*(1-B35^((Isentropic-1)/Isentropic))/(1-B35)))</f>
        <v>0.99708464368728345</v>
      </c>
    </row>
    <row r="50" spans="1:7" ht="18" x14ac:dyDescent="0.35">
      <c r="A50" s="3" t="s">
        <v>59</v>
      </c>
      <c r="B50" s="20">
        <f>((1+((B48*B49/B44))^2)^-0.25)</f>
        <v>0.50368097266906564</v>
      </c>
      <c r="C50" s="20"/>
    </row>
    <row r="51" spans="1:7" x14ac:dyDescent="0.25">
      <c r="B51" s="20"/>
      <c r="C51" s="20"/>
    </row>
    <row r="52" spans="1:7" x14ac:dyDescent="0.25">
      <c r="B52" s="20"/>
      <c r="C52" s="20"/>
    </row>
    <row r="53" spans="1:7" ht="18" x14ac:dyDescent="0.35">
      <c r="A53" s="3" t="s">
        <v>41</v>
      </c>
      <c r="B53" s="20">
        <f>0.99-0.2262*B50^4.1-(0.00175*B50^2-0.0033*B50^4.15)*(10^6/B33)*1.15</f>
        <v>0.97605848518061034</v>
      </c>
      <c r="C53" s="20"/>
      <c r="D53" s="17"/>
    </row>
    <row r="54" spans="1:7" ht="18" x14ac:dyDescent="0.35">
      <c r="A54" s="3" t="s">
        <v>42</v>
      </c>
      <c r="B54" s="20">
        <f>IF(Fluid_in="Liquid",1,SQRT(Isentropic*B35^(2/Isentropic)/(Isentropic-1)*(1-B50^4)/(1-B50^4*B35^(2/Isentropic))*(1-B35^((Isentropic-1)/Isentropic))/(1-B35)))</f>
        <v>0.99707317215852531</v>
      </c>
      <c r="C54" s="20"/>
      <c r="D54" s="16"/>
    </row>
    <row r="55" spans="1:7" ht="18" x14ac:dyDescent="0.35">
      <c r="A55" s="3" t="s">
        <v>40</v>
      </c>
      <c r="B55" s="20">
        <f>((1+((B53*B54/B44))^2)^-0.25)</f>
        <v>0.50383201138915124</v>
      </c>
      <c r="C55" s="16"/>
    </row>
    <row r="56" spans="1:7" x14ac:dyDescent="0.25">
      <c r="B56" s="20"/>
    </row>
    <row r="57" spans="1:7" x14ac:dyDescent="0.25">
      <c r="B57" s="20"/>
    </row>
    <row r="58" spans="1:7" x14ac:dyDescent="0.25">
      <c r="A58" s="3" t="s">
        <v>70</v>
      </c>
      <c r="B58" s="3">
        <f>0.99-0.2262*B55^4.1-(0.00175*B55^2-0.0033*B55^4.15)*(10^6/B33)*1.15</f>
        <v>0.97604172646831755</v>
      </c>
    </row>
    <row r="59" spans="1:7" x14ac:dyDescent="0.25">
      <c r="A59" s="3" t="s">
        <v>71</v>
      </c>
      <c r="B59" s="3">
        <f>IF(Fluid_in="Liquid",1,SQRT(Isentropic*B35^(2/Isentropic)/(Isentropic-1)*(1-B55^4)/(1-B55^4*B35^(2/Isentropic))*(1-B35^((Isentropic-1)/Isentropic))/(1-B35)))</f>
        <v>0.99707285845523042</v>
      </c>
    </row>
    <row r="60" spans="1:7" x14ac:dyDescent="0.25">
      <c r="A60" s="3" t="s">
        <v>72</v>
      </c>
      <c r="B60" s="3">
        <f>((1+((B58*B59/B44))^2)^-0.25)</f>
        <v>0.50383613221371726</v>
      </c>
      <c r="F60" s="34"/>
    </row>
    <row r="63" spans="1:7" x14ac:dyDescent="0.25">
      <c r="C63" s="45"/>
      <c r="D63" s="46"/>
    </row>
    <row r="64" spans="1:7" x14ac:dyDescent="0.25">
      <c r="A64" s="3" t="s">
        <v>73</v>
      </c>
      <c r="B64" s="77" t="s">
        <v>64</v>
      </c>
      <c r="C64" s="78"/>
      <c r="D64" s="78"/>
      <c r="G64" s="42"/>
    </row>
    <row r="65" spans="1:10" x14ac:dyDescent="0.25">
      <c r="A65" s="3" t="s">
        <v>74</v>
      </c>
      <c r="B65" s="79">
        <f>2*(B36/B25)/100</f>
        <v>1E-4</v>
      </c>
      <c r="C65" s="79"/>
      <c r="D65" s="79"/>
    </row>
    <row r="66" spans="1:10" x14ac:dyDescent="0.25">
      <c r="A66" s="3" t="s">
        <v>75</v>
      </c>
      <c r="B66" s="49">
        <f>0.99-0.2262*B60^4.1-(0.00175*B60^2-0.0033*B60^4.15)*(10^6/B33)*1.15</f>
        <v>0.9760412690214687</v>
      </c>
      <c r="C66" s="29" t="str">
        <f>B64</f>
        <v xml:space="preserve">If β2 =&lt;0.6 then 0.8%  /  If β2 &gt;0.6 then (2*β-0.4) in % </v>
      </c>
      <c r="D66" s="31"/>
    </row>
    <row r="67" spans="1:10" ht="16.5" x14ac:dyDescent="0.3">
      <c r="A67" s="3" t="s">
        <v>62</v>
      </c>
      <c r="B67" s="41">
        <f>1/SQRT(1-B69^4)</f>
        <v>1.033865991098414</v>
      </c>
      <c r="C67" s="52"/>
      <c r="D67" s="53"/>
      <c r="F67" s="3" t="s">
        <v>45</v>
      </c>
      <c r="G67" s="37">
        <f>((B27/((G43/(SQRT(1-(G45^4))))*G44*(PI()/4)*(G37^2)))^2)/(2*B28)</f>
        <v>25731.683640613013</v>
      </c>
      <c r="H67" s="3" t="s">
        <v>10</v>
      </c>
    </row>
    <row r="68" spans="1:10" x14ac:dyDescent="0.25">
      <c r="A68" s="3" t="s">
        <v>76</v>
      </c>
      <c r="B68" s="41">
        <f>IF(Fluid_in="Liquid",1,SQRT(Isentropic*B35^(2/Isentropic)/(Isentropic-1)*(1-B60^4)/(1-B60^4*B35^(2/Isentropic))*(1-B35^((Isentropic-1)/Isentropic))/(1-B35)))</f>
        <v>0.99707284989171374</v>
      </c>
      <c r="C68" s="55">
        <f>B65</f>
        <v>1E-4</v>
      </c>
      <c r="D68" s="56" t="s">
        <v>66</v>
      </c>
    </row>
    <row r="69" spans="1:10" x14ac:dyDescent="0.25">
      <c r="A69" s="3" t="s">
        <v>77</v>
      </c>
      <c r="B69" s="49">
        <f>((1+((B66*B68/B44))^2)^-0.25)</f>
        <v>0.50383624469747079</v>
      </c>
      <c r="C69" s="31"/>
      <c r="D69" s="31"/>
      <c r="J69" s="43"/>
    </row>
    <row r="70" spans="1:10" ht="15" customHeight="1" x14ac:dyDescent="0.25">
      <c r="A70" s="3" t="s">
        <v>65</v>
      </c>
      <c r="B70" s="54">
        <f>(1-B69^4*(1-B66^2)*0.5-B66*B69^2)/(1-B69^4*(1-B66^2)*0.5+B66*B69^2)*B36</f>
        <v>15059.366633118274</v>
      </c>
      <c r="C70" s="54" t="s">
        <v>10</v>
      </c>
      <c r="D70" s="54"/>
    </row>
    <row r="71" spans="1:10" ht="18.75" x14ac:dyDescent="0.3">
      <c r="F71" s="3" t="s">
        <v>45</v>
      </c>
      <c r="G71" s="38">
        <f>((B27/((G43/(SQRT(1-(G45^4))))*G44*(PI()/4)*(G37^2)))^2)/(2*B28)</f>
        <v>25731.683640613013</v>
      </c>
      <c r="H71" s="3" t="s">
        <v>10</v>
      </c>
    </row>
    <row r="72" spans="1:10" ht="18.75" x14ac:dyDescent="0.3">
      <c r="A72" s="3" t="s">
        <v>39</v>
      </c>
      <c r="B72" s="27">
        <f>B39*1000</f>
        <v>128.23176570694903</v>
      </c>
      <c r="C72" s="3" t="s">
        <v>38</v>
      </c>
      <c r="G72" s="29">
        <f>G36*1000</f>
        <v>127.28493960264383</v>
      </c>
    </row>
    <row r="73" spans="1:10" x14ac:dyDescent="0.25">
      <c r="A73" s="3" t="s">
        <v>37</v>
      </c>
      <c r="B73" s="28">
        <f>B38*1000</f>
        <v>128.23431212052924</v>
      </c>
      <c r="C73" s="3" t="s">
        <v>38</v>
      </c>
      <c r="F73" s="3" t="s">
        <v>37</v>
      </c>
      <c r="G73" s="29">
        <f>G37*1000</f>
        <v>127.28746721424596</v>
      </c>
      <c r="H73" s="3" t="s">
        <v>38</v>
      </c>
    </row>
    <row r="74" spans="1:10" x14ac:dyDescent="0.25">
      <c r="A74" s="3" t="s">
        <v>35</v>
      </c>
      <c r="B74" s="39">
        <f>(B66/(SQRT(1-(B55^4))))*B68*(PI()/4)*((B55*B29)^2)*(SQRT(2*B36*B28))</f>
        <v>2.999946427218485</v>
      </c>
      <c r="C74" s="3" t="s">
        <v>12</v>
      </c>
      <c r="D74" s="21"/>
      <c r="F74" s="3" t="s">
        <v>35</v>
      </c>
      <c r="G74" s="34">
        <f>(G43/(SQRT(1-(G38^4))))*G44*(PI()/4)*((G37)^2)*(SQRT(2*G71*B28))</f>
        <v>2.997068912244444</v>
      </c>
      <c r="H74" s="3" t="s">
        <v>12</v>
      </c>
    </row>
  </sheetData>
  <mergeCells count="4">
    <mergeCell ref="E1:F1"/>
    <mergeCell ref="B64:D64"/>
    <mergeCell ref="B65:D65"/>
    <mergeCell ref="G41:I41"/>
  </mergeCells>
  <conditionalFormatting sqref="A10:C10 A8:C8">
    <cfRule type="expression" dxfId="4" priority="1">
      <formula>$B$4="Liquid"</formula>
    </cfRule>
  </conditionalFormatting>
  <dataValidations disablePrompts="1" count="1">
    <dataValidation type="list" allowBlank="1" showInputMessage="1" showErrorMessage="1" sqref="B4">
      <formula1>Fluid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zoomScale="70" zoomScaleNormal="70" workbookViewId="0">
      <selection activeCell="E5" sqref="E5"/>
    </sheetView>
  </sheetViews>
  <sheetFormatPr defaultRowHeight="15" x14ac:dyDescent="0.25"/>
  <cols>
    <col min="1" max="1" width="34.5703125" style="3" bestFit="1" customWidth="1"/>
    <col min="2" max="2" width="29.42578125" style="3" bestFit="1" customWidth="1"/>
    <col min="3" max="3" width="9.7109375" style="3" customWidth="1"/>
    <col min="4" max="4" width="14.140625" style="3" customWidth="1"/>
    <col min="5" max="6" width="30.28515625" style="3" bestFit="1" customWidth="1"/>
    <col min="7" max="7" width="13" style="3" bestFit="1" customWidth="1"/>
    <col min="8" max="8" width="18.28515625" style="3" customWidth="1"/>
    <col min="9" max="9" width="24.28515625" style="3" customWidth="1"/>
    <col min="10" max="10" width="9.140625" style="3" customWidth="1"/>
    <col min="11" max="16384" width="9.140625" style="3"/>
  </cols>
  <sheetData>
    <row r="1" spans="1:7" ht="18.75" x14ac:dyDescent="0.25">
      <c r="A1" s="24" t="s">
        <v>47</v>
      </c>
      <c r="B1" s="25" t="s">
        <v>48</v>
      </c>
      <c r="E1" s="76" t="s">
        <v>85</v>
      </c>
      <c r="F1" s="76"/>
      <c r="G1" s="26"/>
    </row>
    <row r="2" spans="1:7" hidden="1" x14ac:dyDescent="0.25">
      <c r="A2" s="1"/>
      <c r="B2" s="2"/>
    </row>
    <row r="3" spans="1:7" hidden="1" x14ac:dyDescent="0.25"/>
    <row r="4" spans="1:7" hidden="1" x14ac:dyDescent="0.25"/>
    <row r="5" spans="1:7" hidden="1" x14ac:dyDescent="0.25"/>
    <row r="6" spans="1:7" hidden="1" x14ac:dyDescent="0.25"/>
    <row r="7" spans="1:7" hidden="1" x14ac:dyDescent="0.25"/>
    <row r="8" spans="1:7" hidden="1" x14ac:dyDescent="0.25"/>
    <row r="9" spans="1:7" hidden="1" x14ac:dyDescent="0.25"/>
    <row r="10" spans="1:7" hidden="1" x14ac:dyDescent="0.25"/>
    <row r="11" spans="1:7" hidden="1" x14ac:dyDescent="0.25"/>
    <row r="12" spans="1:7" hidden="1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spans="1:5" hidden="1" x14ac:dyDescent="0.25"/>
    <row r="18" spans="1:5" hidden="1" x14ac:dyDescent="0.25"/>
    <row r="19" spans="1:5" hidden="1" x14ac:dyDescent="0.25"/>
    <row r="20" spans="1:5" hidden="1" x14ac:dyDescent="0.25"/>
    <row r="21" spans="1:5" hidden="1" x14ac:dyDescent="0.25"/>
    <row r="22" spans="1:5" hidden="1" x14ac:dyDescent="0.25"/>
    <row r="23" spans="1:5" hidden="1" x14ac:dyDescent="0.25"/>
    <row r="25" spans="1:5" x14ac:dyDescent="0.25">
      <c r="A25" s="6" t="s">
        <v>19</v>
      </c>
      <c r="B25" s="7">
        <f>OpPress</f>
        <v>5000000</v>
      </c>
      <c r="C25" s="8" t="s">
        <v>10</v>
      </c>
    </row>
    <row r="26" spans="1:5" x14ac:dyDescent="0.25">
      <c r="A26" s="9" t="s">
        <v>20</v>
      </c>
      <c r="B26" s="10">
        <f>OpTemp</f>
        <v>294.26</v>
      </c>
      <c r="C26" s="11" t="s">
        <v>11</v>
      </c>
    </row>
    <row r="27" spans="1:5" x14ac:dyDescent="0.25">
      <c r="A27" s="9" t="s">
        <v>21</v>
      </c>
      <c r="B27" s="10">
        <f>Flow</f>
        <v>3</v>
      </c>
      <c r="C27" s="11" t="s">
        <v>12</v>
      </c>
      <c r="E27" s="2"/>
    </row>
    <row r="28" spans="1:5" x14ac:dyDescent="0.25">
      <c r="A28" s="9" t="s">
        <v>22</v>
      </c>
      <c r="B28" s="10">
        <f>OpDens</f>
        <v>1.0660000000000001</v>
      </c>
      <c r="C28" s="12" t="s">
        <v>13</v>
      </c>
      <c r="E28" s="2"/>
    </row>
    <row r="29" spans="1:5" x14ac:dyDescent="0.25">
      <c r="A29" s="9" t="s">
        <v>23</v>
      </c>
      <c r="B29" s="10">
        <f>(ID)*(1+Input!C16*(B26-293.15))</f>
        <v>0.25451585405001526</v>
      </c>
      <c r="C29" s="11" t="s">
        <v>14</v>
      </c>
      <c r="E29" s="2"/>
    </row>
    <row r="30" spans="1:5" x14ac:dyDescent="0.25">
      <c r="A30" s="9" t="s">
        <v>24</v>
      </c>
      <c r="B30" s="10">
        <f>((B29/2)^2)*PI()</f>
        <v>5.087677352676219E-2</v>
      </c>
      <c r="C30" s="11" t="s">
        <v>15</v>
      </c>
    </row>
    <row r="31" spans="1:5" x14ac:dyDescent="0.25">
      <c r="A31" s="9" t="s">
        <v>25</v>
      </c>
      <c r="B31" s="10">
        <f>(Flow/B28)/B30</f>
        <v>55.315200173602427</v>
      </c>
      <c r="C31" s="11" t="s">
        <v>16</v>
      </c>
    </row>
    <row r="32" spans="1:5" x14ac:dyDescent="0.25">
      <c r="A32" s="9" t="s">
        <v>26</v>
      </c>
      <c r="B32" s="10">
        <f>Visc</f>
        <v>1.8E-5</v>
      </c>
      <c r="C32" s="11" t="s">
        <v>17</v>
      </c>
    </row>
    <row r="33" spans="1:12" x14ac:dyDescent="0.25">
      <c r="A33" s="13" t="s">
        <v>27</v>
      </c>
      <c r="B33" s="50">
        <f>(B28*B31*B29)/(B32)</f>
        <v>833765.7061924825</v>
      </c>
      <c r="C33" s="15"/>
      <c r="H33" s="30"/>
      <c r="I33" s="30"/>
    </row>
    <row r="34" spans="1:12" x14ac:dyDescent="0.25">
      <c r="F34" s="35" t="s">
        <v>56</v>
      </c>
      <c r="J34" s="30"/>
    </row>
    <row r="35" spans="1:12" x14ac:dyDescent="0.25">
      <c r="A35" s="3" t="s">
        <v>49</v>
      </c>
      <c r="B35" s="3">
        <f>B37/B25</f>
        <v>0.995</v>
      </c>
      <c r="F35" s="3" t="s">
        <v>60</v>
      </c>
      <c r="G35" s="3">
        <f>B27/(B43*((B29*1000)^2)*1*(SQRT(B28))*((SQRT(B36/1000))))</f>
        <v>0.25541013917016603</v>
      </c>
      <c r="I35" s="40"/>
      <c r="J35" s="30"/>
    </row>
    <row r="36" spans="1:12" x14ac:dyDescent="0.25">
      <c r="A36" s="3" t="s">
        <v>28</v>
      </c>
      <c r="B36" s="3">
        <f>DP</f>
        <v>25000</v>
      </c>
      <c r="C36" s="3" t="s">
        <v>10</v>
      </c>
      <c r="F36" s="3" t="s">
        <v>36</v>
      </c>
      <c r="G36" s="3">
        <f>G37/(1+Input!C16*(B26-293.15))</f>
        <v>0.12728493960264384</v>
      </c>
      <c r="J36" s="30"/>
    </row>
    <row r="37" spans="1:12" x14ac:dyDescent="0.25">
      <c r="A37" s="3" t="s">
        <v>29</v>
      </c>
      <c r="B37" s="3">
        <f>B25-B36</f>
        <v>4975000</v>
      </c>
      <c r="C37" s="3" t="s">
        <v>10</v>
      </c>
      <c r="F37" s="3" t="s">
        <v>46</v>
      </c>
      <c r="G37" s="3">
        <f>Bore*(1+Input!C16*(B26-293.15))</f>
        <v>0.12728746721424597</v>
      </c>
      <c r="H37" s="3" t="s">
        <v>14</v>
      </c>
      <c r="I37" s="30"/>
      <c r="J37" s="30"/>
    </row>
    <row r="38" spans="1:12" x14ac:dyDescent="0.25">
      <c r="A38" s="3" t="s">
        <v>37</v>
      </c>
      <c r="B38" s="18">
        <f>B69*B29</f>
        <v>0.12729722691191905</v>
      </c>
      <c r="C38" s="19" t="s">
        <v>14</v>
      </c>
      <c r="F38" s="3" t="s">
        <v>57</v>
      </c>
      <c r="G38" s="20">
        <f>G37/B29</f>
        <v>0.50011606424027533</v>
      </c>
      <c r="I38" s="30"/>
      <c r="J38" s="30"/>
    </row>
    <row r="39" spans="1:12" x14ac:dyDescent="0.25">
      <c r="A39" s="3" t="s">
        <v>36</v>
      </c>
      <c r="B39" s="3">
        <f>B38/(1+Input!C16*(B26-293.15))</f>
        <v>0.12729469910651367</v>
      </c>
      <c r="C39" s="3" t="s">
        <v>14</v>
      </c>
      <c r="F39" s="3" t="s">
        <v>43</v>
      </c>
      <c r="G39" s="3">
        <f>(19000*G38/$B$33)^0.8</f>
        <v>2.7888445159408116E-2</v>
      </c>
      <c r="I39" s="30"/>
      <c r="J39" s="30"/>
    </row>
    <row r="40" spans="1:12" x14ac:dyDescent="0.25">
      <c r="I40" s="30"/>
      <c r="J40" s="30"/>
    </row>
    <row r="41" spans="1:12" x14ac:dyDescent="0.25">
      <c r="F41" s="3" t="s">
        <v>61</v>
      </c>
      <c r="G41" s="77" t="s">
        <v>64</v>
      </c>
      <c r="H41" s="78"/>
      <c r="I41" s="78"/>
      <c r="J41" s="30"/>
    </row>
    <row r="42" spans="1:12" x14ac:dyDescent="0.25">
      <c r="F42" s="3" t="s">
        <v>63</v>
      </c>
      <c r="G42" s="42">
        <f>2*(G67/B25)/100</f>
        <v>1.0003060121402403E-4</v>
      </c>
      <c r="H42" s="59" t="s">
        <v>66</v>
      </c>
      <c r="I42" s="48"/>
      <c r="J42" s="30"/>
    </row>
    <row r="43" spans="1:12" ht="18" x14ac:dyDescent="0.35">
      <c r="A43" s="3" t="s">
        <v>31</v>
      </c>
      <c r="B43" s="3">
        <v>3.5124070000000003E-5</v>
      </c>
      <c r="C43" s="3" t="s">
        <v>32</v>
      </c>
      <c r="F43" s="31" t="s">
        <v>44</v>
      </c>
      <c r="G43" s="49">
        <f>0.9965-0.00653*SQRT(10^6*G38/B33)</f>
        <v>0.99144260855463884</v>
      </c>
      <c r="H43" s="47" t="str">
        <f>G41</f>
        <v xml:space="preserve">If β2 =&lt;0.6 then 0.8%  /  If β2 &gt;0.6 then (2*β-0.4) in % </v>
      </c>
      <c r="I43" s="58" t="s">
        <v>66</v>
      </c>
      <c r="J43" s="30"/>
      <c r="L43" s="51"/>
    </row>
    <row r="44" spans="1:12" ht="18" x14ac:dyDescent="0.35">
      <c r="A44" s="3" t="s">
        <v>30</v>
      </c>
      <c r="B44" s="3">
        <f>B27/(B43*((B29*1000)^2)*1*(SQRT(B28))*((SQRT(B36/1000))))</f>
        <v>0.25541013917016603</v>
      </c>
      <c r="F44" s="31" t="s">
        <v>78</v>
      </c>
      <c r="G44" s="31">
        <f>IF(Fluid_in="Liquid",1,SQRT(Isentropic*B35^(2/Isentropic)/(Isentropic-1)*(1-G38^4)/(1-G38^4*B35^(2/Isentropic))*(1-B35^((Isentropic-1)/Isentropic))/(1-B35)))</f>
        <v>0.9970804802421146</v>
      </c>
      <c r="H44" s="60">
        <f>G42</f>
        <v>1.0003060121402403E-4</v>
      </c>
      <c r="I44" s="57" t="s">
        <v>66</v>
      </c>
      <c r="J44" s="30"/>
    </row>
    <row r="45" spans="1:12" x14ac:dyDescent="0.25">
      <c r="A45" s="3" t="s">
        <v>58</v>
      </c>
      <c r="B45" s="20">
        <f>((1+((0.9975/B44))^2)^-0.25)</f>
        <v>0.49804428419590169</v>
      </c>
      <c r="F45" s="31" t="s">
        <v>69</v>
      </c>
      <c r="G45" s="31">
        <f>((1+((G43*G44/G35))^2)^-0.25)</f>
        <v>0.50015434627170297</v>
      </c>
      <c r="J45" s="30"/>
    </row>
    <row r="46" spans="1:12" x14ac:dyDescent="0.25">
      <c r="B46" s="20">
        <f>(19000*B45/$B$33)^0.8</f>
        <v>2.7795982303777774E-2</v>
      </c>
      <c r="F46" s="31" t="s">
        <v>62</v>
      </c>
      <c r="G46" s="31">
        <f>1/SQRT(1-G45^4)</f>
        <v>1.0328380901413714</v>
      </c>
      <c r="I46" s="30"/>
      <c r="J46" s="30"/>
    </row>
    <row r="47" spans="1:12" x14ac:dyDescent="0.25">
      <c r="B47" s="20"/>
      <c r="I47" s="30"/>
      <c r="J47" s="30"/>
    </row>
    <row r="48" spans="1:12" ht="18" x14ac:dyDescent="0.35">
      <c r="A48" s="3" t="s">
        <v>33</v>
      </c>
      <c r="B48" s="20">
        <f>0.9965-0.00653*SQRT(10^6*B45/B33)</f>
        <v>0.99145309479702348</v>
      </c>
    </row>
    <row r="49" spans="1:7" ht="18" x14ac:dyDescent="0.35">
      <c r="A49" s="3" t="s">
        <v>34</v>
      </c>
      <c r="B49" s="20">
        <f>IF(Fluid_in="Liquid",1,SQRT(Isentropic*B35^(2/Isentropic)/(Isentropic-1)*(1-B45^4)/(1-B45^4*B35^(2/Isentropic))*(1-B35^((Isentropic-1)/Isentropic))/(1-B35)))</f>
        <v>0.99708464368728345</v>
      </c>
    </row>
    <row r="50" spans="1:7" ht="18" x14ac:dyDescent="0.35">
      <c r="A50" s="3" t="s">
        <v>59</v>
      </c>
      <c r="B50" s="20">
        <f>((1+((B48*B49/B44))^2)^-0.25)</f>
        <v>0.50015088792223905</v>
      </c>
      <c r="C50" s="20"/>
    </row>
    <row r="51" spans="1:7" x14ac:dyDescent="0.25">
      <c r="B51" s="20">
        <f>(19000*B50/$B$33)^0.8</f>
        <v>2.7889998673325218E-2</v>
      </c>
      <c r="C51" s="20"/>
    </row>
    <row r="52" spans="1:7" x14ac:dyDescent="0.25">
      <c r="B52" s="20"/>
      <c r="C52" s="20"/>
    </row>
    <row r="53" spans="1:7" ht="18" x14ac:dyDescent="0.35">
      <c r="A53" s="3" t="s">
        <v>41</v>
      </c>
      <c r="B53" s="20">
        <f>0.9965-0.00653*SQRT(10^6*B50/B33)</f>
        <v>0.99144243248158481</v>
      </c>
      <c r="C53" s="20"/>
      <c r="D53" s="17"/>
    </row>
    <row r="54" spans="1:7" ht="18" x14ac:dyDescent="0.35">
      <c r="A54" s="3" t="s">
        <v>42</v>
      </c>
      <c r="B54" s="20">
        <f>IF(Fluid_in="Liquid",1,SQRT(Isentropic*B35^(2/Isentropic)/(Isentropic-1)*(1-B50^4)/(1-B50^4*B35^(2/Isentropic))*(1-B35^((Isentropic-1)/Isentropic))/(1-B35)))</f>
        <v>0.99708040973853818</v>
      </c>
      <c r="C54" s="20"/>
      <c r="D54" s="16"/>
    </row>
    <row r="55" spans="1:7" ht="18" x14ac:dyDescent="0.35">
      <c r="A55" s="3" t="s">
        <v>40</v>
      </c>
      <c r="B55" s="20">
        <f>((1+((B53*B54/B44))^2)^-0.25)</f>
        <v>0.50015440448084902</v>
      </c>
      <c r="C55" s="16"/>
    </row>
    <row r="56" spans="1:7" x14ac:dyDescent="0.25">
      <c r="B56" s="20">
        <f>(19000*B55/$B$33)^0.8</f>
        <v>2.789015554877762E-2</v>
      </c>
    </row>
    <row r="57" spans="1:7" x14ac:dyDescent="0.25">
      <c r="B57" s="20"/>
    </row>
    <row r="58" spans="1:7" x14ac:dyDescent="0.25">
      <c r="A58" s="3" t="s">
        <v>70</v>
      </c>
      <c r="B58" s="3">
        <f>0.9965-0.00653*SQRT(10^6*B55/B33)</f>
        <v>0.99144241470174899</v>
      </c>
    </row>
    <row r="59" spans="1:7" x14ac:dyDescent="0.25">
      <c r="A59" s="3" t="s">
        <v>71</v>
      </c>
      <c r="B59" s="3">
        <f>IF(Fluid_in="Liquid",1,SQRT(Isentropic*B35^(2/Isentropic)/(Isentropic-1)*(1-B55^4)/(1-B55^4*B35^(2/Isentropic))*(1-B35^((Isentropic-1)/Isentropic))/(1-B35)))</f>
        <v>0.99708040261799558</v>
      </c>
    </row>
    <row r="60" spans="1:7" x14ac:dyDescent="0.25">
      <c r="A60" s="3" t="s">
        <v>72</v>
      </c>
      <c r="B60" s="3">
        <f>((1+((B58*B59/B44))^2)^-0.25)</f>
        <v>0.50015441035906094</v>
      </c>
    </row>
    <row r="63" spans="1:7" x14ac:dyDescent="0.25">
      <c r="C63" s="45"/>
      <c r="D63" s="46"/>
    </row>
    <row r="64" spans="1:7" x14ac:dyDescent="0.25">
      <c r="A64" s="3" t="s">
        <v>73</v>
      </c>
      <c r="B64" s="77" t="s">
        <v>68</v>
      </c>
      <c r="C64" s="78"/>
      <c r="D64" s="78"/>
      <c r="G64" s="42"/>
    </row>
    <row r="65" spans="1:10" x14ac:dyDescent="0.25">
      <c r="A65" s="3" t="s">
        <v>74</v>
      </c>
      <c r="B65" s="79">
        <f>2*(B36/B25)/100</f>
        <v>1E-4</v>
      </c>
      <c r="C65" s="79"/>
      <c r="D65" s="79"/>
    </row>
    <row r="66" spans="1:10" x14ac:dyDescent="0.25">
      <c r="A66" s="3" t="s">
        <v>75</v>
      </c>
      <c r="B66" s="49">
        <f>0.9965-0.00653*SQRT(10^6*B60/B33)</f>
        <v>0.99144241467202865</v>
      </c>
      <c r="C66" s="29" t="str">
        <f>B64</f>
        <v>If β =&gt;2 and =&lt;0.8 then uncertainty = 2.0%</v>
      </c>
      <c r="D66" s="31"/>
    </row>
    <row r="67" spans="1:10" ht="16.5" x14ac:dyDescent="0.3">
      <c r="A67" s="3" t="s">
        <v>62</v>
      </c>
      <c r="B67" s="41">
        <f>1/SQRT(1-B69^4)</f>
        <v>1.0328381078130546</v>
      </c>
      <c r="C67" s="52"/>
      <c r="D67" s="53"/>
      <c r="F67" s="3" t="s">
        <v>45</v>
      </c>
      <c r="G67" s="37">
        <f>((B27/((G43/(SQRT(1-(G45^4))))*G44*(PI()/4)*(G37^2)))^2)/(2*B28)</f>
        <v>25007.650303506009</v>
      </c>
      <c r="H67" s="3" t="s">
        <v>10</v>
      </c>
    </row>
    <row r="68" spans="1:10" x14ac:dyDescent="0.25">
      <c r="A68" s="3" t="s">
        <v>76</v>
      </c>
      <c r="B68" s="41">
        <f>IF(Fluid_in="Liquid",1,SQRT(Isentropic*B35^(2/Isentropic)/(Isentropic-1)*(1-B60^4)/(1-B60^4*B35^(2/Isentropic))*(1-B35^((Isentropic-1)/Isentropic))/(1-B35)))</f>
        <v>0.99708040260609287</v>
      </c>
      <c r="C68" s="55">
        <f>B65</f>
        <v>1E-4</v>
      </c>
      <c r="D68" s="56" t="s">
        <v>66</v>
      </c>
    </row>
    <row r="69" spans="1:10" x14ac:dyDescent="0.25">
      <c r="A69" s="3" t="s">
        <v>77</v>
      </c>
      <c r="B69" s="31">
        <f>((1+((B66*B68/B44))^2)^-0.25)</f>
        <v>0.50015441036888686</v>
      </c>
      <c r="C69" s="31"/>
      <c r="D69" s="31"/>
      <c r="J69" s="43"/>
    </row>
    <row r="70" spans="1:10" ht="15" customHeight="1" x14ac:dyDescent="0.25">
      <c r="A70" s="3" t="s">
        <v>65</v>
      </c>
      <c r="B70" s="54">
        <f>(1-B69^4*(1-B66^2)*0.5-B66*B69^2)/(1-B69^4*(1-B66^2)*0.5+B66*B69^2)*B36</f>
        <v>15059.415085766977</v>
      </c>
      <c r="C70" s="54" t="s">
        <v>10</v>
      </c>
      <c r="D70" s="54"/>
    </row>
    <row r="71" spans="1:10" ht="18.75" x14ac:dyDescent="0.3">
      <c r="F71" s="3" t="s">
        <v>45</v>
      </c>
      <c r="G71" s="38">
        <f>((B27/((G43/(SQRT(1-(G45^4))))*G44*(PI()/4)*(G37^2)))^2)/(2*B28)</f>
        <v>25007.650303506009</v>
      </c>
      <c r="H71" s="3" t="s">
        <v>10</v>
      </c>
    </row>
    <row r="72" spans="1:10" ht="18.75" x14ac:dyDescent="0.3">
      <c r="A72" s="3" t="s">
        <v>39</v>
      </c>
      <c r="B72" s="27">
        <f>B39*1000</f>
        <v>127.29469910651368</v>
      </c>
      <c r="C72" s="3" t="s">
        <v>38</v>
      </c>
      <c r="G72" s="29">
        <f>G36*1000</f>
        <v>127.28493960264383</v>
      </c>
    </row>
    <row r="73" spans="1:10" x14ac:dyDescent="0.25">
      <c r="A73" s="3" t="s">
        <v>37</v>
      </c>
      <c r="B73" s="28">
        <f>B38*1000</f>
        <v>127.29722691191905</v>
      </c>
      <c r="C73" s="3" t="s">
        <v>38</v>
      </c>
      <c r="F73" s="3" t="s">
        <v>37</v>
      </c>
      <c r="G73" s="29">
        <f>G37*1000</f>
        <v>127.28746721424596</v>
      </c>
      <c r="H73" s="3" t="s">
        <v>38</v>
      </c>
    </row>
    <row r="74" spans="1:10" x14ac:dyDescent="0.25">
      <c r="A74" s="3" t="s">
        <v>35</v>
      </c>
      <c r="B74" s="39">
        <f>(B66/(SQRT(1-(B55^4))))*B68*(PI()/4)*((B55*B29)^2)*(SQRT(2*B36*B28))</f>
        <v>3.0000002368466432</v>
      </c>
      <c r="C74" s="3" t="s">
        <v>12</v>
      </c>
      <c r="D74" s="21"/>
      <c r="F74" s="3" t="s">
        <v>35</v>
      </c>
      <c r="G74" s="34">
        <f>(G43/(SQRT(1-(G38^4))))*G44*(PI()/4)*((G37)^2)*(SQRT(2*G71*B28))</f>
        <v>2.9999693474689542</v>
      </c>
      <c r="H74" s="3" t="s">
        <v>12</v>
      </c>
    </row>
  </sheetData>
  <mergeCells count="4">
    <mergeCell ref="E1:F1"/>
    <mergeCell ref="G41:I41"/>
    <mergeCell ref="B64:D64"/>
    <mergeCell ref="B65:D65"/>
  </mergeCells>
  <conditionalFormatting sqref="A10:C10 A8:C8">
    <cfRule type="expression" dxfId="3" priority="1">
      <formula>$B$4="Liquid"</formula>
    </cfRule>
  </conditionalFormatting>
  <dataValidations disablePrompts="1" count="1">
    <dataValidation type="list" allowBlank="1" showInputMessage="1" showErrorMessage="1" sqref="B4">
      <formula1>Fluid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zoomScale="70" zoomScaleNormal="70" workbookViewId="0">
      <selection activeCell="E5" sqref="E5"/>
    </sheetView>
  </sheetViews>
  <sheetFormatPr defaultRowHeight="15" x14ac:dyDescent="0.25"/>
  <cols>
    <col min="1" max="1" width="34.5703125" style="3" bestFit="1" customWidth="1"/>
    <col min="2" max="2" width="29.42578125" style="3" bestFit="1" customWidth="1"/>
    <col min="3" max="3" width="9.7109375" style="3" customWidth="1"/>
    <col min="4" max="4" width="14.140625" style="3" customWidth="1"/>
    <col min="5" max="6" width="30.28515625" style="3" bestFit="1" customWidth="1"/>
    <col min="7" max="7" width="13" style="3" bestFit="1" customWidth="1"/>
    <col min="8" max="8" width="6.85546875" style="3" customWidth="1"/>
    <col min="9" max="9" width="24.28515625" style="3" customWidth="1"/>
    <col min="10" max="10" width="9.140625" style="3" customWidth="1"/>
    <col min="11" max="16384" width="9.140625" style="3"/>
  </cols>
  <sheetData>
    <row r="1" spans="1:7" ht="18.75" x14ac:dyDescent="0.25">
      <c r="A1" s="24" t="s">
        <v>47</v>
      </c>
      <c r="B1" s="25" t="s">
        <v>48</v>
      </c>
      <c r="E1" s="76" t="s">
        <v>86</v>
      </c>
      <c r="F1" s="76"/>
      <c r="G1" s="26"/>
    </row>
    <row r="2" spans="1:7" hidden="1" x14ac:dyDescent="0.25">
      <c r="A2" s="1"/>
      <c r="B2" s="2"/>
    </row>
    <row r="3" spans="1:7" hidden="1" x14ac:dyDescent="0.25"/>
    <row r="4" spans="1:7" hidden="1" x14ac:dyDescent="0.25"/>
    <row r="5" spans="1:7" hidden="1" x14ac:dyDescent="0.25"/>
    <row r="6" spans="1:7" hidden="1" x14ac:dyDescent="0.25"/>
    <row r="7" spans="1:7" hidden="1" x14ac:dyDescent="0.25"/>
    <row r="8" spans="1:7" hidden="1" x14ac:dyDescent="0.25"/>
    <row r="9" spans="1:7" hidden="1" x14ac:dyDescent="0.25"/>
    <row r="10" spans="1:7" hidden="1" x14ac:dyDescent="0.25"/>
    <row r="11" spans="1:7" hidden="1" x14ac:dyDescent="0.25"/>
    <row r="12" spans="1:7" hidden="1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spans="1:5" hidden="1" x14ac:dyDescent="0.25"/>
    <row r="18" spans="1:5" hidden="1" x14ac:dyDescent="0.25"/>
    <row r="19" spans="1:5" hidden="1" x14ac:dyDescent="0.25"/>
    <row r="20" spans="1:5" hidden="1" x14ac:dyDescent="0.25"/>
    <row r="21" spans="1:5" hidden="1" x14ac:dyDescent="0.25"/>
    <row r="22" spans="1:5" hidden="1" x14ac:dyDescent="0.25"/>
    <row r="23" spans="1:5" hidden="1" x14ac:dyDescent="0.25"/>
    <row r="25" spans="1:5" x14ac:dyDescent="0.25">
      <c r="A25" s="6" t="s">
        <v>19</v>
      </c>
      <c r="B25" s="7">
        <f>OpPress</f>
        <v>5000000</v>
      </c>
      <c r="C25" s="8" t="s">
        <v>10</v>
      </c>
    </row>
    <row r="26" spans="1:5" x14ac:dyDescent="0.25">
      <c r="A26" s="9" t="s">
        <v>20</v>
      </c>
      <c r="B26" s="10">
        <f>OpTemp</f>
        <v>294.26</v>
      </c>
      <c r="C26" s="11" t="s">
        <v>11</v>
      </c>
    </row>
    <row r="27" spans="1:5" x14ac:dyDescent="0.25">
      <c r="A27" s="9" t="s">
        <v>21</v>
      </c>
      <c r="B27" s="10">
        <f>Flow</f>
        <v>3</v>
      </c>
      <c r="C27" s="11" t="s">
        <v>12</v>
      </c>
      <c r="E27" s="2"/>
    </row>
    <row r="28" spans="1:5" x14ac:dyDescent="0.25">
      <c r="A28" s="9" t="s">
        <v>22</v>
      </c>
      <c r="B28" s="10">
        <f>OpDens</f>
        <v>1.0660000000000001</v>
      </c>
      <c r="C28" s="12" t="s">
        <v>13</v>
      </c>
      <c r="E28" s="2"/>
    </row>
    <row r="29" spans="1:5" x14ac:dyDescent="0.25">
      <c r="A29" s="9" t="s">
        <v>23</v>
      </c>
      <c r="B29" s="10">
        <f>(ID)*(1+Input!C16*(B26-293.15))</f>
        <v>0.25451585405001526</v>
      </c>
      <c r="C29" s="11" t="s">
        <v>14</v>
      </c>
      <c r="E29" s="2"/>
    </row>
    <row r="30" spans="1:5" x14ac:dyDescent="0.25">
      <c r="A30" s="9" t="s">
        <v>24</v>
      </c>
      <c r="B30" s="10">
        <f>((B29/2)^2)*PI()</f>
        <v>5.087677352676219E-2</v>
      </c>
      <c r="C30" s="11" t="s">
        <v>15</v>
      </c>
    </row>
    <row r="31" spans="1:5" x14ac:dyDescent="0.25">
      <c r="A31" s="9" t="s">
        <v>25</v>
      </c>
      <c r="B31" s="10">
        <f>(Flow/B28)/B30</f>
        <v>55.315200173602427</v>
      </c>
      <c r="C31" s="11" t="s">
        <v>16</v>
      </c>
    </row>
    <row r="32" spans="1:5" x14ac:dyDescent="0.25">
      <c r="A32" s="9" t="s">
        <v>26</v>
      </c>
      <c r="B32" s="10">
        <f>Visc</f>
        <v>1.8E-5</v>
      </c>
      <c r="C32" s="11" t="s">
        <v>17</v>
      </c>
    </row>
    <row r="33" spans="1:12" x14ac:dyDescent="0.25">
      <c r="A33" s="9" t="s">
        <v>79</v>
      </c>
      <c r="B33" s="63">
        <f>(B28*B31*B29)/(B32)</f>
        <v>833765.7061924825</v>
      </c>
      <c r="C33" s="64"/>
      <c r="F33" s="80" t="s">
        <v>56</v>
      </c>
      <c r="H33" s="30"/>
      <c r="I33" s="30"/>
    </row>
    <row r="34" spans="1:12" x14ac:dyDescent="0.25">
      <c r="A34" s="9" t="s">
        <v>81</v>
      </c>
      <c r="B34" s="63">
        <f>B33/B48</f>
        <v>1674079.4596982615</v>
      </c>
      <c r="C34" s="64"/>
      <c r="F34" s="80"/>
      <c r="J34" s="30"/>
    </row>
    <row r="35" spans="1:12" x14ac:dyDescent="0.25">
      <c r="A35" s="9" t="s">
        <v>82</v>
      </c>
      <c r="B35" s="63">
        <f>B33/B53</f>
        <v>1667151.5392254866</v>
      </c>
      <c r="C35" s="64"/>
      <c r="F35" s="80"/>
      <c r="J35" s="30"/>
    </row>
    <row r="36" spans="1:12" x14ac:dyDescent="0.25">
      <c r="A36" s="13" t="s">
        <v>80</v>
      </c>
      <c r="B36" s="50">
        <f>B33/B58</f>
        <v>1667144.4280349587</v>
      </c>
      <c r="C36" s="15"/>
      <c r="F36" s="80"/>
      <c r="J36" s="30"/>
    </row>
    <row r="37" spans="1:12" x14ac:dyDescent="0.25">
      <c r="A37" s="30"/>
      <c r="B37" s="66"/>
      <c r="C37" s="30"/>
      <c r="J37" s="30"/>
    </row>
    <row r="38" spans="1:12" x14ac:dyDescent="0.25">
      <c r="A38" s="3" t="s">
        <v>49</v>
      </c>
      <c r="B38" s="3">
        <f>B40/B25</f>
        <v>0.995</v>
      </c>
      <c r="D38" s="65">
        <f>B39/B25</f>
        <v>5.0000000000000001E-3</v>
      </c>
      <c r="F38" s="3" t="s">
        <v>60</v>
      </c>
      <c r="G38" s="3">
        <f>B27/(B46*((B29*1000)^2)*1*(SQRT(B28))*((SQRT(B39/1000))))</f>
        <v>0.25541013917016603</v>
      </c>
      <c r="I38" s="40"/>
      <c r="J38" s="30"/>
    </row>
    <row r="39" spans="1:12" x14ac:dyDescent="0.25">
      <c r="A39" s="3" t="s">
        <v>28</v>
      </c>
      <c r="B39" s="3">
        <f>DP</f>
        <v>25000</v>
      </c>
      <c r="C39" s="3" t="s">
        <v>10</v>
      </c>
      <c r="F39" s="3" t="s">
        <v>36</v>
      </c>
      <c r="G39" s="3">
        <f>G40/(1+Input!C16*(B26-293.15))</f>
        <v>0.12728493960264384</v>
      </c>
      <c r="J39" s="30"/>
    </row>
    <row r="40" spans="1:12" x14ac:dyDescent="0.25">
      <c r="A40" s="3" t="s">
        <v>29</v>
      </c>
      <c r="B40" s="3">
        <f>B25-B39</f>
        <v>4975000</v>
      </c>
      <c r="C40" s="3" t="s">
        <v>10</v>
      </c>
      <c r="F40" s="3" t="s">
        <v>46</v>
      </c>
      <c r="G40" s="3">
        <f>Bore*(1+Input!C16*(B26-293.15))</f>
        <v>0.12728746721424597</v>
      </c>
      <c r="H40" s="3" t="s">
        <v>14</v>
      </c>
      <c r="I40" s="30"/>
      <c r="J40" s="30"/>
    </row>
    <row r="41" spans="1:12" x14ac:dyDescent="0.25">
      <c r="A41" s="3" t="s">
        <v>37</v>
      </c>
      <c r="B41" s="18">
        <f>B72*B29</f>
        <v>0.12728746721424597</v>
      </c>
      <c r="C41" s="19" t="s">
        <v>14</v>
      </c>
      <c r="F41" s="3" t="s">
        <v>57</v>
      </c>
      <c r="G41" s="20">
        <f>G40/B29</f>
        <v>0.50011606424027533</v>
      </c>
      <c r="I41" s="30"/>
      <c r="J41" s="30"/>
    </row>
    <row r="42" spans="1:12" x14ac:dyDescent="0.25">
      <c r="A42" s="3" t="s">
        <v>36</v>
      </c>
      <c r="B42" s="3">
        <f>B41/(1+Input!C16*(B26-293.15))</f>
        <v>0.12728493960264384</v>
      </c>
      <c r="C42" s="3" t="s">
        <v>14</v>
      </c>
      <c r="F42" s="3" t="s">
        <v>81</v>
      </c>
      <c r="G42" s="3">
        <f>B33/G41</f>
        <v>1667144.4206837332</v>
      </c>
      <c r="I42" s="30"/>
      <c r="J42" s="30"/>
    </row>
    <row r="43" spans="1:12" x14ac:dyDescent="0.25">
      <c r="I43" s="30"/>
      <c r="J43" s="30"/>
    </row>
    <row r="44" spans="1:12" x14ac:dyDescent="0.25">
      <c r="G44" s="77"/>
      <c r="H44" s="78"/>
      <c r="I44" s="78"/>
      <c r="J44" s="30"/>
    </row>
    <row r="45" spans="1:12" x14ac:dyDescent="0.25">
      <c r="F45" s="3" t="s">
        <v>63</v>
      </c>
      <c r="G45" s="42">
        <f>2*(G70/B25)/100</f>
        <v>9.9040215124169171E-5</v>
      </c>
      <c r="H45" s="59" t="s">
        <v>66</v>
      </c>
      <c r="I45" s="48"/>
      <c r="J45" s="30"/>
    </row>
    <row r="46" spans="1:12" ht="18" x14ac:dyDescent="0.35">
      <c r="A46" s="3" t="s">
        <v>31</v>
      </c>
      <c r="B46" s="3">
        <v>3.5124070000000003E-5</v>
      </c>
      <c r="C46" s="3" t="s">
        <v>32</v>
      </c>
      <c r="F46" s="31" t="s">
        <v>44</v>
      </c>
      <c r="G46" s="49">
        <f>IF(G42&lt;10^6,(0.9975-0.00653*(10^6/G42)*0.5),(0.9975-0.00653*(10^6/G42)*0.2))</f>
        <v>0.99671662455645904</v>
      </c>
      <c r="H46" s="69">
        <f>IF(G42&lt;10^6,0.02,IF(G42&gt;10^6,0.02))</f>
        <v>0.02</v>
      </c>
      <c r="I46" s="58" t="s">
        <v>66</v>
      </c>
      <c r="J46" s="30"/>
      <c r="L46" s="51"/>
    </row>
    <row r="47" spans="1:12" ht="18" x14ac:dyDescent="0.35">
      <c r="A47" s="3" t="s">
        <v>30</v>
      </c>
      <c r="B47" s="3">
        <f>B27/(B46*((B29*1000)^2)*1*(SQRT(B28))*((SQRT(B39/1000))))</f>
        <v>0.25541013917016603</v>
      </c>
      <c r="F47" s="31" t="s">
        <v>78</v>
      </c>
      <c r="G47" s="31">
        <f>IF(Fluid_in="Liquid",1,SQRT(Isentropic*B38^(2/Isentropic)/(Isentropic-1)*(1-G41^4)/(1-G41^4*B38^(2/Isentropic))*(1-B38^((Isentropic-1)/Isentropic))/(1-B38)))</f>
        <v>0.9970804802421146</v>
      </c>
      <c r="H47" s="68">
        <f>G45</f>
        <v>9.9040215124169171E-5</v>
      </c>
      <c r="I47" s="57" t="s">
        <v>66</v>
      </c>
      <c r="J47" s="30"/>
    </row>
    <row r="48" spans="1:12" x14ac:dyDescent="0.25">
      <c r="A48" s="3" t="s">
        <v>58</v>
      </c>
      <c r="B48" s="20">
        <f>((1+((0.9975/B47))^2)^-0.25)</f>
        <v>0.49804428419590169</v>
      </c>
      <c r="F48" s="31" t="s">
        <v>69</v>
      </c>
      <c r="G48" s="31">
        <f>((1+((G46*G47/G38))^2)^-0.25)</f>
        <v>0.49891173720496068</v>
      </c>
      <c r="J48" s="30"/>
    </row>
    <row r="49" spans="1:10" x14ac:dyDescent="0.25">
      <c r="B49" s="20"/>
      <c r="F49" s="31" t="s">
        <v>62</v>
      </c>
      <c r="G49" s="31">
        <f>1/SQRT(1-G48^4)</f>
        <v>1.03249694485765</v>
      </c>
      <c r="I49" s="30"/>
      <c r="J49" s="30"/>
    </row>
    <row r="50" spans="1:10" x14ac:dyDescent="0.25">
      <c r="B50" s="20"/>
      <c r="I50" s="30"/>
      <c r="J50" s="30"/>
    </row>
    <row r="51" spans="1:10" ht="18" x14ac:dyDescent="0.35">
      <c r="A51" s="3" t="s">
        <v>33</v>
      </c>
      <c r="B51" s="20">
        <f>IF(B34&lt;10^6,(0.9975-0.00653*(10^6/B34)^0.5),(0.9975-0.00653*(10^6/B34)^0.2))</f>
        <v>0.99160942123168805</v>
      </c>
    </row>
    <row r="52" spans="1:10" ht="18" x14ac:dyDescent="0.35">
      <c r="A52" s="3" t="s">
        <v>34</v>
      </c>
      <c r="B52" s="20">
        <f>IF(Fluid_in="Liquid",1,SQRT(Isentropic*B38^(2/Isentropic)/(Isentropic-1)*(1-B48^4)/(1-B48^4*B38^(2/Isentropic))*(1-B38^((Isentropic-1)/Isentropic))/(1-B38)))</f>
        <v>0.99708464368728345</v>
      </c>
    </row>
    <row r="53" spans="1:10" ht="18" x14ac:dyDescent="0.35">
      <c r="A53" s="3" t="s">
        <v>59</v>
      </c>
      <c r="B53" s="20">
        <f>((1+((B51*B52/B47))^2)^-0.25)</f>
        <v>0.50011392880327332</v>
      </c>
      <c r="C53" s="20"/>
    </row>
    <row r="54" spans="1:10" x14ac:dyDescent="0.25">
      <c r="B54" s="20"/>
      <c r="C54" s="20"/>
    </row>
    <row r="55" spans="1:10" x14ac:dyDescent="0.25">
      <c r="B55" s="20"/>
      <c r="C55" s="20"/>
    </row>
    <row r="56" spans="1:10" ht="18" x14ac:dyDescent="0.35">
      <c r="A56" s="3" t="s">
        <v>41</v>
      </c>
      <c r="B56" s="20">
        <f>IF(B35&lt;10^6,(0.9975-0.00653*(10^6/B35)^0.5),(0.9975-0.00653*(10^6/B35)^0.2))</f>
        <v>0.99160453363812073</v>
      </c>
      <c r="C56" s="20"/>
      <c r="D56" s="17"/>
    </row>
    <row r="57" spans="1:10" ht="18" x14ac:dyDescent="0.35">
      <c r="A57" s="3" t="s">
        <v>42</v>
      </c>
      <c r="B57" s="20">
        <f>IF(Fluid_in="Liquid",1,SQRT(Isentropic*B38^(2/Isentropic)/(Isentropic-1)*(1-B53^4)/(1-B53^4*B38^(2/Isentropic))*(1-B38^((Isentropic-1)/Isentropic))/(1-B38)))</f>
        <v>0.9970804845649287</v>
      </c>
      <c r="C57" s="20"/>
      <c r="D57" s="16"/>
    </row>
    <row r="58" spans="1:10" ht="18" x14ac:dyDescent="0.35">
      <c r="A58" s="3" t="s">
        <v>40</v>
      </c>
      <c r="B58" s="20">
        <f>((1+((B56*B57/B47))^2)^-0.25)</f>
        <v>0.5001160620350279</v>
      </c>
      <c r="C58" s="16"/>
    </row>
    <row r="59" spans="1:10" x14ac:dyDescent="0.25">
      <c r="B59" s="20"/>
    </row>
    <row r="60" spans="1:10" x14ac:dyDescent="0.25">
      <c r="B60" s="20"/>
    </row>
    <row r="61" spans="1:10" x14ac:dyDescent="0.25">
      <c r="A61" s="3" t="s">
        <v>70</v>
      </c>
      <c r="B61" s="20">
        <f>IF(B36&lt;10^6,(0.9975-0.00653*(10^6/B36)^0.5),(0.9975-0.00653*(10^6/B36)^0.2))</f>
        <v>0.99160452860871695</v>
      </c>
    </row>
    <row r="62" spans="1:10" x14ac:dyDescent="0.25">
      <c r="A62" s="3" t="s">
        <v>71</v>
      </c>
      <c r="B62" s="3">
        <f>IF(Fluid_in="Liquid",1,SQRT(Isentropic*B38^(2/Isentropic)/(Isentropic-1)*(1-B58^4)/(1-B58^4*B38^(2/Isentropic))*(1-B38^((Isentropic-1)/Isentropic))/(1-B38)))</f>
        <v>0.9970804802465788</v>
      </c>
    </row>
    <row r="63" spans="1:10" x14ac:dyDescent="0.25">
      <c r="A63" s="3" t="s">
        <v>72</v>
      </c>
      <c r="B63" s="3">
        <f>((1+((B61*B62/B47))^2)^-0.25)</f>
        <v>0.50011606423922628</v>
      </c>
    </row>
    <row r="66" spans="1:10" x14ac:dyDescent="0.25">
      <c r="C66" s="45"/>
      <c r="D66" s="46"/>
    </row>
    <row r="67" spans="1:10" x14ac:dyDescent="0.25">
      <c r="B67" s="77"/>
      <c r="C67" s="78"/>
      <c r="D67" s="78"/>
      <c r="G67" s="42"/>
    </row>
    <row r="68" spans="1:10" x14ac:dyDescent="0.25">
      <c r="A68" s="3" t="s">
        <v>74</v>
      </c>
      <c r="B68" s="79">
        <f>2*(B39/B25)/100</f>
        <v>1E-4</v>
      </c>
      <c r="C68" s="79"/>
      <c r="D68" s="79"/>
    </row>
    <row r="69" spans="1:10" x14ac:dyDescent="0.25">
      <c r="A69" s="3" t="s">
        <v>75</v>
      </c>
      <c r="B69" s="49">
        <f>IF(B36&lt;10^6,(0.9975-0.00653*(10^6/B36)^0.5),(0.9975-0.00653*(10^6/B36)^0.2))</f>
        <v>0.99160452860871695</v>
      </c>
      <c r="C69" s="70">
        <f>IF(B36&lt;10^6,0.02,IF(B36&gt;10^6,0.02))</f>
        <v>0.02</v>
      </c>
      <c r="D69" s="56" t="s">
        <v>66</v>
      </c>
    </row>
    <row r="70" spans="1:10" ht="16.5" x14ac:dyDescent="0.3">
      <c r="A70" s="3" t="s">
        <v>62</v>
      </c>
      <c r="B70" s="41">
        <f>1/SQRT(1-B72^4)</f>
        <v>1.0328275371074969</v>
      </c>
      <c r="C70" s="52"/>
      <c r="D70" s="53"/>
      <c r="F70" s="3" t="s">
        <v>45</v>
      </c>
      <c r="G70" s="37">
        <f>((B27/((G46/(SQRT(1-(G48^4))))*G47*(PI()/4)*(G40^2)))^2)/(2*B28)</f>
        <v>24760.053781042294</v>
      </c>
      <c r="H70" s="3" t="s">
        <v>10</v>
      </c>
    </row>
    <row r="71" spans="1:10" x14ac:dyDescent="0.25">
      <c r="A71" s="3" t="s">
        <v>76</v>
      </c>
      <c r="B71" s="41">
        <f>IF(Fluid_in="Liquid",1,SQRT(Isentropic*B38^(2/Isentropic)/(Isentropic-1)*(1-B63^4)/(1-B63^4*B38^(2/Isentropic))*(1-B38^((Isentropic-1)/Isentropic))/(1-B38)))</f>
        <v>0.99708048024211682</v>
      </c>
      <c r="C71" s="55">
        <f>B68</f>
        <v>1E-4</v>
      </c>
      <c r="D71" s="56" t="s">
        <v>66</v>
      </c>
    </row>
    <row r="72" spans="1:10" x14ac:dyDescent="0.25">
      <c r="A72" s="3" t="s">
        <v>77</v>
      </c>
      <c r="B72" s="31">
        <f>((1+((B69*B71/B47))^2)^-0.25)</f>
        <v>0.50011606424027533</v>
      </c>
      <c r="C72" s="31"/>
      <c r="D72" s="31"/>
      <c r="J72" s="43"/>
    </row>
    <row r="73" spans="1:10" ht="15" customHeight="1" x14ac:dyDescent="0.25">
      <c r="A73" s="3" t="s">
        <v>65</v>
      </c>
      <c r="B73" s="54">
        <f>(1-B72^4*(1-B69^2)*0.5-B69*B72^2)/(1-B72^4*(1-B69^2)*0.5+B69*B72^2)*B39</f>
        <v>15059.415624657677</v>
      </c>
      <c r="C73" s="54" t="s">
        <v>10</v>
      </c>
      <c r="D73" s="54"/>
    </row>
    <row r="74" spans="1:10" ht="18.75" x14ac:dyDescent="0.3">
      <c r="F74" s="3" t="s">
        <v>45</v>
      </c>
      <c r="G74" s="38">
        <f>((B27/((G46/(SQRT(1-(G48^4))))*G47*(PI()/4)*(G40^2)))^2)/(2*B28)</f>
        <v>24760.053781042294</v>
      </c>
      <c r="H74" s="3" t="s">
        <v>10</v>
      </c>
    </row>
    <row r="75" spans="1:10" ht="18.75" x14ac:dyDescent="0.3">
      <c r="A75" s="3" t="s">
        <v>39</v>
      </c>
      <c r="B75" s="27">
        <f>B42*1000</f>
        <v>127.28493960264383</v>
      </c>
      <c r="C75" s="3" t="s">
        <v>38</v>
      </c>
      <c r="G75" s="29">
        <f>G39*1000</f>
        <v>127.28493960264383</v>
      </c>
    </row>
    <row r="76" spans="1:10" x14ac:dyDescent="0.25">
      <c r="A76" s="3" t="s">
        <v>37</v>
      </c>
      <c r="B76" s="28">
        <f>B41*1000</f>
        <v>127.28746721424596</v>
      </c>
      <c r="C76" s="3" t="s">
        <v>38</v>
      </c>
      <c r="F76" s="3" t="s">
        <v>37</v>
      </c>
      <c r="G76" s="29">
        <f>G40*1000</f>
        <v>127.28746721424596</v>
      </c>
      <c r="H76" s="3" t="s">
        <v>38</v>
      </c>
    </row>
    <row r="77" spans="1:10" x14ac:dyDescent="0.25">
      <c r="A77" s="3" t="s">
        <v>35</v>
      </c>
      <c r="B77" s="39">
        <f>(B69/(SQRT(1-(B58^4))))*B71*(PI()/4)*((B58*B29)^2)*(SQRT(2*B39*B28))</f>
        <v>3.0000002839741091</v>
      </c>
      <c r="C77" s="3" t="s">
        <v>12</v>
      </c>
      <c r="D77" s="21"/>
      <c r="F77" s="3" t="s">
        <v>35</v>
      </c>
      <c r="G77" s="34">
        <f>(G46/(SQRT(1-(G41^4))))*G47*(PI()/4)*((G40)^2)*(SQRT(2*G74*B28))</f>
        <v>3.0009605614374739</v>
      </c>
      <c r="H77" s="3" t="s">
        <v>12</v>
      </c>
    </row>
  </sheetData>
  <mergeCells count="5">
    <mergeCell ref="E1:F1"/>
    <mergeCell ref="G44:I44"/>
    <mergeCell ref="B67:D67"/>
    <mergeCell ref="B68:D68"/>
    <mergeCell ref="F33:F36"/>
  </mergeCells>
  <conditionalFormatting sqref="A10:C10 A8:C8">
    <cfRule type="expression" dxfId="2" priority="1">
      <formula>$B$4="Liquid"</formula>
    </cfRule>
  </conditionalFormatting>
  <dataValidations disablePrompts="1" count="1">
    <dataValidation type="list" allowBlank="1" showInputMessage="1" showErrorMessage="1" sqref="B4">
      <formula1>Fluid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zoomScale="70" zoomScaleNormal="70" workbookViewId="0">
      <selection activeCell="E5" sqref="E5"/>
    </sheetView>
  </sheetViews>
  <sheetFormatPr defaultRowHeight="15" x14ac:dyDescent="0.25"/>
  <cols>
    <col min="1" max="1" width="34.5703125" style="3" bestFit="1" customWidth="1"/>
    <col min="2" max="2" width="29.42578125" style="3" bestFit="1" customWidth="1"/>
    <col min="3" max="3" width="9.7109375" style="3" customWidth="1"/>
    <col min="4" max="4" width="14.140625" style="3" customWidth="1"/>
    <col min="5" max="6" width="30.28515625" style="3" bestFit="1" customWidth="1"/>
    <col min="7" max="7" width="13" style="3" bestFit="1" customWidth="1"/>
    <col min="8" max="8" width="9.85546875" style="3" customWidth="1"/>
    <col min="9" max="9" width="24.28515625" style="3" customWidth="1"/>
    <col min="10" max="10" width="9.140625" style="3" customWidth="1"/>
    <col min="11" max="16384" width="9.140625" style="3"/>
  </cols>
  <sheetData>
    <row r="1" spans="1:7" ht="18.75" x14ac:dyDescent="0.25">
      <c r="A1" s="24" t="s">
        <v>47</v>
      </c>
      <c r="B1" s="25" t="s">
        <v>48</v>
      </c>
      <c r="E1" s="76" t="s">
        <v>87</v>
      </c>
      <c r="F1" s="76"/>
      <c r="G1" s="26"/>
    </row>
    <row r="2" spans="1:7" hidden="1" x14ac:dyDescent="0.25">
      <c r="A2" s="1"/>
      <c r="B2" s="2"/>
    </row>
    <row r="3" spans="1:7" hidden="1" x14ac:dyDescent="0.25"/>
    <row r="4" spans="1:7" hidden="1" x14ac:dyDescent="0.25"/>
    <row r="5" spans="1:7" hidden="1" x14ac:dyDescent="0.25"/>
    <row r="6" spans="1:7" hidden="1" x14ac:dyDescent="0.25"/>
    <row r="7" spans="1:7" hidden="1" x14ac:dyDescent="0.25"/>
    <row r="8" spans="1:7" hidden="1" x14ac:dyDescent="0.25"/>
    <row r="9" spans="1:7" hidden="1" x14ac:dyDescent="0.25"/>
    <row r="10" spans="1:7" hidden="1" x14ac:dyDescent="0.25"/>
    <row r="11" spans="1:7" hidden="1" x14ac:dyDescent="0.25"/>
    <row r="12" spans="1:7" hidden="1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spans="1:5" hidden="1" x14ac:dyDescent="0.25"/>
    <row r="18" spans="1:5" hidden="1" x14ac:dyDescent="0.25"/>
    <row r="19" spans="1:5" hidden="1" x14ac:dyDescent="0.25"/>
    <row r="20" spans="1:5" hidden="1" x14ac:dyDescent="0.25"/>
    <row r="21" spans="1:5" hidden="1" x14ac:dyDescent="0.25"/>
    <row r="22" spans="1:5" hidden="1" x14ac:dyDescent="0.25"/>
    <row r="23" spans="1:5" hidden="1" x14ac:dyDescent="0.25"/>
    <row r="25" spans="1:5" x14ac:dyDescent="0.25">
      <c r="A25" s="6" t="s">
        <v>19</v>
      </c>
      <c r="B25" s="7">
        <f>OpPress</f>
        <v>5000000</v>
      </c>
      <c r="C25" s="8" t="s">
        <v>10</v>
      </c>
    </row>
    <row r="26" spans="1:5" x14ac:dyDescent="0.25">
      <c r="A26" s="9" t="s">
        <v>20</v>
      </c>
      <c r="B26" s="10">
        <f>OpTemp</f>
        <v>294.26</v>
      </c>
      <c r="C26" s="11" t="s">
        <v>11</v>
      </c>
    </row>
    <row r="27" spans="1:5" x14ac:dyDescent="0.25">
      <c r="A27" s="9" t="s">
        <v>21</v>
      </c>
      <c r="B27" s="10">
        <f>Flow</f>
        <v>3</v>
      </c>
      <c r="C27" s="11" t="s">
        <v>12</v>
      </c>
      <c r="E27" s="2"/>
    </row>
    <row r="28" spans="1:5" x14ac:dyDescent="0.25">
      <c r="A28" s="9" t="s">
        <v>22</v>
      </c>
      <c r="B28" s="10">
        <f>OpDens</f>
        <v>1.0660000000000001</v>
      </c>
      <c r="C28" s="12" t="s">
        <v>13</v>
      </c>
      <c r="E28" s="2"/>
    </row>
    <row r="29" spans="1:5" x14ac:dyDescent="0.25">
      <c r="A29" s="9" t="s">
        <v>23</v>
      </c>
      <c r="B29" s="10">
        <f>(ID)*(1+Input!C16*(B26-293.15))</f>
        <v>0.25451585405001526</v>
      </c>
      <c r="C29" s="11" t="s">
        <v>14</v>
      </c>
      <c r="E29" s="2"/>
    </row>
    <row r="30" spans="1:5" x14ac:dyDescent="0.25">
      <c r="A30" s="9" t="s">
        <v>24</v>
      </c>
      <c r="B30" s="10">
        <f>((B29/2)^2)*PI()</f>
        <v>5.087677352676219E-2</v>
      </c>
      <c r="C30" s="11" t="s">
        <v>15</v>
      </c>
    </row>
    <row r="31" spans="1:5" x14ac:dyDescent="0.25">
      <c r="A31" s="9" t="s">
        <v>25</v>
      </c>
      <c r="B31" s="10">
        <f>(Flow/B28)/B30</f>
        <v>55.315200173602427</v>
      </c>
      <c r="C31" s="11" t="s">
        <v>16</v>
      </c>
    </row>
    <row r="32" spans="1:5" x14ac:dyDescent="0.25">
      <c r="A32" s="9" t="s">
        <v>26</v>
      </c>
      <c r="B32" s="10">
        <f>Visc</f>
        <v>1.8E-5</v>
      </c>
      <c r="C32" s="11" t="s">
        <v>17</v>
      </c>
    </row>
    <row r="33" spans="1:12" x14ac:dyDescent="0.25">
      <c r="A33" s="9" t="s">
        <v>79</v>
      </c>
      <c r="B33" s="63">
        <f>(B28*B31*B29)/(B32)</f>
        <v>833765.7061924825</v>
      </c>
      <c r="C33" s="64"/>
      <c r="F33" s="80" t="s">
        <v>56</v>
      </c>
      <c r="H33" s="30"/>
      <c r="I33" s="30"/>
    </row>
    <row r="34" spans="1:12" x14ac:dyDescent="0.25">
      <c r="A34" s="9" t="s">
        <v>81</v>
      </c>
      <c r="B34" s="63">
        <f>B33/B48</f>
        <v>1674079.4596982615</v>
      </c>
      <c r="C34" s="64"/>
      <c r="F34" s="80"/>
      <c r="J34" s="30"/>
    </row>
    <row r="35" spans="1:12" x14ac:dyDescent="0.25">
      <c r="A35" s="9" t="s">
        <v>82</v>
      </c>
      <c r="B35" s="63">
        <f>B33/B53</f>
        <v>1671183.3909811203</v>
      </c>
      <c r="C35" s="64"/>
      <c r="F35" s="80"/>
      <c r="J35" s="30"/>
    </row>
    <row r="36" spans="1:12" x14ac:dyDescent="0.25">
      <c r="A36" s="13" t="s">
        <v>80</v>
      </c>
      <c r="B36" s="50">
        <f>B33/B58</f>
        <v>1671182.2737575555</v>
      </c>
      <c r="C36" s="15"/>
      <c r="F36" s="80"/>
      <c r="J36" s="30"/>
    </row>
    <row r="37" spans="1:12" x14ac:dyDescent="0.25">
      <c r="A37" s="30"/>
      <c r="B37" s="66"/>
      <c r="C37" s="30"/>
      <c r="J37" s="30"/>
    </row>
    <row r="38" spans="1:12" x14ac:dyDescent="0.25">
      <c r="A38" s="3" t="s">
        <v>49</v>
      </c>
      <c r="B38" s="3">
        <f>B40/B25</f>
        <v>0.995</v>
      </c>
      <c r="D38" s="65">
        <f>B39/B25</f>
        <v>5.0000000000000001E-3</v>
      </c>
      <c r="F38" s="3" t="s">
        <v>60</v>
      </c>
      <c r="G38" s="3">
        <f>B27/(B46*((B29*1000)^2)*1*(SQRT(B28))*((SQRT(B39/1000))))</f>
        <v>0.25541013917016603</v>
      </c>
      <c r="I38" s="40"/>
      <c r="J38" s="30"/>
    </row>
    <row r="39" spans="1:12" x14ac:dyDescent="0.25">
      <c r="A39" s="3" t="s">
        <v>28</v>
      </c>
      <c r="B39" s="3">
        <f>DP</f>
        <v>25000</v>
      </c>
      <c r="C39" s="3" t="s">
        <v>10</v>
      </c>
      <c r="F39" s="3" t="s">
        <v>36</v>
      </c>
      <c r="G39" s="3">
        <f>G40/(1+Input!C16*(B26-293.15))</f>
        <v>0.12728493960264384</v>
      </c>
      <c r="J39" s="30"/>
    </row>
    <row r="40" spans="1:12" x14ac:dyDescent="0.25">
      <c r="A40" s="3" t="s">
        <v>29</v>
      </c>
      <c r="B40" s="3">
        <f>B25-B39</f>
        <v>4975000</v>
      </c>
      <c r="C40" s="3" t="s">
        <v>10</v>
      </c>
      <c r="F40" s="3" t="s">
        <v>46</v>
      </c>
      <c r="G40" s="3">
        <f>Bore*(1+Input!C16*(B26-293.15))</f>
        <v>0.12728746721424597</v>
      </c>
      <c r="H40" s="3" t="s">
        <v>14</v>
      </c>
      <c r="I40" s="30"/>
      <c r="J40" s="30"/>
    </row>
    <row r="41" spans="1:12" x14ac:dyDescent="0.25">
      <c r="A41" s="3" t="s">
        <v>37</v>
      </c>
      <c r="B41" s="18">
        <f>B72*B29</f>
        <v>0.12697991965112282</v>
      </c>
      <c r="C41" s="19" t="s">
        <v>14</v>
      </c>
      <c r="F41" s="3" t="s">
        <v>57</v>
      </c>
      <c r="G41" s="20">
        <f>G40/B29</f>
        <v>0.50011606424027533</v>
      </c>
      <c r="I41" s="30"/>
      <c r="J41" s="30"/>
    </row>
    <row r="42" spans="1:12" x14ac:dyDescent="0.25">
      <c r="A42" s="3" t="s">
        <v>36</v>
      </c>
      <c r="B42" s="3">
        <f>B41/(1+Input!C16*(B26-293.15))</f>
        <v>0.12697739814664818</v>
      </c>
      <c r="C42" s="3" t="s">
        <v>14</v>
      </c>
      <c r="F42" s="3" t="s">
        <v>81</v>
      </c>
      <c r="G42" s="3">
        <f>B33/G41</f>
        <v>1667144.4206837332</v>
      </c>
      <c r="I42" s="30"/>
      <c r="J42" s="30"/>
    </row>
    <row r="43" spans="1:12" x14ac:dyDescent="0.25">
      <c r="F43" s="30" t="s">
        <v>83</v>
      </c>
      <c r="G43" s="66">
        <f>B33/G41</f>
        <v>1667144.4206837332</v>
      </c>
      <c r="I43" s="30"/>
      <c r="J43" s="30"/>
    </row>
    <row r="44" spans="1:12" x14ac:dyDescent="0.25">
      <c r="H44" s="62"/>
      <c r="I44" s="62"/>
      <c r="J44" s="30"/>
    </row>
    <row r="45" spans="1:12" x14ac:dyDescent="0.25">
      <c r="G45" s="61"/>
      <c r="H45" s="59"/>
      <c r="I45" s="48"/>
      <c r="J45" s="30"/>
    </row>
    <row r="46" spans="1:12" ht="18" x14ac:dyDescent="0.35">
      <c r="A46" s="3" t="s">
        <v>31</v>
      </c>
      <c r="B46" s="3">
        <v>3.5124070000000003E-5</v>
      </c>
      <c r="C46" s="3" t="s">
        <v>32</v>
      </c>
      <c r="F46" s="3" t="s">
        <v>63</v>
      </c>
      <c r="G46" s="42">
        <f>2*(G71/B25)/100</f>
        <v>9.9037382314836643E-5</v>
      </c>
      <c r="H46" s="47"/>
      <c r="J46" s="30"/>
      <c r="L46" s="51"/>
    </row>
    <row r="47" spans="1:12" ht="18" x14ac:dyDescent="0.35">
      <c r="A47" s="3" t="s">
        <v>30</v>
      </c>
      <c r="B47" s="3">
        <f>B27/(B46*((B29*1000)^2)*1*(SQRT(B28))*((SQRT(B39/1000))))</f>
        <v>0.25541013917016603</v>
      </c>
      <c r="F47" s="31" t="s">
        <v>44</v>
      </c>
      <c r="G47" s="49">
        <f>1.0054-0.185*G43^-0.2*(1-361239/G43)^0.8</f>
        <v>0.99673182072626754</v>
      </c>
      <c r="H47" s="72">
        <f>0.0003</f>
        <v>2.9999999999999997E-4</v>
      </c>
      <c r="I47" s="58" t="s">
        <v>66</v>
      </c>
      <c r="J47" s="30"/>
    </row>
    <row r="48" spans="1:12" x14ac:dyDescent="0.25">
      <c r="A48" s="3" t="s">
        <v>58</v>
      </c>
      <c r="B48" s="20">
        <f>((1+((0.9975/B47))^2)^-0.25)</f>
        <v>0.49804428419590169</v>
      </c>
      <c r="F48" s="31" t="s">
        <v>78</v>
      </c>
      <c r="G48" s="31">
        <f>IF(Fluid_in="Liquid",1,SQRT(Isentropic*B38^(2/Isentropic)/(Isentropic-1)*(1-G41^4)/(1-G41^4*B38^(2/Isentropic))*(1-B38^((Isentropic-1)/Isentropic))/(1-B38)))</f>
        <v>0.9970804802421146</v>
      </c>
      <c r="H48" s="60">
        <f>G46</f>
        <v>9.9037382314836643E-5</v>
      </c>
      <c r="I48" s="57" t="s">
        <v>66</v>
      </c>
      <c r="J48" s="30"/>
    </row>
    <row r="49" spans="1:10" x14ac:dyDescent="0.25">
      <c r="B49" s="20"/>
      <c r="F49" s="31" t="s">
        <v>69</v>
      </c>
      <c r="G49" s="31">
        <f>((1+((G47*G48/G38))^2)^-0.25)</f>
        <v>0.49890816962137097</v>
      </c>
      <c r="I49" s="30"/>
      <c r="J49" s="30"/>
    </row>
    <row r="50" spans="1:10" x14ac:dyDescent="0.25">
      <c r="B50" s="20"/>
      <c r="F50" s="31" t="s">
        <v>62</v>
      </c>
      <c r="G50" s="31">
        <f>1/SQRT(1-G49^4)</f>
        <v>1.032495969561817</v>
      </c>
      <c r="I50" s="30"/>
      <c r="J50" s="30"/>
    </row>
    <row r="51" spans="1:10" ht="18" x14ac:dyDescent="0.35">
      <c r="A51" s="3" t="s">
        <v>33</v>
      </c>
      <c r="B51" s="20">
        <f>1.0054-0.185*B34^-0.2*(1-361239/B34)^0.8</f>
        <v>0.99673107545930439</v>
      </c>
    </row>
    <row r="52" spans="1:10" ht="18" x14ac:dyDescent="0.35">
      <c r="A52" s="3" t="s">
        <v>34</v>
      </c>
      <c r="B52" s="20">
        <f>IF(Fluid_in="Liquid",1,SQRT(Isentropic*B38^(2/Isentropic)/(Isentropic-1)*(1-B48^4)/(1-B48^4*B38^(2/Isentropic))*(1-B38^((Isentropic-1)/Isentropic))/(1-B38)))</f>
        <v>0.99708464368728345</v>
      </c>
    </row>
    <row r="53" spans="1:10" ht="18" x14ac:dyDescent="0.35">
      <c r="A53" s="3" t="s">
        <v>59</v>
      </c>
      <c r="B53" s="20">
        <f>((1+((B51*B52/B47))^2)^-0.25)</f>
        <v>0.49890736749303999</v>
      </c>
      <c r="C53" s="20"/>
    </row>
    <row r="54" spans="1:10" x14ac:dyDescent="0.25">
      <c r="B54" s="20">
        <f>(19000*B53/$B$33)^0.8</f>
        <v>2.783451075486754E-2</v>
      </c>
      <c r="C54" s="20"/>
    </row>
    <row r="55" spans="1:10" x14ac:dyDescent="0.25">
      <c r="B55" s="20"/>
      <c r="C55" s="20"/>
    </row>
    <row r="56" spans="1:10" ht="18" x14ac:dyDescent="0.35">
      <c r="A56" s="3" t="s">
        <v>41</v>
      </c>
      <c r="B56" s="20">
        <f>1.0054-0.185*B35^-0.2*(1-361239/B35)^0.8</f>
        <v>0.99673138120126648</v>
      </c>
      <c r="C56" s="20"/>
      <c r="D56" s="17"/>
    </row>
    <row r="57" spans="1:10" ht="18" x14ac:dyDescent="0.35">
      <c r="A57" s="3" t="s">
        <v>42</v>
      </c>
      <c r="B57" s="20">
        <f>IF(Fluid_in="Liquid",1,SQRT(Isentropic*B38^(2/Isentropic)/(Isentropic-1)*(1-B53^4)/(1-B53^4*B38^(2/Isentropic))*(1-B38^((Isentropic-1)/Isentropic))/(1-B38)))</f>
        <v>0.99708291663994641</v>
      </c>
      <c r="C57" s="20"/>
      <c r="D57" s="16"/>
    </row>
    <row r="58" spans="1:10" ht="18" x14ac:dyDescent="0.35">
      <c r="A58" s="3" t="s">
        <v>40</v>
      </c>
      <c r="B58" s="20">
        <f>((1+((B56*B57/B47))^2)^-0.25)</f>
        <v>0.4989077010240236</v>
      </c>
      <c r="C58" s="16"/>
    </row>
    <row r="59" spans="1:10" x14ac:dyDescent="0.25">
      <c r="B59" s="20"/>
    </row>
    <row r="60" spans="1:10" x14ac:dyDescent="0.25">
      <c r="B60" s="20"/>
    </row>
    <row r="61" spans="1:10" x14ac:dyDescent="0.25">
      <c r="A61" s="3" t="s">
        <v>70</v>
      </c>
      <c r="B61" s="20">
        <f>1.0054-0.185*B36^-0.2*(1-361239/B36)^0.8</f>
        <v>0.9967313813207247</v>
      </c>
    </row>
    <row r="62" spans="1:10" x14ac:dyDescent="0.25">
      <c r="A62" s="3" t="s">
        <v>71</v>
      </c>
      <c r="B62" s="3">
        <f>IF(Fluid_in="Liquid",1,SQRT(Isentropic*B38^(2/Isentropic)/(Isentropic-1)*(1-B58^4)/(1-B58^4*B38^(2/Isentropic))*(1-B38^((Isentropic-1)/Isentropic))/(1-B38)))</f>
        <v>0.99708291597050569</v>
      </c>
    </row>
    <row r="63" spans="1:10" x14ac:dyDescent="0.25">
      <c r="A63" s="3" t="s">
        <v>72</v>
      </c>
      <c r="B63" s="3">
        <f>((1+((B61*B62/B47))^2)^-0.25)</f>
        <v>0.49890770115308547</v>
      </c>
    </row>
    <row r="66" spans="1:10" x14ac:dyDescent="0.25">
      <c r="C66" s="45"/>
      <c r="D66" s="46"/>
    </row>
    <row r="67" spans="1:10" x14ac:dyDescent="0.25">
      <c r="B67" s="77"/>
      <c r="C67" s="78"/>
      <c r="D67" s="78"/>
    </row>
    <row r="68" spans="1:10" x14ac:dyDescent="0.25">
      <c r="A68" s="3" t="s">
        <v>74</v>
      </c>
      <c r="B68" s="79">
        <f>2*(B39/B25)/100</f>
        <v>1E-4</v>
      </c>
      <c r="C68" s="79"/>
      <c r="D68" s="79"/>
      <c r="G68" s="42"/>
    </row>
    <row r="69" spans="1:10" x14ac:dyDescent="0.25">
      <c r="A69" s="3" t="s">
        <v>75</v>
      </c>
      <c r="B69" s="31">
        <f>1.0054-0.185*B36^-0.2*(1-361239/B36)^0.8</f>
        <v>0.9967313813207247</v>
      </c>
      <c r="C69" s="71">
        <f>0.0003</f>
        <v>2.9999999999999997E-4</v>
      </c>
      <c r="D69" s="31" t="s">
        <v>66</v>
      </c>
    </row>
    <row r="70" spans="1:10" x14ac:dyDescent="0.25">
      <c r="A70" s="3" t="s">
        <v>62</v>
      </c>
      <c r="B70" s="41">
        <f>1/SQRT(1-B72^4)</f>
        <v>1.0324958414950682</v>
      </c>
      <c r="C70" s="52"/>
      <c r="D70" s="53"/>
    </row>
    <row r="71" spans="1:10" ht="16.5" x14ac:dyDescent="0.3">
      <c r="A71" s="3" t="s">
        <v>76</v>
      </c>
      <c r="B71" s="41">
        <f>IF(Fluid_in="Liquid",1,SQRT(Isentropic*B38^(2/Isentropic)/(Isentropic-1)*(1-B63^4)/(1-B63^4*B38^(2/Isentropic))*(1-B38^((Isentropic-1)/Isentropic))/(1-B38)))</f>
        <v>0.99708291597024667</v>
      </c>
      <c r="C71" s="55">
        <f>B68</f>
        <v>1E-4</v>
      </c>
      <c r="D71" s="56" t="s">
        <v>66</v>
      </c>
      <c r="F71" s="3" t="s">
        <v>45</v>
      </c>
      <c r="G71" s="37">
        <f>((B27/((G47/(SQRT(1-(G49^4))))*G48*(PI()/4)*(G40^2)))^2)/(2*B28)</f>
        <v>24759.345578709163</v>
      </c>
      <c r="H71" s="3" t="s">
        <v>10</v>
      </c>
    </row>
    <row r="72" spans="1:10" x14ac:dyDescent="0.25">
      <c r="A72" s="3" t="s">
        <v>77</v>
      </c>
      <c r="B72" s="31">
        <f>((1+((B69*B71/B47))^2)^-0.25)</f>
        <v>0.49890770115314631</v>
      </c>
      <c r="C72" s="31"/>
      <c r="D72" s="31"/>
      <c r="J72" s="43"/>
    </row>
    <row r="73" spans="1:10" ht="15" customHeight="1" x14ac:dyDescent="0.25">
      <c r="A73" s="3" t="s">
        <v>65</v>
      </c>
      <c r="B73" s="54">
        <f>(1-B72^4*(1-B69^2)*0.5-B69*B72^2)/(1-B72^4*(1-B69^2)*0.5+B69*B72^2)*B39</f>
        <v>15059.432954710781</v>
      </c>
      <c r="C73" s="54" t="s">
        <v>10</v>
      </c>
      <c r="D73" s="54"/>
    </row>
    <row r="75" spans="1:10" ht="18.75" x14ac:dyDescent="0.3">
      <c r="A75" s="3" t="s">
        <v>39</v>
      </c>
      <c r="B75" s="27">
        <f>B42*1000</f>
        <v>126.97739814664818</v>
      </c>
      <c r="C75" s="3" t="s">
        <v>38</v>
      </c>
      <c r="F75" s="3" t="s">
        <v>45</v>
      </c>
      <c r="G75" s="38">
        <f>((B27/((G47/(SQRT(1-(G49^4))))*G48*(PI()/4)*(G40^2)))^2)/(2*B28)</f>
        <v>24759.345578709163</v>
      </c>
      <c r="H75" s="3" t="s">
        <v>10</v>
      </c>
    </row>
    <row r="76" spans="1:10" x14ac:dyDescent="0.25">
      <c r="A76" s="3" t="s">
        <v>37</v>
      </c>
      <c r="B76" s="28">
        <f>B41*1000</f>
        <v>126.97991965112281</v>
      </c>
      <c r="C76" s="3" t="s">
        <v>38</v>
      </c>
      <c r="G76" s="29">
        <f>G39*1000</f>
        <v>127.28493960264383</v>
      </c>
    </row>
    <row r="77" spans="1:10" x14ac:dyDescent="0.25">
      <c r="A77" s="3" t="s">
        <v>35</v>
      </c>
      <c r="B77" s="39">
        <f>(B69/(SQRT(1-(B58^4))))*B71*(PI()/4)*((B58*B29)^2)*(SQRT(2*B39*B28))</f>
        <v>3.0000003105410484</v>
      </c>
      <c r="C77" s="3" t="s">
        <v>12</v>
      </c>
      <c r="D77" s="21"/>
      <c r="F77" s="3" t="s">
        <v>37</v>
      </c>
      <c r="G77" s="29">
        <f>G40*1000</f>
        <v>127.28746721424596</v>
      </c>
      <c r="H77" s="3" t="s">
        <v>38</v>
      </c>
    </row>
    <row r="78" spans="1:10" x14ac:dyDescent="0.25">
      <c r="F78" s="3" t="s">
        <v>35</v>
      </c>
      <c r="G78" s="34">
        <f>(G47/(SQRT(1-(G41^4))))*G48*(PI()/4)*((G40)^2)*(SQRT(2*G75*B28))</f>
        <v>3.0009633961452291</v>
      </c>
      <c r="H78" s="3" t="s">
        <v>12</v>
      </c>
    </row>
  </sheetData>
  <mergeCells count="4">
    <mergeCell ref="E1:F1"/>
    <mergeCell ref="F33:F36"/>
    <mergeCell ref="B67:D67"/>
    <mergeCell ref="B68:D68"/>
  </mergeCells>
  <conditionalFormatting sqref="A10:C10 A8:C8">
    <cfRule type="expression" dxfId="1" priority="1">
      <formula>$B$4="Liquid"</formula>
    </cfRule>
  </conditionalFormatting>
  <dataValidations disablePrompts="1" count="1">
    <dataValidation type="list" allowBlank="1" showInputMessage="1" showErrorMessage="1" sqref="B4">
      <formula1>Fluid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zoomScale="70" zoomScaleNormal="70" workbookViewId="0">
      <selection activeCell="F27" sqref="F27"/>
    </sheetView>
  </sheetViews>
  <sheetFormatPr defaultRowHeight="15" x14ac:dyDescent="0.25"/>
  <cols>
    <col min="1" max="1" width="34.5703125" style="3" bestFit="1" customWidth="1"/>
    <col min="2" max="2" width="29.42578125" style="3" bestFit="1" customWidth="1"/>
    <col min="3" max="3" width="9.7109375" style="3" customWidth="1"/>
    <col min="4" max="4" width="14.140625" style="3" customWidth="1"/>
    <col min="5" max="6" width="30.28515625" style="3" bestFit="1" customWidth="1"/>
    <col min="7" max="7" width="13" style="3" bestFit="1" customWidth="1"/>
    <col min="8" max="8" width="8.140625" style="3" customWidth="1"/>
    <col min="9" max="9" width="24.28515625" style="3" customWidth="1"/>
    <col min="10" max="10" width="9.140625" style="3" customWidth="1"/>
    <col min="11" max="16384" width="9.140625" style="3"/>
  </cols>
  <sheetData>
    <row r="1" spans="1:7" ht="18.75" x14ac:dyDescent="0.25">
      <c r="A1" s="24" t="s">
        <v>47</v>
      </c>
      <c r="B1" s="25" t="s">
        <v>48</v>
      </c>
      <c r="E1" s="76" t="s">
        <v>88</v>
      </c>
      <c r="F1" s="76"/>
      <c r="G1" s="26"/>
    </row>
    <row r="2" spans="1:7" hidden="1" x14ac:dyDescent="0.25">
      <c r="A2" s="1"/>
      <c r="B2" s="2"/>
    </row>
    <row r="3" spans="1:7" hidden="1" x14ac:dyDescent="0.25"/>
    <row r="4" spans="1:7" hidden="1" x14ac:dyDescent="0.25"/>
    <row r="5" spans="1:7" hidden="1" x14ac:dyDescent="0.25"/>
    <row r="6" spans="1:7" hidden="1" x14ac:dyDescent="0.25"/>
    <row r="7" spans="1:7" hidden="1" x14ac:dyDescent="0.25"/>
    <row r="8" spans="1:7" hidden="1" x14ac:dyDescent="0.25"/>
    <row r="9" spans="1:7" hidden="1" x14ac:dyDescent="0.25"/>
    <row r="10" spans="1:7" hidden="1" x14ac:dyDescent="0.25"/>
    <row r="11" spans="1:7" hidden="1" x14ac:dyDescent="0.25"/>
    <row r="12" spans="1:7" hidden="1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spans="1:5" hidden="1" x14ac:dyDescent="0.25"/>
    <row r="18" spans="1:5" hidden="1" x14ac:dyDescent="0.25"/>
    <row r="19" spans="1:5" hidden="1" x14ac:dyDescent="0.25"/>
    <row r="20" spans="1:5" hidden="1" x14ac:dyDescent="0.25"/>
    <row r="21" spans="1:5" hidden="1" x14ac:dyDescent="0.25"/>
    <row r="22" spans="1:5" hidden="1" x14ac:dyDescent="0.25"/>
    <row r="23" spans="1:5" hidden="1" x14ac:dyDescent="0.25"/>
    <row r="25" spans="1:5" x14ac:dyDescent="0.25">
      <c r="A25" s="6" t="s">
        <v>19</v>
      </c>
      <c r="B25" s="7">
        <f>OpPress</f>
        <v>5000000</v>
      </c>
      <c r="C25" s="8" t="s">
        <v>10</v>
      </c>
    </row>
    <row r="26" spans="1:5" x14ac:dyDescent="0.25">
      <c r="A26" s="9" t="s">
        <v>20</v>
      </c>
      <c r="B26" s="10">
        <f>OpTemp</f>
        <v>294.26</v>
      </c>
      <c r="C26" s="11" t="s">
        <v>11</v>
      </c>
    </row>
    <row r="27" spans="1:5" x14ac:dyDescent="0.25">
      <c r="A27" s="9" t="s">
        <v>21</v>
      </c>
      <c r="B27" s="10">
        <f>Flow</f>
        <v>3</v>
      </c>
      <c r="C27" s="11" t="s">
        <v>12</v>
      </c>
      <c r="E27" s="2"/>
    </row>
    <row r="28" spans="1:5" x14ac:dyDescent="0.25">
      <c r="A28" s="9" t="s">
        <v>22</v>
      </c>
      <c r="B28" s="10">
        <f>OpDens</f>
        <v>1.0660000000000001</v>
      </c>
      <c r="C28" s="12" t="s">
        <v>13</v>
      </c>
      <c r="E28" s="2"/>
    </row>
    <row r="29" spans="1:5" x14ac:dyDescent="0.25">
      <c r="A29" s="9" t="s">
        <v>23</v>
      </c>
      <c r="B29" s="10">
        <f>(ID)*(1+Input!C16*(B26-293.15))</f>
        <v>0.25451585405001526</v>
      </c>
      <c r="C29" s="11" t="s">
        <v>14</v>
      </c>
      <c r="E29" s="2"/>
    </row>
    <row r="30" spans="1:5" x14ac:dyDescent="0.25">
      <c r="A30" s="9" t="s">
        <v>24</v>
      </c>
      <c r="B30" s="10">
        <f>((B29/2)^2)*PI()</f>
        <v>5.087677352676219E-2</v>
      </c>
      <c r="C30" s="11" t="s">
        <v>15</v>
      </c>
    </row>
    <row r="31" spans="1:5" x14ac:dyDescent="0.25">
      <c r="A31" s="9" t="s">
        <v>25</v>
      </c>
      <c r="B31" s="10">
        <f>(Flow/B28)/B30</f>
        <v>55.315200173602427</v>
      </c>
      <c r="C31" s="11" t="s">
        <v>16</v>
      </c>
    </row>
    <row r="32" spans="1:5" x14ac:dyDescent="0.25">
      <c r="A32" s="9" t="s">
        <v>26</v>
      </c>
      <c r="B32" s="10">
        <f>Visc</f>
        <v>1.8E-5</v>
      </c>
      <c r="C32" s="11" t="s">
        <v>17</v>
      </c>
    </row>
    <row r="33" spans="1:12" x14ac:dyDescent="0.25">
      <c r="A33" s="13" t="s">
        <v>27</v>
      </c>
      <c r="B33" s="50">
        <f>(B28*B31*B29)/(B32)</f>
        <v>833765.7061924825</v>
      </c>
      <c r="C33" s="15"/>
      <c r="H33" s="30"/>
      <c r="I33" s="30"/>
    </row>
    <row r="34" spans="1:12" x14ac:dyDescent="0.25">
      <c r="F34" s="67" t="s">
        <v>56</v>
      </c>
      <c r="J34" s="30"/>
    </row>
    <row r="35" spans="1:12" x14ac:dyDescent="0.25">
      <c r="A35" s="3" t="s">
        <v>49</v>
      </c>
      <c r="B35" s="3">
        <f>B37/B25</f>
        <v>0.995</v>
      </c>
      <c r="F35" s="3" t="s">
        <v>60</v>
      </c>
      <c r="G35" s="3">
        <f>B27/(B43*((B29*1000)^2)*1*(SQRT(B28))*((SQRT(B36/1000))))</f>
        <v>0.25541013917016603</v>
      </c>
      <c r="I35" s="40"/>
      <c r="J35" s="30"/>
    </row>
    <row r="36" spans="1:12" x14ac:dyDescent="0.25">
      <c r="A36" s="3" t="s">
        <v>28</v>
      </c>
      <c r="B36" s="3">
        <f>DP</f>
        <v>25000</v>
      </c>
      <c r="C36" s="3" t="s">
        <v>10</v>
      </c>
      <c r="F36" s="3" t="s">
        <v>36</v>
      </c>
      <c r="G36" s="3">
        <f>G37/(1+Input!C16*(B26-293.15))</f>
        <v>0.12728493960264384</v>
      </c>
      <c r="J36" s="30"/>
    </row>
    <row r="37" spans="1:12" x14ac:dyDescent="0.25">
      <c r="A37" s="3" t="s">
        <v>29</v>
      </c>
      <c r="B37" s="3">
        <f>B25-B36</f>
        <v>4975000</v>
      </c>
      <c r="C37" s="3" t="s">
        <v>10</v>
      </c>
      <c r="F37" s="3" t="s">
        <v>46</v>
      </c>
      <c r="G37" s="3">
        <f>Bore*(1+Input!C16*(B26-293.15))</f>
        <v>0.12728746721424597</v>
      </c>
      <c r="H37" s="3" t="s">
        <v>14</v>
      </c>
      <c r="I37" s="30"/>
      <c r="J37" s="30"/>
    </row>
    <row r="38" spans="1:12" x14ac:dyDescent="0.25">
      <c r="A38" s="3" t="s">
        <v>37</v>
      </c>
      <c r="B38" s="18">
        <f>B69*B29</f>
        <v>0.12818458351727566</v>
      </c>
      <c r="C38" s="19" t="s">
        <v>14</v>
      </c>
      <c r="F38" s="3" t="s">
        <v>57</v>
      </c>
      <c r="G38" s="20">
        <f>G37/B29</f>
        <v>0.50011606424027533</v>
      </c>
      <c r="I38" s="30"/>
      <c r="J38" s="30"/>
    </row>
    <row r="39" spans="1:12" x14ac:dyDescent="0.25">
      <c r="A39" s="3" t="s">
        <v>36</v>
      </c>
      <c r="B39" s="3">
        <f>B38/(1+Input!C16*(B26-293.15))</f>
        <v>0.12818203809118145</v>
      </c>
      <c r="C39" s="3" t="s">
        <v>14</v>
      </c>
      <c r="F39" s="3" t="s">
        <v>43</v>
      </c>
      <c r="G39" s="3">
        <f>(19000*G38/$B$33)^0.8</f>
        <v>2.7888445159408116E-2</v>
      </c>
      <c r="I39" s="30"/>
      <c r="J39" s="30"/>
    </row>
    <row r="40" spans="1:12" x14ac:dyDescent="0.25">
      <c r="I40" s="30"/>
      <c r="J40" s="30"/>
    </row>
    <row r="41" spans="1:12" x14ac:dyDescent="0.25">
      <c r="F41" s="3" t="s">
        <v>61</v>
      </c>
      <c r="G41" s="77"/>
      <c r="H41" s="78"/>
      <c r="I41" s="78"/>
      <c r="J41" s="30"/>
    </row>
    <row r="42" spans="1:12" x14ac:dyDescent="0.25">
      <c r="F42" s="3" t="s">
        <v>63</v>
      </c>
      <c r="G42" s="42">
        <f>2*(G67/B25)/100</f>
        <v>1.027928769950822E-4</v>
      </c>
      <c r="H42" s="59" t="s">
        <v>66</v>
      </c>
      <c r="I42" s="48"/>
      <c r="J42" s="30"/>
    </row>
    <row r="43" spans="1:12" ht="18" x14ac:dyDescent="0.35">
      <c r="A43" s="3" t="s">
        <v>31</v>
      </c>
      <c r="B43" s="3">
        <v>3.5124070000000003E-5</v>
      </c>
      <c r="C43" s="3" t="s">
        <v>32</v>
      </c>
      <c r="F43" s="31" t="s">
        <v>44</v>
      </c>
      <c r="G43" s="49">
        <f>0.9858-0.196*G38^4.5</f>
        <v>0.97712889005744996</v>
      </c>
      <c r="H43" s="81">
        <f>(1.2+1.5*G45^4)</f>
        <v>1.2964578527484329</v>
      </c>
      <c r="I43" s="58" t="s">
        <v>66</v>
      </c>
      <c r="J43" s="30"/>
      <c r="L43" s="51"/>
    </row>
    <row r="44" spans="1:12" ht="18" x14ac:dyDescent="0.35">
      <c r="A44" s="3" t="s">
        <v>30</v>
      </c>
      <c r="B44" s="3">
        <f>B27/(B43*((B29*1000)^2)*1*(SQRT(B28))*((SQRT(B36/1000))))</f>
        <v>0.25541013917016603</v>
      </c>
      <c r="F44" s="31" t="s">
        <v>78</v>
      </c>
      <c r="G44" s="31">
        <f>IF(Fluid_in="Liquid",1,SQRT(Isentropic*B35^(2/Isentropic)/(Isentropic-1)*(1-G38^4)/(1-G38^4*B35^(2/Isentropic))*(1-B35^((Isentropic-1)/Isentropic))/(1-B35)))</f>
        <v>0.9970804802421146</v>
      </c>
      <c r="H44" s="60">
        <f>(4+100*G38^8)*(G71/B25)</f>
        <v>2.2569980113660744E-2</v>
      </c>
      <c r="I44" s="57" t="s">
        <v>66</v>
      </c>
      <c r="J44" s="30"/>
    </row>
    <row r="45" spans="1:12" x14ac:dyDescent="0.25">
      <c r="A45" s="3" t="s">
        <v>58</v>
      </c>
      <c r="B45" s="20">
        <f>((1+((0.9975/B44))^2)^-0.25)</f>
        <v>0.49804428419590169</v>
      </c>
      <c r="F45" s="31" t="s">
        <v>69</v>
      </c>
      <c r="G45" s="31">
        <f>((1+((G43*G44/G35))^2)^-0.25)</f>
        <v>0.50357200993595697</v>
      </c>
      <c r="J45" s="30"/>
    </row>
    <row r="46" spans="1:12" x14ac:dyDescent="0.25">
      <c r="B46" s="20">
        <f>(19000*B45/$B$33)^0.8</f>
        <v>2.7795982303777774E-2</v>
      </c>
      <c r="F46" s="31" t="s">
        <v>62</v>
      </c>
      <c r="G46" s="31">
        <f>1/SQRT(1-G45^4)</f>
        <v>1.033791364743549</v>
      </c>
      <c r="I46" s="30"/>
      <c r="J46" s="30"/>
    </row>
    <row r="47" spans="1:12" x14ac:dyDescent="0.25">
      <c r="B47" s="20"/>
      <c r="I47" s="30"/>
      <c r="J47" s="30"/>
    </row>
    <row r="48" spans="1:12" ht="18" x14ac:dyDescent="0.35">
      <c r="A48" s="3" t="s">
        <v>33</v>
      </c>
      <c r="B48" s="20">
        <f>0.9858-0.196*B45^4.5</f>
        <v>0.9772893664201705</v>
      </c>
    </row>
    <row r="49" spans="1:7" ht="18" x14ac:dyDescent="0.35">
      <c r="A49" s="3" t="s">
        <v>34</v>
      </c>
      <c r="B49" s="20">
        <f>IF(Fluid_in="Liquid",1,SQRT(Isentropic*B35^(2/Isentropic)/(Isentropic-1)*(1-B45^4)/(1-B45^4*B35^(2/Isentropic))*(1-B35^((Isentropic-1)/Isentropic))/(1-B35)))</f>
        <v>0.99708464368728345</v>
      </c>
    </row>
    <row r="50" spans="1:7" ht="18" x14ac:dyDescent="0.35">
      <c r="A50" s="3" t="s">
        <v>59</v>
      </c>
      <c r="B50" s="20">
        <f>((1+((B48*B49/B44))^2)^-0.25)</f>
        <v>0.50353233814895504</v>
      </c>
      <c r="C50" s="20"/>
    </row>
    <row r="51" spans="1:7" x14ac:dyDescent="0.25">
      <c r="B51" s="20">
        <f>(19000*B50/$B$33)^0.8</f>
        <v>2.8040745267044725E-2</v>
      </c>
      <c r="C51" s="20"/>
    </row>
    <row r="52" spans="1:7" x14ac:dyDescent="0.25">
      <c r="B52" s="20"/>
      <c r="C52" s="20"/>
    </row>
    <row r="53" spans="1:7" ht="18" x14ac:dyDescent="0.35">
      <c r="A53" s="3" t="s">
        <v>41</v>
      </c>
      <c r="B53" s="20">
        <f>0.9858-0.196*B50^4.5</f>
        <v>0.97685914144827568</v>
      </c>
      <c r="C53" s="20"/>
      <c r="D53" s="17"/>
    </row>
    <row r="54" spans="1:7" ht="18" x14ac:dyDescent="0.35">
      <c r="A54" s="3" t="s">
        <v>42</v>
      </c>
      <c r="B54" s="20">
        <f>IF(Fluid_in="Liquid",1,SQRT(Isentropic*B35^(2/Isentropic)/(Isentropic-1)*(1-B50^4)/(1-B50^4*B35^(2/Isentropic))*(1-B35^((Isentropic-1)/Isentropic))/(1-B35)))</f>
        <v>0.99707348054277734</v>
      </c>
      <c r="C54" s="20"/>
      <c r="D54" s="16"/>
    </row>
    <row r="55" spans="1:7" ht="18" x14ac:dyDescent="0.35">
      <c r="A55" s="3" t="s">
        <v>40</v>
      </c>
      <c r="B55" s="20">
        <f>((1+((B53*B54/B44))^2)^-0.25)</f>
        <v>0.50363871493950696</v>
      </c>
      <c r="C55" s="16"/>
    </row>
    <row r="56" spans="1:7" x14ac:dyDescent="0.25">
      <c r="B56" s="20">
        <f>(19000*B55/$B$33)^0.8</f>
        <v>2.804548430165885E-2</v>
      </c>
    </row>
    <row r="57" spans="1:7" x14ac:dyDescent="0.25">
      <c r="B57" s="20"/>
    </row>
    <row r="58" spans="1:7" x14ac:dyDescent="0.25">
      <c r="A58" s="3" t="s">
        <v>70</v>
      </c>
      <c r="B58" s="3">
        <f>0.9858-0.196*B55^4.5</f>
        <v>0.97685063845541931</v>
      </c>
    </row>
    <row r="59" spans="1:7" x14ac:dyDescent="0.25">
      <c r="A59" s="3" t="s">
        <v>71</v>
      </c>
      <c r="B59" s="3">
        <f>IF(Fluid_in="Liquid",1,SQRT(Isentropic*B35^(2/Isentropic)/(Isentropic-1)*(1-B55^4)/(1-B55^4*B35^(2/Isentropic))*(1-B35^((Isentropic-1)/Isentropic))/(1-B35)))</f>
        <v>0.99707325986695439</v>
      </c>
    </row>
    <row r="60" spans="1:7" x14ac:dyDescent="0.25">
      <c r="A60" s="3" t="s">
        <v>72</v>
      </c>
      <c r="B60" s="3">
        <f>((1+((B58*B59/B44))^2)^-0.25)</f>
        <v>0.50364081801290106</v>
      </c>
    </row>
    <row r="63" spans="1:7" x14ac:dyDescent="0.25">
      <c r="C63" s="45"/>
      <c r="D63" s="46"/>
      <c r="E63" s="74"/>
      <c r="F63" s="34"/>
    </row>
    <row r="64" spans="1:7" x14ac:dyDescent="0.25">
      <c r="A64" s="3" t="s">
        <v>73</v>
      </c>
      <c r="B64" s="77"/>
      <c r="C64" s="78"/>
      <c r="D64" s="78"/>
      <c r="G64" s="42"/>
    </row>
    <row r="65" spans="1:10" x14ac:dyDescent="0.25">
      <c r="A65" s="3" t="s">
        <v>74</v>
      </c>
      <c r="B65" s="79">
        <f>H44</f>
        <v>2.2569980113660744E-2</v>
      </c>
      <c r="C65" s="79"/>
      <c r="D65" s="79"/>
    </row>
    <row r="66" spans="1:10" x14ac:dyDescent="0.25">
      <c r="A66" s="3" t="s">
        <v>75</v>
      </c>
      <c r="B66" s="49">
        <f>0.9858-0.196*B60^4.5</f>
        <v>0.97685047028753402</v>
      </c>
      <c r="C66" s="71">
        <f>(1.2+1.5*B69^4)/100</f>
        <v>1.2965106154387609E-2</v>
      </c>
      <c r="D66" s="56" t="s">
        <v>66</v>
      </c>
    </row>
    <row r="67" spans="1:10" ht="16.5" x14ac:dyDescent="0.3">
      <c r="A67" s="3" t="s">
        <v>62</v>
      </c>
      <c r="B67" s="41">
        <f>1/SQRT(1-B69^4)</f>
        <v>1.0338107967042056</v>
      </c>
      <c r="C67" s="73"/>
      <c r="D67" s="53"/>
      <c r="F67" s="3" t="s">
        <v>45</v>
      </c>
      <c r="G67" s="37">
        <f>((B27/((G43/(SQRT(1-(G45^4))))*G44*(PI()/4)*(G37^2)))^2)/(2*B28)</f>
        <v>25698.219248770551</v>
      </c>
      <c r="H67" s="3" t="s">
        <v>10</v>
      </c>
    </row>
    <row r="68" spans="1:10" x14ac:dyDescent="0.25">
      <c r="A68" s="3" t="s">
        <v>76</v>
      </c>
      <c r="B68" s="41">
        <f>IF(Fluid_in="Liquid",1,SQRT(Isentropic*B35^(2/Isentropic)/(Isentropic-1)*(1-B60^4)/(1-B60^4*B35^(2/Isentropic))*(1-B35^((Isentropic-1)/Isentropic))/(1-B35)))</f>
        <v>0.9970732555025178</v>
      </c>
      <c r="C68" s="55">
        <f>B65</f>
        <v>2.2569980113660744E-2</v>
      </c>
      <c r="D68" s="56" t="s">
        <v>66</v>
      </c>
    </row>
    <row r="69" spans="1:10" x14ac:dyDescent="0.25">
      <c r="A69" s="3" t="s">
        <v>77</v>
      </c>
      <c r="B69" s="31">
        <f>((1+((B66*B68/B44))^2)^-0.25)</f>
        <v>0.50364085960667082</v>
      </c>
      <c r="C69" s="31"/>
      <c r="D69" s="31"/>
      <c r="J69" s="43"/>
    </row>
    <row r="70" spans="1:10" ht="15" customHeight="1" x14ac:dyDescent="0.25">
      <c r="A70" s="3" t="s">
        <v>65</v>
      </c>
      <c r="B70" s="54">
        <f>(1-B69^4*(1-B66^2)*0.5-B66*B69^2)/(1-B69^4*(1-B66^2)*0.5+B66*B69^2)*B36</f>
        <v>15059.369035559081</v>
      </c>
      <c r="C70" s="54" t="s">
        <v>10</v>
      </c>
      <c r="D70" s="54"/>
    </row>
    <row r="71" spans="1:10" ht="18.75" x14ac:dyDescent="0.3">
      <c r="F71" s="3" t="s">
        <v>45</v>
      </c>
      <c r="G71" s="38">
        <f>((B27/((G43/(SQRT(1-(G45^4))))*G44*(PI()/4)*(G37^2)))^2)/(2*B28)</f>
        <v>25698.219248770551</v>
      </c>
      <c r="H71" s="3" t="s">
        <v>10</v>
      </c>
    </row>
    <row r="72" spans="1:10" ht="18.75" x14ac:dyDescent="0.3">
      <c r="A72" s="3" t="s">
        <v>39</v>
      </c>
      <c r="B72" s="27">
        <f>B39*1000</f>
        <v>128.18203809118145</v>
      </c>
      <c r="C72" s="3" t="s">
        <v>38</v>
      </c>
      <c r="G72" s="29">
        <f>G36*1000</f>
        <v>127.28493960264383</v>
      </c>
    </row>
    <row r="73" spans="1:10" x14ac:dyDescent="0.25">
      <c r="A73" s="3" t="s">
        <v>37</v>
      </c>
      <c r="B73" s="28">
        <f>B38*1000</f>
        <v>128.18458351727566</v>
      </c>
      <c r="C73" s="3" t="s">
        <v>38</v>
      </c>
      <c r="F73" s="3" t="s">
        <v>37</v>
      </c>
      <c r="G73" s="29">
        <f>G37*1000</f>
        <v>127.28746721424596</v>
      </c>
      <c r="H73" s="3" t="s">
        <v>38</v>
      </c>
    </row>
    <row r="74" spans="1:10" x14ac:dyDescent="0.25">
      <c r="A74" s="3" t="s">
        <v>35</v>
      </c>
      <c r="B74" s="39">
        <f>(B66/(SQRT(1-(B55^4))))*B68*(PI()/4)*((B55*B29)^2)*(SQRT(2*B36*B28))</f>
        <v>2.9999730053805793</v>
      </c>
      <c r="C74" s="3" t="s">
        <v>12</v>
      </c>
      <c r="D74" s="21"/>
      <c r="F74" s="3" t="s">
        <v>35</v>
      </c>
      <c r="G74" s="34">
        <f>(G43/(SQRT(1-(G38^4))))*G44*(PI()/4)*((G37)^2)*(SQRT(2*G71*B28))</f>
        <v>2.9972030305081194</v>
      </c>
      <c r="H74" s="3" t="s">
        <v>12</v>
      </c>
    </row>
  </sheetData>
  <mergeCells count="4">
    <mergeCell ref="E1:F1"/>
    <mergeCell ref="G41:I41"/>
    <mergeCell ref="B64:D64"/>
    <mergeCell ref="B65:D65"/>
  </mergeCells>
  <conditionalFormatting sqref="A10:C10 A8:C8">
    <cfRule type="expression" dxfId="0" priority="1">
      <formula>$B$4="Liquid"</formula>
    </cfRule>
  </conditionalFormatting>
  <dataValidations count="1">
    <dataValidation type="list" allowBlank="1" showInputMessage="1" showErrorMessage="1" sqref="B4">
      <formula1>Fluid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Input</vt:lpstr>
      <vt:lpstr> Nozzle ISA 1932</vt:lpstr>
      <vt:lpstr>Long Radius Nozzle</vt:lpstr>
      <vt:lpstr>ASME MF3CM</vt:lpstr>
      <vt:lpstr>PTC-6 Nozzle Throat Tap</vt:lpstr>
      <vt:lpstr>Venturi Nozzle</vt:lpstr>
      <vt:lpstr>Bore</vt:lpstr>
      <vt:lpstr>Comp</vt:lpstr>
      <vt:lpstr>DP</vt:lpstr>
      <vt:lpstr>Element</vt:lpstr>
      <vt:lpstr>Flow</vt:lpstr>
      <vt:lpstr>Fluid_in</vt:lpstr>
      <vt:lpstr>ID</vt:lpstr>
      <vt:lpstr>Isentropic</vt:lpstr>
      <vt:lpstr>OpDens</vt:lpstr>
      <vt:lpstr>OpPress</vt:lpstr>
      <vt:lpstr>OpTemp</vt:lpstr>
      <vt:lpstr>Visc</vt:lpstr>
    </vt:vector>
  </TitlesOfParts>
  <Company>ABB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Wilson</dc:creator>
  <cp:lastModifiedBy>Lee Hayton</cp:lastModifiedBy>
  <dcterms:created xsi:type="dcterms:W3CDTF">2013-05-07T11:01:21Z</dcterms:created>
  <dcterms:modified xsi:type="dcterms:W3CDTF">2015-12-14T14:21:32Z</dcterms:modified>
</cp:coreProperties>
</file>