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210" windowWidth="12000" windowHeight="6435" activeTab="1"/>
  </bookViews>
  <sheets>
    <sheet name="Sheet1" sheetId="1" r:id="rId1"/>
    <sheet name="Input" sheetId="19" r:id="rId2"/>
    <sheet name="Concentric - Corner" sheetId="20" r:id="rId3"/>
    <sheet name="Concentric - Flange" sheetId="22" r:id="rId4"/>
    <sheet name="Concentric - D D2" sheetId="23" r:id="rId5"/>
    <sheet name="Quarter Circle" sheetId="18" r:id="rId6"/>
    <sheet name="Eccentric" sheetId="17" r:id="rId7"/>
    <sheet name="Conical" sheetId="16" r:id="rId8"/>
  </sheets>
  <definedNames>
    <definedName name="Bore">Input!$F$22</definedName>
    <definedName name="Calc">Sheet1!$J$1:$J$2</definedName>
    <definedName name="Comp">Input!$B$8</definedName>
    <definedName name="DP">Input!$B$22</definedName>
    <definedName name="Element">Input!$B$16</definedName>
    <definedName name="Flow">Input!$B$13</definedName>
    <definedName name="Fluid">Sheet1!$E$1:$E$2</definedName>
    <definedName name="Fluid_in">Input!$B$4</definedName>
    <definedName name="ID">Input!$B$19</definedName>
    <definedName name="Isentropic">Input!$B$10</definedName>
    <definedName name="Materials">Sheet1!$G$1:$G$2</definedName>
    <definedName name="OpDens">Input!$B$7</definedName>
    <definedName name="OpPress">Input!$B$5</definedName>
    <definedName name="OpTemp">Input!$B$6</definedName>
    <definedName name="Orifice1">Sheet1!$C$1:$C$3</definedName>
    <definedName name="Pipemat">Input!$B$15</definedName>
    <definedName name="Visc">Input!$B$9</definedName>
  </definedNames>
  <calcPr calcId="145621" iterate="1"/>
</workbook>
</file>

<file path=xl/calcChain.xml><?xml version="1.0" encoding="utf-8"?>
<calcChain xmlns="http://schemas.openxmlformats.org/spreadsheetml/2006/main">
  <c r="B39" i="22" l="1"/>
  <c r="F39" i="22"/>
  <c r="F38" i="22"/>
  <c r="B38" i="22"/>
  <c r="C49" i="16" l="1"/>
  <c r="C48" i="16"/>
  <c r="B42" i="16"/>
  <c r="C46" i="16"/>
  <c r="C45" i="16"/>
  <c r="C44" i="16"/>
  <c r="C43" i="16"/>
  <c r="B43" i="16"/>
  <c r="F36" i="16"/>
  <c r="B36" i="18"/>
  <c r="B36" i="17"/>
  <c r="B32" i="18"/>
  <c r="B28" i="18"/>
  <c r="B27" i="18"/>
  <c r="B26" i="18"/>
  <c r="B25" i="18"/>
  <c r="B32" i="17"/>
  <c r="B28" i="17"/>
  <c r="B27" i="17"/>
  <c r="B26" i="17"/>
  <c r="F36" i="17" s="1"/>
  <c r="B25" i="17"/>
  <c r="B36" i="16"/>
  <c r="B32" i="16"/>
  <c r="B28" i="16"/>
  <c r="B27" i="16"/>
  <c r="B26" i="16"/>
  <c r="B25" i="16"/>
  <c r="C15" i="19"/>
  <c r="B29" i="16" s="1"/>
  <c r="B36" i="23"/>
  <c r="B32" i="23"/>
  <c r="B28" i="23"/>
  <c r="B27" i="23"/>
  <c r="B26" i="23"/>
  <c r="F36" i="23" s="1"/>
  <c r="B25" i="23"/>
  <c r="B36" i="22"/>
  <c r="B32" i="22"/>
  <c r="B28" i="22"/>
  <c r="B27" i="22"/>
  <c r="B26" i="22"/>
  <c r="F36" i="22" s="1"/>
  <c r="B25" i="22"/>
  <c r="B36" i="20"/>
  <c r="B32" i="20"/>
  <c r="B28" i="20"/>
  <c r="B27" i="20"/>
  <c r="B26" i="20"/>
  <c r="F36" i="20" s="1"/>
  <c r="B25" i="20"/>
  <c r="B32" i="19"/>
  <c r="B28" i="19"/>
  <c r="B26" i="19"/>
  <c r="B25" i="19"/>
  <c r="B27" i="19"/>
  <c r="B37" i="17" l="1"/>
  <c r="B37" i="18"/>
  <c r="B37" i="16"/>
  <c r="B39" i="16"/>
  <c r="B40" i="16" s="1"/>
  <c r="B30" i="16"/>
  <c r="B31" i="16" s="1"/>
  <c r="B33" i="16" s="1"/>
  <c r="F37" i="16"/>
  <c r="F40" i="16" s="1"/>
  <c r="F41" i="16" s="1"/>
  <c r="F43" i="16" s="1"/>
  <c r="B29" i="17"/>
  <c r="B30" i="17" s="1"/>
  <c r="B31" i="17" s="1"/>
  <c r="B33" i="17" s="1"/>
  <c r="B29" i="18"/>
  <c r="F36" i="18"/>
  <c r="B29" i="23"/>
  <c r="B30" i="23" s="1"/>
  <c r="B31" i="23" s="1"/>
  <c r="B33" i="23" s="1"/>
  <c r="B37" i="22"/>
  <c r="B37" i="23"/>
  <c r="B29" i="19"/>
  <c r="B30" i="19" s="1"/>
  <c r="B31" i="19" s="1"/>
  <c r="B33" i="19" s="1"/>
  <c r="B29" i="22"/>
  <c r="B37" i="20"/>
  <c r="B29" i="20"/>
  <c r="F37" i="20" s="1"/>
  <c r="B41" i="20" l="1"/>
  <c r="F42" i="16"/>
  <c r="F44" i="16" s="1"/>
  <c r="F50" i="16" s="1"/>
  <c r="B44" i="16"/>
  <c r="B45" i="16" s="1"/>
  <c r="B46" i="16" s="1"/>
  <c r="F37" i="18"/>
  <c r="F38" i="18" s="1"/>
  <c r="F40" i="18" s="1"/>
  <c r="F41" i="18" s="1"/>
  <c r="F47" i="18" s="1"/>
  <c r="B41" i="22"/>
  <c r="F37" i="17"/>
  <c r="B39" i="17"/>
  <c r="B40" i="17" s="1"/>
  <c r="B30" i="18"/>
  <c r="B31" i="18" s="1"/>
  <c r="B33" i="18" s="1"/>
  <c r="B39" i="18"/>
  <c r="B40" i="18" s="1"/>
  <c r="F37" i="23"/>
  <c r="B41" i="23"/>
  <c r="F37" i="22"/>
  <c r="B30" i="22"/>
  <c r="B31" i="22" s="1"/>
  <c r="B33" i="22" s="1"/>
  <c r="B30" i="20"/>
  <c r="B31" i="20" s="1"/>
  <c r="B33" i="20" s="1"/>
  <c r="B42" i="20" l="1"/>
  <c r="B46" i="20" s="1"/>
  <c r="B42" i="23"/>
  <c r="B43" i="23" s="1"/>
  <c r="F38" i="17"/>
  <c r="F51" i="18"/>
  <c r="F41" i="22"/>
  <c r="B41" i="18"/>
  <c r="B42" i="18"/>
  <c r="B42" i="17"/>
  <c r="B41" i="17"/>
  <c r="B48" i="16"/>
  <c r="B49" i="16" s="1"/>
  <c r="B50" i="16" s="1"/>
  <c r="B52" i="16"/>
  <c r="B42" i="22"/>
  <c r="B46" i="22" s="1"/>
  <c r="F40" i="20"/>
  <c r="F40" i="23"/>
  <c r="F40" i="22"/>
  <c r="B44" i="23"/>
  <c r="F41" i="23"/>
  <c r="F41" i="20"/>
  <c r="B46" i="23" l="1"/>
  <c r="B45" i="23"/>
  <c r="F40" i="17"/>
  <c r="B43" i="22"/>
  <c r="B44" i="20"/>
  <c r="B43" i="20"/>
  <c r="B44" i="22"/>
  <c r="B43" i="17"/>
  <c r="F42" i="20"/>
  <c r="F44" i="20" s="1"/>
  <c r="F45" i="20" s="1"/>
  <c r="F46" i="20" s="1"/>
  <c r="F47" i="20" s="1"/>
  <c r="F55" i="20" s="1"/>
  <c r="B43" i="18"/>
  <c r="B45" i="18" s="1"/>
  <c r="B46" i="18" s="1"/>
  <c r="B47" i="18" s="1"/>
  <c r="F42" i="23"/>
  <c r="F44" i="23" s="1"/>
  <c r="F42" i="22"/>
  <c r="B47" i="23" l="1"/>
  <c r="B51" i="23" s="1"/>
  <c r="B57" i="23" s="1"/>
  <c r="B45" i="17"/>
  <c r="B46" i="17" s="1"/>
  <c r="B64" i="17"/>
  <c r="B65" i="17"/>
  <c r="F41" i="17"/>
  <c r="F42" i="17" s="1"/>
  <c r="F43" i="17" s="1"/>
  <c r="F47" i="17" s="1"/>
  <c r="B45" i="22"/>
  <c r="B47" i="22" s="1"/>
  <c r="B53" i="22" s="1"/>
  <c r="B45" i="20"/>
  <c r="B51" i="18"/>
  <c r="F45" i="23"/>
  <c r="F46" i="23" s="1"/>
  <c r="F47" i="23" s="1"/>
  <c r="F44" i="22"/>
  <c r="F57" i="20"/>
  <c r="B47" i="20" l="1"/>
  <c r="B48" i="20" s="1"/>
  <c r="B53" i="23"/>
  <c r="B54" i="23" s="1"/>
  <c r="B55" i="23" s="1"/>
  <c r="B49" i="23"/>
  <c r="B48" i="23"/>
  <c r="B51" i="17"/>
  <c r="F51" i="17"/>
  <c r="B48" i="22"/>
  <c r="B49" i="22"/>
  <c r="B51" i="22"/>
  <c r="B57" i="22" s="1"/>
  <c r="F45" i="22"/>
  <c r="F46" i="22" s="1"/>
  <c r="F47" i="22" s="1"/>
  <c r="F55" i="23"/>
  <c r="F57" i="23" s="1"/>
  <c r="B54" i="22"/>
  <c r="B55" i="22" s="1"/>
  <c r="B47" i="17"/>
  <c r="F52" i="16"/>
  <c r="B50" i="23" l="1"/>
  <c r="B53" i="20"/>
  <c r="B54" i="20" s="1"/>
  <c r="B55" i="20" s="1"/>
  <c r="B51" i="20"/>
  <c r="B57" i="20" s="1"/>
  <c r="B49" i="20"/>
  <c r="B50" i="20" s="1"/>
  <c r="B50" i="22"/>
  <c r="F55" i="22"/>
  <c r="F57" i="22" s="1"/>
</calcChain>
</file>

<file path=xl/comments1.xml><?xml version="1.0" encoding="utf-8"?>
<comments xmlns="http://schemas.openxmlformats.org/spreadsheetml/2006/main">
  <authors>
    <author>Jen Wilson</author>
  </authors>
  <commentList>
    <comment ref="A40" authorId="0">
      <text>
        <r>
          <rPr>
            <b/>
            <sz val="9"/>
            <color indexed="81"/>
            <rFont val="Tahoma"/>
            <family val="2"/>
          </rPr>
          <t>Jen Wilson:</t>
        </r>
        <r>
          <rPr>
            <sz val="9"/>
            <color indexed="81"/>
            <rFont val="Tahoma"/>
            <family val="2"/>
          </rPr>
          <t xml:space="preserve">
Miller Table 9.15</t>
        </r>
      </text>
    </comment>
  </commentList>
</comments>
</file>

<file path=xl/comments2.xml><?xml version="1.0" encoding="utf-8"?>
<comments xmlns="http://schemas.openxmlformats.org/spreadsheetml/2006/main">
  <authors>
    <author>Jen Wilson</author>
  </authors>
  <commentList>
    <comment ref="A40" authorId="0">
      <text>
        <r>
          <rPr>
            <b/>
            <sz val="9"/>
            <color indexed="81"/>
            <rFont val="Tahoma"/>
            <family val="2"/>
          </rPr>
          <t>Jen Wilson:</t>
        </r>
        <r>
          <rPr>
            <sz val="9"/>
            <color indexed="81"/>
            <rFont val="Tahoma"/>
            <family val="2"/>
          </rPr>
          <t xml:space="preserve">
Miller Table 9.15</t>
        </r>
      </text>
    </comment>
  </commentList>
</comments>
</file>

<file path=xl/comments3.xml><?xml version="1.0" encoding="utf-8"?>
<comments xmlns="http://schemas.openxmlformats.org/spreadsheetml/2006/main">
  <authors>
    <author>Jen Wilson</author>
  </authors>
  <commentList>
    <comment ref="A40" authorId="0">
      <text>
        <r>
          <rPr>
            <b/>
            <sz val="9"/>
            <color indexed="81"/>
            <rFont val="Tahoma"/>
            <family val="2"/>
          </rPr>
          <t>Jen Wilson:</t>
        </r>
        <r>
          <rPr>
            <sz val="9"/>
            <color indexed="81"/>
            <rFont val="Tahoma"/>
            <family val="2"/>
          </rPr>
          <t xml:space="preserve">
Miller Table 9.15</t>
        </r>
      </text>
    </comment>
  </commentList>
</comments>
</file>

<file path=xl/comments4.xml><?xml version="1.0" encoding="utf-8"?>
<comments xmlns="http://schemas.openxmlformats.org/spreadsheetml/2006/main">
  <authors>
    <author>Jen Wilson</author>
  </authors>
  <commentList>
    <comment ref="A38" authorId="0">
      <text>
        <r>
          <rPr>
            <b/>
            <sz val="9"/>
            <color indexed="81"/>
            <rFont val="Tahoma"/>
            <family val="2"/>
          </rPr>
          <t>Jen Wilson:</t>
        </r>
        <r>
          <rPr>
            <sz val="9"/>
            <color indexed="81"/>
            <rFont val="Tahoma"/>
            <family val="2"/>
          </rPr>
          <t xml:space="preserve">
Miller Table 9.15</t>
        </r>
      </text>
    </comment>
  </commentList>
</comments>
</file>

<file path=xl/comments5.xml><?xml version="1.0" encoding="utf-8"?>
<comments xmlns="http://schemas.openxmlformats.org/spreadsheetml/2006/main">
  <authors>
    <author>Jen Wilson</author>
  </authors>
  <commentList>
    <comment ref="A38" authorId="0">
      <text>
        <r>
          <rPr>
            <b/>
            <sz val="9"/>
            <color indexed="81"/>
            <rFont val="Tahoma"/>
            <family val="2"/>
          </rPr>
          <t>Jen Wilson:</t>
        </r>
        <r>
          <rPr>
            <sz val="9"/>
            <color indexed="81"/>
            <rFont val="Tahoma"/>
            <family val="2"/>
          </rPr>
          <t xml:space="preserve">
Miller Table 9.15</t>
        </r>
      </text>
    </comment>
  </commentList>
</comments>
</file>

<file path=xl/comments6.xml><?xml version="1.0" encoding="utf-8"?>
<comments xmlns="http://schemas.openxmlformats.org/spreadsheetml/2006/main">
  <authors>
    <author>Jen Wilson</author>
  </authors>
  <commentList>
    <comment ref="A38" authorId="0">
      <text>
        <r>
          <rPr>
            <b/>
            <sz val="9"/>
            <color indexed="81"/>
            <rFont val="Tahoma"/>
            <family val="2"/>
          </rPr>
          <t>Jen Wilson:</t>
        </r>
        <r>
          <rPr>
            <sz val="9"/>
            <color indexed="81"/>
            <rFont val="Tahoma"/>
            <family val="2"/>
          </rPr>
          <t xml:space="preserve">
Miller Table 9.15</t>
        </r>
      </text>
    </comment>
  </commentList>
</comments>
</file>

<file path=xl/sharedStrings.xml><?xml version="1.0" encoding="utf-8"?>
<sst xmlns="http://schemas.openxmlformats.org/spreadsheetml/2006/main" count="711" uniqueCount="143">
  <si>
    <t>Concentric Orifice</t>
  </si>
  <si>
    <t>Conical Entrance Orifice</t>
  </si>
  <si>
    <t>Eccentric Orifice</t>
  </si>
  <si>
    <t>Quarter Circle Orifice</t>
  </si>
  <si>
    <t>Segmental Orifice</t>
  </si>
  <si>
    <t>Corner taps - ISO 5167-2:2003</t>
  </si>
  <si>
    <t>Flange taps - ISO 5167-2:2003</t>
  </si>
  <si>
    <t>D &amp; D/2 taps - ISO 5167-2:2003</t>
  </si>
  <si>
    <t>2½ &amp; 8D taps - ISO 5167-2:2003</t>
  </si>
  <si>
    <t>Fluid</t>
  </si>
  <si>
    <t>Operating Pressure</t>
  </si>
  <si>
    <t>Operating Temperature</t>
  </si>
  <si>
    <t>Operating Density</t>
  </si>
  <si>
    <t>Compressibility</t>
  </si>
  <si>
    <t>Operating Viscosity</t>
  </si>
  <si>
    <t>Isentropic Index</t>
  </si>
  <si>
    <t>Liquid Vapour Pressure</t>
  </si>
  <si>
    <t>Flowrate (x4)</t>
  </si>
  <si>
    <t>Materials</t>
  </si>
  <si>
    <t>Pipe ID</t>
  </si>
  <si>
    <t>Pipe WT</t>
  </si>
  <si>
    <t>Liquid</t>
  </si>
  <si>
    <t>Gas</t>
  </si>
  <si>
    <t>Pa[A]</t>
  </si>
  <si>
    <t>°K</t>
  </si>
  <si>
    <t>kg/s</t>
  </si>
  <si>
    <t>kg/m³</t>
  </si>
  <si>
    <t>m</t>
  </si>
  <si>
    <t>m2</t>
  </si>
  <si>
    <t>m/s</t>
  </si>
  <si>
    <t>Pa.s</t>
  </si>
  <si>
    <t>kg/m3</t>
  </si>
  <si>
    <t>Convert Operating Pressure</t>
  </si>
  <si>
    <t>Convert temperature</t>
  </si>
  <si>
    <t>Calculate mass flow (if not given)</t>
  </si>
  <si>
    <t>Calc/convert density</t>
  </si>
  <si>
    <t>Convert diameter with expans.</t>
  </si>
  <si>
    <t>Calc pipe area</t>
  </si>
  <si>
    <t>Calc pipe velocity</t>
  </si>
  <si>
    <t>Calculate viscosity</t>
  </si>
  <si>
    <t>Calc Reynolds Number</t>
  </si>
  <si>
    <t>Co-efficient of Expansion</t>
  </si>
  <si>
    <t>316L Pipe</t>
  </si>
  <si>
    <t>CS Pipe</t>
  </si>
  <si>
    <t>316L Element</t>
  </si>
  <si>
    <t>DP</t>
  </si>
  <si>
    <t>Bore</t>
  </si>
  <si>
    <t>Downstream Pressure, P2</t>
  </si>
  <si>
    <t>L1</t>
  </si>
  <si>
    <t>L'2</t>
  </si>
  <si>
    <r>
      <t>Sizing Factor, S</t>
    </r>
    <r>
      <rPr>
        <vertAlign val="subscript"/>
        <sz val="11"/>
        <color theme="1"/>
        <rFont val="Calibri"/>
        <family val="2"/>
      </rPr>
      <t>M</t>
    </r>
  </si>
  <si>
    <r>
      <t>N Factor for Mass Flow, N*</t>
    </r>
    <r>
      <rPr>
        <vertAlign val="subscript"/>
        <sz val="11"/>
        <color theme="1"/>
        <rFont val="Calibri"/>
        <family val="2"/>
      </rPr>
      <t>Mρ</t>
    </r>
  </si>
  <si>
    <t>[kg/s]</t>
  </si>
  <si>
    <r>
      <t>Initial Beta, β</t>
    </r>
    <r>
      <rPr>
        <vertAlign val="subscript"/>
        <sz val="11"/>
        <color theme="1"/>
        <rFont val="Calibri"/>
        <family val="2"/>
      </rPr>
      <t>0</t>
    </r>
  </si>
  <si>
    <r>
      <t>A</t>
    </r>
    <r>
      <rPr>
        <vertAlign val="subscript"/>
        <sz val="11"/>
        <color theme="1"/>
        <rFont val="Calibri"/>
        <family val="2"/>
      </rPr>
      <t>0</t>
    </r>
  </si>
  <si>
    <r>
      <t>M'</t>
    </r>
    <r>
      <rPr>
        <vertAlign val="subscript"/>
        <sz val="11"/>
        <color theme="1"/>
        <rFont val="Calibri"/>
        <family val="2"/>
      </rPr>
      <t>2,0</t>
    </r>
  </si>
  <si>
    <r>
      <t>Co-efficient of Discharge, C</t>
    </r>
    <r>
      <rPr>
        <vertAlign val="subscript"/>
        <sz val="11"/>
        <color theme="1"/>
        <rFont val="Calibri"/>
        <family val="2"/>
      </rPr>
      <t>0</t>
    </r>
  </si>
  <si>
    <r>
      <t>Expansibility Factor, Y</t>
    </r>
    <r>
      <rPr>
        <vertAlign val="subscript"/>
        <sz val="11"/>
        <color theme="1"/>
        <rFont val="Calibri"/>
        <family val="2"/>
      </rPr>
      <t>0</t>
    </r>
  </si>
  <si>
    <t>qm</t>
  </si>
  <si>
    <t>Machined Bore</t>
  </si>
  <si>
    <t>Operting Bore</t>
  </si>
  <si>
    <t>mm</t>
  </si>
  <si>
    <t>Machined Bore (mm)</t>
  </si>
  <si>
    <r>
      <t>Beta, β</t>
    </r>
    <r>
      <rPr>
        <vertAlign val="subscript"/>
        <sz val="11"/>
        <color theme="1"/>
        <rFont val="Calibri"/>
        <family val="2"/>
      </rPr>
      <t>1</t>
    </r>
  </si>
  <si>
    <r>
      <t>A</t>
    </r>
    <r>
      <rPr>
        <vertAlign val="subscript"/>
        <sz val="11"/>
        <color theme="1"/>
        <rFont val="Calibri"/>
        <family val="2"/>
      </rPr>
      <t>1</t>
    </r>
  </si>
  <si>
    <r>
      <t>M'</t>
    </r>
    <r>
      <rPr>
        <vertAlign val="subscript"/>
        <sz val="11"/>
        <color theme="1"/>
        <rFont val="Calibri"/>
        <family val="2"/>
      </rPr>
      <t>2,1</t>
    </r>
  </si>
  <si>
    <r>
      <t>Co-efficient of Discharge, C</t>
    </r>
    <r>
      <rPr>
        <vertAlign val="subscript"/>
        <sz val="11"/>
        <color theme="1"/>
        <rFont val="Calibri"/>
        <family val="2"/>
      </rPr>
      <t>1</t>
    </r>
  </si>
  <si>
    <r>
      <t>Expansibility Factor, Y</t>
    </r>
    <r>
      <rPr>
        <vertAlign val="subscript"/>
        <sz val="11"/>
        <color theme="1"/>
        <rFont val="Calibri"/>
        <family val="2"/>
      </rPr>
      <t>1</t>
    </r>
  </si>
  <si>
    <t>Iterate until B55=B27</t>
  </si>
  <si>
    <t>Beta</t>
  </si>
  <si>
    <t>A</t>
  </si>
  <si>
    <r>
      <t>M'</t>
    </r>
    <r>
      <rPr>
        <vertAlign val="subscript"/>
        <sz val="11"/>
        <color theme="1"/>
        <rFont val="Calibri"/>
        <family val="2"/>
      </rPr>
      <t>2</t>
    </r>
  </si>
  <si>
    <t>Co-efficient of Discharge, C</t>
  </si>
  <si>
    <t>Expansibility Factor, Y</t>
  </si>
  <si>
    <r>
      <t xml:space="preserve">Differential Pressure, </t>
    </r>
    <r>
      <rPr>
        <sz val="11"/>
        <color theme="1"/>
        <rFont val="Comic Sans MS"/>
        <family val="4"/>
      </rPr>
      <t>Δ</t>
    </r>
    <r>
      <rPr>
        <sz val="8.8000000000000007"/>
        <color theme="1"/>
        <rFont val="Calibri"/>
        <family val="2"/>
      </rPr>
      <t>p</t>
    </r>
  </si>
  <si>
    <r>
      <t>Initial Expansibility Factor, Y</t>
    </r>
    <r>
      <rPr>
        <vertAlign val="subscript"/>
        <sz val="11"/>
        <color theme="1"/>
        <rFont val="Calibri"/>
        <family val="2"/>
      </rPr>
      <t>0</t>
    </r>
  </si>
  <si>
    <t>Operating Bore</t>
  </si>
  <si>
    <t>Pressure drop too high</t>
  </si>
  <si>
    <t>Max p2/p1</t>
  </si>
  <si>
    <t>Reynolds Number too low</t>
  </si>
  <si>
    <t>For Beta more than 0.56</t>
  </si>
  <si>
    <r>
      <t>16000</t>
    </r>
    <r>
      <rPr>
        <sz val="10"/>
        <rFont val="Calibri"/>
        <family val="2"/>
      </rPr>
      <t>β</t>
    </r>
    <r>
      <rPr>
        <vertAlign val="superscript"/>
        <sz val="10"/>
        <rFont val="Arial"/>
        <family val="2"/>
      </rPr>
      <t>2</t>
    </r>
  </si>
  <si>
    <r>
      <t>5000 AND 170</t>
    </r>
    <r>
      <rPr>
        <sz val="10"/>
        <rFont val="Calibri"/>
        <family val="2"/>
      </rPr>
      <t>β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D</t>
    </r>
  </si>
  <si>
    <t>Min Reynolds</t>
  </si>
  <si>
    <t>For Beta less than 0.56</t>
  </si>
  <si>
    <t>Beta ratio too high</t>
  </si>
  <si>
    <r>
      <t xml:space="preserve">Max beta, </t>
    </r>
    <r>
      <rPr>
        <sz val="10"/>
        <rFont val="Calibri"/>
        <family val="2"/>
      </rPr>
      <t>β</t>
    </r>
  </si>
  <si>
    <t>Beta ratio too low</t>
  </si>
  <si>
    <r>
      <t xml:space="preserve">Min beta, </t>
    </r>
    <r>
      <rPr>
        <sz val="10"/>
        <rFont val="Calibri"/>
        <family val="2"/>
      </rPr>
      <t>β</t>
    </r>
  </si>
  <si>
    <t>Pipe ID too high</t>
  </si>
  <si>
    <t>Max pipe ID, D</t>
  </si>
  <si>
    <t>Pipe ID too low</t>
  </si>
  <si>
    <t>Min pipe ID, D</t>
  </si>
  <si>
    <t>Bore too low</t>
  </si>
  <si>
    <t>Min bore,d</t>
  </si>
  <si>
    <t>Warning</t>
  </si>
  <si>
    <t>Units</t>
  </si>
  <si>
    <t>D and D/2 Taps</t>
  </si>
  <si>
    <t>Flange Taps</t>
  </si>
  <si>
    <t>Corner Taps</t>
  </si>
  <si>
    <t>Device</t>
  </si>
  <si>
    <r>
      <t>L</t>
    </r>
    <r>
      <rPr>
        <vertAlign val="subscript"/>
        <sz val="11"/>
        <color theme="1"/>
        <rFont val="Calibri"/>
        <family val="2"/>
      </rPr>
      <t>1</t>
    </r>
  </si>
  <si>
    <r>
      <t>L'</t>
    </r>
    <r>
      <rPr>
        <vertAlign val="subscript"/>
        <sz val="11"/>
        <color theme="1"/>
        <rFont val="Calibri"/>
        <family val="2"/>
      </rPr>
      <t>2</t>
    </r>
  </si>
  <si>
    <r>
      <t>2*10</t>
    </r>
    <r>
      <rPr>
        <vertAlign val="superscript"/>
        <sz val="10"/>
        <rFont val="Arial"/>
        <family val="2"/>
      </rPr>
      <t>5</t>
    </r>
    <r>
      <rPr>
        <sz val="10"/>
        <rFont val="Arial"/>
        <family val="2"/>
      </rPr>
      <t>*beta</t>
    </r>
  </si>
  <si>
    <t>Max Reynolds</t>
  </si>
  <si>
    <t>Reynolds Number too high</t>
  </si>
  <si>
    <t>Iterate until B45=B27</t>
  </si>
  <si>
    <t>Concentric Expansibility Factor, Y</t>
  </si>
  <si>
    <t>ISA 1932 Nozzle Expansibility Factor, Y</t>
  </si>
  <si>
    <t>Pressure ratio, τ</t>
  </si>
  <si>
    <r>
      <t>Pressure ratio, τ</t>
    </r>
    <r>
      <rPr>
        <vertAlign val="subscript"/>
        <sz val="11"/>
        <color theme="1"/>
        <rFont val="Calibri"/>
        <family val="2"/>
      </rPr>
      <t>1</t>
    </r>
  </si>
  <si>
    <t>Iterate until B57=B27</t>
  </si>
  <si>
    <t>-</t>
  </si>
  <si>
    <r>
      <t>10</t>
    </r>
    <r>
      <rPr>
        <vertAlign val="superscript"/>
        <sz val="10"/>
        <rFont val="Arial"/>
        <family val="2"/>
      </rPr>
      <t>5</t>
    </r>
    <r>
      <rPr>
        <sz val="10"/>
        <rFont val="Calibri"/>
        <family val="2"/>
      </rPr>
      <t>β</t>
    </r>
  </si>
  <si>
    <r>
      <t>1000β +9.4x10</t>
    </r>
    <r>
      <rPr>
        <vertAlign val="superscript"/>
        <sz val="10"/>
        <color theme="1"/>
        <rFont val="Calibri"/>
        <family val="2"/>
      </rPr>
      <t>6</t>
    </r>
    <r>
      <rPr>
        <sz val="10"/>
        <color theme="1"/>
        <rFont val="Calibri"/>
        <family val="2"/>
      </rPr>
      <t>(β-0.24)</t>
    </r>
    <r>
      <rPr>
        <vertAlign val="superscript"/>
        <sz val="10"/>
        <color theme="1"/>
        <rFont val="Calibri"/>
        <family val="2"/>
      </rPr>
      <t>8</t>
    </r>
  </si>
  <si>
    <t>ISO 5167</t>
  </si>
  <si>
    <t>Miller</t>
  </si>
  <si>
    <t>ü</t>
  </si>
  <si>
    <t>û</t>
  </si>
  <si>
    <t>Corner taps</t>
  </si>
  <si>
    <t>Flange taps</t>
  </si>
  <si>
    <t>D &amp; D/2 taps</t>
  </si>
  <si>
    <t>2½ &amp; 8D taps</t>
  </si>
  <si>
    <t>AGA-3</t>
  </si>
  <si>
    <r>
      <t>ü</t>
    </r>
    <r>
      <rPr>
        <sz val="11"/>
        <rFont val="Utsaah"/>
        <family val="2"/>
      </rPr>
      <t>*</t>
    </r>
  </si>
  <si>
    <t>* Same equation for corner and flange taps</t>
  </si>
  <si>
    <t>Flange taps (90° or 180°)</t>
  </si>
  <si>
    <t>CALCULATION TYPE</t>
  </si>
  <si>
    <t>ISO 5167:2003</t>
  </si>
  <si>
    <t>CH/FPD/ORIFICE/DESIGN</t>
  </si>
  <si>
    <t>C1</t>
  </si>
  <si>
    <t>Concentric - Corner taps</t>
  </si>
  <si>
    <t>C2</t>
  </si>
  <si>
    <t>Concentric - Flange taps</t>
  </si>
  <si>
    <t>C3</t>
  </si>
  <si>
    <t>Concentric - D &amp; D/2 taps</t>
  </si>
  <si>
    <t>Quarter circle - Corner taps</t>
  </si>
  <si>
    <t>Q2</t>
  </si>
  <si>
    <t>Quarter circle - Flange taps</t>
  </si>
  <si>
    <t>Q1</t>
  </si>
  <si>
    <t>E1</t>
  </si>
  <si>
    <t>Eccentric - Corner taps</t>
  </si>
  <si>
    <t>Conical entrance - Corner taps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</si>
</sst>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0000"/>
    <numFmt numFmtId="166" formatCode="0.000000000"/>
  </numFmts>
  <fonts count="28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  <font>
      <strike/>
      <sz val="11"/>
      <color rgb="FFFF0000"/>
      <name val="Calibri"/>
      <family val="2"/>
    </font>
    <font>
      <vertAlign val="subscript"/>
      <sz val="11"/>
      <color theme="1"/>
      <name val="Calibri"/>
      <family val="2"/>
    </font>
    <font>
      <sz val="11"/>
      <color theme="1"/>
      <name val="Comic Sans MS"/>
      <family val="4"/>
    </font>
    <font>
      <sz val="8.8000000000000007"/>
      <color theme="1"/>
      <name val="Calibri"/>
      <family val="2"/>
    </font>
    <font>
      <b/>
      <sz val="14"/>
      <color theme="1"/>
      <name val="Calibri"/>
      <family val="2"/>
    </font>
    <font>
      <sz val="10"/>
      <color rgb="FFFF0000"/>
      <name val="Arial"/>
      <family val="2"/>
    </font>
    <font>
      <sz val="10"/>
      <name val="Calibri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vertAlign val="superscript"/>
      <sz val="10"/>
      <color theme="1"/>
      <name val="Calibri"/>
      <family val="2"/>
    </font>
    <font>
      <sz val="11"/>
      <name val="Wingdings"/>
      <charset val="2"/>
    </font>
    <font>
      <sz val="11"/>
      <name val="Utsaah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2" borderId="0" applyNumberFormat="0" applyBorder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1" fillId="11" borderId="0" applyNumberFormat="0" applyBorder="0" applyAlignment="0" applyProtection="0"/>
    <xf numFmtId="0" fontId="6" fillId="0" borderId="0"/>
    <xf numFmtId="0" fontId="10" fillId="0" borderId="0"/>
    <xf numFmtId="0" fontId="1" fillId="0" borderId="0"/>
  </cellStyleXfs>
  <cellXfs count="46">
    <xf numFmtId="0" fontId="0" fillId="0" borderId="0" xfId="0"/>
    <xf numFmtId="0" fontId="7" fillId="0" borderId="0" xfId="8" applyFont="1" applyFill="1"/>
    <xf numFmtId="0" fontId="8" fillId="0" borderId="0" xfId="0" applyFont="1" applyFill="1"/>
    <xf numFmtId="0" fontId="9" fillId="0" borderId="0" xfId="0" applyFont="1"/>
    <xf numFmtId="0" fontId="10" fillId="0" borderId="0" xfId="14"/>
    <xf numFmtId="0" fontId="14" fillId="0" borderId="0" xfId="0" applyFont="1"/>
    <xf numFmtId="0" fontId="9" fillId="12" borderId="1" xfId="0" applyFont="1" applyFill="1" applyBorder="1"/>
    <xf numFmtId="0" fontId="9" fillId="13" borderId="2" xfId="0" applyFont="1" applyFill="1" applyBorder="1"/>
    <xf numFmtId="0" fontId="9" fillId="13" borderId="3" xfId="0" applyFont="1" applyFill="1" applyBorder="1"/>
    <xf numFmtId="0" fontId="6" fillId="13" borderId="4" xfId="13" applyFill="1" applyBorder="1"/>
    <xf numFmtId="0" fontId="9" fillId="13" borderId="5" xfId="0" applyFont="1" applyFill="1" applyBorder="1"/>
    <xf numFmtId="0" fontId="9" fillId="13" borderId="0" xfId="0" applyFont="1" applyFill="1" applyBorder="1"/>
    <xf numFmtId="0" fontId="6" fillId="13" borderId="6" xfId="13" applyFill="1" applyBorder="1"/>
    <xf numFmtId="0" fontId="1" fillId="13" borderId="6" xfId="15" applyFill="1" applyBorder="1"/>
    <xf numFmtId="0" fontId="9" fillId="13" borderId="7" xfId="0" applyFont="1" applyFill="1" applyBorder="1"/>
    <xf numFmtId="0" fontId="9" fillId="13" borderId="8" xfId="0" applyFont="1" applyFill="1" applyBorder="1"/>
    <xf numFmtId="0" fontId="9" fillId="13" borderId="9" xfId="0" applyFont="1" applyFill="1" applyBorder="1"/>
    <xf numFmtId="0" fontId="6" fillId="0" borderId="0" xfId="13"/>
    <xf numFmtId="0" fontId="6" fillId="0" borderId="0" xfId="13" applyFont="1"/>
    <xf numFmtId="0" fontId="6" fillId="0" borderId="0" xfId="13" applyAlignment="1">
      <alignment vertical="center"/>
    </xf>
    <xf numFmtId="0" fontId="6" fillId="0" borderId="0" xfId="13" applyFont="1" applyAlignment="1">
      <alignment vertical="center"/>
    </xf>
    <xf numFmtId="0" fontId="9" fillId="14" borderId="0" xfId="0" applyFont="1" applyFill="1"/>
    <xf numFmtId="0" fontId="2" fillId="0" borderId="0" xfId="13" applyFont="1"/>
    <xf numFmtId="0" fontId="9" fillId="0" borderId="0" xfId="0" applyFont="1" applyFill="1"/>
    <xf numFmtId="0" fontId="18" fillId="15" borderId="0" xfId="0" applyFont="1" applyFill="1"/>
    <xf numFmtId="0" fontId="13" fillId="0" borderId="0" xfId="0" applyFont="1" applyFill="1"/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8" applyFont="1" applyFill="1"/>
    <xf numFmtId="0" fontId="24" fillId="12" borderId="1" xfId="0" applyFont="1" applyFill="1" applyBorder="1" applyAlignment="1">
      <alignment horizontal="center" vertical="center"/>
    </xf>
    <xf numFmtId="0" fontId="24" fillId="16" borderId="1" xfId="0" applyFont="1" applyFill="1" applyBorder="1" applyAlignment="1">
      <alignment horizontal="center" vertical="center"/>
    </xf>
    <xf numFmtId="166" fontId="9" fillId="0" borderId="0" xfId="0" applyNumberFormat="1" applyFont="1"/>
    <xf numFmtId="164" fontId="9" fillId="14" borderId="0" xfId="0" applyNumberFormat="1" applyFont="1" applyFill="1"/>
    <xf numFmtId="165" fontId="9" fillId="14" borderId="0" xfId="0" applyNumberFormat="1" applyFont="1" applyFill="1"/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6" fillId="17" borderId="0" xfId="15" applyNumberFormat="1" applyFont="1" applyFill="1" applyBorder="1" applyAlignment="1" applyProtection="1"/>
    <xf numFmtId="0" fontId="27" fillId="17" borderId="0" xfId="0" applyFont="1" applyFill="1" applyBorder="1"/>
    <xf numFmtId="0" fontId="26" fillId="0" borderId="0" xfId="15" applyNumberFormat="1" applyFont="1" applyFill="1" applyBorder="1" applyAlignment="1" applyProtection="1"/>
    <xf numFmtId="0" fontId="27" fillId="0" borderId="0" xfId="0" applyFont="1" applyFill="1" applyBorder="1" applyAlignment="1">
      <alignment horizontal="center"/>
    </xf>
    <xf numFmtId="0" fontId="27" fillId="0" borderId="0" xfId="0" applyFont="1" applyFill="1" applyBorder="1"/>
  </cellXfs>
  <cellStyles count="16">
    <cellStyle name="40% - Accent1 2" xfId="6"/>
    <cellStyle name="40% - Accent6 2" xfId="12"/>
    <cellStyle name="60% - Accent2 2" xfId="8"/>
    <cellStyle name="60% - Accent5 2" xfId="10"/>
    <cellStyle name="Accent1 2" xfId="5"/>
    <cellStyle name="Accent2 2" xfId="7"/>
    <cellStyle name="Accent4 2" xfId="9"/>
    <cellStyle name="Accent6 2" xfId="11"/>
    <cellStyle name="Good 2" xfId="2"/>
    <cellStyle name="Good 3" xfId="4"/>
    <cellStyle name="Neutral 2" xfId="3"/>
    <cellStyle name="Normal" xfId="0" builtinId="0"/>
    <cellStyle name="Normal 2" xfId="1"/>
    <cellStyle name="Normal 2 2" xfId="14"/>
    <cellStyle name="Normal 3" xfId="15"/>
    <cellStyle name="Normal 4" xfId="13"/>
  </cellStyles>
  <dxfs count="7"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46"/>
  <sheetViews>
    <sheetView topLeftCell="A21" workbookViewId="0">
      <selection activeCell="F24" sqref="F24"/>
    </sheetView>
  </sheetViews>
  <sheetFormatPr defaultRowHeight="15" x14ac:dyDescent="0.25"/>
  <cols>
    <col min="1" max="1" width="9.140625" style="2"/>
    <col min="2" max="2" width="22.42578125" style="2" bestFit="1" customWidth="1"/>
    <col min="3" max="3" width="28" style="2" bestFit="1" customWidth="1"/>
    <col min="4" max="6" width="9.140625" style="2"/>
    <col min="7" max="7" width="12.42578125" style="2" customWidth="1"/>
    <col min="8" max="16384" width="9.140625" style="2"/>
  </cols>
  <sheetData>
    <row r="1" spans="2:11" x14ac:dyDescent="0.25">
      <c r="B1" s="1" t="s">
        <v>0</v>
      </c>
      <c r="C1" s="2" t="s">
        <v>5</v>
      </c>
      <c r="E1" s="3" t="s">
        <v>21</v>
      </c>
      <c r="G1" s="2" t="s">
        <v>42</v>
      </c>
      <c r="H1" s="4">
        <v>1.789E-5</v>
      </c>
      <c r="J1" s="2" t="s">
        <v>45</v>
      </c>
      <c r="K1" s="2" t="s">
        <v>23</v>
      </c>
    </row>
    <row r="2" spans="2:11" x14ac:dyDescent="0.25">
      <c r="B2" s="1"/>
      <c r="C2" s="2" t="s">
        <v>6</v>
      </c>
      <c r="E2" s="3" t="s">
        <v>22</v>
      </c>
      <c r="G2" s="2" t="s">
        <v>43</v>
      </c>
      <c r="H2" s="4">
        <v>1.3529999999999999E-5</v>
      </c>
      <c r="J2" s="2" t="s">
        <v>46</v>
      </c>
      <c r="K2" s="2" t="s">
        <v>27</v>
      </c>
    </row>
    <row r="3" spans="2:11" x14ac:dyDescent="0.25">
      <c r="B3" s="1"/>
      <c r="C3" s="2" t="s">
        <v>7</v>
      </c>
    </row>
    <row r="4" spans="2:11" x14ac:dyDescent="0.25">
      <c r="B4" s="1"/>
      <c r="C4" s="25" t="s">
        <v>8</v>
      </c>
    </row>
    <row r="5" spans="2:11" x14ac:dyDescent="0.25">
      <c r="B5" s="1" t="s">
        <v>1</v>
      </c>
      <c r="C5" s="2" t="s">
        <v>5</v>
      </c>
    </row>
    <row r="6" spans="2:11" x14ac:dyDescent="0.25">
      <c r="B6" s="1"/>
      <c r="C6" s="25" t="s">
        <v>6</v>
      </c>
    </row>
    <row r="7" spans="2:11" x14ac:dyDescent="0.25">
      <c r="B7" s="1"/>
      <c r="C7" s="25" t="s">
        <v>7</v>
      </c>
    </row>
    <row r="8" spans="2:11" x14ac:dyDescent="0.25">
      <c r="B8" s="1"/>
      <c r="C8" s="25" t="s">
        <v>8</v>
      </c>
    </row>
    <row r="9" spans="2:11" x14ac:dyDescent="0.25">
      <c r="B9" s="1" t="s">
        <v>2</v>
      </c>
      <c r="C9" s="2" t="s">
        <v>5</v>
      </c>
    </row>
    <row r="10" spans="2:11" x14ac:dyDescent="0.25">
      <c r="B10" s="1"/>
      <c r="C10" s="25" t="s">
        <v>6</v>
      </c>
    </row>
    <row r="11" spans="2:11" x14ac:dyDescent="0.25">
      <c r="B11" s="1"/>
      <c r="C11" s="25" t="s">
        <v>7</v>
      </c>
    </row>
    <row r="12" spans="2:11" x14ac:dyDescent="0.25">
      <c r="B12" s="1"/>
      <c r="C12" s="25" t="s">
        <v>8</v>
      </c>
    </row>
    <row r="13" spans="2:11" x14ac:dyDescent="0.25">
      <c r="B13" s="1" t="s">
        <v>3</v>
      </c>
      <c r="C13" s="2" t="s">
        <v>5</v>
      </c>
    </row>
    <row r="14" spans="2:11" x14ac:dyDescent="0.25">
      <c r="B14" s="1"/>
      <c r="C14" s="2" t="s">
        <v>6</v>
      </c>
    </row>
    <row r="15" spans="2:11" x14ac:dyDescent="0.25">
      <c r="B15" s="1"/>
      <c r="C15" s="25" t="s">
        <v>7</v>
      </c>
    </row>
    <row r="16" spans="2:11" x14ac:dyDescent="0.25">
      <c r="B16" s="1"/>
      <c r="C16" s="25" t="s">
        <v>8</v>
      </c>
    </row>
    <row r="17" spans="2:10" x14ac:dyDescent="0.25">
      <c r="B17" s="1" t="s">
        <v>4</v>
      </c>
      <c r="C17" s="25" t="s">
        <v>5</v>
      </c>
    </row>
    <row r="18" spans="2:10" x14ac:dyDescent="0.25">
      <c r="C18" s="25" t="s">
        <v>6</v>
      </c>
    </row>
    <row r="19" spans="2:10" x14ac:dyDescent="0.25">
      <c r="C19" s="25" t="s">
        <v>7</v>
      </c>
    </row>
    <row r="20" spans="2:10" x14ac:dyDescent="0.25">
      <c r="C20" s="25" t="s">
        <v>8</v>
      </c>
    </row>
    <row r="22" spans="2:10" x14ac:dyDescent="0.25">
      <c r="D22" s="2" t="s">
        <v>115</v>
      </c>
      <c r="E22" s="2" t="s">
        <v>116</v>
      </c>
      <c r="F22" s="2" t="s">
        <v>123</v>
      </c>
    </row>
    <row r="23" spans="2:10" x14ac:dyDescent="0.25">
      <c r="B23" s="1" t="s">
        <v>0</v>
      </c>
      <c r="C23" s="23" t="s">
        <v>119</v>
      </c>
      <c r="D23" s="33" t="s">
        <v>117</v>
      </c>
      <c r="E23" s="33" t="s">
        <v>117</v>
      </c>
      <c r="F23" s="34" t="s">
        <v>118</v>
      </c>
      <c r="G23" s="32"/>
      <c r="H23" s="23"/>
      <c r="I23" s="23"/>
      <c r="J23" s="23"/>
    </row>
    <row r="24" spans="2:10" x14ac:dyDescent="0.25">
      <c r="B24" s="1"/>
      <c r="C24" s="23" t="s">
        <v>120</v>
      </c>
      <c r="D24" s="33" t="s">
        <v>117</v>
      </c>
      <c r="E24" s="33" t="s">
        <v>117</v>
      </c>
      <c r="F24" s="33" t="s">
        <v>117</v>
      </c>
      <c r="G24" s="32"/>
      <c r="H24" s="23"/>
      <c r="I24" s="23"/>
      <c r="J24" s="23"/>
    </row>
    <row r="25" spans="2:10" x14ac:dyDescent="0.25">
      <c r="B25" s="1"/>
      <c r="C25" s="23" t="s">
        <v>121</v>
      </c>
      <c r="D25" s="33" t="s">
        <v>117</v>
      </c>
      <c r="E25" s="33" t="s">
        <v>117</v>
      </c>
      <c r="F25" s="34" t="s">
        <v>118</v>
      </c>
      <c r="G25" s="32"/>
      <c r="H25" s="23"/>
      <c r="I25" s="23"/>
      <c r="J25" s="23"/>
    </row>
    <row r="26" spans="2:10" x14ac:dyDescent="0.25">
      <c r="B26" s="1"/>
      <c r="C26" s="23" t="s">
        <v>122</v>
      </c>
      <c r="D26" s="34" t="s">
        <v>118</v>
      </c>
      <c r="E26" s="33" t="s">
        <v>117</v>
      </c>
      <c r="F26" s="34" t="s">
        <v>118</v>
      </c>
      <c r="G26" s="32"/>
      <c r="H26" s="23"/>
      <c r="I26" s="23"/>
      <c r="J26" s="23"/>
    </row>
    <row r="27" spans="2:10" x14ac:dyDescent="0.25">
      <c r="B27" s="1" t="s">
        <v>1</v>
      </c>
      <c r="C27" s="23" t="s">
        <v>119</v>
      </c>
      <c r="D27" s="33" t="s">
        <v>117</v>
      </c>
      <c r="E27" s="33" t="s">
        <v>117</v>
      </c>
      <c r="F27" s="34" t="s">
        <v>118</v>
      </c>
      <c r="G27" s="32"/>
      <c r="H27" s="23"/>
      <c r="I27" s="23"/>
      <c r="J27" s="23"/>
    </row>
    <row r="28" spans="2:10" x14ac:dyDescent="0.25">
      <c r="B28" s="1"/>
      <c r="C28" s="23" t="s">
        <v>120</v>
      </c>
      <c r="D28" s="34" t="s">
        <v>118</v>
      </c>
      <c r="E28" s="34" t="s">
        <v>118</v>
      </c>
      <c r="F28" s="34" t="s">
        <v>118</v>
      </c>
      <c r="G28" s="32"/>
      <c r="H28" s="23"/>
      <c r="I28" s="23"/>
      <c r="J28" s="23"/>
    </row>
    <row r="29" spans="2:10" x14ac:dyDescent="0.25">
      <c r="B29" s="1"/>
      <c r="C29" s="23" t="s">
        <v>121</v>
      </c>
      <c r="D29" s="34" t="s">
        <v>118</v>
      </c>
      <c r="E29" s="34" t="s">
        <v>118</v>
      </c>
      <c r="F29" s="34" t="s">
        <v>118</v>
      </c>
      <c r="G29" s="32"/>
      <c r="H29" s="23"/>
      <c r="I29" s="23"/>
      <c r="J29" s="23"/>
    </row>
    <row r="30" spans="2:10" x14ac:dyDescent="0.25">
      <c r="B30" s="1"/>
      <c r="C30" s="23" t="s">
        <v>122</v>
      </c>
      <c r="D30" s="34" t="s">
        <v>118</v>
      </c>
      <c r="E30" s="34" t="s">
        <v>118</v>
      </c>
      <c r="F30" s="34" t="s">
        <v>118</v>
      </c>
      <c r="G30" s="32"/>
      <c r="H30" s="23"/>
      <c r="I30" s="23"/>
      <c r="J30" s="23"/>
    </row>
    <row r="31" spans="2:10" x14ac:dyDescent="0.25">
      <c r="B31" s="1" t="s">
        <v>2</v>
      </c>
      <c r="C31" s="23" t="s">
        <v>119</v>
      </c>
      <c r="D31" s="33" t="s">
        <v>117</v>
      </c>
      <c r="E31" s="34" t="s">
        <v>117</v>
      </c>
      <c r="F31" s="34" t="s">
        <v>118</v>
      </c>
      <c r="G31" s="32"/>
      <c r="H31" s="23"/>
      <c r="I31" s="23"/>
      <c r="J31" s="23"/>
    </row>
    <row r="32" spans="2:10" x14ac:dyDescent="0.25">
      <c r="B32" s="1"/>
      <c r="C32" s="23" t="s">
        <v>126</v>
      </c>
      <c r="D32" s="34" t="s">
        <v>118</v>
      </c>
      <c r="E32" s="33" t="s">
        <v>117</v>
      </c>
      <c r="F32" s="34" t="s">
        <v>118</v>
      </c>
      <c r="G32" s="32"/>
      <c r="H32" s="23"/>
      <c r="I32" s="23"/>
      <c r="J32" s="23"/>
    </row>
    <row r="33" spans="2:10" x14ac:dyDescent="0.25">
      <c r="B33" s="1"/>
      <c r="C33" s="23" t="s">
        <v>121</v>
      </c>
      <c r="D33" s="34" t="s">
        <v>118</v>
      </c>
      <c r="E33" s="34" t="s">
        <v>118</v>
      </c>
      <c r="F33" s="34" t="s">
        <v>118</v>
      </c>
      <c r="G33" s="32"/>
      <c r="H33" s="23"/>
      <c r="I33" s="23"/>
      <c r="J33" s="23"/>
    </row>
    <row r="34" spans="2:10" x14ac:dyDescent="0.25">
      <c r="B34" s="1"/>
      <c r="C34" s="23" t="s">
        <v>122</v>
      </c>
      <c r="D34" s="34" t="s">
        <v>118</v>
      </c>
      <c r="E34" s="34" t="s">
        <v>118</v>
      </c>
      <c r="F34" s="34" t="s">
        <v>118</v>
      </c>
      <c r="G34" s="32"/>
      <c r="H34" s="23"/>
      <c r="I34" s="23"/>
      <c r="J34" s="23"/>
    </row>
    <row r="35" spans="2:10" ht="16.5" x14ac:dyDescent="0.25">
      <c r="B35" s="1" t="s">
        <v>3</v>
      </c>
      <c r="C35" s="23" t="s">
        <v>119</v>
      </c>
      <c r="D35" s="33" t="s">
        <v>124</v>
      </c>
      <c r="E35" s="34" t="s">
        <v>118</v>
      </c>
      <c r="F35" s="34" t="s">
        <v>118</v>
      </c>
      <c r="G35" s="32"/>
      <c r="H35" s="23"/>
      <c r="I35" s="23"/>
      <c r="J35" s="23"/>
    </row>
    <row r="36" spans="2:10" ht="16.5" x14ac:dyDescent="0.25">
      <c r="B36" s="1"/>
      <c r="C36" s="23" t="s">
        <v>120</v>
      </c>
      <c r="D36" s="33" t="s">
        <v>124</v>
      </c>
      <c r="E36" s="33" t="s">
        <v>117</v>
      </c>
      <c r="F36" s="34" t="s">
        <v>118</v>
      </c>
      <c r="G36" s="32"/>
      <c r="H36" s="23"/>
      <c r="I36" s="23"/>
      <c r="J36" s="23"/>
    </row>
    <row r="37" spans="2:10" x14ac:dyDescent="0.25">
      <c r="B37" s="1"/>
      <c r="C37" s="23" t="s">
        <v>121</v>
      </c>
      <c r="D37" s="34" t="s">
        <v>118</v>
      </c>
      <c r="E37" s="34" t="s">
        <v>118</v>
      </c>
      <c r="F37" s="34" t="s">
        <v>118</v>
      </c>
      <c r="G37" s="32"/>
      <c r="H37" s="23"/>
      <c r="I37" s="23"/>
      <c r="J37" s="23"/>
    </row>
    <row r="38" spans="2:10" x14ac:dyDescent="0.25">
      <c r="B38" s="1"/>
      <c r="C38" s="23" t="s">
        <v>122</v>
      </c>
      <c r="D38" s="34" t="s">
        <v>118</v>
      </c>
      <c r="E38" s="34" t="s">
        <v>118</v>
      </c>
      <c r="F38" s="34" t="s">
        <v>118</v>
      </c>
      <c r="G38" s="32"/>
      <c r="H38" s="23"/>
      <c r="I38" s="23"/>
      <c r="J38" s="23"/>
    </row>
    <row r="39" spans="2:10" x14ac:dyDescent="0.25">
      <c r="B39" s="1" t="s">
        <v>4</v>
      </c>
      <c r="C39" s="23" t="s">
        <v>119</v>
      </c>
      <c r="D39" s="34" t="s">
        <v>118</v>
      </c>
      <c r="E39" s="34" t="s">
        <v>118</v>
      </c>
      <c r="F39" s="34" t="s">
        <v>118</v>
      </c>
      <c r="G39" s="32"/>
      <c r="H39" s="23"/>
      <c r="I39" s="23"/>
      <c r="J39" s="23"/>
    </row>
    <row r="40" spans="2:10" x14ac:dyDescent="0.25">
      <c r="C40" s="23" t="s">
        <v>120</v>
      </c>
      <c r="D40" s="34" t="s">
        <v>118</v>
      </c>
      <c r="E40" s="33" t="s">
        <v>117</v>
      </c>
      <c r="F40" s="34" t="s">
        <v>118</v>
      </c>
      <c r="G40" s="23"/>
      <c r="H40" s="23"/>
      <c r="I40" s="23"/>
      <c r="J40" s="23"/>
    </row>
    <row r="41" spans="2:10" x14ac:dyDescent="0.25">
      <c r="C41" s="23" t="s">
        <v>121</v>
      </c>
      <c r="D41" s="34" t="s">
        <v>118</v>
      </c>
      <c r="E41" s="34" t="s">
        <v>118</v>
      </c>
      <c r="F41" s="34" t="s">
        <v>118</v>
      </c>
      <c r="G41" s="23"/>
      <c r="H41" s="23"/>
      <c r="I41" s="23"/>
      <c r="J41" s="23"/>
    </row>
    <row r="42" spans="2:10" x14ac:dyDescent="0.25">
      <c r="C42" s="23" t="s">
        <v>122</v>
      </c>
      <c r="D42" s="34" t="s">
        <v>118</v>
      </c>
      <c r="E42" s="34" t="s">
        <v>118</v>
      </c>
      <c r="F42" s="34" t="s">
        <v>118</v>
      </c>
      <c r="G42" s="23"/>
      <c r="H42" s="23"/>
      <c r="I42" s="23"/>
      <c r="J42" s="23"/>
    </row>
    <row r="43" spans="2:10" x14ac:dyDescent="0.25">
      <c r="G43" s="23"/>
      <c r="H43" s="23"/>
      <c r="I43" s="23"/>
      <c r="J43" s="23"/>
    </row>
    <row r="44" spans="2:10" x14ac:dyDescent="0.25">
      <c r="D44" s="2" t="s">
        <v>125</v>
      </c>
      <c r="G44" s="23"/>
      <c r="H44" s="23"/>
      <c r="I44" s="23"/>
      <c r="J44" s="23"/>
    </row>
    <row r="45" spans="2:10" x14ac:dyDescent="0.25">
      <c r="G45" s="23"/>
      <c r="H45" s="23"/>
      <c r="I45" s="23"/>
      <c r="J45" s="23"/>
    </row>
    <row r="46" spans="2:10" x14ac:dyDescent="0.25">
      <c r="G46" s="23"/>
      <c r="H46" s="23"/>
      <c r="I46" s="23"/>
      <c r="J46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tabSelected="1" zoomScale="80" zoomScaleNormal="80" workbookViewId="0">
      <selection activeCell="B31" sqref="B31"/>
    </sheetView>
  </sheetViews>
  <sheetFormatPr defaultRowHeight="15" x14ac:dyDescent="0.25"/>
  <cols>
    <col min="1" max="1" width="34.5703125" style="3" bestFit="1" customWidth="1"/>
    <col min="2" max="2" width="29.42578125" style="3" bestFit="1" customWidth="1"/>
    <col min="3" max="3" width="17" style="3" bestFit="1" customWidth="1"/>
    <col min="4" max="4" width="9.140625" style="3"/>
    <col min="5" max="5" width="30.28515625" style="3" bestFit="1" customWidth="1"/>
    <col min="6" max="6" width="17.140625" style="3" customWidth="1"/>
    <col min="7" max="7" width="16.42578125" style="3" customWidth="1"/>
    <col min="8" max="8" width="30.85546875" style="3" bestFit="1" customWidth="1"/>
    <col min="9" max="16384" width="9.140625" style="3"/>
  </cols>
  <sheetData>
    <row r="2" spans="1:8" x14ac:dyDescent="0.25">
      <c r="A2" s="1"/>
      <c r="B2" s="2"/>
      <c r="H2" s="2"/>
    </row>
    <row r="3" spans="1:8" x14ac:dyDescent="0.25">
      <c r="H3" s="2"/>
    </row>
    <row r="4" spans="1:8" x14ac:dyDescent="0.25">
      <c r="A4" s="3" t="s">
        <v>9</v>
      </c>
      <c r="B4" s="6" t="s">
        <v>22</v>
      </c>
      <c r="H4" s="2"/>
    </row>
    <row r="5" spans="1:8" x14ac:dyDescent="0.25">
      <c r="A5" s="3" t="s">
        <v>10</v>
      </c>
      <c r="B5" s="6">
        <v>201325</v>
      </c>
      <c r="C5" s="3" t="s">
        <v>23</v>
      </c>
      <c r="E5" s="38"/>
    </row>
    <row r="6" spans="1:8" x14ac:dyDescent="0.25">
      <c r="A6" s="3" t="s">
        <v>11</v>
      </c>
      <c r="B6" s="6">
        <v>273.14999999999998</v>
      </c>
      <c r="C6" s="3" t="s">
        <v>24</v>
      </c>
      <c r="E6" s="38"/>
    </row>
    <row r="7" spans="1:8" x14ac:dyDescent="0.25">
      <c r="A7" s="3" t="s">
        <v>12</v>
      </c>
      <c r="B7" s="6">
        <v>0.5</v>
      </c>
      <c r="C7" s="3" t="s">
        <v>31</v>
      </c>
      <c r="E7" s="38"/>
    </row>
    <row r="8" spans="1:8" x14ac:dyDescent="0.25">
      <c r="A8" s="3" t="s">
        <v>13</v>
      </c>
      <c r="B8" s="6">
        <v>1</v>
      </c>
      <c r="E8" s="38"/>
    </row>
    <row r="9" spans="1:8" x14ac:dyDescent="0.25">
      <c r="A9" s="3" t="s">
        <v>14</v>
      </c>
      <c r="B9" s="6">
        <v>1E-3</v>
      </c>
      <c r="C9" s="3" t="s">
        <v>30</v>
      </c>
      <c r="E9" s="38"/>
    </row>
    <row r="10" spans="1:8" x14ac:dyDescent="0.25">
      <c r="A10" s="3" t="s">
        <v>15</v>
      </c>
      <c r="B10" s="6">
        <v>1.5</v>
      </c>
      <c r="E10" s="38"/>
    </row>
    <row r="11" spans="1:8" x14ac:dyDescent="0.25">
      <c r="A11" s="5" t="s">
        <v>16</v>
      </c>
      <c r="B11" s="5"/>
      <c r="C11" s="5" t="s">
        <v>23</v>
      </c>
      <c r="E11" s="38"/>
    </row>
    <row r="12" spans="1:8" x14ac:dyDescent="0.25">
      <c r="E12" s="39"/>
    </row>
    <row r="13" spans="1:8" x14ac:dyDescent="0.25">
      <c r="A13" s="3" t="s">
        <v>17</v>
      </c>
      <c r="B13" s="6">
        <v>3</v>
      </c>
      <c r="C13" s="3" t="s">
        <v>25</v>
      </c>
      <c r="E13" s="39"/>
    </row>
    <row r="14" spans="1:8" x14ac:dyDescent="0.25">
      <c r="E14" s="38"/>
    </row>
    <row r="15" spans="1:8" x14ac:dyDescent="0.25">
      <c r="A15" s="3" t="s">
        <v>18</v>
      </c>
      <c r="B15" s="6" t="s">
        <v>43</v>
      </c>
      <c r="C15" s="4">
        <f>VLOOKUP(B15,Sheet1!G1:H2,2,0)</f>
        <v>1.3529999999999999E-5</v>
      </c>
    </row>
    <row r="16" spans="1:8" x14ac:dyDescent="0.25">
      <c r="A16" s="3" t="s">
        <v>41</v>
      </c>
      <c r="B16" s="3" t="s">
        <v>44</v>
      </c>
      <c r="C16" s="4">
        <v>1.789E-5</v>
      </c>
    </row>
    <row r="19" spans="1:7" x14ac:dyDescent="0.25">
      <c r="A19" s="3" t="s">
        <v>19</v>
      </c>
      <c r="B19" s="3">
        <v>0.54767999999999994</v>
      </c>
      <c r="C19" s="3" t="s">
        <v>27</v>
      </c>
    </row>
    <row r="20" spans="1:7" x14ac:dyDescent="0.25">
      <c r="A20" s="3" t="s">
        <v>20</v>
      </c>
      <c r="B20" s="3">
        <v>6.0200000000000002E-3</v>
      </c>
      <c r="C20" s="3" t="s">
        <v>27</v>
      </c>
    </row>
    <row r="22" spans="1:7" x14ac:dyDescent="0.25">
      <c r="A22" s="6" t="s">
        <v>45</v>
      </c>
      <c r="B22" s="6">
        <v>50000</v>
      </c>
      <c r="C22" s="3" t="s">
        <v>23</v>
      </c>
      <c r="E22" s="6" t="s">
        <v>46</v>
      </c>
      <c r="F22" s="6">
        <v>0.16073000000000001</v>
      </c>
      <c r="G22" s="3" t="s">
        <v>27</v>
      </c>
    </row>
    <row r="25" spans="1:7" x14ac:dyDescent="0.25">
      <c r="A25" s="7" t="s">
        <v>32</v>
      </c>
      <c r="B25" s="8">
        <f>B5</f>
        <v>201325</v>
      </c>
      <c r="C25" s="9" t="s">
        <v>23</v>
      </c>
    </row>
    <row r="26" spans="1:7" x14ac:dyDescent="0.25">
      <c r="A26" s="10" t="s">
        <v>33</v>
      </c>
      <c r="B26" s="11">
        <f>B6</f>
        <v>273.14999999999998</v>
      </c>
      <c r="C26" s="12" t="s">
        <v>24</v>
      </c>
    </row>
    <row r="27" spans="1:7" x14ac:dyDescent="0.25">
      <c r="A27" s="10" t="s">
        <v>34</v>
      </c>
      <c r="B27" s="11">
        <f>B13</f>
        <v>3</v>
      </c>
      <c r="C27" s="12" t="s">
        <v>25</v>
      </c>
    </row>
    <row r="28" spans="1:7" x14ac:dyDescent="0.25">
      <c r="A28" s="10" t="s">
        <v>35</v>
      </c>
      <c r="B28" s="11">
        <f>B7</f>
        <v>0.5</v>
      </c>
      <c r="C28" s="13" t="s">
        <v>26</v>
      </c>
    </row>
    <row r="29" spans="1:7" x14ac:dyDescent="0.25">
      <c r="A29" s="10" t="s">
        <v>36</v>
      </c>
      <c r="B29" s="11">
        <f>(B19)*(1+C15*(B26-293.15))</f>
        <v>0.5475317977919999</v>
      </c>
      <c r="C29" s="12" t="s">
        <v>27</v>
      </c>
    </row>
    <row r="30" spans="1:7" x14ac:dyDescent="0.25">
      <c r="A30" s="10" t="s">
        <v>37</v>
      </c>
      <c r="B30" s="11">
        <f>((B29/2)^2)*PI()</f>
        <v>0.2354553554615654</v>
      </c>
      <c r="C30" s="12" t="s">
        <v>28</v>
      </c>
    </row>
    <row r="31" spans="1:7" x14ac:dyDescent="0.25">
      <c r="A31" s="10" t="s">
        <v>38</v>
      </c>
      <c r="B31" s="11">
        <f>(B13/B28)/B30</f>
        <v>25.482537818000115</v>
      </c>
      <c r="C31" s="12" t="s">
        <v>29</v>
      </c>
    </row>
    <row r="32" spans="1:7" x14ac:dyDescent="0.25">
      <c r="A32" s="10" t="s">
        <v>39</v>
      </c>
      <c r="B32" s="11">
        <f>B9</f>
        <v>1E-3</v>
      </c>
      <c r="C32" s="12" t="s">
        <v>30</v>
      </c>
    </row>
    <row r="33" spans="1:6" x14ac:dyDescent="0.25">
      <c r="A33" s="14" t="s">
        <v>40</v>
      </c>
      <c r="B33" s="15">
        <f>(B28*B31*B29)/(B32)</f>
        <v>6976.2498718961142</v>
      </c>
      <c r="C33" s="16"/>
    </row>
    <row r="36" spans="1:6" x14ac:dyDescent="0.25">
      <c r="A36" s="27"/>
      <c r="B36" s="27"/>
      <c r="C36" s="27"/>
      <c r="D36" s="27"/>
      <c r="E36" s="27"/>
      <c r="F36" s="26"/>
    </row>
  </sheetData>
  <conditionalFormatting sqref="A10:C10 A8:C8">
    <cfRule type="expression" dxfId="6" priority="1">
      <formula>$B$4="Liquid"</formula>
    </cfRule>
  </conditionalFormatting>
  <dataValidations count="2">
    <dataValidation type="list" allowBlank="1" showInputMessage="1" showErrorMessage="1" sqref="B15">
      <formula1>Materials</formula1>
    </dataValidation>
    <dataValidation type="list" allowBlank="1" showInputMessage="1" showErrorMessage="1" sqref="B4">
      <formula1>Fluid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6"/>
  <sheetViews>
    <sheetView zoomScale="70" zoomScaleNormal="70" workbookViewId="0">
      <selection sqref="A1:G1"/>
    </sheetView>
  </sheetViews>
  <sheetFormatPr defaultRowHeight="15" x14ac:dyDescent="0.25"/>
  <cols>
    <col min="1" max="1" width="34.5703125" style="3" bestFit="1" customWidth="1"/>
    <col min="2" max="2" width="29.42578125" style="3" bestFit="1" customWidth="1"/>
    <col min="3" max="3" width="17" style="3" bestFit="1" customWidth="1"/>
    <col min="4" max="4" width="9.140625" style="3"/>
    <col min="5" max="5" width="30.28515625" style="3" bestFit="1" customWidth="1"/>
    <col min="6" max="6" width="17.140625" style="3" customWidth="1"/>
    <col min="7" max="7" width="16.42578125" style="3" customWidth="1"/>
    <col min="8" max="8" width="30.85546875" style="3" bestFit="1" customWidth="1"/>
    <col min="9" max="16384" width="9.140625" style="3"/>
  </cols>
  <sheetData>
    <row r="1" spans="1:7" x14ac:dyDescent="0.25">
      <c r="A1" s="41" t="s">
        <v>127</v>
      </c>
      <c r="B1" s="42" t="s">
        <v>128</v>
      </c>
      <c r="E1" s="43" t="s">
        <v>129</v>
      </c>
      <c r="F1" s="44" t="s">
        <v>130</v>
      </c>
      <c r="G1" s="45" t="s">
        <v>131</v>
      </c>
    </row>
    <row r="2" spans="1:7" hidden="1" x14ac:dyDescent="0.25">
      <c r="A2" s="1"/>
      <c r="B2" s="2"/>
    </row>
    <row r="3" spans="1:7" hidden="1" x14ac:dyDescent="0.25"/>
    <row r="4" spans="1:7" hidden="1" x14ac:dyDescent="0.25"/>
    <row r="5" spans="1:7" hidden="1" x14ac:dyDescent="0.25"/>
    <row r="6" spans="1:7" hidden="1" x14ac:dyDescent="0.25"/>
    <row r="7" spans="1:7" hidden="1" x14ac:dyDescent="0.25"/>
    <row r="8" spans="1:7" hidden="1" x14ac:dyDescent="0.25"/>
    <row r="9" spans="1:7" hidden="1" x14ac:dyDescent="0.25"/>
    <row r="10" spans="1:7" hidden="1" x14ac:dyDescent="0.25"/>
    <row r="11" spans="1:7" hidden="1" x14ac:dyDescent="0.25"/>
    <row r="12" spans="1:7" hidden="1" x14ac:dyDescent="0.25"/>
    <row r="13" spans="1:7" hidden="1" x14ac:dyDescent="0.25"/>
    <row r="14" spans="1:7" hidden="1" x14ac:dyDescent="0.25"/>
    <row r="15" spans="1:7" hidden="1" x14ac:dyDescent="0.25"/>
    <row r="16" spans="1:7" hidden="1" x14ac:dyDescent="0.25"/>
    <row r="17" spans="1:5" hidden="1" x14ac:dyDescent="0.25"/>
    <row r="18" spans="1:5" hidden="1" x14ac:dyDescent="0.25"/>
    <row r="19" spans="1:5" hidden="1" x14ac:dyDescent="0.25"/>
    <row r="20" spans="1:5" hidden="1" x14ac:dyDescent="0.25"/>
    <row r="21" spans="1:5" hidden="1" x14ac:dyDescent="0.25"/>
    <row r="22" spans="1:5" hidden="1" x14ac:dyDescent="0.25"/>
    <row r="23" spans="1:5" hidden="1" x14ac:dyDescent="0.25"/>
    <row r="25" spans="1:5" x14ac:dyDescent="0.25">
      <c r="A25" s="7" t="s">
        <v>32</v>
      </c>
      <c r="B25" s="8">
        <f>OpPress</f>
        <v>201325</v>
      </c>
      <c r="C25" s="9" t="s">
        <v>23</v>
      </c>
    </row>
    <row r="26" spans="1:5" x14ac:dyDescent="0.25">
      <c r="A26" s="10" t="s">
        <v>33</v>
      </c>
      <c r="B26" s="11">
        <f>OpTemp</f>
        <v>273.14999999999998</v>
      </c>
      <c r="C26" s="12" t="s">
        <v>24</v>
      </c>
    </row>
    <row r="27" spans="1:5" x14ac:dyDescent="0.25">
      <c r="A27" s="10" t="s">
        <v>34</v>
      </c>
      <c r="B27" s="11">
        <f>Flow</f>
        <v>3</v>
      </c>
      <c r="C27" s="12" t="s">
        <v>25</v>
      </c>
      <c r="E27" s="2"/>
    </row>
    <row r="28" spans="1:5" x14ac:dyDescent="0.25">
      <c r="A28" s="10" t="s">
        <v>35</v>
      </c>
      <c r="B28" s="11">
        <f>OpDens</f>
        <v>0.5</v>
      </c>
      <c r="C28" s="13" t="s">
        <v>26</v>
      </c>
      <c r="E28" s="2"/>
    </row>
    <row r="29" spans="1:5" x14ac:dyDescent="0.25">
      <c r="A29" s="10" t="s">
        <v>36</v>
      </c>
      <c r="B29" s="11">
        <f>(ID)*(1+Input!C15*(B26-293.15))</f>
        <v>0.5475317977919999</v>
      </c>
      <c r="C29" s="12" t="s">
        <v>27</v>
      </c>
      <c r="E29" s="2"/>
    </row>
    <row r="30" spans="1:5" x14ac:dyDescent="0.25">
      <c r="A30" s="10" t="s">
        <v>37</v>
      </c>
      <c r="B30" s="11">
        <f>((B29/2)^2)*PI()</f>
        <v>0.2354553554615654</v>
      </c>
      <c r="C30" s="12" t="s">
        <v>28</v>
      </c>
    </row>
    <row r="31" spans="1:5" x14ac:dyDescent="0.25">
      <c r="A31" s="10" t="s">
        <v>38</v>
      </c>
      <c r="B31" s="11">
        <f>(Flow/B28)/B30</f>
        <v>25.482537818000115</v>
      </c>
      <c r="C31" s="12" t="s">
        <v>29</v>
      </c>
    </row>
    <row r="32" spans="1:5" x14ac:dyDescent="0.25">
      <c r="A32" s="10" t="s">
        <v>39</v>
      </c>
      <c r="B32" s="11">
        <f>Visc</f>
        <v>1E-3</v>
      </c>
      <c r="C32" s="12" t="s">
        <v>30</v>
      </c>
    </row>
    <row r="33" spans="1:7" x14ac:dyDescent="0.25">
      <c r="A33" s="14" t="s">
        <v>40</v>
      </c>
      <c r="B33" s="15">
        <f>(B28*B31*B29)/(B32)</f>
        <v>6976.2498718961142</v>
      </c>
      <c r="C33" s="16"/>
    </row>
    <row r="36" spans="1:7" x14ac:dyDescent="0.25">
      <c r="A36" s="3" t="s">
        <v>45</v>
      </c>
      <c r="B36" s="3">
        <f>DP</f>
        <v>50000</v>
      </c>
      <c r="C36" s="3" t="s">
        <v>23</v>
      </c>
      <c r="E36" s="3" t="s">
        <v>76</v>
      </c>
      <c r="F36" s="3">
        <f>Bore*(1+Input!C16*(B26-293.15))</f>
        <v>0.16067249080600002</v>
      </c>
      <c r="G36" s="3" t="s">
        <v>27</v>
      </c>
    </row>
    <row r="37" spans="1:7" x14ac:dyDescent="0.25">
      <c r="A37" s="3" t="s">
        <v>47</v>
      </c>
      <c r="B37" s="3">
        <f>B25-B36</f>
        <v>151325</v>
      </c>
      <c r="C37" s="3" t="s">
        <v>23</v>
      </c>
      <c r="E37" s="3" t="s">
        <v>69</v>
      </c>
      <c r="F37" s="3">
        <f>F36/B29</f>
        <v>0.29344869367210225</v>
      </c>
    </row>
    <row r="38" spans="1:7" ht="18" x14ac:dyDescent="0.35">
      <c r="A38" s="3" t="s">
        <v>48</v>
      </c>
      <c r="B38" s="3">
        <v>0</v>
      </c>
      <c r="E38" s="3" t="s">
        <v>101</v>
      </c>
      <c r="F38" s="3">
        <v>0</v>
      </c>
    </row>
    <row r="39" spans="1:7" ht="18" x14ac:dyDescent="0.35">
      <c r="A39" s="3" t="s">
        <v>49</v>
      </c>
      <c r="B39" s="3">
        <v>0</v>
      </c>
      <c r="E39" s="3" t="s">
        <v>102</v>
      </c>
      <c r="F39" s="3">
        <v>0</v>
      </c>
    </row>
    <row r="40" spans="1:7" ht="18" x14ac:dyDescent="0.35">
      <c r="A40" s="3" t="s">
        <v>51</v>
      </c>
      <c r="B40" s="3">
        <v>3.5124070000000003E-5</v>
      </c>
      <c r="C40" s="3" t="s">
        <v>52</v>
      </c>
      <c r="E40" s="3" t="s">
        <v>70</v>
      </c>
      <c r="F40" s="3">
        <f>(19000*F37/$B$33)^0.8</f>
        <v>0.83585511247071675</v>
      </c>
    </row>
    <row r="41" spans="1:7" ht="18" x14ac:dyDescent="0.35">
      <c r="A41" s="3" t="s">
        <v>50</v>
      </c>
      <c r="B41" s="3">
        <f>B27/(B40*((B29*1000)^2)*1*(SQRT(B28))*((SQRT(B36/1000))))</f>
        <v>5.6980692729980617E-2</v>
      </c>
      <c r="E41" s="3" t="s">
        <v>71</v>
      </c>
      <c r="F41" s="3">
        <f>(2*F39)/(1-F37)</f>
        <v>0</v>
      </c>
    </row>
    <row r="42" spans="1:7" ht="18" x14ac:dyDescent="0.35">
      <c r="A42" s="3" t="s">
        <v>53</v>
      </c>
      <c r="B42" s="23">
        <f>IF(B33&lt;200000,((1+((0.6/B41)+0.6)^2)^-0.25),((1+((0.6/B41))^2)^-0.25))</f>
        <v>0.29914499879203732</v>
      </c>
      <c r="E42" s="3" t="s">
        <v>72</v>
      </c>
      <c r="F42" s="3">
        <f>0.5961+(0.0261*($F$37^2))-(0.216*($F$37^8))+(((($F$37*1000000)/$B$33)^0.7)*0.000521)+((0.0188+(0.0063*$F$40))*($F$37^3.5)*((1000000/$B$33)^0.3))+(0.043+(0.08*EXP(-10*$F$38))-(0.123*EXP(-7*$F$38)))*(1-(0.11*$F$40))*(($F$37^4)/(1-($F$37^4)))-0.031*($F$41-(0.8*($F$41^1.1)))*($F$37^1.3)+IF($B$29&lt;0.07112,(0.011*(0.75-$F$37)*(2.8-(($B$29*1000)/25.4))),0)</f>
        <v>0.6069347146011127</v>
      </c>
    </row>
    <row r="43" spans="1:7" ht="18" x14ac:dyDescent="0.35">
      <c r="A43" s="3" t="s">
        <v>54</v>
      </c>
      <c r="B43" s="23">
        <f>(19000*B42/$B$33)^0.8</f>
        <v>0.84881032939175294</v>
      </c>
      <c r="E43" s="3" t="s">
        <v>75</v>
      </c>
      <c r="F43" s="3">
        <v>1</v>
      </c>
    </row>
    <row r="44" spans="1:7" ht="18" x14ac:dyDescent="0.35">
      <c r="A44" s="3" t="s">
        <v>55</v>
      </c>
      <c r="B44" s="23">
        <f>(2*($B$39))/(1-B42)</f>
        <v>0</v>
      </c>
      <c r="E44" s="3" t="s">
        <v>74</v>
      </c>
      <c r="F44" s="3">
        <f>((B27/((F42/(SQRT(1-(F37^4))))*F43*(PI()/4)*(F36^2)))^2)/(2*B28)</f>
        <v>58990.253330339678</v>
      </c>
      <c r="G44" s="3" t="s">
        <v>23</v>
      </c>
    </row>
    <row r="45" spans="1:7" ht="18" x14ac:dyDescent="0.35">
      <c r="A45" s="3" t="s">
        <v>56</v>
      </c>
      <c r="B45" s="23">
        <f>0.5961+(0.0261*(B42^2))-(0.216*(B42^8))+((((B42*1000000)/$B$33)^0.7)*0.000521)+((0.0188+(0.0063*B43))*(B42^3.5)*((1000000/$B$33)^0.3))+(0.043+(0.08*EXP(-10*$B$38))-(0.123*EXP(-7*$B$38)))*(1-(0.11*B43))*((B42^4)/(1-(B42^4)))-0.031*(B44-(0.8*(B44^1.1)))*(B42^1.3)+IF($B$29&lt;0.07112,(0.011*(0.75-B42)*(2.8-(($B$29*1000)/25.4))),0)</f>
        <v>0.60722455408328524</v>
      </c>
      <c r="E45" s="3" t="s">
        <v>73</v>
      </c>
      <c r="F45" s="3">
        <f>IF(Fluid_in="Liquid",1,(1-(0.351+(0.256*($F$37^4))+(0.93*($F$37^8)))*(1-((B25-F44)/$B$25)^(1/Isentropic))))</f>
        <v>0.92715584891870917</v>
      </c>
    </row>
    <row r="46" spans="1:7" ht="18" x14ac:dyDescent="0.35">
      <c r="A46" s="3" t="s">
        <v>57</v>
      </c>
      <c r="B46" s="23">
        <f>IF(Fluid_in="Liquid",1,(1-(0.351+(0.256*(B42^4))+(0.93*(B42^8)))*(1-($B$37/$B$25)^(1/Isentropic))))</f>
        <v>0.9388020863990918</v>
      </c>
      <c r="E46" s="3" t="s">
        <v>74</v>
      </c>
      <c r="F46" s="3">
        <f>((B27/((F42/(SQRT(1-(F37^4))))*F45*(PI()/4)*(F36^2)))^2)/(2*B28)</f>
        <v>68623.802100075554</v>
      </c>
      <c r="G46" s="3" t="s">
        <v>23</v>
      </c>
    </row>
    <row r="47" spans="1:7" ht="18" x14ac:dyDescent="0.35">
      <c r="A47" s="3" t="s">
        <v>63</v>
      </c>
      <c r="B47" s="23">
        <f>((1+((B45*B46/B41))^2)^-0.25)</f>
        <v>0.31537175992908667</v>
      </c>
      <c r="E47" s="3" t="s">
        <v>73</v>
      </c>
      <c r="F47" s="3">
        <f>IF(Fluid_in="Liquid",1,(1-(0.351+(0.256*($F$37^4))+(0.93*($F$37^8)))*(1-((B25-F46)/$B$25)^(1/Isentropic))))</f>
        <v>0.91437002411490331</v>
      </c>
    </row>
    <row r="48" spans="1:7" ht="18" x14ac:dyDescent="0.35">
      <c r="A48" s="3" t="s">
        <v>64</v>
      </c>
      <c r="B48" s="23">
        <f>(19000*B47/$B$33)^0.8</f>
        <v>0.88544889454148457</v>
      </c>
    </row>
    <row r="49" spans="1:7" ht="18" x14ac:dyDescent="0.35">
      <c r="A49" s="3" t="s">
        <v>65</v>
      </c>
      <c r="B49" s="23">
        <f>(2*($B$39))/(1-B47)</f>
        <v>0</v>
      </c>
    </row>
    <row r="50" spans="1:7" ht="18" x14ac:dyDescent="0.35">
      <c r="A50" s="3" t="s">
        <v>66</v>
      </c>
      <c r="B50" s="23">
        <f>0.5961+(0.0261*(B47^2))-(0.216*(B47^8))+((((B47*1000000)/$B$33)^0.7)*0.000521)+((0.0188+(0.0063*B48))*(B47^3.5)*((1000000/$B$33)^0.3))+(0.043+(0.08*EXP(-10*$B$38))-(0.123*EXP(-7*$B$38)))*(1-(0.11*B48))*((B47^4)/(1-(B47^4)))-0.031*(B49-(0.8*(B49^1.1)))*(B47^1.3)+IF($B$29&lt;0.07112,(0.011*(0.75-B47)*(2.8-(($B$29*1000)/25.4))),0)</f>
        <v>0.60808652789739082</v>
      </c>
    </row>
    <row r="51" spans="1:7" ht="18" x14ac:dyDescent="0.35">
      <c r="A51" s="3" t="s">
        <v>67</v>
      </c>
      <c r="B51" s="23">
        <f>IF(Fluid_in="Liquid",1,(1-(0.351+(0.256*(B47^4))+(0.93*(B47^8)))*(1-($B$37/$B$25)^(1/Isentropic))))</f>
        <v>0.93871305693446594</v>
      </c>
    </row>
    <row r="52" spans="1:7" x14ac:dyDescent="0.25">
      <c r="B52" s="20"/>
      <c r="C52" s="17"/>
      <c r="D52" s="18"/>
    </row>
    <row r="53" spans="1:7" x14ac:dyDescent="0.25">
      <c r="A53" s="3" t="s">
        <v>60</v>
      </c>
      <c r="B53" s="19">
        <f>B47*B29</f>
        <v>0.17267606668679983</v>
      </c>
      <c r="C53" s="22" t="s">
        <v>27</v>
      </c>
      <c r="D53" s="17"/>
    </row>
    <row r="54" spans="1:7" x14ac:dyDescent="0.25">
      <c r="A54" s="3" t="s">
        <v>59</v>
      </c>
      <c r="B54" s="3">
        <f>B53/(1+Input!C16*(B26-293.15))</f>
        <v>0.17273787229750787</v>
      </c>
      <c r="C54" s="3" t="s">
        <v>27</v>
      </c>
    </row>
    <row r="55" spans="1:7" ht="18.75" x14ac:dyDescent="0.3">
      <c r="A55" s="3" t="s">
        <v>62</v>
      </c>
      <c r="B55" s="24">
        <f>B54*1000</f>
        <v>172.73787229750786</v>
      </c>
      <c r="C55" s="3" t="s">
        <v>61</v>
      </c>
      <c r="E55" s="3" t="s">
        <v>74</v>
      </c>
      <c r="F55" s="24">
        <f>(((B27/((F42/(SQRT(1-(F37^4))))*F47*(PI()/4)*(F36^2)))^2)/(2*B28))</f>
        <v>70556.381698400422</v>
      </c>
      <c r="G55" s="3" t="s">
        <v>23</v>
      </c>
    </row>
    <row r="57" spans="1:7" x14ac:dyDescent="0.25">
      <c r="A57" s="3" t="s">
        <v>58</v>
      </c>
      <c r="B57" s="21">
        <f>(B45/(SQRT(1-(B47^4))))*B51*(PI()/4)*((B47*B29)^2)*(SQRT(2*B36*B28))</f>
        <v>2.9997158130187014</v>
      </c>
      <c r="C57" s="3" t="s">
        <v>25</v>
      </c>
      <c r="E57" s="3" t="s">
        <v>58</v>
      </c>
      <c r="F57" s="35">
        <f>(F42/(SQRT(1-(F37^4))))*F47*(PI()/4)*((F36)^2)*(SQRT(2*F55*B28))</f>
        <v>3.0000000000000004</v>
      </c>
      <c r="G57" s="3" t="s">
        <v>25</v>
      </c>
    </row>
    <row r="58" spans="1:7" x14ac:dyDescent="0.25">
      <c r="B58" s="3" t="s">
        <v>111</v>
      </c>
    </row>
    <row r="65" spans="1:6" x14ac:dyDescent="0.25">
      <c r="A65" s="27"/>
      <c r="B65" s="40" t="s">
        <v>100</v>
      </c>
      <c r="C65" s="40"/>
      <c r="D65" s="40"/>
      <c r="E65" s="27"/>
      <c r="F65" s="26"/>
    </row>
    <row r="66" spans="1:6" x14ac:dyDescent="0.25">
      <c r="A66" s="27"/>
      <c r="B66" s="27" t="s">
        <v>99</v>
      </c>
      <c r="C66" s="27" t="s">
        <v>98</v>
      </c>
      <c r="D66" s="27" t="s">
        <v>97</v>
      </c>
      <c r="E66" s="27" t="s">
        <v>96</v>
      </c>
      <c r="F66" s="26" t="s">
        <v>95</v>
      </c>
    </row>
    <row r="67" spans="1:6" ht="15" customHeight="1" x14ac:dyDescent="0.25">
      <c r="A67" s="27" t="s">
        <v>94</v>
      </c>
      <c r="B67" s="27">
        <v>12.5</v>
      </c>
      <c r="C67" s="27">
        <v>12.5</v>
      </c>
      <c r="D67" s="27">
        <v>12.5</v>
      </c>
      <c r="E67" s="27" t="s">
        <v>61</v>
      </c>
      <c r="F67" s="26" t="s">
        <v>93</v>
      </c>
    </row>
    <row r="68" spans="1:6" x14ac:dyDescent="0.25">
      <c r="A68" s="27" t="s">
        <v>92</v>
      </c>
      <c r="B68" s="27">
        <v>50</v>
      </c>
      <c r="C68" s="27">
        <v>50</v>
      </c>
      <c r="D68" s="27">
        <v>50</v>
      </c>
      <c r="E68" s="27" t="s">
        <v>61</v>
      </c>
      <c r="F68" s="26" t="s">
        <v>91</v>
      </c>
    </row>
    <row r="69" spans="1:6" x14ac:dyDescent="0.25">
      <c r="A69" s="27" t="s">
        <v>90</v>
      </c>
      <c r="B69" s="27">
        <v>1000</v>
      </c>
      <c r="C69" s="27">
        <v>1000</v>
      </c>
      <c r="D69" s="27">
        <v>1000</v>
      </c>
      <c r="E69" s="27" t="s">
        <v>61</v>
      </c>
      <c r="F69" s="26" t="s">
        <v>89</v>
      </c>
    </row>
    <row r="70" spans="1:6" x14ac:dyDescent="0.25">
      <c r="A70" s="31" t="s">
        <v>88</v>
      </c>
      <c r="B70" s="27">
        <v>0.1</v>
      </c>
      <c r="C70" s="27">
        <v>0.1</v>
      </c>
      <c r="D70" s="27">
        <v>0.1</v>
      </c>
      <c r="E70" s="27"/>
      <c r="F70" s="26" t="s">
        <v>87</v>
      </c>
    </row>
    <row r="71" spans="1:6" x14ac:dyDescent="0.25">
      <c r="A71" s="31" t="s">
        <v>86</v>
      </c>
      <c r="B71" s="27">
        <v>0.75</v>
      </c>
      <c r="C71" s="27">
        <v>0.75</v>
      </c>
      <c r="D71" s="27">
        <v>0.75</v>
      </c>
      <c r="E71" s="27"/>
      <c r="F71" s="26" t="s">
        <v>85</v>
      </c>
    </row>
    <row r="72" spans="1:6" x14ac:dyDescent="0.25">
      <c r="A72" s="31" t="s">
        <v>83</v>
      </c>
      <c r="B72" s="27">
        <v>5000</v>
      </c>
      <c r="C72" s="31" t="s">
        <v>82</v>
      </c>
      <c r="D72" s="27">
        <v>5000</v>
      </c>
      <c r="E72" s="30" t="s">
        <v>84</v>
      </c>
      <c r="F72" s="26" t="s">
        <v>79</v>
      </c>
    </row>
    <row r="73" spans="1:6" x14ac:dyDescent="0.25">
      <c r="A73" s="31" t="s">
        <v>83</v>
      </c>
      <c r="B73" s="29" t="s">
        <v>81</v>
      </c>
      <c r="C73" s="31" t="s">
        <v>82</v>
      </c>
      <c r="D73" s="29" t="s">
        <v>81</v>
      </c>
      <c r="E73" s="31" t="s">
        <v>80</v>
      </c>
      <c r="F73" s="26" t="s">
        <v>79</v>
      </c>
    </row>
    <row r="74" spans="1:6" x14ac:dyDescent="0.25">
      <c r="A74" s="31" t="s">
        <v>78</v>
      </c>
      <c r="B74" s="27">
        <v>0.75</v>
      </c>
      <c r="C74" s="27">
        <v>0.75</v>
      </c>
      <c r="D74" s="27">
        <v>0.75</v>
      </c>
      <c r="E74" s="27"/>
      <c r="F74" s="26" t="s">
        <v>77</v>
      </c>
    </row>
    <row r="75" spans="1:6" x14ac:dyDescent="0.25">
      <c r="A75" s="27"/>
      <c r="B75" s="27"/>
      <c r="C75" s="27"/>
      <c r="D75" s="27"/>
      <c r="E75" s="27"/>
      <c r="F75" s="26"/>
    </row>
    <row r="76" spans="1:6" x14ac:dyDescent="0.25">
      <c r="A76" s="27"/>
      <c r="B76" s="27"/>
      <c r="C76" s="27"/>
      <c r="D76" s="27"/>
      <c r="E76" s="27"/>
      <c r="F76" s="26"/>
    </row>
  </sheetData>
  <mergeCells count="1">
    <mergeCell ref="B65:D65"/>
  </mergeCells>
  <conditionalFormatting sqref="A10:C10 A8:C8">
    <cfRule type="expression" dxfId="5" priority="1">
      <formula>$B$4="Liquid"</formula>
    </cfRule>
  </conditionalFormatting>
  <dataValidations count="1">
    <dataValidation type="list" allowBlank="1" showInputMessage="1" showErrorMessage="1" sqref="B4">
      <formula1>Fluid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6"/>
  <sheetViews>
    <sheetView zoomScale="80" zoomScaleNormal="80" workbookViewId="0">
      <selection sqref="A1:G1"/>
    </sheetView>
  </sheetViews>
  <sheetFormatPr defaultRowHeight="15" x14ac:dyDescent="0.25"/>
  <cols>
    <col min="1" max="1" width="34.5703125" style="3" bestFit="1" customWidth="1"/>
    <col min="2" max="2" width="29.42578125" style="3" bestFit="1" customWidth="1"/>
    <col min="3" max="3" width="17" style="3" bestFit="1" customWidth="1"/>
    <col min="4" max="4" width="9.140625" style="3"/>
    <col min="5" max="5" width="30.28515625" style="3" bestFit="1" customWidth="1"/>
    <col min="6" max="6" width="17.140625" style="3" customWidth="1"/>
    <col min="7" max="7" width="16.42578125" style="3" customWidth="1"/>
    <col min="8" max="8" width="30.85546875" style="3" bestFit="1" customWidth="1"/>
    <col min="9" max="16384" width="9.140625" style="3"/>
  </cols>
  <sheetData>
    <row r="1" spans="1:7" x14ac:dyDescent="0.25">
      <c r="A1" s="41" t="s">
        <v>127</v>
      </c>
      <c r="B1" s="42" t="s">
        <v>128</v>
      </c>
      <c r="E1" s="43" t="s">
        <v>129</v>
      </c>
      <c r="F1" s="44" t="s">
        <v>132</v>
      </c>
      <c r="G1" s="45" t="s">
        <v>133</v>
      </c>
    </row>
    <row r="2" spans="1:7" hidden="1" x14ac:dyDescent="0.25">
      <c r="A2" s="1"/>
      <c r="B2" s="2"/>
    </row>
    <row r="3" spans="1:7" hidden="1" x14ac:dyDescent="0.25"/>
    <row r="4" spans="1:7" hidden="1" x14ac:dyDescent="0.25"/>
    <row r="5" spans="1:7" hidden="1" x14ac:dyDescent="0.25"/>
    <row r="6" spans="1:7" hidden="1" x14ac:dyDescent="0.25"/>
    <row r="7" spans="1:7" hidden="1" x14ac:dyDescent="0.25"/>
    <row r="8" spans="1:7" hidden="1" x14ac:dyDescent="0.25"/>
    <row r="9" spans="1:7" hidden="1" x14ac:dyDescent="0.25"/>
    <row r="10" spans="1:7" hidden="1" x14ac:dyDescent="0.25"/>
    <row r="11" spans="1:7" hidden="1" x14ac:dyDescent="0.25"/>
    <row r="12" spans="1:7" hidden="1" x14ac:dyDescent="0.25"/>
    <row r="13" spans="1:7" hidden="1" x14ac:dyDescent="0.25"/>
    <row r="14" spans="1:7" hidden="1" x14ac:dyDescent="0.25"/>
    <row r="15" spans="1:7" hidden="1" x14ac:dyDescent="0.25"/>
    <row r="16" spans="1:7" hidden="1" x14ac:dyDescent="0.25"/>
    <row r="17" spans="1:5" hidden="1" x14ac:dyDescent="0.25"/>
    <row r="18" spans="1:5" hidden="1" x14ac:dyDescent="0.25"/>
    <row r="19" spans="1:5" hidden="1" x14ac:dyDescent="0.25"/>
    <row r="20" spans="1:5" hidden="1" x14ac:dyDescent="0.25"/>
    <row r="21" spans="1:5" hidden="1" x14ac:dyDescent="0.25"/>
    <row r="22" spans="1:5" hidden="1" x14ac:dyDescent="0.25"/>
    <row r="23" spans="1:5" hidden="1" x14ac:dyDescent="0.25"/>
    <row r="25" spans="1:5" x14ac:dyDescent="0.25">
      <c r="A25" s="7" t="s">
        <v>32</v>
      </c>
      <c r="B25" s="8">
        <f>OpPress</f>
        <v>201325</v>
      </c>
      <c r="C25" s="9" t="s">
        <v>23</v>
      </c>
    </row>
    <row r="26" spans="1:5" x14ac:dyDescent="0.25">
      <c r="A26" s="10" t="s">
        <v>33</v>
      </c>
      <c r="B26" s="11">
        <f>OpTemp</f>
        <v>273.14999999999998</v>
      </c>
      <c r="C26" s="12" t="s">
        <v>24</v>
      </c>
    </row>
    <row r="27" spans="1:5" x14ac:dyDescent="0.25">
      <c r="A27" s="10" t="s">
        <v>34</v>
      </c>
      <c r="B27" s="11">
        <f>Flow</f>
        <v>3</v>
      </c>
      <c r="C27" s="12" t="s">
        <v>25</v>
      </c>
      <c r="E27" s="2"/>
    </row>
    <row r="28" spans="1:5" x14ac:dyDescent="0.25">
      <c r="A28" s="10" t="s">
        <v>35</v>
      </c>
      <c r="B28" s="11">
        <f>OpDens</f>
        <v>0.5</v>
      </c>
      <c r="C28" s="13" t="s">
        <v>26</v>
      </c>
      <c r="E28" s="2"/>
    </row>
    <row r="29" spans="1:5" x14ac:dyDescent="0.25">
      <c r="A29" s="10" t="s">
        <v>36</v>
      </c>
      <c r="B29" s="11">
        <f>(ID)*(1+Input!C15*(B26-293.15))</f>
        <v>0.5475317977919999</v>
      </c>
      <c r="C29" s="12" t="s">
        <v>27</v>
      </c>
      <c r="E29" s="2"/>
    </row>
    <row r="30" spans="1:5" x14ac:dyDescent="0.25">
      <c r="A30" s="10" t="s">
        <v>37</v>
      </c>
      <c r="B30" s="11">
        <f>((B29/2)^2)*PI()</f>
        <v>0.2354553554615654</v>
      </c>
      <c r="C30" s="12" t="s">
        <v>28</v>
      </c>
    </row>
    <row r="31" spans="1:5" x14ac:dyDescent="0.25">
      <c r="A31" s="10" t="s">
        <v>38</v>
      </c>
      <c r="B31" s="11">
        <f>(Flow/B28)/B30</f>
        <v>25.482537818000115</v>
      </c>
      <c r="C31" s="12" t="s">
        <v>29</v>
      </c>
    </row>
    <row r="32" spans="1:5" x14ac:dyDescent="0.25">
      <c r="A32" s="10" t="s">
        <v>39</v>
      </c>
      <c r="B32" s="11">
        <f>Visc</f>
        <v>1E-3</v>
      </c>
      <c r="C32" s="12" t="s">
        <v>30</v>
      </c>
    </row>
    <row r="33" spans="1:7" x14ac:dyDescent="0.25">
      <c r="A33" s="14" t="s">
        <v>40</v>
      </c>
      <c r="B33" s="15">
        <f>(B28*B31*B29)/(B32)</f>
        <v>6976.2498718961142</v>
      </c>
      <c r="C33" s="16"/>
    </row>
    <row r="36" spans="1:7" x14ac:dyDescent="0.25">
      <c r="A36" s="3" t="s">
        <v>45</v>
      </c>
      <c r="B36" s="3">
        <f>DP</f>
        <v>50000</v>
      </c>
      <c r="C36" s="3" t="s">
        <v>23</v>
      </c>
      <c r="E36" s="3" t="s">
        <v>76</v>
      </c>
      <c r="F36" s="3">
        <f>Bore*(1+Input!C16*(B26-293.15))</f>
        <v>0.16067249080600002</v>
      </c>
      <c r="G36" s="3" t="s">
        <v>27</v>
      </c>
    </row>
    <row r="37" spans="1:7" x14ac:dyDescent="0.25">
      <c r="A37" s="3" t="s">
        <v>47</v>
      </c>
      <c r="B37" s="3">
        <f>B25-B36</f>
        <v>151325</v>
      </c>
      <c r="C37" s="3" t="s">
        <v>23</v>
      </c>
      <c r="E37" s="3" t="s">
        <v>69</v>
      </c>
      <c r="F37" s="3">
        <f>F36/B29</f>
        <v>0.29344869367210225</v>
      </c>
    </row>
    <row r="38" spans="1:7" ht="18" x14ac:dyDescent="0.35">
      <c r="A38" s="3" t="s">
        <v>48</v>
      </c>
      <c r="B38" s="3">
        <f>25.4/(B29*1000)</f>
        <v>4.6389999818145948E-2</v>
      </c>
      <c r="E38" s="3" t="s">
        <v>101</v>
      </c>
      <c r="F38" s="3">
        <f>25.4/(B29*1000)</f>
        <v>4.6389999818145948E-2</v>
      </c>
    </row>
    <row r="39" spans="1:7" ht="18" x14ac:dyDescent="0.35">
      <c r="A39" s="3" t="s">
        <v>49</v>
      </c>
      <c r="B39" s="3">
        <f>B38</f>
        <v>4.6389999818145948E-2</v>
      </c>
      <c r="E39" s="3" t="s">
        <v>102</v>
      </c>
      <c r="F39" s="3">
        <f>F38</f>
        <v>4.6389999818145948E-2</v>
      </c>
    </row>
    <row r="40" spans="1:7" ht="18" x14ac:dyDescent="0.35">
      <c r="A40" s="3" t="s">
        <v>51</v>
      </c>
      <c r="B40" s="3">
        <v>3.5124070000000003E-5</v>
      </c>
      <c r="C40" s="3" t="s">
        <v>52</v>
      </c>
      <c r="E40" s="3" t="s">
        <v>70</v>
      </c>
      <c r="F40" s="3">
        <f>(19000*F37/$B$33)^0.8</f>
        <v>0.83585511247071675</v>
      </c>
    </row>
    <row r="41" spans="1:7" ht="18" x14ac:dyDescent="0.35">
      <c r="A41" s="3" t="s">
        <v>50</v>
      </c>
      <c r="B41" s="3">
        <f>B27/(B40*((B29*1000)^2)*1*(SQRT(B28))*((SQRT(B36/1000))))</f>
        <v>5.6980692729980617E-2</v>
      </c>
      <c r="E41" s="3" t="s">
        <v>71</v>
      </c>
      <c r="F41" s="3">
        <f>(2*F39)/(1-F37)</f>
        <v>0.13131388875139149</v>
      </c>
    </row>
    <row r="42" spans="1:7" ht="18" x14ac:dyDescent="0.35">
      <c r="A42" s="3" t="s">
        <v>53</v>
      </c>
      <c r="B42" s="23">
        <f>IF(B33&lt;200000,((1+((0.6/B41)+0.6)^2)^-0.25),((1+((0.6/B41))^2)^-0.25))</f>
        <v>0.29914499879203732</v>
      </c>
      <c r="E42" s="3" t="s">
        <v>72</v>
      </c>
      <c r="F42" s="3">
        <f>0.5961+(0.0261*($F$37^2))-(0.216*($F$37^8))+(((($F$37*1000000)/$B$33)^0.7)*0.000521)+((0.0188+(0.0063*$F$40))*($F$37^3.5)*((1000000/$B$33)^0.3))+(0.043+(0.08*EXP(-10*$F$38))-(0.123*EXP(-7*$F$38)))*(1-(0.11*$F$40))*(($F$37^4)/(1-($F$37^4)))-0.031*($F$41-(0.8*($F$41^1.1)))*($F$37^1.3)+IF($B$29&lt;0.07112,(0.011*(0.75-$F$37)*(2.8-(($B$29*1000)/25.4))),0)</f>
        <v>0.60667770778863739</v>
      </c>
    </row>
    <row r="43" spans="1:7" ht="18" x14ac:dyDescent="0.35">
      <c r="A43" s="3" t="s">
        <v>54</v>
      </c>
      <c r="B43" s="23">
        <f>(19000*B42/$B$33)^0.8</f>
        <v>0.84881032939175294</v>
      </c>
      <c r="E43" s="3" t="s">
        <v>75</v>
      </c>
      <c r="F43" s="3">
        <v>1</v>
      </c>
    </row>
    <row r="44" spans="1:7" ht="18" x14ac:dyDescent="0.35">
      <c r="A44" s="3" t="s">
        <v>55</v>
      </c>
      <c r="B44" s="23">
        <f>(2*($B$39))/(1-B42)</f>
        <v>0.13238116226092472</v>
      </c>
      <c r="E44" s="3" t="s">
        <v>74</v>
      </c>
      <c r="F44" s="3">
        <f>((B27/((F42/(SQRT(1-(F37^4))))*F43*(PI()/4)*(F36^2)))^2)/(2*B28)</f>
        <v>59040.243986285837</v>
      </c>
      <c r="G44" s="3" t="s">
        <v>23</v>
      </c>
    </row>
    <row r="45" spans="1:7" ht="18" x14ac:dyDescent="0.35">
      <c r="A45" s="3" t="s">
        <v>56</v>
      </c>
      <c r="B45" s="23">
        <f>0.5961+(0.0261*(B42^2))-(0.216*(B42^8))+((((B42*1000000)/$B$33)^0.7)*0.000521)+((0.0188+(0.0063*B43))*(B42^3.5)*((1000000/$B$33)^0.3))+(0.043+(0.08*EXP(-10*$B$38))-(0.123*EXP(-7*$B$38)))*(1-(0.11*B43))*((B42^4)/(1-(B42^4)))-0.031*(B44-(0.8*(B44^1.1)))*(B42^1.3)+IF($B$29&lt;0.07112,(0.011*(0.75-B42)*(2.8-(($B$29*1000)/25.4))),0)</f>
        <v>0.60696070710624672</v>
      </c>
      <c r="E45" s="3" t="s">
        <v>73</v>
      </c>
      <c r="F45" s="3">
        <f>IF(Fluid_in="Liquid",1,(1-(0.351+(0.256*($F$37^4))+(0.93*($F$37^8)))*(1-((B25-F44)/$B$25)^(1/Isentropic))))</f>
        <v>0.92709025955762991</v>
      </c>
    </row>
    <row r="46" spans="1:7" ht="18" x14ac:dyDescent="0.35">
      <c r="A46" s="3" t="s">
        <v>57</v>
      </c>
      <c r="B46" s="23">
        <f>IF(Fluid_in="Liquid",1,(1-(0.351+(0.256*(B42^4))+(0.93*(B42^8)))*(1-($B$37/$B$25)^(1/Isentropic))))</f>
        <v>0.9388020863990918</v>
      </c>
      <c r="E46" s="3" t="s">
        <v>74</v>
      </c>
      <c r="F46" s="3">
        <f>((B27/((F42/(SQRT(1-(F37^4))))*F45*(PI()/4)*(F36^2)))^2)/(2*B28)</f>
        <v>68691.675106930707</v>
      </c>
      <c r="G46" s="3" t="s">
        <v>23</v>
      </c>
    </row>
    <row r="47" spans="1:7" ht="18" x14ac:dyDescent="0.35">
      <c r="A47" s="3" t="s">
        <v>63</v>
      </c>
      <c r="B47" s="23">
        <f>((1+((B45*B46/B41))^2)^-0.25)</f>
        <v>0.31543962047144014</v>
      </c>
      <c r="C47" s="23"/>
      <c r="E47" s="3" t="s">
        <v>73</v>
      </c>
      <c r="F47" s="3">
        <f>IF(Fluid_in="Liquid",1,(1-(0.351+(0.256*($F$37^4))+(0.93*($F$37^8)))*(1-((B25-F46)/$B$25)^(1/Isentropic))))</f>
        <v>0.91427886531046365</v>
      </c>
    </row>
    <row r="48" spans="1:7" ht="18" x14ac:dyDescent="0.35">
      <c r="A48" s="3" t="s">
        <v>64</v>
      </c>
      <c r="B48" s="23">
        <f>(19000*B47/$B$33)^0.8</f>
        <v>0.88560131338685888</v>
      </c>
      <c r="C48" s="23"/>
    </row>
    <row r="49" spans="1:7" ht="18" x14ac:dyDescent="0.35">
      <c r="A49" s="3" t="s">
        <v>65</v>
      </c>
      <c r="B49" s="23">
        <f>(2*($B$39))/(1-B47)</f>
        <v>0.13553223705436654</v>
      </c>
      <c r="C49" s="23"/>
    </row>
    <row r="50" spans="1:7" ht="18" x14ac:dyDescent="0.35">
      <c r="A50" s="3" t="s">
        <v>66</v>
      </c>
      <c r="B50" s="23">
        <f>0.5961+(0.0261*(B47^2))-(0.216*(B47^8))+((((B47*1000000)/$B$33)^0.7)*0.000521)+((0.0188+(0.0063*B48))*(B47^3.5)*((1000000/$B$33)^0.3))+(0.043+(0.08*EXP(-10*$B$38))-(0.123*EXP(-7*$B$38)))*(1-(0.11*B48))*((B47^4)/(1-(B47^4)))-0.031*(B49-(0.8*(B49^1.1)))*(B47^1.3)+IF($B$29&lt;0.07112,(0.011*(0.75-B47)*(2.8-(($B$29*1000)/25.4))),0)</f>
        <v>0.60780668268204785</v>
      </c>
      <c r="C50" s="23"/>
    </row>
    <row r="51" spans="1:7" ht="18" x14ac:dyDescent="0.35">
      <c r="A51" s="3" t="s">
        <v>67</v>
      </c>
      <c r="B51" s="23">
        <f>IF(Fluid_in="Liquid",1,(1-(0.351+(0.256*(B47^4))+(0.93*(B47^8)))*(1-($B$37/$B$25)^(1/Isentropic))))</f>
        <v>0.93871265188451158</v>
      </c>
      <c r="C51" s="23"/>
    </row>
    <row r="52" spans="1:7" x14ac:dyDescent="0.25">
      <c r="B52" s="20"/>
      <c r="C52" s="17"/>
      <c r="D52" s="18"/>
    </row>
    <row r="53" spans="1:7" x14ac:dyDescent="0.25">
      <c r="A53" s="3" t="s">
        <v>60</v>
      </c>
      <c r="B53" s="19">
        <f>B47*B29</f>
        <v>0.17271322249155374</v>
      </c>
      <c r="C53" s="22" t="s">
        <v>27</v>
      </c>
      <c r="D53" s="17"/>
    </row>
    <row r="54" spans="1:7" x14ac:dyDescent="0.25">
      <c r="A54" s="3" t="s">
        <v>59</v>
      </c>
      <c r="B54" s="3">
        <f>B53/(1+Input!C16*(B26-293.15))</f>
        <v>0.17277504140136715</v>
      </c>
      <c r="C54" s="3" t="s">
        <v>27</v>
      </c>
    </row>
    <row r="55" spans="1:7" ht="18.75" x14ac:dyDescent="0.3">
      <c r="A55" s="3" t="s">
        <v>62</v>
      </c>
      <c r="B55" s="24">
        <f>B54*1000</f>
        <v>172.77504140136716</v>
      </c>
      <c r="C55" s="3" t="s">
        <v>61</v>
      </c>
      <c r="E55" s="3" t="s">
        <v>74</v>
      </c>
      <c r="F55" s="24">
        <f>((B27/((F42/(SQRT(1-(F37^4))))*F45*(PI()/4)*(F36^2)))^2)/(2*B28)</f>
        <v>68691.675106930707</v>
      </c>
      <c r="G55" s="3" t="s">
        <v>23</v>
      </c>
    </row>
    <row r="57" spans="1:7" x14ac:dyDescent="0.25">
      <c r="A57" s="3" t="s">
        <v>58</v>
      </c>
      <c r="B57" s="21">
        <f>(B45/(SQRT(1-(B47^4))))*B51*(PI()/4)*((B47*B29)^2)*(SQRT(2*B36*B28))</f>
        <v>2.9997145186564427</v>
      </c>
      <c r="C57" s="3" t="s">
        <v>25</v>
      </c>
      <c r="E57" s="3" t="s">
        <v>58</v>
      </c>
      <c r="F57" s="3">
        <f>(F42/(SQRT(1-(F37^4))))*F45*(PI()/4)*((F36)^2)*(SQRT(2*F55*B28))</f>
        <v>3</v>
      </c>
      <c r="G57" s="3" t="s">
        <v>25</v>
      </c>
    </row>
    <row r="58" spans="1:7" x14ac:dyDescent="0.25">
      <c r="B58" s="3" t="s">
        <v>111</v>
      </c>
    </row>
    <row r="65" spans="1:6" x14ac:dyDescent="0.25">
      <c r="A65" s="27"/>
      <c r="B65" s="40" t="s">
        <v>100</v>
      </c>
      <c r="C65" s="40"/>
      <c r="D65" s="40"/>
      <c r="E65" s="27"/>
      <c r="F65" s="26"/>
    </row>
    <row r="66" spans="1:6" x14ac:dyDescent="0.25">
      <c r="A66" s="27"/>
      <c r="B66" s="27" t="s">
        <v>99</v>
      </c>
      <c r="C66" s="27" t="s">
        <v>98</v>
      </c>
      <c r="D66" s="27" t="s">
        <v>97</v>
      </c>
      <c r="E66" s="27" t="s">
        <v>96</v>
      </c>
      <c r="F66" s="26" t="s">
        <v>95</v>
      </c>
    </row>
    <row r="67" spans="1:6" ht="15" customHeight="1" x14ac:dyDescent="0.25">
      <c r="A67" s="27" t="s">
        <v>94</v>
      </c>
      <c r="B67" s="27">
        <v>12.5</v>
      </c>
      <c r="C67" s="27">
        <v>12.5</v>
      </c>
      <c r="D67" s="27">
        <v>12.5</v>
      </c>
      <c r="E67" s="27" t="s">
        <v>61</v>
      </c>
      <c r="F67" s="26" t="s">
        <v>93</v>
      </c>
    </row>
    <row r="68" spans="1:6" x14ac:dyDescent="0.25">
      <c r="A68" s="27" t="s">
        <v>92</v>
      </c>
      <c r="B68" s="27">
        <v>50</v>
      </c>
      <c r="C68" s="27">
        <v>50</v>
      </c>
      <c r="D68" s="27">
        <v>50</v>
      </c>
      <c r="E68" s="27" t="s">
        <v>61</v>
      </c>
      <c r="F68" s="26" t="s">
        <v>91</v>
      </c>
    </row>
    <row r="69" spans="1:6" x14ac:dyDescent="0.25">
      <c r="A69" s="27" t="s">
        <v>90</v>
      </c>
      <c r="B69" s="27">
        <v>1000</v>
      </c>
      <c r="C69" s="27">
        <v>1000</v>
      </c>
      <c r="D69" s="27">
        <v>1000</v>
      </c>
      <c r="E69" s="27" t="s">
        <v>61</v>
      </c>
      <c r="F69" s="26" t="s">
        <v>89</v>
      </c>
    </row>
    <row r="70" spans="1:6" x14ac:dyDescent="0.25">
      <c r="A70" s="31" t="s">
        <v>88</v>
      </c>
      <c r="B70" s="27">
        <v>0.1</v>
      </c>
      <c r="C70" s="27">
        <v>0.1</v>
      </c>
      <c r="D70" s="27">
        <v>0.1</v>
      </c>
      <c r="E70" s="27"/>
      <c r="F70" s="26" t="s">
        <v>87</v>
      </c>
    </row>
    <row r="71" spans="1:6" x14ac:dyDescent="0.25">
      <c r="A71" s="31" t="s">
        <v>86</v>
      </c>
      <c r="B71" s="27">
        <v>0.75</v>
      </c>
      <c r="C71" s="27">
        <v>0.75</v>
      </c>
      <c r="D71" s="27">
        <v>0.75</v>
      </c>
      <c r="E71" s="27"/>
      <c r="F71" s="26" t="s">
        <v>85</v>
      </c>
    </row>
    <row r="72" spans="1:6" x14ac:dyDescent="0.25">
      <c r="A72" s="31" t="s">
        <v>83</v>
      </c>
      <c r="B72" s="27">
        <v>5000</v>
      </c>
      <c r="C72" s="31" t="s">
        <v>82</v>
      </c>
      <c r="D72" s="27">
        <v>5000</v>
      </c>
      <c r="E72" s="30" t="s">
        <v>84</v>
      </c>
      <c r="F72" s="26" t="s">
        <v>79</v>
      </c>
    </row>
    <row r="73" spans="1:6" x14ac:dyDescent="0.25">
      <c r="A73" s="31" t="s">
        <v>83</v>
      </c>
      <c r="B73" s="29" t="s">
        <v>81</v>
      </c>
      <c r="C73" s="31" t="s">
        <v>82</v>
      </c>
      <c r="D73" s="29" t="s">
        <v>81</v>
      </c>
      <c r="E73" s="31" t="s">
        <v>80</v>
      </c>
      <c r="F73" s="26" t="s">
        <v>79</v>
      </c>
    </row>
    <row r="74" spans="1:6" x14ac:dyDescent="0.25">
      <c r="A74" s="31" t="s">
        <v>78</v>
      </c>
      <c r="B74" s="27">
        <v>0.75</v>
      </c>
      <c r="C74" s="27">
        <v>0.75</v>
      </c>
      <c r="D74" s="27">
        <v>0.75</v>
      </c>
      <c r="E74" s="27"/>
      <c r="F74" s="26" t="s">
        <v>77</v>
      </c>
    </row>
    <row r="75" spans="1:6" x14ac:dyDescent="0.25">
      <c r="A75" s="27"/>
      <c r="B75" s="27"/>
      <c r="C75" s="27"/>
      <c r="D75" s="27"/>
      <c r="E75" s="27"/>
      <c r="F75" s="26"/>
    </row>
    <row r="76" spans="1:6" x14ac:dyDescent="0.25">
      <c r="A76" s="27"/>
      <c r="B76" s="27"/>
      <c r="C76" s="27"/>
      <c r="D76" s="27"/>
      <c r="E76" s="27"/>
      <c r="F76" s="26"/>
    </row>
  </sheetData>
  <mergeCells count="1">
    <mergeCell ref="B65:D65"/>
  </mergeCells>
  <conditionalFormatting sqref="A10:C10 A8:C8">
    <cfRule type="expression" dxfId="4" priority="1">
      <formula>$B$4="Liquid"</formula>
    </cfRule>
  </conditionalFormatting>
  <dataValidations count="1">
    <dataValidation type="list" allowBlank="1" showInputMessage="1" showErrorMessage="1" sqref="B4">
      <formula1>Fluid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6"/>
  <sheetViews>
    <sheetView zoomScale="80" zoomScaleNormal="80" workbookViewId="0">
      <selection sqref="A1:G1"/>
    </sheetView>
  </sheetViews>
  <sheetFormatPr defaultRowHeight="15" x14ac:dyDescent="0.25"/>
  <cols>
    <col min="1" max="1" width="34.5703125" style="3" bestFit="1" customWidth="1"/>
    <col min="2" max="2" width="29.42578125" style="3" bestFit="1" customWidth="1"/>
    <col min="3" max="3" width="17" style="3" bestFit="1" customWidth="1"/>
    <col min="4" max="4" width="9.140625" style="3"/>
    <col min="5" max="5" width="30.28515625" style="3" bestFit="1" customWidth="1"/>
    <col min="6" max="6" width="17.140625" style="3" customWidth="1"/>
    <col min="7" max="7" width="16.42578125" style="3" customWidth="1"/>
    <col min="8" max="8" width="30.85546875" style="3" bestFit="1" customWidth="1"/>
    <col min="9" max="16384" width="9.140625" style="3"/>
  </cols>
  <sheetData>
    <row r="1" spans="1:7" x14ac:dyDescent="0.25">
      <c r="A1" s="41" t="s">
        <v>127</v>
      </c>
      <c r="B1" s="42" t="s">
        <v>128</v>
      </c>
      <c r="E1" s="43" t="s">
        <v>129</v>
      </c>
      <c r="F1" s="44" t="s">
        <v>134</v>
      </c>
      <c r="G1" s="45" t="s">
        <v>135</v>
      </c>
    </row>
    <row r="2" spans="1:7" hidden="1" x14ac:dyDescent="0.25">
      <c r="A2" s="1"/>
      <c r="B2" s="2"/>
    </row>
    <row r="3" spans="1:7" hidden="1" x14ac:dyDescent="0.25"/>
    <row r="4" spans="1:7" hidden="1" x14ac:dyDescent="0.25"/>
    <row r="5" spans="1:7" hidden="1" x14ac:dyDescent="0.25"/>
    <row r="6" spans="1:7" hidden="1" x14ac:dyDescent="0.25"/>
    <row r="7" spans="1:7" hidden="1" x14ac:dyDescent="0.25"/>
    <row r="8" spans="1:7" hidden="1" x14ac:dyDescent="0.25"/>
    <row r="9" spans="1:7" hidden="1" x14ac:dyDescent="0.25"/>
    <row r="10" spans="1:7" hidden="1" x14ac:dyDescent="0.25"/>
    <row r="11" spans="1:7" hidden="1" x14ac:dyDescent="0.25"/>
    <row r="12" spans="1:7" hidden="1" x14ac:dyDescent="0.25"/>
    <row r="13" spans="1:7" hidden="1" x14ac:dyDescent="0.25"/>
    <row r="14" spans="1:7" hidden="1" x14ac:dyDescent="0.25"/>
    <row r="15" spans="1:7" hidden="1" x14ac:dyDescent="0.25"/>
    <row r="16" spans="1:7" hidden="1" x14ac:dyDescent="0.25"/>
    <row r="17" spans="1:5" hidden="1" x14ac:dyDescent="0.25"/>
    <row r="18" spans="1:5" hidden="1" x14ac:dyDescent="0.25"/>
    <row r="19" spans="1:5" hidden="1" x14ac:dyDescent="0.25"/>
    <row r="20" spans="1:5" hidden="1" x14ac:dyDescent="0.25"/>
    <row r="21" spans="1:5" hidden="1" x14ac:dyDescent="0.25"/>
    <row r="22" spans="1:5" hidden="1" x14ac:dyDescent="0.25"/>
    <row r="23" spans="1:5" hidden="1" x14ac:dyDescent="0.25"/>
    <row r="25" spans="1:5" x14ac:dyDescent="0.25">
      <c r="A25" s="7" t="s">
        <v>32</v>
      </c>
      <c r="B25" s="8">
        <f>OpPress</f>
        <v>201325</v>
      </c>
      <c r="C25" s="9" t="s">
        <v>23</v>
      </c>
    </row>
    <row r="26" spans="1:5" x14ac:dyDescent="0.25">
      <c r="A26" s="10" t="s">
        <v>33</v>
      </c>
      <c r="B26" s="11">
        <f>OpTemp</f>
        <v>273.14999999999998</v>
      </c>
      <c r="C26" s="12" t="s">
        <v>24</v>
      </c>
    </row>
    <row r="27" spans="1:5" x14ac:dyDescent="0.25">
      <c r="A27" s="10" t="s">
        <v>34</v>
      </c>
      <c r="B27" s="11">
        <f>Flow</f>
        <v>3</v>
      </c>
      <c r="C27" s="12" t="s">
        <v>25</v>
      </c>
      <c r="E27" s="2"/>
    </row>
    <row r="28" spans="1:5" x14ac:dyDescent="0.25">
      <c r="A28" s="10" t="s">
        <v>35</v>
      </c>
      <c r="B28" s="11">
        <f>OpDens</f>
        <v>0.5</v>
      </c>
      <c r="C28" s="13" t="s">
        <v>26</v>
      </c>
      <c r="E28" s="2"/>
    </row>
    <row r="29" spans="1:5" x14ac:dyDescent="0.25">
      <c r="A29" s="10" t="s">
        <v>36</v>
      </c>
      <c r="B29" s="11">
        <f>(ID)*(1+Input!C15*(B26-293.15))</f>
        <v>0.5475317977919999</v>
      </c>
      <c r="C29" s="12" t="s">
        <v>27</v>
      </c>
      <c r="E29" s="2"/>
    </row>
    <row r="30" spans="1:5" x14ac:dyDescent="0.25">
      <c r="A30" s="10" t="s">
        <v>37</v>
      </c>
      <c r="B30" s="11">
        <f>((B29/2)^2)*PI()</f>
        <v>0.2354553554615654</v>
      </c>
      <c r="C30" s="12" t="s">
        <v>28</v>
      </c>
    </row>
    <row r="31" spans="1:5" x14ac:dyDescent="0.25">
      <c r="A31" s="10" t="s">
        <v>38</v>
      </c>
      <c r="B31" s="11">
        <f>(Flow/B28)/B30</f>
        <v>25.482537818000115</v>
      </c>
      <c r="C31" s="12" t="s">
        <v>29</v>
      </c>
    </row>
    <row r="32" spans="1:5" x14ac:dyDescent="0.25">
      <c r="A32" s="10" t="s">
        <v>39</v>
      </c>
      <c r="B32" s="11">
        <f>Visc</f>
        <v>1E-3</v>
      </c>
      <c r="C32" s="12" t="s">
        <v>30</v>
      </c>
    </row>
    <row r="33" spans="1:7" x14ac:dyDescent="0.25">
      <c r="A33" s="14" t="s">
        <v>40</v>
      </c>
      <c r="B33" s="15">
        <f>(B28*B31*B29)/(B32)</f>
        <v>6976.2498718961142</v>
      </c>
      <c r="C33" s="16"/>
    </row>
    <row r="36" spans="1:7" x14ac:dyDescent="0.25">
      <c r="A36" s="3" t="s">
        <v>45</v>
      </c>
      <c r="B36" s="3">
        <f>DP</f>
        <v>50000</v>
      </c>
      <c r="C36" s="3" t="s">
        <v>23</v>
      </c>
      <c r="E36" s="3" t="s">
        <v>76</v>
      </c>
      <c r="F36" s="3">
        <f>Bore*(1+Input!C16*(B26-293.15))</f>
        <v>0.16067249080600002</v>
      </c>
      <c r="G36" s="3" t="s">
        <v>27</v>
      </c>
    </row>
    <row r="37" spans="1:7" x14ac:dyDescent="0.25">
      <c r="A37" s="3" t="s">
        <v>47</v>
      </c>
      <c r="B37" s="3">
        <f>B25-B36</f>
        <v>151325</v>
      </c>
      <c r="C37" s="3" t="s">
        <v>23</v>
      </c>
      <c r="E37" s="3" t="s">
        <v>69</v>
      </c>
      <c r="F37" s="3">
        <f>F36/B29</f>
        <v>0.29344869367210225</v>
      </c>
    </row>
    <row r="38" spans="1:7" ht="18" x14ac:dyDescent="0.35">
      <c r="A38" s="3" t="s">
        <v>48</v>
      </c>
      <c r="B38" s="3">
        <v>1</v>
      </c>
      <c r="E38" s="3" t="s">
        <v>101</v>
      </c>
      <c r="F38" s="3">
        <v>1</v>
      </c>
    </row>
    <row r="39" spans="1:7" ht="18" x14ac:dyDescent="0.35">
      <c r="A39" s="3" t="s">
        <v>49</v>
      </c>
      <c r="B39" s="3">
        <v>0.47</v>
      </c>
      <c r="E39" s="3" t="s">
        <v>102</v>
      </c>
      <c r="F39" s="3">
        <v>0.47</v>
      </c>
    </row>
    <row r="40" spans="1:7" ht="18" x14ac:dyDescent="0.35">
      <c r="A40" s="3" t="s">
        <v>51</v>
      </c>
      <c r="B40" s="3">
        <v>3.5124070000000003E-5</v>
      </c>
      <c r="C40" s="3" t="s">
        <v>52</v>
      </c>
      <c r="E40" s="3" t="s">
        <v>70</v>
      </c>
      <c r="F40" s="3">
        <f>(19000*F37/$B$33)^0.8</f>
        <v>0.83585511247071675</v>
      </c>
    </row>
    <row r="41" spans="1:7" ht="18" x14ac:dyDescent="0.35">
      <c r="A41" s="3" t="s">
        <v>50</v>
      </c>
      <c r="B41" s="3">
        <f>B27/(B40*((B29*1000)^2)*1*(SQRT(B28))*((SQRT(B36/1000))))</f>
        <v>5.6980692729980617E-2</v>
      </c>
      <c r="E41" s="3" t="s">
        <v>71</v>
      </c>
      <c r="F41" s="3">
        <f>(2*F39)/(1-F37)</f>
        <v>1.3304058623645978</v>
      </c>
    </row>
    <row r="42" spans="1:7" ht="18" x14ac:dyDescent="0.35">
      <c r="A42" s="3" t="s">
        <v>53</v>
      </c>
      <c r="B42" s="23">
        <f>IF(B33&lt;200000,((1+((0.6/B41)+0.6)^2)^-0.25),((1+((0.6/B41))^2)^-0.25))</f>
        <v>0.29914499879203732</v>
      </c>
      <c r="E42" s="3" t="s">
        <v>72</v>
      </c>
      <c r="F42" s="3">
        <f>0.5961+(0.0261*($F$37^2))-(0.216*($F$37^8))+(((($F$37*1000000)/$B$33)^0.7)*0.000521)+((0.0188+(0.0063*$F$40))*($F$37^3.5)*((1000000/$B$33)^0.3))+(0.043+(0.08*EXP(-10*$F$38))-(0.123*EXP(-7*$F$38)))*(1-(0.11*$F$40))*(($F$37^4)/(1-($F$37^4)))-0.031*($F$41-(0.8*($F$41^1.1)))*($F$37^1.3)+IF($B$29&lt;0.07112,(0.011*(0.75-$F$37)*(2.8-(($B$29*1000)/25.4))),0)</f>
        <v>0.60574419164744131</v>
      </c>
    </row>
    <row r="43" spans="1:7" ht="18" x14ac:dyDescent="0.35">
      <c r="A43" s="3" t="s">
        <v>54</v>
      </c>
      <c r="B43" s="23">
        <f>(19000*B42/$B$33)^0.8</f>
        <v>0.84881032939175294</v>
      </c>
      <c r="E43" s="3" t="s">
        <v>75</v>
      </c>
      <c r="F43" s="3">
        <v>1</v>
      </c>
    </row>
    <row r="44" spans="1:7" ht="18" x14ac:dyDescent="0.35">
      <c r="A44" s="3" t="s">
        <v>55</v>
      </c>
      <c r="B44" s="23">
        <f>(2*($B$39))/(1-B42)</f>
        <v>1.3412189374119576</v>
      </c>
      <c r="E44" s="3" t="s">
        <v>74</v>
      </c>
      <c r="F44" s="3">
        <f>((B27/((F42/(SQRT(1-(F37^4))))*F43*(PI()/4)*(F36^2)))^2)/(2*B28)</f>
        <v>59222.358781780509</v>
      </c>
      <c r="G44" s="3" t="s">
        <v>23</v>
      </c>
    </row>
    <row r="45" spans="1:7" ht="18" x14ac:dyDescent="0.35">
      <c r="A45" s="3" t="s">
        <v>56</v>
      </c>
      <c r="B45" s="23">
        <f>0.5961+(0.0261*(B42^2))-(0.216*(B42^8))+((((B42*1000000)/$B$33)^0.7)*0.000521)+((0.0188+(0.0063*B43))*(B42^3.5)*((1000000/$B$33)^0.3))+(0.043+(0.08*EXP(-10*$B$38))-(0.123*EXP(-7*$B$38)))*(1-(0.11*B43))*((B42^4)/(1-(B42^4)))-0.031*(B44-(0.8*(B44^1.1)))*(B42^1.3)+IF($B$29&lt;0.07112,(0.011*(0.75-B42)*(2.8-(($B$29*1000)/25.4))),0)</f>
        <v>0.60601291745877361</v>
      </c>
      <c r="E45" s="3" t="s">
        <v>73</v>
      </c>
      <c r="F45" s="3">
        <f>IF(Fluid_in="Liquid",1,(1-(0.351+(0.256*($F$37^4))+(0.93*($F$37^8)))*(1-((B25-F44)/$B$25)^(1/Isentropic))))</f>
        <v>0.92685125404902369</v>
      </c>
    </row>
    <row r="46" spans="1:7" ht="18" x14ac:dyDescent="0.35">
      <c r="A46" s="3" t="s">
        <v>57</v>
      </c>
      <c r="B46" s="23">
        <f>IF(Fluid_in="Liquid",1,(1-(0.351+(0.256*(B42^4))+(0.93*(B42^8)))*(1-($B$37/$B$25)^(1/Isentropic))))</f>
        <v>0.9388020863990918</v>
      </c>
      <c r="E46" s="3" t="s">
        <v>74</v>
      </c>
      <c r="F46" s="3">
        <f>((B27/((F42/(SQRT(1-(F37^4))))*F45*(PI()/4)*(F36^2)))^2)/(2*B28)</f>
        <v>68939.101248357736</v>
      </c>
      <c r="G46" s="3" t="s">
        <v>23</v>
      </c>
    </row>
    <row r="47" spans="1:7" ht="18" x14ac:dyDescent="0.35">
      <c r="A47" s="3" t="s">
        <v>63</v>
      </c>
      <c r="B47" s="23">
        <f>((1+((B45*B46/B41))^2)^-0.25)</f>
        <v>0.31568374812206706</v>
      </c>
      <c r="E47" s="3" t="s">
        <v>73</v>
      </c>
      <c r="F47" s="3">
        <f>IF(Fluid_in="Liquid",1,(1-(0.351+(0.256*($F$37^4))+(0.93*($F$37^8)))*(1-((B25-F46)/$B$25)^(1/Isentropic))))</f>
        <v>0.91394642072253385</v>
      </c>
    </row>
    <row r="48" spans="1:7" ht="18" x14ac:dyDescent="0.35">
      <c r="A48" s="3" t="s">
        <v>64</v>
      </c>
      <c r="B48" s="23">
        <f>(19000*B47/$B$33)^0.8</f>
        <v>0.88614958450276204</v>
      </c>
    </row>
    <row r="49" spans="1:7" ht="18" x14ac:dyDescent="0.35">
      <c r="A49" s="3" t="s">
        <v>65</v>
      </c>
      <c r="B49" s="23">
        <f>(2*($B$39))/(1-B47)</f>
        <v>1.373633897222823</v>
      </c>
    </row>
    <row r="50" spans="1:7" ht="18" x14ac:dyDescent="0.35">
      <c r="A50" s="3" t="s">
        <v>66</v>
      </c>
      <c r="B50" s="23">
        <f>0.5961+(0.0261*(B47^2))-(0.216*(B47^8))+((((B47*1000000)/$B$33)^0.7)*0.000521)+((0.0188+(0.0063*B48))*(B47^3.5)*((1000000/$B$33)^0.3))+(0.043+(0.08*EXP(-10*$B$38))-(0.123*EXP(-7*$B$38)))*(1-(0.11*B48))*((B47^4)/(1-(B47^4)))-0.031*(B49-(0.8*(B49^1.1)))*(B47^1.3)+IF($B$29&lt;0.07112,(0.011*(0.75-B47)*(2.8-(($B$29*1000)/25.4))),0)</f>
        <v>0.60683504282281764</v>
      </c>
    </row>
    <row r="51" spans="1:7" ht="18" x14ac:dyDescent="0.35">
      <c r="A51" s="3" t="s">
        <v>67</v>
      </c>
      <c r="B51" s="23">
        <f>IF(Fluid_in="Liquid",1,(1-(0.351+(0.256*(B47^4))+(0.93*(B47^8)))*(1-($B$37/$B$25)^(1/Isentropic))))</f>
        <v>0.93871119236396272</v>
      </c>
    </row>
    <row r="52" spans="1:7" x14ac:dyDescent="0.25">
      <c r="B52" s="20"/>
      <c r="C52" s="17"/>
      <c r="D52" s="18"/>
    </row>
    <row r="53" spans="1:7" x14ac:dyDescent="0.25">
      <c r="A53" s="3" t="s">
        <v>60</v>
      </c>
      <c r="B53" s="19">
        <f>B47*B29</f>
        <v>0.17284689014299226</v>
      </c>
      <c r="C53" s="22" t="s">
        <v>27</v>
      </c>
      <c r="D53" s="17"/>
    </row>
    <row r="54" spans="1:7" x14ac:dyDescent="0.25">
      <c r="A54" s="3" t="s">
        <v>59</v>
      </c>
      <c r="B54" s="3">
        <f>B53/(1+Input!C16*(B26-293.15))</f>
        <v>0.17290875689620971</v>
      </c>
      <c r="C54" s="3" t="s">
        <v>27</v>
      </c>
    </row>
    <row r="55" spans="1:7" ht="18.75" x14ac:dyDescent="0.3">
      <c r="A55" s="3" t="s">
        <v>62</v>
      </c>
      <c r="B55" s="24">
        <f>B54*1000</f>
        <v>172.90875689620972</v>
      </c>
      <c r="C55" s="3" t="s">
        <v>61</v>
      </c>
      <c r="E55" s="3" t="s">
        <v>74</v>
      </c>
      <c r="F55" s="24">
        <f>((B27/((F42/(SQRT(1-(F37^4))))*F45*(PI()/4)*(F36^2)))^2)/(2*B28)</f>
        <v>68939.101248357736</v>
      </c>
      <c r="G55" s="3" t="s">
        <v>23</v>
      </c>
    </row>
    <row r="57" spans="1:7" x14ac:dyDescent="0.25">
      <c r="A57" s="3" t="s">
        <v>58</v>
      </c>
      <c r="B57" s="21">
        <f>(B45/(SQRT(1-(B47^4))))*B51*(PI()/4)*((B47*B29)^2)*(SQRT(2*B36*B28))</f>
        <v>2.9997098546679788</v>
      </c>
      <c r="C57" s="3" t="s">
        <v>25</v>
      </c>
      <c r="E57" s="3" t="s">
        <v>58</v>
      </c>
      <c r="F57" s="3">
        <f>(F42/(SQRT(1-(F37^4))))*F45*(PI()/4)*((F36)^2)*(SQRT(2*F55*B28))</f>
        <v>3</v>
      </c>
      <c r="G57" s="3" t="s">
        <v>25</v>
      </c>
    </row>
    <row r="58" spans="1:7" x14ac:dyDescent="0.25">
      <c r="B58" s="3" t="s">
        <v>111</v>
      </c>
    </row>
    <row r="65" spans="1:6" x14ac:dyDescent="0.25">
      <c r="A65" s="27"/>
      <c r="B65" s="40" t="s">
        <v>100</v>
      </c>
      <c r="C65" s="40"/>
      <c r="D65" s="40"/>
      <c r="E65" s="27"/>
      <c r="F65" s="26"/>
    </row>
    <row r="66" spans="1:6" x14ac:dyDescent="0.25">
      <c r="A66" s="27"/>
      <c r="B66" s="27" t="s">
        <v>99</v>
      </c>
      <c r="C66" s="27" t="s">
        <v>98</v>
      </c>
      <c r="D66" s="27" t="s">
        <v>97</v>
      </c>
      <c r="E66" s="27" t="s">
        <v>96</v>
      </c>
      <c r="F66" s="26" t="s">
        <v>95</v>
      </c>
    </row>
    <row r="67" spans="1:6" ht="15" customHeight="1" x14ac:dyDescent="0.25">
      <c r="A67" s="27" t="s">
        <v>94</v>
      </c>
      <c r="B67" s="27">
        <v>12.5</v>
      </c>
      <c r="C67" s="27">
        <v>12.5</v>
      </c>
      <c r="D67" s="27">
        <v>12.5</v>
      </c>
      <c r="E67" s="27" t="s">
        <v>61</v>
      </c>
      <c r="F67" s="26" t="s">
        <v>93</v>
      </c>
    </row>
    <row r="68" spans="1:6" x14ac:dyDescent="0.25">
      <c r="A68" s="27" t="s">
        <v>92</v>
      </c>
      <c r="B68" s="27">
        <v>50</v>
      </c>
      <c r="C68" s="27">
        <v>50</v>
      </c>
      <c r="D68" s="27">
        <v>50</v>
      </c>
      <c r="E68" s="27" t="s">
        <v>61</v>
      </c>
      <c r="F68" s="26" t="s">
        <v>91</v>
      </c>
    </row>
    <row r="69" spans="1:6" x14ac:dyDescent="0.25">
      <c r="A69" s="27" t="s">
        <v>90</v>
      </c>
      <c r="B69" s="27">
        <v>1000</v>
      </c>
      <c r="C69" s="27">
        <v>1000</v>
      </c>
      <c r="D69" s="27">
        <v>1000</v>
      </c>
      <c r="E69" s="27" t="s">
        <v>61</v>
      </c>
      <c r="F69" s="26" t="s">
        <v>89</v>
      </c>
    </row>
    <row r="70" spans="1:6" x14ac:dyDescent="0.25">
      <c r="A70" s="31" t="s">
        <v>88</v>
      </c>
      <c r="B70" s="27">
        <v>0.1</v>
      </c>
      <c r="C70" s="27">
        <v>0.1</v>
      </c>
      <c r="D70" s="27">
        <v>0.1</v>
      </c>
      <c r="E70" s="27"/>
      <c r="F70" s="26" t="s">
        <v>87</v>
      </c>
    </row>
    <row r="71" spans="1:6" x14ac:dyDescent="0.25">
      <c r="A71" s="31" t="s">
        <v>86</v>
      </c>
      <c r="B71" s="27">
        <v>0.75</v>
      </c>
      <c r="C71" s="27">
        <v>0.75</v>
      </c>
      <c r="D71" s="27">
        <v>0.75</v>
      </c>
      <c r="E71" s="27"/>
      <c r="F71" s="26" t="s">
        <v>85</v>
      </c>
    </row>
    <row r="72" spans="1:6" x14ac:dyDescent="0.25">
      <c r="A72" s="31" t="s">
        <v>83</v>
      </c>
      <c r="B72" s="27">
        <v>5000</v>
      </c>
      <c r="C72" s="31" t="s">
        <v>82</v>
      </c>
      <c r="D72" s="27">
        <v>5000</v>
      </c>
      <c r="E72" s="30" t="s">
        <v>84</v>
      </c>
      <c r="F72" s="26" t="s">
        <v>79</v>
      </c>
    </row>
    <row r="73" spans="1:6" x14ac:dyDescent="0.25">
      <c r="A73" s="31" t="s">
        <v>83</v>
      </c>
      <c r="B73" s="29" t="s">
        <v>81</v>
      </c>
      <c r="C73" s="31" t="s">
        <v>82</v>
      </c>
      <c r="D73" s="29" t="s">
        <v>81</v>
      </c>
      <c r="E73" s="31" t="s">
        <v>80</v>
      </c>
      <c r="F73" s="26" t="s">
        <v>79</v>
      </c>
    </row>
    <row r="74" spans="1:6" x14ac:dyDescent="0.25">
      <c r="A74" s="31" t="s">
        <v>78</v>
      </c>
      <c r="B74" s="27">
        <v>0.75</v>
      </c>
      <c r="C74" s="27">
        <v>0.75</v>
      </c>
      <c r="D74" s="27">
        <v>0.75</v>
      </c>
      <c r="E74" s="27"/>
      <c r="F74" s="26" t="s">
        <v>77</v>
      </c>
    </row>
    <row r="75" spans="1:6" x14ac:dyDescent="0.25">
      <c r="A75" s="27"/>
      <c r="B75" s="27"/>
      <c r="C75" s="27"/>
      <c r="D75" s="27"/>
      <c r="E75" s="27"/>
      <c r="F75" s="26"/>
    </row>
    <row r="76" spans="1:6" x14ac:dyDescent="0.25">
      <c r="A76" s="27"/>
      <c r="B76" s="27"/>
      <c r="C76" s="27"/>
      <c r="D76" s="27"/>
      <c r="E76" s="27"/>
      <c r="F76" s="26"/>
    </row>
  </sheetData>
  <mergeCells count="1">
    <mergeCell ref="B65:D65"/>
  </mergeCells>
  <conditionalFormatting sqref="A10:C10 A8:C8">
    <cfRule type="expression" dxfId="3" priority="1">
      <formula>$B$4="Liquid"</formula>
    </cfRule>
  </conditionalFormatting>
  <dataValidations count="1">
    <dataValidation type="list" allowBlank="1" showInputMessage="1" showErrorMessage="1" sqref="B4">
      <formula1>Fluid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zoomScale="80" zoomScaleNormal="80" workbookViewId="0">
      <selection sqref="A1:G1"/>
    </sheetView>
  </sheetViews>
  <sheetFormatPr defaultRowHeight="15" x14ac:dyDescent="0.25"/>
  <cols>
    <col min="1" max="1" width="34.5703125" style="3" bestFit="1" customWidth="1"/>
    <col min="2" max="2" width="29.42578125" style="3" bestFit="1" customWidth="1"/>
    <col min="3" max="3" width="17" style="3" bestFit="1" customWidth="1"/>
    <col min="4" max="4" width="9.140625" style="3"/>
    <col min="5" max="5" width="30.28515625" style="3" bestFit="1" customWidth="1"/>
    <col min="6" max="6" width="17.140625" style="3" customWidth="1"/>
    <col min="7" max="7" width="16.42578125" style="3" customWidth="1"/>
    <col min="8" max="8" width="30.85546875" style="3" bestFit="1" customWidth="1"/>
    <col min="9" max="16384" width="9.140625" style="3"/>
  </cols>
  <sheetData>
    <row r="1" spans="1:8" x14ac:dyDescent="0.25">
      <c r="A1" s="41" t="s">
        <v>127</v>
      </c>
      <c r="B1" s="42" t="s">
        <v>128</v>
      </c>
      <c r="E1" s="43" t="s">
        <v>129</v>
      </c>
      <c r="F1" s="44" t="s">
        <v>139</v>
      </c>
      <c r="G1" s="45" t="s">
        <v>136</v>
      </c>
    </row>
    <row r="2" spans="1:8" hidden="1" x14ac:dyDescent="0.25">
      <c r="A2" s="1"/>
      <c r="B2" s="2"/>
      <c r="E2" s="2"/>
      <c r="H2" s="2"/>
    </row>
    <row r="3" spans="1:8" hidden="1" x14ac:dyDescent="0.25">
      <c r="H3" s="2"/>
    </row>
    <row r="4" spans="1:8" hidden="1" x14ac:dyDescent="0.25">
      <c r="H4" s="2"/>
    </row>
    <row r="5" spans="1:8" hidden="1" x14ac:dyDescent="0.25"/>
    <row r="6" spans="1:8" hidden="1" x14ac:dyDescent="0.25"/>
    <row r="7" spans="1:8" hidden="1" x14ac:dyDescent="0.25"/>
    <row r="8" spans="1:8" hidden="1" x14ac:dyDescent="0.25"/>
    <row r="9" spans="1:8" hidden="1" x14ac:dyDescent="0.25"/>
    <row r="10" spans="1:8" hidden="1" x14ac:dyDescent="0.25"/>
    <row r="11" spans="1:8" hidden="1" x14ac:dyDescent="0.25"/>
    <row r="12" spans="1:8" hidden="1" x14ac:dyDescent="0.25"/>
    <row r="13" spans="1:8" hidden="1" x14ac:dyDescent="0.25"/>
    <row r="14" spans="1:8" hidden="1" x14ac:dyDescent="0.25"/>
    <row r="15" spans="1:8" hidden="1" x14ac:dyDescent="0.25"/>
    <row r="16" spans="1:8" hidden="1" x14ac:dyDescent="0.25"/>
    <row r="17" spans="1:7" hidden="1" x14ac:dyDescent="0.25"/>
    <row r="18" spans="1:7" hidden="1" x14ac:dyDescent="0.25"/>
    <row r="19" spans="1:7" hidden="1" x14ac:dyDescent="0.25"/>
    <row r="20" spans="1:7" hidden="1" x14ac:dyDescent="0.25"/>
    <row r="21" spans="1:7" hidden="1" x14ac:dyDescent="0.25"/>
    <row r="22" spans="1:7" hidden="1" x14ac:dyDescent="0.25"/>
    <row r="23" spans="1:7" hidden="1" x14ac:dyDescent="0.25"/>
    <row r="24" spans="1:7" x14ac:dyDescent="0.25">
      <c r="F24" s="44" t="s">
        <v>137</v>
      </c>
      <c r="G24" s="45" t="s">
        <v>138</v>
      </c>
    </row>
    <row r="25" spans="1:7" x14ac:dyDescent="0.25">
      <c r="A25" s="7" t="s">
        <v>32</v>
      </c>
      <c r="B25" s="8">
        <f>OpPress</f>
        <v>201325</v>
      </c>
      <c r="C25" s="9" t="s">
        <v>23</v>
      </c>
    </row>
    <row r="26" spans="1:7" x14ac:dyDescent="0.25">
      <c r="A26" s="10" t="s">
        <v>33</v>
      </c>
      <c r="B26" s="11">
        <f>OpTemp</f>
        <v>273.14999999999998</v>
      </c>
      <c r="C26" s="12" t="s">
        <v>24</v>
      </c>
    </row>
    <row r="27" spans="1:7" x14ac:dyDescent="0.25">
      <c r="A27" s="10" t="s">
        <v>34</v>
      </c>
      <c r="B27" s="11">
        <f>Flow</f>
        <v>3</v>
      </c>
      <c r="C27" s="12" t="s">
        <v>25</v>
      </c>
    </row>
    <row r="28" spans="1:7" x14ac:dyDescent="0.25">
      <c r="A28" s="10" t="s">
        <v>35</v>
      </c>
      <c r="B28" s="11">
        <f>OpDens</f>
        <v>0.5</v>
      </c>
      <c r="C28" s="13" t="s">
        <v>26</v>
      </c>
    </row>
    <row r="29" spans="1:7" x14ac:dyDescent="0.25">
      <c r="A29" s="10" t="s">
        <v>36</v>
      </c>
      <c r="B29" s="11">
        <f>(ID)*(1+Input!C15*(B26-293.15))</f>
        <v>0.5475317977919999</v>
      </c>
      <c r="C29" s="12" t="s">
        <v>27</v>
      </c>
    </row>
    <row r="30" spans="1:7" x14ac:dyDescent="0.25">
      <c r="A30" s="10" t="s">
        <v>37</v>
      </c>
      <c r="B30" s="11">
        <f>((B29/2)^2)*PI()</f>
        <v>0.2354553554615654</v>
      </c>
      <c r="C30" s="12" t="s">
        <v>28</v>
      </c>
    </row>
    <row r="31" spans="1:7" x14ac:dyDescent="0.25">
      <c r="A31" s="10" t="s">
        <v>38</v>
      </c>
      <c r="B31" s="11">
        <f>(Flow/B28)/B30</f>
        <v>25.482537818000115</v>
      </c>
      <c r="C31" s="12" t="s">
        <v>29</v>
      </c>
    </row>
    <row r="32" spans="1:7" x14ac:dyDescent="0.25">
      <c r="A32" s="10" t="s">
        <v>39</v>
      </c>
      <c r="B32" s="11">
        <f>Visc</f>
        <v>1E-3</v>
      </c>
      <c r="C32" s="12" t="s">
        <v>30</v>
      </c>
    </row>
    <row r="33" spans="1:7" x14ac:dyDescent="0.25">
      <c r="A33" s="14" t="s">
        <v>40</v>
      </c>
      <c r="B33" s="15">
        <f>(B28*B31*B29)/(B32)</f>
        <v>6976.2498718961142</v>
      </c>
      <c r="C33" s="16"/>
    </row>
    <row r="36" spans="1:7" x14ac:dyDescent="0.25">
      <c r="A36" s="3" t="s">
        <v>45</v>
      </c>
      <c r="B36" s="3">
        <f>DP</f>
        <v>50000</v>
      </c>
      <c r="C36" s="3" t="s">
        <v>23</v>
      </c>
      <c r="E36" s="3" t="s">
        <v>76</v>
      </c>
      <c r="F36" s="3">
        <f>Bore*(1+Input!C16*(B26-293.15))</f>
        <v>0.16067249080600002</v>
      </c>
      <c r="G36" s="3" t="s">
        <v>27</v>
      </c>
    </row>
    <row r="37" spans="1:7" x14ac:dyDescent="0.25">
      <c r="A37" s="3" t="s">
        <v>47</v>
      </c>
      <c r="B37" s="3">
        <f>B25-B36</f>
        <v>151325</v>
      </c>
      <c r="C37" s="3" t="s">
        <v>23</v>
      </c>
      <c r="E37" s="3" t="s">
        <v>69</v>
      </c>
      <c r="F37" s="3">
        <f>F36/B29</f>
        <v>0.29344869367210225</v>
      </c>
    </row>
    <row r="38" spans="1:7" ht="18" x14ac:dyDescent="0.35">
      <c r="A38" s="3" t="s">
        <v>51</v>
      </c>
      <c r="B38" s="3">
        <v>3.5124070000000003E-5</v>
      </c>
      <c r="C38" s="3" t="s">
        <v>52</v>
      </c>
      <c r="E38" s="3" t="s">
        <v>72</v>
      </c>
      <c r="F38" s="3">
        <f>0.73823+(0.3309*F37)-(1.1615*(F37^2))+(1.5084*(F37^3))</f>
        <v>0.77342943137887699</v>
      </c>
    </row>
    <row r="39" spans="1:7" ht="18" x14ac:dyDescent="0.35">
      <c r="A39" s="3" t="s">
        <v>50</v>
      </c>
      <c r="B39" s="3">
        <f>B27/(B38*((B29*1000)^2)*1*(SQRT(B28))*((SQRT(B36/1000))))</f>
        <v>5.6980692729980617E-2</v>
      </c>
      <c r="E39" s="3" t="s">
        <v>75</v>
      </c>
      <c r="F39" s="3">
        <v>1</v>
      </c>
    </row>
    <row r="40" spans="1:7" ht="18" x14ac:dyDescent="0.35">
      <c r="A40" s="3" t="s">
        <v>53</v>
      </c>
      <c r="B40" s="23">
        <f>((1+((0.76/B39)+0.26)^2)^-0.25)</f>
        <v>0.27081907058033061</v>
      </c>
      <c r="E40" s="3" t="s">
        <v>74</v>
      </c>
      <c r="F40" s="3">
        <f>((B27/((F38/(SQRT(1-(F37^4))))*F39*(PI()/4)*(F36^2)))^2)/(2*B28)</f>
        <v>36326.439195645675</v>
      </c>
      <c r="G40" s="3" t="s">
        <v>23</v>
      </c>
    </row>
    <row r="41" spans="1:7" ht="18" x14ac:dyDescent="0.35">
      <c r="A41" s="3" t="s">
        <v>56</v>
      </c>
      <c r="B41" s="23">
        <f>0.73823+(0.3309*B40)-(1.1615*(B40^2))+(1.5084*(B40^3))</f>
        <v>0.77261703048380359</v>
      </c>
      <c r="E41" s="3" t="s">
        <v>73</v>
      </c>
      <c r="F41" s="3">
        <f>IF(Fluid_in="Liquid",1,(1-(0.351+(0.256*($F$37^4))+(0.93*($F$37^8)))*(1-((B25-F40)/$B$25)^(1/Isentropic))))</f>
        <v>0.95615183292191119</v>
      </c>
    </row>
    <row r="42" spans="1:7" ht="18" x14ac:dyDescent="0.35">
      <c r="A42" s="3" t="s">
        <v>57</v>
      </c>
      <c r="B42" s="23">
        <f>IF(Fluid_in="Liquid",1,(1-(0.351+(0.256*(B40^4))+(0.93*(B40^8)))*(1-($B$37/$B$25)^(1/Isentropic))))</f>
        <v>0.93892439542690354</v>
      </c>
    </row>
    <row r="43" spans="1:7" ht="18" x14ac:dyDescent="0.35">
      <c r="A43" s="3" t="s">
        <v>63</v>
      </c>
      <c r="B43" s="23">
        <f>((1+(((B41*B42)/B39))^2)^-0.25)</f>
        <v>0.27983278915723875</v>
      </c>
    </row>
    <row r="44" spans="1:7" x14ac:dyDescent="0.25">
      <c r="B44" s="20"/>
      <c r="C44" s="17"/>
      <c r="D44" s="18"/>
    </row>
    <row r="45" spans="1:7" x14ac:dyDescent="0.25">
      <c r="A45" s="3" t="s">
        <v>60</v>
      </c>
      <c r="B45" s="19">
        <f>B43*B29</f>
        <v>0.15321735012841259</v>
      </c>
      <c r="C45" s="22" t="s">
        <v>27</v>
      </c>
      <c r="D45" s="17"/>
    </row>
    <row r="46" spans="1:7" x14ac:dyDescent="0.25">
      <c r="A46" s="3" t="s">
        <v>59</v>
      </c>
      <c r="B46" s="3">
        <f>B45/(1+Input!C16*(B26-293.15))</f>
        <v>0.15327219091832317</v>
      </c>
      <c r="C46" s="3" t="s">
        <v>27</v>
      </c>
    </row>
    <row r="47" spans="1:7" ht="18.75" x14ac:dyDescent="0.3">
      <c r="A47" s="3" t="s">
        <v>62</v>
      </c>
      <c r="B47" s="24">
        <f>B46*1000</f>
        <v>153.27219091832316</v>
      </c>
      <c r="C47" s="3" t="s">
        <v>61</v>
      </c>
      <c r="E47" s="3" t="s">
        <v>74</v>
      </c>
      <c r="F47" s="24">
        <f>((B27/((F38/(SQRT(1-(F37^4))))*F41*(PI()/4)*(F36^2)))^2)/(2*B28)</f>
        <v>39734.623800445072</v>
      </c>
      <c r="G47" s="3" t="s">
        <v>23</v>
      </c>
    </row>
    <row r="49" spans="1:7" x14ac:dyDescent="0.25">
      <c r="B49" s="3" t="s">
        <v>68</v>
      </c>
    </row>
    <row r="51" spans="1:7" x14ac:dyDescent="0.25">
      <c r="A51" s="3" t="s">
        <v>58</v>
      </c>
      <c r="B51" s="21">
        <f>(B41/(SQRT(1-(B43^4))))*B42*(PI()/4)*((B45)^2)*(SQRT(2*B36*B28))</f>
        <v>3.0000003121964758</v>
      </c>
      <c r="C51" s="3" t="s">
        <v>25</v>
      </c>
      <c r="E51" s="3" t="s">
        <v>58</v>
      </c>
      <c r="F51" s="37">
        <f>(F38/(SQRT(1-(F37^4))))*F41*(PI()/4)*((F36)^2)*(SQRT(2*F47*B28))</f>
        <v>3</v>
      </c>
      <c r="G51" s="3" t="s">
        <v>25</v>
      </c>
    </row>
    <row r="57" spans="1:7" x14ac:dyDescent="0.25">
      <c r="A57" s="27"/>
      <c r="B57" s="40" t="s">
        <v>100</v>
      </c>
      <c r="C57" s="40"/>
      <c r="D57" s="40"/>
    </row>
    <row r="58" spans="1:7" x14ac:dyDescent="0.25">
      <c r="A58" s="27"/>
      <c r="B58" s="27" t="s">
        <v>99</v>
      </c>
      <c r="C58" s="27" t="s">
        <v>96</v>
      </c>
      <c r="D58" s="26" t="s">
        <v>95</v>
      </c>
    </row>
    <row r="59" spans="1:7" x14ac:dyDescent="0.25">
      <c r="A59" s="27" t="s">
        <v>94</v>
      </c>
      <c r="B59" s="27">
        <v>15</v>
      </c>
      <c r="C59" s="27" t="s">
        <v>61</v>
      </c>
      <c r="D59" s="26" t="s">
        <v>93</v>
      </c>
    </row>
    <row r="60" spans="1:7" x14ac:dyDescent="0.25">
      <c r="A60" s="27" t="s">
        <v>92</v>
      </c>
      <c r="B60" s="27" t="s">
        <v>112</v>
      </c>
      <c r="C60" s="27" t="s">
        <v>61</v>
      </c>
      <c r="D60" s="26" t="s">
        <v>91</v>
      </c>
    </row>
    <row r="61" spans="1:7" x14ac:dyDescent="0.25">
      <c r="A61" s="27" t="s">
        <v>90</v>
      </c>
      <c r="B61" s="27">
        <v>500</v>
      </c>
      <c r="C61" s="27" t="s">
        <v>61</v>
      </c>
      <c r="D61" s="26" t="s">
        <v>89</v>
      </c>
      <c r="E61" s="27"/>
      <c r="F61" s="26"/>
    </row>
    <row r="62" spans="1:7" x14ac:dyDescent="0.25">
      <c r="A62" s="31" t="s">
        <v>88</v>
      </c>
      <c r="B62" s="27">
        <v>0.245</v>
      </c>
      <c r="C62" s="27"/>
      <c r="D62" s="26" t="s">
        <v>87</v>
      </c>
    </row>
    <row r="63" spans="1:7" ht="15" customHeight="1" x14ac:dyDescent="0.25">
      <c r="A63" s="31" t="s">
        <v>86</v>
      </c>
      <c r="B63" s="27">
        <v>0.6</v>
      </c>
      <c r="C63" s="27"/>
      <c r="D63" s="26" t="s">
        <v>85</v>
      </c>
    </row>
    <row r="64" spans="1:7" x14ac:dyDescent="0.25">
      <c r="A64" s="31" t="s">
        <v>83</v>
      </c>
      <c r="B64" s="27" t="s">
        <v>114</v>
      </c>
      <c r="C64" s="30"/>
      <c r="D64" s="26" t="s">
        <v>79</v>
      </c>
    </row>
    <row r="65" spans="1:6" x14ac:dyDescent="0.25">
      <c r="A65" s="31" t="s">
        <v>104</v>
      </c>
      <c r="B65" s="31" t="s">
        <v>113</v>
      </c>
      <c r="C65" s="31"/>
      <c r="D65" s="26" t="s">
        <v>105</v>
      </c>
    </row>
    <row r="66" spans="1:6" x14ac:dyDescent="0.25">
      <c r="A66" s="31" t="s">
        <v>78</v>
      </c>
      <c r="B66" s="27">
        <v>0.75</v>
      </c>
      <c r="C66" s="27"/>
      <c r="D66" s="26" t="s">
        <v>77</v>
      </c>
    </row>
    <row r="67" spans="1:6" x14ac:dyDescent="0.25">
      <c r="A67" s="27"/>
      <c r="B67" s="27"/>
      <c r="C67" s="27"/>
      <c r="D67" s="27"/>
    </row>
    <row r="68" spans="1:6" x14ac:dyDescent="0.25">
      <c r="A68" s="27"/>
      <c r="B68" s="27"/>
      <c r="C68" s="27"/>
      <c r="D68" s="27"/>
    </row>
    <row r="69" spans="1:6" x14ac:dyDescent="0.25">
      <c r="E69" s="27"/>
      <c r="F69" s="26"/>
    </row>
    <row r="70" spans="1:6" x14ac:dyDescent="0.25">
      <c r="E70" s="27"/>
      <c r="F70" s="26"/>
    </row>
    <row r="71" spans="1:6" x14ac:dyDescent="0.25">
      <c r="E71" s="27"/>
      <c r="F71" s="26"/>
    </row>
  </sheetData>
  <mergeCells count="1">
    <mergeCell ref="B57:D57"/>
  </mergeCells>
  <conditionalFormatting sqref="A5:F22">
    <cfRule type="expression" dxfId="2" priority="1">
      <formula>$B$4="Liquid"</formula>
    </cfRule>
  </conditionalFormatting>
  <dataValidations count="2">
    <dataValidation type="list" allowBlank="1" showInputMessage="1" showErrorMessage="1" sqref="B4">
      <formula1>Fluid</formula1>
    </dataValidation>
    <dataValidation type="list" allowBlank="1" showInputMessage="1" showErrorMessage="1" sqref="B15">
      <formula1>Materials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zoomScale="80" zoomScaleNormal="80" workbookViewId="0">
      <selection sqref="A1:G1"/>
    </sheetView>
  </sheetViews>
  <sheetFormatPr defaultRowHeight="15" x14ac:dyDescent="0.25"/>
  <cols>
    <col min="1" max="1" width="34.5703125" style="3" bestFit="1" customWidth="1"/>
    <col min="2" max="2" width="29.42578125" style="3" bestFit="1" customWidth="1"/>
    <col min="3" max="3" width="17" style="3" bestFit="1" customWidth="1"/>
    <col min="4" max="4" width="9.140625" style="3"/>
    <col min="5" max="5" width="30.28515625" style="3" bestFit="1" customWidth="1"/>
    <col min="6" max="6" width="17.140625" style="3" customWidth="1"/>
    <col min="7" max="7" width="16.42578125" style="3" customWidth="1"/>
    <col min="8" max="8" width="30.85546875" style="3" bestFit="1" customWidth="1"/>
    <col min="9" max="16384" width="9.140625" style="3"/>
  </cols>
  <sheetData>
    <row r="1" spans="1:8" x14ac:dyDescent="0.25">
      <c r="A1" s="41" t="s">
        <v>127</v>
      </c>
      <c r="B1" s="42" t="s">
        <v>128</v>
      </c>
      <c r="E1" s="43" t="s">
        <v>129</v>
      </c>
      <c r="F1" s="44" t="s">
        <v>140</v>
      </c>
      <c r="G1" s="45" t="s">
        <v>141</v>
      </c>
    </row>
    <row r="2" spans="1:8" hidden="1" x14ac:dyDescent="0.25">
      <c r="A2" s="1"/>
      <c r="B2" s="2"/>
      <c r="H2" s="2"/>
    </row>
    <row r="3" spans="1:8" hidden="1" x14ac:dyDescent="0.25">
      <c r="H3" s="2"/>
    </row>
    <row r="4" spans="1:8" hidden="1" x14ac:dyDescent="0.25">
      <c r="H4" s="2"/>
    </row>
    <row r="5" spans="1:8" hidden="1" x14ac:dyDescent="0.25"/>
    <row r="6" spans="1:8" hidden="1" x14ac:dyDescent="0.25"/>
    <row r="7" spans="1:8" hidden="1" x14ac:dyDescent="0.25"/>
    <row r="8" spans="1:8" hidden="1" x14ac:dyDescent="0.25"/>
    <row r="9" spans="1:8" hidden="1" x14ac:dyDescent="0.25"/>
    <row r="10" spans="1:8" hidden="1" x14ac:dyDescent="0.25"/>
    <row r="11" spans="1:8" hidden="1" x14ac:dyDescent="0.25">
      <c r="A11" s="5"/>
    </row>
    <row r="12" spans="1:8" hidden="1" x14ac:dyDescent="0.25"/>
    <row r="13" spans="1:8" hidden="1" x14ac:dyDescent="0.25"/>
    <row r="14" spans="1:8" hidden="1" x14ac:dyDescent="0.25"/>
    <row r="15" spans="1:8" hidden="1" x14ac:dyDescent="0.25"/>
    <row r="16" spans="1:8" hidden="1" x14ac:dyDescent="0.25"/>
    <row r="17" spans="1:3" hidden="1" x14ac:dyDescent="0.25"/>
    <row r="18" spans="1:3" hidden="1" x14ac:dyDescent="0.25"/>
    <row r="19" spans="1:3" hidden="1" x14ac:dyDescent="0.25"/>
    <row r="20" spans="1:3" hidden="1" x14ac:dyDescent="0.25"/>
    <row r="21" spans="1:3" hidden="1" x14ac:dyDescent="0.25"/>
    <row r="22" spans="1:3" hidden="1" x14ac:dyDescent="0.25"/>
    <row r="23" spans="1:3" hidden="1" x14ac:dyDescent="0.25"/>
    <row r="25" spans="1:3" x14ac:dyDescent="0.25">
      <c r="A25" s="7" t="s">
        <v>32</v>
      </c>
      <c r="B25" s="8">
        <f>OpPress</f>
        <v>201325</v>
      </c>
      <c r="C25" s="9" t="s">
        <v>23</v>
      </c>
    </row>
    <row r="26" spans="1:3" x14ac:dyDescent="0.25">
      <c r="A26" s="10" t="s">
        <v>33</v>
      </c>
      <c r="B26" s="11">
        <f>OpTemp</f>
        <v>273.14999999999998</v>
      </c>
      <c r="C26" s="12" t="s">
        <v>24</v>
      </c>
    </row>
    <row r="27" spans="1:3" x14ac:dyDescent="0.25">
      <c r="A27" s="10" t="s">
        <v>34</v>
      </c>
      <c r="B27" s="11">
        <f>Flow</f>
        <v>3</v>
      </c>
      <c r="C27" s="12" t="s">
        <v>25</v>
      </c>
    </row>
    <row r="28" spans="1:3" x14ac:dyDescent="0.25">
      <c r="A28" s="10" t="s">
        <v>35</v>
      </c>
      <c r="B28" s="11">
        <f>OpDens</f>
        <v>0.5</v>
      </c>
      <c r="C28" s="13" t="s">
        <v>26</v>
      </c>
    </row>
    <row r="29" spans="1:3" x14ac:dyDescent="0.25">
      <c r="A29" s="10" t="s">
        <v>36</v>
      </c>
      <c r="B29" s="11">
        <f>(ID)*(1+Input!C15*(B26-293.15))</f>
        <v>0.5475317977919999</v>
      </c>
      <c r="C29" s="12" t="s">
        <v>27</v>
      </c>
    </row>
    <row r="30" spans="1:3" x14ac:dyDescent="0.25">
      <c r="A30" s="10" t="s">
        <v>37</v>
      </c>
      <c r="B30" s="11">
        <f>((B29/2)^2)*PI()</f>
        <v>0.2354553554615654</v>
      </c>
      <c r="C30" s="12" t="s">
        <v>28</v>
      </c>
    </row>
    <row r="31" spans="1:3" x14ac:dyDescent="0.25">
      <c r="A31" s="10" t="s">
        <v>38</v>
      </c>
      <c r="B31" s="11">
        <f>(Flow/B28)/B30</f>
        <v>25.482537818000115</v>
      </c>
      <c r="C31" s="12" t="s">
        <v>29</v>
      </c>
    </row>
    <row r="32" spans="1:3" x14ac:dyDescent="0.25">
      <c r="A32" s="10" t="s">
        <v>39</v>
      </c>
      <c r="B32" s="11">
        <f>Visc</f>
        <v>1E-3</v>
      </c>
      <c r="C32" s="12" t="s">
        <v>30</v>
      </c>
    </row>
    <row r="33" spans="1:7" x14ac:dyDescent="0.25">
      <c r="A33" s="14" t="s">
        <v>40</v>
      </c>
      <c r="B33" s="15">
        <f>(B28*B31*B29)/(B32)</f>
        <v>6976.2498718961142</v>
      </c>
      <c r="C33" s="16"/>
    </row>
    <row r="36" spans="1:7" x14ac:dyDescent="0.25">
      <c r="A36" s="3" t="s">
        <v>45</v>
      </c>
      <c r="B36" s="3">
        <f>DP</f>
        <v>50000</v>
      </c>
      <c r="C36" s="3" t="s">
        <v>23</v>
      </c>
      <c r="E36" s="3" t="s">
        <v>76</v>
      </c>
      <c r="F36" s="3">
        <f>Bore*(1+Input!C16*(B26-293.15))</f>
        <v>0.16067249080600002</v>
      </c>
      <c r="G36" s="3" t="s">
        <v>27</v>
      </c>
    </row>
    <row r="37" spans="1:7" x14ac:dyDescent="0.25">
      <c r="A37" s="3" t="s">
        <v>47</v>
      </c>
      <c r="B37" s="3">
        <f>B25-B36</f>
        <v>151325</v>
      </c>
      <c r="C37" s="3" t="s">
        <v>23</v>
      </c>
      <c r="E37" s="3" t="s">
        <v>69</v>
      </c>
      <c r="F37" s="3">
        <f>F36/B29</f>
        <v>0.29344869367210225</v>
      </c>
    </row>
    <row r="38" spans="1:7" ht="18" x14ac:dyDescent="0.35">
      <c r="A38" s="3" t="s">
        <v>51</v>
      </c>
      <c r="B38" s="3">
        <v>3.5124070000000003E-5</v>
      </c>
      <c r="C38" s="3" t="s">
        <v>52</v>
      </c>
      <c r="E38" s="3" t="s">
        <v>72</v>
      </c>
      <c r="F38" s="3">
        <f>0.9355-(1.6889*F37)+(3.0428*(F37^2))-(1.7989*(F37^3))</f>
        <v>0.6564592157898026</v>
      </c>
    </row>
    <row r="39" spans="1:7" ht="18" x14ac:dyDescent="0.35">
      <c r="A39" s="3" t="s">
        <v>50</v>
      </c>
      <c r="B39" s="3">
        <f>B27/(B38*((B29*1000)^2)*1*(SQRT(B28))*((SQRT(B36/1000))))</f>
        <v>5.6980692729980617E-2</v>
      </c>
      <c r="E39" s="3" t="s">
        <v>75</v>
      </c>
      <c r="F39" s="3">
        <v>1</v>
      </c>
    </row>
    <row r="40" spans="1:7" ht="18" x14ac:dyDescent="0.35">
      <c r="A40" s="3" t="s">
        <v>53</v>
      </c>
      <c r="B40" s="23">
        <f>((1+((0.607/B39)+0.088)^2)^-0.25)</f>
        <v>0.30447103784573659</v>
      </c>
      <c r="E40" s="3" t="s">
        <v>74</v>
      </c>
      <c r="F40" s="3">
        <f>((B27/((F38/(SQRT(1-(F37^4))))*F39*(PI()/4)*(F36^2)))^2)/(2*B28)</f>
        <v>50425.326480603297</v>
      </c>
      <c r="G40" s="3" t="s">
        <v>23</v>
      </c>
    </row>
    <row r="41" spans="1:7" ht="18" x14ac:dyDescent="0.35">
      <c r="A41" s="3" t="s">
        <v>56</v>
      </c>
      <c r="B41" s="23">
        <f>0.9355-(1.6889*B40)+(3.0428*(B40^2))-(1.7989*(B40^3))</f>
        <v>0.6525799530992924</v>
      </c>
      <c r="E41" s="3" t="s">
        <v>73</v>
      </c>
      <c r="F41" s="3">
        <f>IF(Fluid_in="Liquid",1,(1-(0.351+(0.256*($F$37^4))+(0.93*($F$37^8)))*(1-((B25-F40)/$B$25)^(1/Isentropic))))</f>
        <v>0.93828287002668054</v>
      </c>
    </row>
    <row r="42" spans="1:7" ht="18" x14ac:dyDescent="0.35">
      <c r="A42" s="3" t="s">
        <v>57</v>
      </c>
      <c r="B42" s="23">
        <f>IF(Fluid_in="Liquid",1,(1-(0.351+(0.256*(B40^4))+(0.93*(B40^8)))*(1-($B$37/$B$25)^(1/Isentropic))))</f>
        <v>0.93877453200894789</v>
      </c>
      <c r="E42" s="3" t="s">
        <v>74</v>
      </c>
      <c r="F42" s="3">
        <f>((B27/((F38/(SQRT(1-(F37^4))))*F41*(PI()/4)*(F36^2)))^2)/(2*B28)</f>
        <v>57277.116152684786</v>
      </c>
      <c r="G42" s="3" t="s">
        <v>23</v>
      </c>
    </row>
    <row r="43" spans="1:7" ht="18" x14ac:dyDescent="0.35">
      <c r="A43" s="3" t="s">
        <v>63</v>
      </c>
      <c r="B43" s="23">
        <f>((1+(((B41*B42)/B39))^2)^-0.25)</f>
        <v>0.30432043759794403</v>
      </c>
      <c r="E43" s="3" t="s">
        <v>73</v>
      </c>
      <c r="F43" s="3">
        <f>IF(Fluid_in="Liquid",1,(1-(0.351+(0.256*($F$37^4))+(0.93*($F$37^8)))*(1-((B25-F42)/$B$25)^(1/Isentropic))))</f>
        <v>0.92939892419820402</v>
      </c>
    </row>
    <row r="44" spans="1:7" x14ac:dyDescent="0.25">
      <c r="B44" s="20"/>
      <c r="C44" s="17"/>
      <c r="D44" s="18"/>
    </row>
    <row r="45" spans="1:7" x14ac:dyDescent="0.25">
      <c r="A45" s="3" t="s">
        <v>60</v>
      </c>
      <c r="B45" s="19">
        <f>B43*B29</f>
        <v>0.1666251163028504</v>
      </c>
      <c r="C45" s="22" t="s">
        <v>27</v>
      </c>
      <c r="D45" s="17"/>
    </row>
    <row r="46" spans="1:7" x14ac:dyDescent="0.25">
      <c r="A46" s="3" t="s">
        <v>59</v>
      </c>
      <c r="B46" s="3">
        <f>B45/(1+Input!C16*(B26-293.15))</f>
        <v>0.16668475610858605</v>
      </c>
      <c r="C46" s="3" t="s">
        <v>27</v>
      </c>
    </row>
    <row r="47" spans="1:7" ht="18.75" x14ac:dyDescent="0.3">
      <c r="A47" s="3" t="s">
        <v>62</v>
      </c>
      <c r="B47" s="24">
        <f>B46*1000</f>
        <v>166.68475610858604</v>
      </c>
      <c r="C47" s="3" t="s">
        <v>61</v>
      </c>
      <c r="E47" s="3" t="s">
        <v>74</v>
      </c>
      <c r="F47" s="24">
        <f>((B27/((F38/(SQRT(1-(F37^4))))*F43*(PI()/4)*(F36^2)))^2)/(2*B28)</f>
        <v>58377.351516005263</v>
      </c>
      <c r="G47" s="3" t="s">
        <v>23</v>
      </c>
    </row>
    <row r="49" spans="1:7" x14ac:dyDescent="0.25">
      <c r="B49" s="3" t="s">
        <v>68</v>
      </c>
    </row>
    <row r="51" spans="1:7" x14ac:dyDescent="0.25">
      <c r="A51" s="3" t="s">
        <v>58</v>
      </c>
      <c r="B51" s="21">
        <f>(B41/(SQRT(1-(B43^4))))*B42*(PI()/4)*((B45)^2)*(SQRT(2*B36*B28))</f>
        <v>3.0000003121964758</v>
      </c>
      <c r="C51" s="3" t="s">
        <v>25</v>
      </c>
      <c r="E51" s="3" t="s">
        <v>58</v>
      </c>
      <c r="F51" s="36">
        <f>(F38/(SQRT(1-(F37^4))))*F41*(PI()/4)*((F36)^2)*(SQRT(2*F47*B28))</f>
        <v>3.0286764238601003</v>
      </c>
      <c r="G51" s="3" t="s">
        <v>25</v>
      </c>
    </row>
    <row r="57" spans="1:7" x14ac:dyDescent="0.25">
      <c r="A57" s="27"/>
      <c r="B57" s="40" t="s">
        <v>100</v>
      </c>
      <c r="C57" s="40"/>
      <c r="D57" s="40"/>
    </row>
    <row r="58" spans="1:7" x14ac:dyDescent="0.25">
      <c r="A58" s="27"/>
      <c r="B58" s="27" t="s">
        <v>99</v>
      </c>
      <c r="C58" s="27" t="s">
        <v>96</v>
      </c>
      <c r="D58" s="26" t="s">
        <v>95</v>
      </c>
    </row>
    <row r="59" spans="1:7" x14ac:dyDescent="0.25">
      <c r="A59" s="27" t="s">
        <v>94</v>
      </c>
      <c r="B59" s="27">
        <v>50</v>
      </c>
      <c r="C59" s="27" t="s">
        <v>61</v>
      </c>
      <c r="D59" s="26" t="s">
        <v>93</v>
      </c>
    </row>
    <row r="60" spans="1:7" x14ac:dyDescent="0.25">
      <c r="A60" s="27" t="s">
        <v>92</v>
      </c>
      <c r="B60" s="27">
        <v>100</v>
      </c>
      <c r="C60" s="27" t="s">
        <v>61</v>
      </c>
      <c r="D60" s="26" t="s">
        <v>91</v>
      </c>
    </row>
    <row r="61" spans="1:7" x14ac:dyDescent="0.25">
      <c r="A61" s="27" t="s">
        <v>90</v>
      </c>
      <c r="B61" s="27">
        <v>1000</v>
      </c>
      <c r="C61" s="27" t="s">
        <v>61</v>
      </c>
      <c r="D61" s="26" t="s">
        <v>89</v>
      </c>
      <c r="E61" s="27"/>
      <c r="F61" s="26"/>
    </row>
    <row r="62" spans="1:7" x14ac:dyDescent="0.25">
      <c r="A62" s="31" t="s">
        <v>88</v>
      </c>
      <c r="B62" s="27">
        <v>0.46</v>
      </c>
      <c r="C62" s="27"/>
      <c r="D62" s="26" t="s">
        <v>87</v>
      </c>
    </row>
    <row r="63" spans="1:7" ht="15" customHeight="1" x14ac:dyDescent="0.25">
      <c r="A63" s="31" t="s">
        <v>86</v>
      </c>
      <c r="B63" s="27">
        <v>0.84</v>
      </c>
      <c r="C63" s="27"/>
      <c r="D63" s="26" t="s">
        <v>85</v>
      </c>
    </row>
    <row r="64" spans="1:7" x14ac:dyDescent="0.25">
      <c r="A64" s="31" t="s">
        <v>83</v>
      </c>
      <c r="B64" s="27">
        <f>(2*10^5)*(B43^2)</f>
        <v>18522.18574796083</v>
      </c>
      <c r="C64" s="30"/>
      <c r="D64" s="26" t="s">
        <v>79</v>
      </c>
    </row>
    <row r="65" spans="1:6" x14ac:dyDescent="0.25">
      <c r="A65" s="31" t="s">
        <v>104</v>
      </c>
      <c r="B65" s="31">
        <f>10^6*B43</f>
        <v>304320.43759794405</v>
      </c>
      <c r="C65" s="31"/>
      <c r="D65" s="26" t="s">
        <v>105</v>
      </c>
    </row>
    <row r="66" spans="1:6" x14ac:dyDescent="0.25">
      <c r="A66" s="31" t="s">
        <v>78</v>
      </c>
      <c r="B66" s="27">
        <v>0.75</v>
      </c>
      <c r="C66" s="27"/>
      <c r="D66" s="26" t="s">
        <v>77</v>
      </c>
    </row>
    <row r="67" spans="1:6" x14ac:dyDescent="0.25">
      <c r="A67" s="27"/>
      <c r="B67" s="27"/>
      <c r="C67" s="27"/>
      <c r="D67" s="27"/>
    </row>
    <row r="68" spans="1:6" x14ac:dyDescent="0.25">
      <c r="A68" s="27"/>
      <c r="B68" s="27"/>
      <c r="C68" s="27"/>
      <c r="D68" s="27"/>
    </row>
    <row r="69" spans="1:6" x14ac:dyDescent="0.25">
      <c r="E69" s="27"/>
      <c r="F69" s="26"/>
    </row>
    <row r="70" spans="1:6" x14ac:dyDescent="0.25">
      <c r="E70" s="27"/>
      <c r="F70" s="26"/>
    </row>
    <row r="71" spans="1:6" x14ac:dyDescent="0.25">
      <c r="E71" s="27"/>
      <c r="F71" s="26"/>
    </row>
  </sheetData>
  <mergeCells count="1">
    <mergeCell ref="B57:D57"/>
  </mergeCells>
  <conditionalFormatting sqref="A8 A10">
    <cfRule type="expression" dxfId="1" priority="1">
      <formula>$B$4="Liquid"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9"/>
  <sheetViews>
    <sheetView zoomScale="80" zoomScaleNormal="80" workbookViewId="0">
      <selection activeCell="E29" sqref="E29"/>
    </sheetView>
  </sheetViews>
  <sheetFormatPr defaultRowHeight="15" x14ac:dyDescent="0.25"/>
  <cols>
    <col min="1" max="1" width="38.7109375" style="3" bestFit="1" customWidth="1"/>
    <col min="2" max="2" width="29.42578125" style="3" bestFit="1" customWidth="1"/>
    <col min="3" max="3" width="17" style="3" bestFit="1" customWidth="1"/>
    <col min="4" max="4" width="9.140625" style="3"/>
    <col min="5" max="5" width="38.7109375" style="3" bestFit="1" customWidth="1"/>
    <col min="6" max="6" width="17.140625" style="3" customWidth="1"/>
    <col min="7" max="7" width="16.42578125" style="3" customWidth="1"/>
    <col min="8" max="8" width="30.85546875" style="3" bestFit="1" customWidth="1"/>
    <col min="9" max="16384" width="9.140625" style="3"/>
  </cols>
  <sheetData>
    <row r="1" spans="1:8" x14ac:dyDescent="0.25">
      <c r="A1" s="41" t="s">
        <v>127</v>
      </c>
      <c r="B1" s="42" t="s">
        <v>128</v>
      </c>
      <c r="E1" s="43" t="s">
        <v>129</v>
      </c>
      <c r="F1" s="44" t="s">
        <v>48</v>
      </c>
      <c r="G1" s="45" t="s">
        <v>142</v>
      </c>
    </row>
    <row r="2" spans="1:8" hidden="1" x14ac:dyDescent="0.25">
      <c r="A2" s="1"/>
      <c r="B2" s="2"/>
      <c r="H2" s="2"/>
    </row>
    <row r="3" spans="1:8" hidden="1" x14ac:dyDescent="0.25">
      <c r="H3" s="2"/>
    </row>
    <row r="4" spans="1:8" hidden="1" x14ac:dyDescent="0.25">
      <c r="H4" s="2"/>
    </row>
    <row r="5" spans="1:8" hidden="1" x14ac:dyDescent="0.25"/>
    <row r="6" spans="1:8" hidden="1" x14ac:dyDescent="0.25"/>
    <row r="7" spans="1:8" hidden="1" x14ac:dyDescent="0.25"/>
    <row r="8" spans="1:8" hidden="1" x14ac:dyDescent="0.25"/>
    <row r="9" spans="1:8" hidden="1" x14ac:dyDescent="0.25"/>
    <row r="10" spans="1:8" hidden="1" x14ac:dyDescent="0.25"/>
    <row r="11" spans="1:8" hidden="1" x14ac:dyDescent="0.25"/>
    <row r="12" spans="1:8" hidden="1" x14ac:dyDescent="0.25"/>
    <row r="13" spans="1:8" hidden="1" x14ac:dyDescent="0.25"/>
    <row r="14" spans="1:8" hidden="1" x14ac:dyDescent="0.25"/>
    <row r="15" spans="1:8" hidden="1" x14ac:dyDescent="0.25"/>
    <row r="16" spans="1:8" hidden="1" x14ac:dyDescent="0.25"/>
    <row r="17" spans="1:3" hidden="1" x14ac:dyDescent="0.25"/>
    <row r="18" spans="1:3" hidden="1" x14ac:dyDescent="0.25"/>
    <row r="19" spans="1:3" hidden="1" x14ac:dyDescent="0.25"/>
    <row r="20" spans="1:3" hidden="1" x14ac:dyDescent="0.25"/>
    <row r="21" spans="1:3" hidden="1" x14ac:dyDescent="0.25"/>
    <row r="22" spans="1:3" hidden="1" x14ac:dyDescent="0.25"/>
    <row r="23" spans="1:3" hidden="1" x14ac:dyDescent="0.25"/>
    <row r="25" spans="1:3" x14ac:dyDescent="0.25">
      <c r="A25" s="7" t="s">
        <v>32</v>
      </c>
      <c r="B25" s="8">
        <f>OpPress</f>
        <v>201325</v>
      </c>
      <c r="C25" s="9" t="s">
        <v>23</v>
      </c>
    </row>
    <row r="26" spans="1:3" x14ac:dyDescent="0.25">
      <c r="A26" s="10" t="s">
        <v>33</v>
      </c>
      <c r="B26" s="11">
        <f>OpTemp</f>
        <v>273.14999999999998</v>
      </c>
      <c r="C26" s="12" t="s">
        <v>24</v>
      </c>
    </row>
    <row r="27" spans="1:3" x14ac:dyDescent="0.25">
      <c r="A27" s="10" t="s">
        <v>34</v>
      </c>
      <c r="B27" s="11">
        <f>Flow</f>
        <v>3</v>
      </c>
      <c r="C27" s="12" t="s">
        <v>25</v>
      </c>
    </row>
    <row r="28" spans="1:3" x14ac:dyDescent="0.25">
      <c r="A28" s="10" t="s">
        <v>35</v>
      </c>
      <c r="B28" s="11">
        <f>OpDens</f>
        <v>0.5</v>
      </c>
      <c r="C28" s="13" t="s">
        <v>26</v>
      </c>
    </row>
    <row r="29" spans="1:3" x14ac:dyDescent="0.25">
      <c r="A29" s="10" t="s">
        <v>36</v>
      </c>
      <c r="B29" s="11">
        <f>(ID)*(1+Input!C15*(B26-293.15))</f>
        <v>0.5475317977919999</v>
      </c>
      <c r="C29" s="12" t="s">
        <v>27</v>
      </c>
    </row>
    <row r="30" spans="1:3" x14ac:dyDescent="0.25">
      <c r="A30" s="10" t="s">
        <v>37</v>
      </c>
      <c r="B30" s="11">
        <f>((B29/2)^2)*PI()</f>
        <v>0.2354553554615654</v>
      </c>
      <c r="C30" s="12" t="s">
        <v>28</v>
      </c>
    </row>
    <row r="31" spans="1:3" x14ac:dyDescent="0.25">
      <c r="A31" s="10" t="s">
        <v>38</v>
      </c>
      <c r="B31" s="11">
        <f>(Flow/B28)/B30</f>
        <v>25.482537818000115</v>
      </c>
      <c r="C31" s="12" t="s">
        <v>29</v>
      </c>
    </row>
    <row r="32" spans="1:3" x14ac:dyDescent="0.25">
      <c r="A32" s="10" t="s">
        <v>39</v>
      </c>
      <c r="B32" s="11">
        <f>Visc</f>
        <v>1E-3</v>
      </c>
      <c r="C32" s="12" t="s">
        <v>30</v>
      </c>
    </row>
    <row r="33" spans="1:9" x14ac:dyDescent="0.25">
      <c r="A33" s="14" t="s">
        <v>40</v>
      </c>
      <c r="B33" s="15">
        <f>(B28*B31*B29)/(B32)</f>
        <v>6976.2498718961142</v>
      </c>
      <c r="C33" s="16"/>
    </row>
    <row r="36" spans="1:9" x14ac:dyDescent="0.25">
      <c r="A36" s="3" t="s">
        <v>45</v>
      </c>
      <c r="B36" s="3">
        <f>DP</f>
        <v>50000</v>
      </c>
      <c r="C36" s="3" t="s">
        <v>23</v>
      </c>
      <c r="E36" s="3" t="s">
        <v>76</v>
      </c>
      <c r="F36" s="3">
        <f>Bore*(1+Input!C16*(B26-293.15))</f>
        <v>0.16067249080600002</v>
      </c>
      <c r="G36" s="3" t="s">
        <v>27</v>
      </c>
    </row>
    <row r="37" spans="1:9" x14ac:dyDescent="0.25">
      <c r="A37" s="3" t="s">
        <v>47</v>
      </c>
      <c r="B37" s="3">
        <f>B25-B36</f>
        <v>151325</v>
      </c>
      <c r="C37" s="3" t="s">
        <v>23</v>
      </c>
      <c r="E37" s="3" t="s">
        <v>69</v>
      </c>
      <c r="F37" s="3">
        <f>F36/B29</f>
        <v>0.29344869367210225</v>
      </c>
    </row>
    <row r="38" spans="1:9" ht="18" x14ac:dyDescent="0.35">
      <c r="A38" s="3" t="s">
        <v>51</v>
      </c>
      <c r="B38" s="3">
        <v>3.5124070000000003E-5</v>
      </c>
      <c r="C38" s="3" t="s">
        <v>52</v>
      </c>
      <c r="E38" s="3" t="s">
        <v>72</v>
      </c>
      <c r="F38" s="3">
        <v>0.73399999999999999</v>
      </c>
    </row>
    <row r="39" spans="1:9" ht="18" x14ac:dyDescent="0.35">
      <c r="A39" s="3" t="s">
        <v>50</v>
      </c>
      <c r="B39" s="3">
        <f>B27/(B38*((B29*1000)^2)*1*(SQRT(B28))*((SQRT(B36/1000))))</f>
        <v>5.6980692729980617E-2</v>
      </c>
      <c r="E39" s="3" t="s">
        <v>75</v>
      </c>
      <c r="F39" s="3">
        <v>1</v>
      </c>
    </row>
    <row r="40" spans="1:9" ht="18" x14ac:dyDescent="0.35">
      <c r="A40" s="3" t="s">
        <v>53</v>
      </c>
      <c r="B40" s="23">
        <f>(1+((0.734/B39))^2)^-0.25</f>
        <v>0.27820407048246126</v>
      </c>
      <c r="E40" s="3" t="s">
        <v>74</v>
      </c>
      <c r="F40" s="3">
        <f>((B27/((F38/(SQRT(1-(F37^4))))*F39*(PI()/4)*(F36^2)))^2)/(2*B28)</f>
        <v>40334.074685467218</v>
      </c>
      <c r="G40" s="3" t="s">
        <v>23</v>
      </c>
    </row>
    <row r="41" spans="1:9" ht="18" x14ac:dyDescent="0.35">
      <c r="A41" s="3" t="s">
        <v>56</v>
      </c>
      <c r="B41" s="23">
        <v>0.73399999999999999</v>
      </c>
      <c r="E41" s="3" t="s">
        <v>110</v>
      </c>
      <c r="F41" s="3">
        <f>(B25-F40)/B25</f>
        <v>0.79965689961272945</v>
      </c>
      <c r="G41" s="3" t="s">
        <v>23</v>
      </c>
    </row>
    <row r="42" spans="1:9" x14ac:dyDescent="0.25">
      <c r="A42" s="3" t="s">
        <v>109</v>
      </c>
      <c r="B42" s="23">
        <f>B37/B25</f>
        <v>0.75164534955917051</v>
      </c>
      <c r="E42" s="3" t="s">
        <v>107</v>
      </c>
      <c r="F42" s="23">
        <f>IF(Fluid_in="Liquid",1,(1-(0.351+(0.256*(F38^4))+(0.93*(F38^8)))*(1-((B25-F40)/$B$25)^(1/Isentropic))))</f>
        <v>0.93025715763163608</v>
      </c>
    </row>
    <row r="43" spans="1:9" x14ac:dyDescent="0.25">
      <c r="A43" s="3" t="s">
        <v>107</v>
      </c>
      <c r="B43" s="23">
        <f>IF(Fluid_in="Liquid",1,(1-(0.351+(0.256*(B40^4))+(0.93*(B40^8)))*(1-($B$37/$B$25)^(1/Isentropic))))</f>
        <v>0.93889615863985243</v>
      </c>
      <c r="C43" s="23">
        <f>IF(Fluid_in="Liquid",1,(1-(0.351+(0.256*(B46^4))+(0.93*(B46^8)))*(1-($B$37/$B$25)^(1/Isentropic))))</f>
        <v>0.93883268833402078</v>
      </c>
      <c r="E43" s="3" t="s">
        <v>108</v>
      </c>
      <c r="F43" s="23">
        <f>IF(Fluid_in="Liquid",1,SQRT(((Isentropic*(F41^(2/Isentropic)))/(Isentropic-1))*((1-(F37^4))/(1-(F37^4)*(F41^(2/Isentropic))))*((1-(F41^((Isentropic-1)/Isentropic)))/(1-F41))))</f>
        <v>0.89254940606926292</v>
      </c>
      <c r="I43" s="23"/>
    </row>
    <row r="44" spans="1:9" x14ac:dyDescent="0.25">
      <c r="A44" s="3" t="s">
        <v>108</v>
      </c>
      <c r="B44" s="23">
        <f>IF(Fluid_in="Liquid",1,SQRT(((Isentropic*(B42^(2/Isentropic)))/(Isentropic-1))*((1-(B40^4))/(1-(B40^4)*(B42^(2/Isentropic))))*((1-(B42^((Isentropic-1)/Isentropic)))/(1-B42))))</f>
        <v>0.86484360636972202</v>
      </c>
      <c r="C44" s="23">
        <f>IF(Fluid_in="Liquid",1,SQRT(((Isentropic*(B42^(2/Isentropic)))/(Isentropic-1))*((1-(B46^4))/(1-(B46^4)*(B42^(2/Isentropic))))*((1-(B42^((Isentropic-1)/Isentropic)))/(1-B42))))</f>
        <v>0.86465472563067158</v>
      </c>
      <c r="E44" s="3" t="s">
        <v>73</v>
      </c>
      <c r="F44" s="23">
        <f>AVERAGE(F42:F43)</f>
        <v>0.9114032818504495</v>
      </c>
      <c r="I44" s="23"/>
    </row>
    <row r="45" spans="1:9" x14ac:dyDescent="0.25">
      <c r="A45" s="3" t="s">
        <v>73</v>
      </c>
      <c r="B45" s="23">
        <f>AVERAGE(B43:B44)</f>
        <v>0.90186988250478728</v>
      </c>
      <c r="C45" s="23">
        <f>AVERAGE(C43:C44)</f>
        <v>0.90174370698234618</v>
      </c>
      <c r="I45" s="23"/>
    </row>
    <row r="46" spans="1:9" ht="18" x14ac:dyDescent="0.35">
      <c r="A46" s="3" t="s">
        <v>63</v>
      </c>
      <c r="B46" s="21">
        <f>((1+(((B45*B41)/B39))^2)^-0.25)</f>
        <v>0.29284809577350907</v>
      </c>
      <c r="C46" s="21">
        <f>((1+(((C45*B41)/B39))^2)^-0.25)</f>
        <v>0.29286843257766537</v>
      </c>
    </row>
    <row r="47" spans="1:9" x14ac:dyDescent="0.25">
      <c r="B47" s="20"/>
      <c r="C47" s="17"/>
      <c r="D47" s="18"/>
    </row>
    <row r="48" spans="1:9" x14ac:dyDescent="0.25">
      <c r="A48" s="3" t="s">
        <v>60</v>
      </c>
      <c r="B48" s="19">
        <f>B46*B29</f>
        <v>0.16034364435883319</v>
      </c>
      <c r="C48" s="19">
        <f>C46*B29</f>
        <v>0.16035477940577422</v>
      </c>
      <c r="D48" s="17"/>
    </row>
    <row r="49" spans="1:7" x14ac:dyDescent="0.25">
      <c r="A49" s="3" t="s">
        <v>59</v>
      </c>
      <c r="B49" s="3">
        <f>B48/(1+Input!C16*(B26-293.15))</f>
        <v>0.16040103584946011</v>
      </c>
      <c r="C49" s="3">
        <f>C48/(1+Input!C16*(B26-293.15))</f>
        <v>0.16041217488194698</v>
      </c>
    </row>
    <row r="50" spans="1:7" ht="18.75" x14ac:dyDescent="0.3">
      <c r="A50" s="3" t="s">
        <v>62</v>
      </c>
      <c r="B50" s="24">
        <f>B49*1000</f>
        <v>160.4010358494601</v>
      </c>
      <c r="C50" s="3" t="s">
        <v>61</v>
      </c>
      <c r="E50" s="3" t="s">
        <v>74</v>
      </c>
      <c r="F50" s="24">
        <f>((B27/((F38/(SQRT(1-(F37^4))))*F44*(PI()/4)*(F36^2)))^2)/(2*B28)</f>
        <v>48556.896589708413</v>
      </c>
      <c r="G50" s="3" t="s">
        <v>23</v>
      </c>
    </row>
    <row r="52" spans="1:7" x14ac:dyDescent="0.25">
      <c r="A52" s="3" t="s">
        <v>58</v>
      </c>
      <c r="B52" s="21">
        <f>(B41/(SQRT(1-(B46^4))))*B45*(PI()/4)*((B46*B29)^2)*(SQRT(2*B36*B28))</f>
        <v>3.0000003121964758</v>
      </c>
      <c r="C52" s="3" t="s">
        <v>25</v>
      </c>
      <c r="E52" s="3" t="s">
        <v>58</v>
      </c>
      <c r="F52" s="21">
        <f>(F38/(SQRT(1-(F37^4))))*F44*(PI()/4)*((F37*B29)^2)*(SQRT(2*F50*B28))</f>
        <v>3</v>
      </c>
      <c r="G52" s="3" t="s">
        <v>25</v>
      </c>
    </row>
    <row r="54" spans="1:7" x14ac:dyDescent="0.25">
      <c r="B54" s="3" t="s">
        <v>106</v>
      </c>
    </row>
    <row r="59" spans="1:7" x14ac:dyDescent="0.25">
      <c r="A59" s="27"/>
      <c r="B59" s="40" t="s">
        <v>100</v>
      </c>
      <c r="C59" s="40"/>
      <c r="D59" s="40"/>
      <c r="E59" s="27"/>
      <c r="F59" s="26"/>
    </row>
    <row r="60" spans="1:7" x14ac:dyDescent="0.25">
      <c r="A60" s="27"/>
      <c r="B60" s="27"/>
      <c r="C60" s="27" t="s">
        <v>96</v>
      </c>
      <c r="D60" s="26" t="s">
        <v>95</v>
      </c>
    </row>
    <row r="61" spans="1:7" ht="15" customHeight="1" x14ac:dyDescent="0.25">
      <c r="A61" s="27" t="s">
        <v>94</v>
      </c>
      <c r="B61" s="27">
        <v>6</v>
      </c>
      <c r="C61" s="27" t="s">
        <v>61</v>
      </c>
      <c r="D61" s="26" t="s">
        <v>93</v>
      </c>
    </row>
    <row r="62" spans="1:7" x14ac:dyDescent="0.25">
      <c r="A62" s="27" t="s">
        <v>92</v>
      </c>
      <c r="B62" s="27">
        <v>50</v>
      </c>
      <c r="C62" s="27" t="s">
        <v>61</v>
      </c>
      <c r="D62" s="26" t="s">
        <v>91</v>
      </c>
    </row>
    <row r="63" spans="1:7" x14ac:dyDescent="0.25">
      <c r="A63" s="27" t="s">
        <v>90</v>
      </c>
      <c r="B63" s="27">
        <v>500</v>
      </c>
      <c r="C63" s="27" t="s">
        <v>61</v>
      </c>
      <c r="D63" s="26" t="s">
        <v>89</v>
      </c>
    </row>
    <row r="64" spans="1:7" x14ac:dyDescent="0.25">
      <c r="A64" s="28" t="s">
        <v>88</v>
      </c>
      <c r="B64" s="27">
        <v>0.1</v>
      </c>
      <c r="C64" s="27"/>
      <c r="D64" s="26" t="s">
        <v>87</v>
      </c>
    </row>
    <row r="65" spans="1:6" x14ac:dyDescent="0.25">
      <c r="A65" s="28" t="s">
        <v>86</v>
      </c>
      <c r="B65" s="27">
        <v>0.316</v>
      </c>
      <c r="C65" s="27"/>
      <c r="D65" s="26" t="s">
        <v>85</v>
      </c>
    </row>
    <row r="66" spans="1:6" x14ac:dyDescent="0.25">
      <c r="A66" s="28" t="s">
        <v>83</v>
      </c>
      <c r="B66" s="27">
        <v>80</v>
      </c>
      <c r="C66" s="30"/>
      <c r="D66" s="26" t="s">
        <v>79</v>
      </c>
    </row>
    <row r="67" spans="1:6" x14ac:dyDescent="0.25">
      <c r="A67" s="28" t="s">
        <v>104</v>
      </c>
      <c r="B67" s="28" t="s">
        <v>103</v>
      </c>
      <c r="C67" s="28"/>
      <c r="D67" s="26" t="s">
        <v>105</v>
      </c>
    </row>
    <row r="68" spans="1:6" x14ac:dyDescent="0.25">
      <c r="A68" s="28" t="s">
        <v>78</v>
      </c>
      <c r="B68" s="27">
        <v>0.75</v>
      </c>
      <c r="C68" s="27"/>
      <c r="D68" s="26" t="s">
        <v>77</v>
      </c>
      <c r="E68" s="27"/>
    </row>
    <row r="69" spans="1:6" x14ac:dyDescent="0.25">
      <c r="A69" s="27"/>
      <c r="B69" s="27"/>
      <c r="C69" s="27"/>
      <c r="D69" s="27"/>
      <c r="E69" s="27"/>
      <c r="F69" s="26"/>
    </row>
  </sheetData>
  <mergeCells count="1">
    <mergeCell ref="B59:D59"/>
  </mergeCells>
  <conditionalFormatting sqref="A10:C10 A8:C8">
    <cfRule type="expression" dxfId="0" priority="1">
      <formula>$B$4="Liquid"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17</vt:i4>
      </vt:variant>
    </vt:vector>
  </HeadingPairs>
  <TitlesOfParts>
    <vt:vector size="25" baseType="lpstr">
      <vt:lpstr>Sheet1</vt:lpstr>
      <vt:lpstr>Input</vt:lpstr>
      <vt:lpstr>Concentric - Corner</vt:lpstr>
      <vt:lpstr>Concentric - Flange</vt:lpstr>
      <vt:lpstr>Concentric - D D2</vt:lpstr>
      <vt:lpstr>Quarter Circle</vt:lpstr>
      <vt:lpstr>Eccentric</vt:lpstr>
      <vt:lpstr>Conical</vt:lpstr>
      <vt:lpstr>Bore</vt:lpstr>
      <vt:lpstr>Calc</vt:lpstr>
      <vt:lpstr>Comp</vt:lpstr>
      <vt:lpstr>DP</vt:lpstr>
      <vt:lpstr>Element</vt:lpstr>
      <vt:lpstr>Flow</vt:lpstr>
      <vt:lpstr>Fluid</vt:lpstr>
      <vt:lpstr>Fluid_in</vt:lpstr>
      <vt:lpstr>ID</vt:lpstr>
      <vt:lpstr>Isentropic</vt:lpstr>
      <vt:lpstr>Materials</vt:lpstr>
      <vt:lpstr>OpDens</vt:lpstr>
      <vt:lpstr>OpPress</vt:lpstr>
      <vt:lpstr>OpTemp</vt:lpstr>
      <vt:lpstr>Orifice1</vt:lpstr>
      <vt:lpstr>Pipemat</vt:lpstr>
      <vt:lpstr>Visc</vt:lpstr>
    </vt:vector>
  </TitlesOfParts>
  <Company>ABB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Wilson</dc:creator>
  <cp:lastModifiedBy>Jen Wilson</cp:lastModifiedBy>
  <dcterms:created xsi:type="dcterms:W3CDTF">2013-05-07T11:01:21Z</dcterms:created>
  <dcterms:modified xsi:type="dcterms:W3CDTF">2013-06-19T09:09:55Z</dcterms:modified>
</cp:coreProperties>
</file>