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9155" windowHeight="11085" tabRatio="806" activeTab="9"/>
  </bookViews>
  <sheets>
    <sheet name="Sheet1" sheetId="1" r:id="rId1"/>
    <sheet name="Input" sheetId="24" r:id="rId2"/>
    <sheet name="Concentric - Corner" sheetId="2" r:id="rId3"/>
    <sheet name="Concentric - Flange" sheetId="19" r:id="rId4"/>
    <sheet name="Concentric - D D2" sheetId="20" r:id="rId5"/>
    <sheet name="Concentric - 2.5 8D" sheetId="21" r:id="rId6"/>
    <sheet name="Conical" sheetId="16" r:id="rId7"/>
    <sheet name="Eccentric" sheetId="17" r:id="rId8"/>
    <sheet name="Quarter Circle" sheetId="18" r:id="rId9"/>
    <sheet name="Segmental" sheetId="23" r:id="rId10"/>
  </sheets>
  <definedNames>
    <definedName name="Bore">Input!$F$22</definedName>
    <definedName name="Calc">Sheet1!$I$1:$I$2</definedName>
    <definedName name="Comp">Input!$B$8</definedName>
    <definedName name="DP">Input!$B$22</definedName>
    <definedName name="Element">Input!$B$16</definedName>
    <definedName name="Flow">Input!$B$13</definedName>
    <definedName name="Fluid">Sheet1!$D$1:$D$2</definedName>
    <definedName name="Fluid_in">Input!$B$4</definedName>
    <definedName name="ID">Input!$B$19</definedName>
    <definedName name="Isentropic">Input!$B$10</definedName>
    <definedName name="Materials">Sheet1!$F$1:$F$2</definedName>
    <definedName name="OpDens">Input!$B$7</definedName>
    <definedName name="OpPress">Input!$B$5</definedName>
    <definedName name="OpTemp">Input!$B$6</definedName>
    <definedName name="Orifice1">Sheet1!$B$1:$B$3</definedName>
    <definedName name="Pipemat">Input!$B$15</definedName>
    <definedName name="Visc">Input!$B$9</definedName>
  </definedNames>
  <calcPr calcId="145621" iterate="1"/>
</workbook>
</file>

<file path=xl/calcChain.xml><?xml version="1.0" encoding="utf-8"?>
<calcChain xmlns="http://schemas.openxmlformats.org/spreadsheetml/2006/main">
  <c r="O31" i="17" l="1"/>
  <c r="N31" i="17"/>
  <c r="M31" i="17"/>
  <c r="L31" i="17"/>
  <c r="K31" i="17"/>
  <c r="O27" i="17"/>
  <c r="N27" i="17"/>
  <c r="M27" i="17"/>
  <c r="L27" i="17"/>
  <c r="K27" i="17"/>
  <c r="J27" i="17"/>
  <c r="B36" i="23" l="1"/>
  <c r="B32" i="23"/>
  <c r="B28" i="23"/>
  <c r="B27" i="23"/>
  <c r="B26" i="23"/>
  <c r="B25" i="23"/>
  <c r="B36" i="18"/>
  <c r="B32" i="18"/>
  <c r="B28" i="18"/>
  <c r="B27" i="18"/>
  <c r="B26" i="18"/>
  <c r="F36" i="18" s="1"/>
  <c r="B25" i="18"/>
  <c r="B36" i="17"/>
  <c r="B32" i="17"/>
  <c r="B28" i="17"/>
  <c r="B27" i="17"/>
  <c r="B26" i="17"/>
  <c r="B25" i="17"/>
  <c r="F36" i="17"/>
  <c r="F36" i="16"/>
  <c r="B36" i="16"/>
  <c r="B32" i="16"/>
  <c r="B28" i="16"/>
  <c r="B27" i="16"/>
  <c r="B26" i="16"/>
  <c r="B25" i="16"/>
  <c r="B36" i="21"/>
  <c r="B32" i="21"/>
  <c r="B28" i="21"/>
  <c r="B27" i="21"/>
  <c r="B26" i="21"/>
  <c r="F36" i="21" s="1"/>
  <c r="B25" i="21"/>
  <c r="B37" i="21" s="1"/>
  <c r="B32" i="20"/>
  <c r="B28" i="20"/>
  <c r="B27" i="20"/>
  <c r="B26" i="20"/>
  <c r="B25" i="20"/>
  <c r="B36" i="20"/>
  <c r="F36" i="19"/>
  <c r="B36" i="19"/>
  <c r="B37" i="19" s="1"/>
  <c r="B32" i="19"/>
  <c r="B28" i="19"/>
  <c r="B27" i="19"/>
  <c r="B26" i="19"/>
  <c r="B25" i="19"/>
  <c r="F36" i="2"/>
  <c r="B36" i="2"/>
  <c r="B37" i="2" s="1"/>
  <c r="B32" i="2"/>
  <c r="B28" i="2"/>
  <c r="B27" i="2"/>
  <c r="B26" i="2"/>
  <c r="B25" i="2"/>
  <c r="B37" i="23" l="1"/>
  <c r="B32" i="24"/>
  <c r="B28" i="24"/>
  <c r="B27" i="24"/>
  <c r="B26" i="24"/>
  <c r="B25" i="24"/>
  <c r="B29" i="24" l="1"/>
  <c r="B30" i="24" s="1"/>
  <c r="B31" i="24" s="1"/>
  <c r="B33" i="24" s="1"/>
  <c r="B29" i="18"/>
  <c r="B29" i="23"/>
  <c r="B29" i="2"/>
  <c r="B29" i="16"/>
  <c r="B30" i="16" s="1"/>
  <c r="B31" i="16" s="1"/>
  <c r="B33" i="16" s="1"/>
  <c r="B29" i="20"/>
  <c r="B30" i="20" s="1"/>
  <c r="B31" i="20" s="1"/>
  <c r="B33" i="20" s="1"/>
  <c r="B29" i="19"/>
  <c r="B29" i="21"/>
  <c r="B29" i="17"/>
  <c r="O33" i="17" l="1"/>
  <c r="N33" i="17"/>
  <c r="M33" i="17"/>
  <c r="L33" i="17"/>
  <c r="K33" i="17"/>
  <c r="B30" i="21"/>
  <c r="B31" i="21" s="1"/>
  <c r="B33" i="21" s="1"/>
  <c r="F37" i="21"/>
  <c r="B39" i="21"/>
  <c r="B40" i="21" s="1"/>
  <c r="B30" i="2"/>
  <c r="B31" i="2" s="1"/>
  <c r="B33" i="2" s="1"/>
  <c r="B39" i="2"/>
  <c r="F37" i="2"/>
  <c r="B30" i="19"/>
  <c r="B31" i="19" s="1"/>
  <c r="B33" i="19" s="1"/>
  <c r="F37" i="19"/>
  <c r="B39" i="19"/>
  <c r="B30" i="23"/>
  <c r="B31" i="23" s="1"/>
  <c r="B33" i="23" s="1"/>
  <c r="B39" i="23"/>
  <c r="B40" i="23" s="1"/>
  <c r="B42" i="23" s="1"/>
  <c r="F33" i="23"/>
  <c r="B30" i="18"/>
  <c r="B31" i="18" s="1"/>
  <c r="B33" i="18" s="1"/>
  <c r="F37" i="18"/>
  <c r="B30" i="17"/>
  <c r="B31" i="17" s="1"/>
  <c r="B33" i="17" s="1"/>
  <c r="B39" i="17"/>
  <c r="F36" i="23"/>
  <c r="F38" i="2" l="1"/>
  <c r="F38" i="21"/>
  <c r="F38" i="19"/>
  <c r="F40" i="19" s="1"/>
  <c r="F41" i="19" s="1"/>
  <c r="F49" i="19" s="1"/>
  <c r="B42" i="21"/>
  <c r="B41" i="21"/>
  <c r="F38" i="18"/>
  <c r="B40" i="2"/>
  <c r="B41" i="2" s="1"/>
  <c r="B40" i="19"/>
  <c r="B41" i="19" s="1"/>
  <c r="F37" i="23"/>
  <c r="J31" i="17"/>
  <c r="J33" i="17" s="1"/>
  <c r="I31" i="17"/>
  <c r="I33" i="17" s="1"/>
  <c r="H31" i="17"/>
  <c r="H33" i="17" s="1"/>
  <c r="G31" i="17"/>
  <c r="G33" i="17" s="1"/>
  <c r="F31" i="17"/>
  <c r="F33" i="17" s="1"/>
  <c r="I27" i="17"/>
  <c r="H27" i="17"/>
  <c r="G27" i="17"/>
  <c r="F27" i="17"/>
  <c r="F36" i="20"/>
  <c r="B37" i="20"/>
  <c r="B37" i="18"/>
  <c r="B37" i="17"/>
  <c r="B43" i="21" l="1"/>
  <c r="B45" i="21" s="1"/>
  <c r="F40" i="21"/>
  <c r="F41" i="21" s="1"/>
  <c r="F42" i="21" s="1"/>
  <c r="F43" i="21" s="1"/>
  <c r="F52" i="21" s="1"/>
  <c r="B42" i="2"/>
  <c r="B43" i="2" s="1"/>
  <c r="B44" i="2" s="1"/>
  <c r="F40" i="18"/>
  <c r="F41" i="18" s="1"/>
  <c r="F47" i="18" s="1"/>
  <c r="B42" i="19"/>
  <c r="F40" i="2"/>
  <c r="F41" i="2" s="1"/>
  <c r="I33" i="23"/>
  <c r="G33" i="23"/>
  <c r="H33" i="23"/>
  <c r="J33" i="23"/>
  <c r="F37" i="20"/>
  <c r="F38" i="20" s="1"/>
  <c r="F37" i="17"/>
  <c r="F38" i="17" s="1"/>
  <c r="B37" i="16"/>
  <c r="B44" i="21" l="1"/>
  <c r="B46" i="21" s="1"/>
  <c r="B45" i="2"/>
  <c r="B47" i="2"/>
  <c r="B48" i="2" s="1"/>
  <c r="B49" i="2" s="1"/>
  <c r="B41" i="23"/>
  <c r="B43" i="23" s="1"/>
  <c r="B45" i="23" s="1"/>
  <c r="B43" i="19"/>
  <c r="B44" i="19" s="1"/>
  <c r="B39" i="20"/>
  <c r="B40" i="20" s="1"/>
  <c r="B41" i="20" s="1"/>
  <c r="F40" i="20"/>
  <c r="F41" i="20" s="1"/>
  <c r="B39" i="18"/>
  <c r="B40" i="18" s="1"/>
  <c r="B42" i="18" s="1"/>
  <c r="F38" i="23"/>
  <c r="F40" i="23" s="1"/>
  <c r="F41" i="23" s="1"/>
  <c r="F40" i="17"/>
  <c r="F41" i="17" s="1"/>
  <c r="B40" i="17"/>
  <c r="F37" i="16"/>
  <c r="F38" i="16" s="1"/>
  <c r="B39" i="16"/>
  <c r="B40" i="16" s="1"/>
  <c r="B42" i="17" l="1"/>
  <c r="B41" i="17"/>
  <c r="B50" i="21"/>
  <c r="B48" i="21"/>
  <c r="B47" i="21"/>
  <c r="F41" i="16"/>
  <c r="F49" i="16" s="1"/>
  <c r="B42" i="16"/>
  <c r="B51" i="2"/>
  <c r="B45" i="19"/>
  <c r="B47" i="19"/>
  <c r="B48" i="19" s="1"/>
  <c r="B49" i="19" s="1"/>
  <c r="B46" i="23"/>
  <c r="B47" i="23" s="1"/>
  <c r="B42" i="20"/>
  <c r="F49" i="20"/>
  <c r="F51" i="20" s="1"/>
  <c r="B41" i="16"/>
  <c r="F47" i="23"/>
  <c r="F51" i="23" s="1"/>
  <c r="B41" i="18"/>
  <c r="B51" i="23"/>
  <c r="F47" i="17"/>
  <c r="F51" i="17" s="1"/>
  <c r="F40" i="16"/>
  <c r="B43" i="16" l="1"/>
  <c r="B47" i="16" s="1"/>
  <c r="B43" i="17"/>
  <c r="B45" i="17" s="1"/>
  <c r="B46" i="17" s="1"/>
  <c r="B51" i="21"/>
  <c r="B52" i="21" s="1"/>
  <c r="B54" i="21"/>
  <c r="B43" i="20"/>
  <c r="B44" i="20" s="1"/>
  <c r="B51" i="19"/>
  <c r="F51" i="18"/>
  <c r="F51" i="16"/>
  <c r="F49" i="2"/>
  <c r="F51" i="2" s="1"/>
  <c r="B43" i="18"/>
  <c r="B45" i="18" s="1"/>
  <c r="F54" i="21"/>
  <c r="F51" i="19"/>
  <c r="B45" i="16" l="1"/>
  <c r="B48" i="16"/>
  <c r="B49" i="16" s="1"/>
  <c r="B44" i="16"/>
  <c r="B46" i="18"/>
  <c r="B47" i="18" s="1"/>
  <c r="B45" i="20"/>
  <c r="B47" i="20"/>
  <c r="B48" i="20" s="1"/>
  <c r="B49" i="20" s="1"/>
  <c r="B51" i="18"/>
  <c r="B51" i="17"/>
  <c r="B51" i="16" l="1"/>
  <c r="B47" i="17"/>
  <c r="B51" i="20" l="1"/>
</calcChain>
</file>

<file path=xl/comments1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2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3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4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5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6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7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8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sharedStrings.xml><?xml version="1.0" encoding="utf-8"?>
<sst xmlns="http://schemas.openxmlformats.org/spreadsheetml/2006/main" count="780" uniqueCount="142">
  <si>
    <t>Concentric Orifice</t>
  </si>
  <si>
    <t>Conical Entrance Orifice</t>
  </si>
  <si>
    <t>Eccentric Orifice</t>
  </si>
  <si>
    <t>Quarter Circle Orifice</t>
  </si>
  <si>
    <t>Segmental Orifice</t>
  </si>
  <si>
    <t>Fluid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</si>
  <si>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</si>
  <si>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</si>
  <si>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</si>
  <si>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</si>
  <si>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</si>
  <si>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</si>
  <si>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Liquid Vapour Pressure</t>
  </si>
  <si>
    <t>Flowrate (x4)</t>
  </si>
  <si>
    <t>Materials</t>
  </si>
  <si>
    <t>Pipe ID</t>
  </si>
  <si>
    <t>Pipe WT</t>
  </si>
  <si>
    <t>Liquid</t>
  </si>
  <si>
    <t>Gas</t>
  </si>
  <si>
    <t>Pa[A]</t>
  </si>
  <si>
    <t>°K</t>
  </si>
  <si>
    <t>kg/s</t>
  </si>
  <si>
    <t>kg/m³</t>
  </si>
  <si>
    <t>m</t>
  </si>
  <si>
    <t>m2</t>
  </si>
  <si>
    <t>m/s</t>
  </si>
  <si>
    <t>Pa.s</t>
  </si>
  <si>
    <t>kg/m3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</si>
  <si>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</si>
  <si>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</si>
  <si>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</si>
  <si>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</si>
  <si>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</si>
  <si>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</si>
  <si>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</si>
  <si>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</si>
  <si>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</si>
  <si>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Co-efficient of Expansion</t>
  </si>
  <si>
    <t>316L Pipe</t>
  </si>
  <si>
    <t>CS Pipe</t>
  </si>
  <si>
    <t>316L Element</t>
  </si>
  <si>
    <t>DP</t>
  </si>
  <si>
    <t>Bore</t>
  </si>
  <si>
    <t>Downstream Pressure, P2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</si>
  <si>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</si>
  <si>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</si>
  <si>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t>[kg/s]</t>
  </si>
  <si>
    <r>
      <t>Initial Beta, β</t>
    </r>
    <r>
      <rPr>
        <vertAlign val="subscript"/>
        <sz val="11"/>
        <color theme="1"/>
        <rFont val="Calibri"/>
        <family val="2"/>
      </rPr>
      <t>0</t>
    </r>
  </si>
  <si>
    <r>
      <t>Co-efficient of Discharge, C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</si>
  <si>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</si>
  <si>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qm</t>
  </si>
  <si>
    <t>Machined Bore</t>
  </si>
  <si>
    <t>Operting Bore</t>
  </si>
  <si>
    <t>mm</t>
  </si>
  <si>
    <t>Machined Bore (mm)</t>
  </si>
  <si>
    <r>
      <t>Beta, β</t>
    </r>
    <r>
      <rPr>
        <vertAlign val="subscript"/>
        <sz val="11"/>
        <color theme="1"/>
        <rFont val="Calibri"/>
        <family val="2"/>
      </rPr>
      <t>1</t>
    </r>
  </si>
  <si>
    <r>
      <t>Co-efficient of Discharge, C</t>
    </r>
    <r>
      <rPr>
        <vertAlign val="subscript"/>
        <sz val="11"/>
        <color theme="1"/>
        <rFont val="Calibri"/>
        <family val="2"/>
      </rPr>
      <t>1</t>
    </r>
  </si>
  <si>
    <r>
      <t>Expansibility Factor, Y</t>
    </r>
    <r>
      <rPr>
        <vertAlign val="subscript"/>
        <sz val="11"/>
        <color theme="1"/>
        <rFont val="Calibri"/>
        <family val="2"/>
      </rPr>
      <t>1</t>
    </r>
  </si>
  <si>
    <t>Iterate until B55=B27</t>
  </si>
  <si>
    <t>Beta</t>
  </si>
  <si>
    <t>Co-efficient of Discharge, C</t>
  </si>
  <si>
    <t>Expansibility Factor, Y</t>
  </si>
  <si>
    <r>
      <t xml:space="preserve">Differential Pressure, </t>
    </r>
    <r>
      <rPr>
        <sz val="11"/>
        <color theme="1"/>
        <rFont val="Comic Sans MS"/>
        <family val="4"/>
      </rPr>
      <t>Δ</t>
    </r>
    <r>
      <rPr>
        <sz val="8.8000000000000007"/>
        <color theme="1"/>
        <rFont val="Calibri"/>
        <family val="2"/>
      </rPr>
      <t>p</t>
    </r>
  </si>
  <si>
    <r>
      <t>Initial Expansibility Factor, Y</t>
    </r>
    <r>
      <rPr>
        <vertAlign val="subscript"/>
        <sz val="11"/>
        <color theme="1"/>
        <rFont val="Calibri"/>
        <family val="2"/>
      </rPr>
      <t>0</t>
    </r>
  </si>
  <si>
    <t>Operating Bore</t>
  </si>
  <si>
    <t>Pressure drop too high</t>
  </si>
  <si>
    <t>Max p2/p1</t>
  </si>
  <si>
    <t>Reynolds Number too low</t>
  </si>
  <si>
    <t>For Beta more than 0.56</t>
  </si>
  <si>
    <r>
      <t>16000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</si>
  <si>
    <r>
      <t>5000 AND 170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D</t>
    </r>
  </si>
  <si>
    <t>Min Reynolds</t>
  </si>
  <si>
    <t>For Beta less than 0.56</t>
  </si>
  <si>
    <t>Beta ratio too high</t>
  </si>
  <si>
    <r>
      <t xml:space="preserve">Max beta, </t>
    </r>
    <r>
      <rPr>
        <sz val="10"/>
        <rFont val="Calibri"/>
        <family val="2"/>
      </rPr>
      <t>β</t>
    </r>
  </si>
  <si>
    <t>Beta ratio too low</t>
  </si>
  <si>
    <r>
      <t xml:space="preserve">Min beta, </t>
    </r>
    <r>
      <rPr>
        <sz val="10"/>
        <rFont val="Calibri"/>
        <family val="2"/>
      </rPr>
      <t>β</t>
    </r>
  </si>
  <si>
    <t>Pipe ID too high</t>
  </si>
  <si>
    <t>Max pipe ID, D</t>
  </si>
  <si>
    <t>Pipe ID too low</t>
  </si>
  <si>
    <t>Min pipe ID, D</t>
  </si>
  <si>
    <t>Bore too low</t>
  </si>
  <si>
    <t>Min bore,d</t>
  </si>
  <si>
    <t>Warning</t>
  </si>
  <si>
    <t>Units</t>
  </si>
  <si>
    <t>D and D/2 Taps</t>
  </si>
  <si>
    <t>Flange Taps</t>
  </si>
  <si>
    <t>Corner Taps</t>
  </si>
  <si>
    <t>Device</t>
  </si>
  <si>
    <r>
      <t>2*10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*beta</t>
    </r>
  </si>
  <si>
    <t>Max Reynolds</t>
  </si>
  <si>
    <t>Reynolds Number too high</t>
  </si>
  <si>
    <t>Iterate until B45=B27</t>
  </si>
  <si>
    <r>
      <t>2x10</t>
    </r>
    <r>
      <rPr>
        <vertAlign val="superscript"/>
        <sz val="10"/>
        <color theme="1"/>
        <rFont val="Calibri"/>
        <family val="2"/>
      </rPr>
      <t>5</t>
    </r>
    <r>
      <rPr>
        <sz val="10"/>
        <color theme="1"/>
        <rFont val="Calibri"/>
        <family val="2"/>
      </rPr>
      <t>β</t>
    </r>
    <r>
      <rPr>
        <vertAlign val="superscript"/>
        <sz val="10"/>
        <color theme="1"/>
        <rFont val="Calibri"/>
        <family val="2"/>
      </rPr>
      <t>2</t>
    </r>
  </si>
  <si>
    <r>
      <t>10</t>
    </r>
    <r>
      <rPr>
        <vertAlign val="superscript"/>
        <sz val="10"/>
        <rFont val="Arial"/>
        <family val="2"/>
      </rPr>
      <t>6</t>
    </r>
    <r>
      <rPr>
        <sz val="10"/>
        <rFont val="Calibri"/>
        <family val="2"/>
      </rPr>
      <t>β</t>
    </r>
  </si>
  <si>
    <t>-</t>
  </si>
  <si>
    <r>
      <t>10</t>
    </r>
    <r>
      <rPr>
        <vertAlign val="superscript"/>
        <sz val="10"/>
        <rFont val="Arial"/>
        <family val="2"/>
      </rPr>
      <t>5</t>
    </r>
    <r>
      <rPr>
        <sz val="10"/>
        <rFont val="Calibri"/>
        <family val="2"/>
      </rPr>
      <t>β</t>
    </r>
  </si>
  <si>
    <r>
      <t>1000β +9.4x10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>(β-0.24)</t>
    </r>
    <r>
      <rPr>
        <vertAlign val="superscript"/>
        <sz val="10"/>
        <color theme="1"/>
        <rFont val="Calibri"/>
        <family val="2"/>
      </rPr>
      <t>8</t>
    </r>
  </si>
  <si>
    <t>Corner taps - Miller 3rd Edition</t>
  </si>
  <si>
    <t>Flange taps - Miller 3rd Edition</t>
  </si>
  <si>
    <t>D &amp; D/2 taps - Miller 3rd Edition</t>
  </si>
  <si>
    <t>2½ &amp; 8D taps - Miller 3rd Edition</t>
  </si>
  <si>
    <t>Iterate until B51=B27</t>
  </si>
  <si>
    <t>a</t>
  </si>
  <si>
    <t>c</t>
  </si>
  <si>
    <t>b</t>
  </si>
  <si>
    <t>d</t>
  </si>
  <si>
    <t>e</t>
  </si>
  <si>
    <t>D&gt;100mm</t>
  </si>
  <si>
    <t>D≤100mm</t>
  </si>
  <si>
    <t>f</t>
  </si>
  <si>
    <t>g</t>
  </si>
  <si>
    <t>h</t>
  </si>
  <si>
    <t>i</t>
  </si>
  <si>
    <t>j</t>
  </si>
  <si>
    <r>
      <t>Beta, β</t>
    </r>
    <r>
      <rPr>
        <vertAlign val="subscript"/>
        <sz val="11"/>
        <color theme="1"/>
        <rFont val="Calibri"/>
        <family val="2"/>
      </rPr>
      <t>2</t>
    </r>
  </si>
  <si>
    <r>
      <t>Co-efficient of Discharge, C</t>
    </r>
    <r>
      <rPr>
        <vertAlign val="subscript"/>
        <sz val="11"/>
        <color theme="1"/>
        <rFont val="Calibri"/>
        <family val="2"/>
      </rPr>
      <t>2</t>
    </r>
  </si>
  <si>
    <r>
      <t>Expansibility Factor, Y</t>
    </r>
    <r>
      <rPr>
        <vertAlign val="subscript"/>
        <sz val="11"/>
        <color theme="1"/>
        <rFont val="Calibri"/>
        <family val="2"/>
      </rPr>
      <t>2</t>
    </r>
  </si>
  <si>
    <t>CALCULATION TYPE</t>
  </si>
  <si>
    <t>CH/FPD/ORIFICE/DESIGN</t>
  </si>
  <si>
    <t>C1</t>
  </si>
  <si>
    <t>Concentric - Corner taps</t>
  </si>
  <si>
    <t>Miller</t>
  </si>
  <si>
    <t>C2</t>
  </si>
  <si>
    <t>Concentric - Flange taps</t>
  </si>
  <si>
    <t>C3</t>
  </si>
  <si>
    <t>Concentric - D &amp; D/2 taps</t>
  </si>
  <si>
    <t>C4</t>
  </si>
  <si>
    <t>Concentric - 2½ &amp; 8D taps</t>
  </si>
  <si>
    <t>L1</t>
  </si>
  <si>
    <t>Conical entrance - Corner taps</t>
  </si>
  <si>
    <r>
      <t>Eccentric - Flange taps 90</t>
    </r>
    <r>
      <rPr>
        <sz val="10"/>
        <rFont val="Calibri"/>
        <family val="2"/>
      </rPr>
      <t>°</t>
    </r>
  </si>
  <si>
    <r>
      <t>Eccentric - Flange taps 180</t>
    </r>
    <r>
      <rPr>
        <sz val="10"/>
        <rFont val="Calibri"/>
        <family val="2"/>
      </rPr>
      <t>°</t>
    </r>
  </si>
  <si>
    <t>Eccentric - Flange taps 90°</t>
  </si>
  <si>
    <t>E2</t>
  </si>
  <si>
    <t>E3</t>
  </si>
  <si>
    <t>Q1</t>
  </si>
  <si>
    <t>Quarter circle - Corner taps</t>
  </si>
  <si>
    <t>Q2</t>
  </si>
  <si>
    <t>Quarter circle - Flange taps</t>
  </si>
  <si>
    <t>S2</t>
  </si>
  <si>
    <t>Segmental - Flange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</si>
</sst>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6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omic Sans MS"/>
      <family val="4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4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6" fillId="13" borderId="4" xfId="13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6" fillId="13" borderId="6" xfId="13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8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6" fillId="0" borderId="0" xfId="13" applyFont="1" applyAlignment="1">
      <alignment vertical="center"/>
    </xf>
    <xf numFmtId="0" fontId="9" fillId="14" borderId="0" xfId="0" applyFont="1" applyFill="1"/>
    <xf numFmtId="0" fontId="2" fillId="0" borderId="0" xfId="13" applyFont="1"/>
    <xf numFmtId="0" fontId="9" fillId="0" borderId="0" xfId="0" applyFont="1" applyFill="1"/>
    <xf numFmtId="0" fontId="18" fillId="15" borderId="0" xfId="0" applyFont="1" applyFill="1"/>
    <xf numFmtId="0" fontId="13" fillId="0" borderId="0" xfId="0" applyFont="1" applyFill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4" xfId="16" applyFill="1" applyBorder="1"/>
    <xf numFmtId="0" fontId="2" fillId="13" borderId="6" xfId="16" applyFill="1" applyBorder="1"/>
    <xf numFmtId="164" fontId="9" fillId="14" borderId="0" xfId="0" applyNumberFormat="1" applyFont="1" applyFill="1"/>
    <xf numFmtId="164" fontId="9" fillId="0" borderId="0" xfId="0" applyNumberFormat="1" applyFont="1"/>
    <xf numFmtId="0" fontId="22" fillId="0" borderId="0" xfId="0" applyFont="1" applyAlignment="1">
      <alignment horizontal="center" vertical="center"/>
    </xf>
    <xf numFmtId="0" fontId="24" fillId="16" borderId="0" xfId="15" applyNumberFormat="1" applyFont="1" applyFill="1" applyBorder="1" applyAlignment="1" applyProtection="1"/>
    <xf numFmtId="0" fontId="25" fillId="16" borderId="0" xfId="0" applyFont="1" applyFill="1" applyBorder="1"/>
    <xf numFmtId="0" fontId="24" fillId="0" borderId="0" xfId="15" applyNumberFormat="1" applyFont="1" applyFill="1" applyBorder="1" applyAlignment="1" applyProtection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/>
  </cellXfs>
  <cellStyles count="17">
    <cellStyle name="40% - Accent1 2" xfId="6"/>
    <cellStyle name="40% - Accent6 2" xfId="12"/>
    <cellStyle name="60% - Accent2 2" xfId="8"/>
    <cellStyle name="60% - Accent5 2" xfId="10"/>
    <cellStyle name="Accent1 2" xfId="5"/>
    <cellStyle name="Accent2 2" xfId="7"/>
    <cellStyle name="Accent4 2" xfId="9"/>
    <cellStyle name="Accent6 2" xfId="11"/>
    <cellStyle name="Good 2" xfId="2"/>
    <cellStyle name="Good 3" xfId="4"/>
    <cellStyle name="Neutral 2" xfId="3"/>
    <cellStyle name="Normal" xfId="0" builtinId="0"/>
    <cellStyle name="Normal 2" xfId="1"/>
    <cellStyle name="Normal 2 2" xfId="14"/>
    <cellStyle name="Normal 3" xfId="15"/>
    <cellStyle name="Normal 4" xfId="13"/>
    <cellStyle name="Normal 4 2" xfId="16"/>
  </cellStyles>
  <dxfs count="9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"/>
  <sheetViews>
    <sheetView workbookViewId="0">
      <selection activeCell="F25" sqref="F25"/>
    </sheetView>
  </sheetViews>
  <sheetFormatPr defaultRowHeight="15" x14ac:dyDescent="0.25"/>
  <cols>
    <col min="1" max="1" width="22.42578125" style="2" bestFit="1" customWidth="1"/>
    <col min="2" max="2" width="28" style="2" bestFit="1" customWidth="1"/>
    <col min="3" max="5" width="9.140625" style="2"/>
    <col min="6" max="6" width="12.42578125" style="2" customWidth="1"/>
    <col min="7" max="16384" width="9.140625" style="2"/>
  </cols>
  <sheetData>
    <row r="1" spans="1:10" x14ac:dyDescent="0.25">
      <c r="A1" s="1" t="s">
        <v>0</v>
      </c>
      <c r="B1" s="2" t="s">
        <v>98</v>
      </c>
      <c r="D1" s="3" t="s">
        <v>17</v>
      </c>
      <c r="F1" s="2" t="s">
        <v>38</v>
      </c>
      <c r="G1" s="4">
        <v>1.789E-5</v>
      </c>
      <c r="I1" s="2" t="s">
        <v>41</v>
      </c>
      <c r="J1" s="2" t="s">
        <v>19</v>
      </c>
    </row>
    <row r="2" spans="1:10" x14ac:dyDescent="0.25">
      <c r="A2" s="1"/>
      <c r="B2" s="2" t="s">
        <v>99</v>
      </c>
      <c r="D2" s="3" t="s">
        <v>18</v>
      </c>
      <c r="F2" s="2" t="s">
        <v>39</v>
      </c>
      <c r="G2" s="4">
        <v>1.3529999999999999E-5</v>
      </c>
      <c r="I2" s="2" t="s">
        <v>42</v>
      </c>
      <c r="J2" s="2" t="s">
        <v>23</v>
      </c>
    </row>
    <row r="3" spans="1:10" x14ac:dyDescent="0.25">
      <c r="A3" s="1"/>
      <c r="B3" s="2" t="s">
        <v>100</v>
      </c>
    </row>
    <row r="4" spans="1:10" x14ac:dyDescent="0.25">
      <c r="A4" s="1"/>
      <c r="B4" s="2" t="s">
        <v>101</v>
      </c>
    </row>
    <row r="5" spans="1:10" x14ac:dyDescent="0.25">
      <c r="A5" s="1" t="s">
        <v>1</v>
      </c>
      <c r="B5" s="2" t="s">
        <v>98</v>
      </c>
    </row>
    <row r="6" spans="1:10" x14ac:dyDescent="0.25">
      <c r="A6" s="1"/>
      <c r="B6" s="25" t="s">
        <v>99</v>
      </c>
    </row>
    <row r="7" spans="1:10" x14ac:dyDescent="0.25">
      <c r="A7" s="1"/>
      <c r="B7" s="25" t="s">
        <v>100</v>
      </c>
    </row>
    <row r="8" spans="1:10" x14ac:dyDescent="0.25">
      <c r="A8" s="1"/>
      <c r="B8" s="25" t="s">
        <v>101</v>
      </c>
    </row>
    <row r="9" spans="1:10" x14ac:dyDescent="0.25">
      <c r="A9" s="1" t="s">
        <v>2</v>
      </c>
      <c r="B9" s="2" t="s">
        <v>98</v>
      </c>
    </row>
    <row r="10" spans="1:10" x14ac:dyDescent="0.25">
      <c r="A10" s="1"/>
      <c r="B10" s="2" t="s">
        <v>99</v>
      </c>
    </row>
    <row r="11" spans="1:10" x14ac:dyDescent="0.25">
      <c r="A11" s="1"/>
      <c r="B11" s="25" t="s">
        <v>100</v>
      </c>
    </row>
    <row r="12" spans="1:10" x14ac:dyDescent="0.25">
      <c r="A12" s="1"/>
      <c r="B12" s="25" t="s">
        <v>101</v>
      </c>
    </row>
    <row r="13" spans="1:10" x14ac:dyDescent="0.25">
      <c r="A13" s="1" t="s">
        <v>3</v>
      </c>
      <c r="B13" s="25" t="s">
        <v>98</v>
      </c>
    </row>
    <row r="14" spans="1:10" x14ac:dyDescent="0.25">
      <c r="A14" s="1"/>
      <c r="B14" s="2" t="s">
        <v>99</v>
      </c>
    </row>
    <row r="15" spans="1:10" x14ac:dyDescent="0.25">
      <c r="A15" s="1"/>
      <c r="B15" s="25" t="s">
        <v>100</v>
      </c>
    </row>
    <row r="16" spans="1:10" x14ac:dyDescent="0.25">
      <c r="A16" s="1"/>
      <c r="B16" s="25" t="s">
        <v>101</v>
      </c>
    </row>
    <row r="17" spans="1:2" x14ac:dyDescent="0.25">
      <c r="A17" s="1" t="s">
        <v>4</v>
      </c>
      <c r="B17" s="25" t="s">
        <v>98</v>
      </c>
    </row>
    <row r="18" spans="1:2" x14ac:dyDescent="0.25">
      <c r="B18" s="23" t="s">
        <v>99</v>
      </c>
    </row>
    <row r="19" spans="1:2" x14ac:dyDescent="0.25">
      <c r="B19" s="25" t="s">
        <v>100</v>
      </c>
    </row>
    <row r="20" spans="1:2" x14ac:dyDescent="0.25">
      <c r="B20" s="25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zoomScale="80" zoomScaleNormal="80" workbookViewId="0">
      <selection activeCell="B30" sqref="B30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15.85546875" style="3" customWidth="1"/>
    <col min="5" max="5" width="37" style="3" bestFit="1" customWidth="1"/>
    <col min="6" max="6" width="17.28515625" style="3" bestFit="1" customWidth="1"/>
    <col min="7" max="10" width="15" style="3" customWidth="1"/>
    <col min="11" max="16384" width="9.140625" style="3"/>
  </cols>
  <sheetData>
    <row r="1" spans="1:8" x14ac:dyDescent="0.25">
      <c r="A1" s="37" t="s">
        <v>118</v>
      </c>
      <c r="B1" s="38" t="s">
        <v>122</v>
      </c>
      <c r="E1" s="39" t="s">
        <v>119</v>
      </c>
      <c r="F1" s="40" t="s">
        <v>140</v>
      </c>
      <c r="G1" s="41" t="s">
        <v>141</v>
      </c>
    </row>
    <row r="2" spans="1:8" hidden="1" x14ac:dyDescent="0.25">
      <c r="A2" s="1"/>
      <c r="B2" s="2"/>
      <c r="E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10" hidden="1" x14ac:dyDescent="0.25"/>
    <row r="18" spans="1:10" hidden="1" x14ac:dyDescent="0.25"/>
    <row r="19" spans="1:10" hidden="1" x14ac:dyDescent="0.25"/>
    <row r="20" spans="1:10" hidden="1" x14ac:dyDescent="0.25"/>
    <row r="21" spans="1:10" hidden="1" x14ac:dyDescent="0.25"/>
    <row r="22" spans="1:10" hidden="1" x14ac:dyDescent="0.25"/>
    <row r="23" spans="1:10" hidden="1" x14ac:dyDescent="0.25"/>
    <row r="25" spans="1:10" x14ac:dyDescent="0.25">
      <c r="A25" s="7" t="s">
        <v>28</v>
      </c>
      <c r="B25" s="8">
        <f>OpPress</f>
        <v>5101325</v>
      </c>
      <c r="C25" s="9" t="s">
        <v>19</v>
      </c>
      <c r="E25" s="2"/>
    </row>
    <row r="26" spans="1:10" x14ac:dyDescent="0.25">
      <c r="A26" s="10" t="s">
        <v>29</v>
      </c>
      <c r="B26" s="11">
        <f>OpTemp</f>
        <v>673.15</v>
      </c>
      <c r="C26" s="12" t="s">
        <v>20</v>
      </c>
      <c r="E26" s="2"/>
    </row>
    <row r="27" spans="1:10" x14ac:dyDescent="0.25">
      <c r="A27" s="10" t="s">
        <v>30</v>
      </c>
      <c r="B27" s="11">
        <f>Flow</f>
        <v>5</v>
      </c>
      <c r="C27" s="12" t="s">
        <v>21</v>
      </c>
    </row>
    <row r="28" spans="1:10" x14ac:dyDescent="0.25">
      <c r="A28" s="10" t="s">
        <v>31</v>
      </c>
      <c r="B28" s="11">
        <f>OpDens</f>
        <v>28</v>
      </c>
      <c r="C28" s="13" t="s">
        <v>22</v>
      </c>
    </row>
    <row r="29" spans="1:10" x14ac:dyDescent="0.25">
      <c r="A29" s="10" t="s">
        <v>32</v>
      </c>
      <c r="B29" s="11">
        <f>(ID)*(1+Input!C15*(B26-293.15))</f>
        <v>0.203802470264</v>
      </c>
      <c r="C29" s="12" t="s">
        <v>23</v>
      </c>
      <c r="E29" s="2"/>
    </row>
    <row r="30" spans="1:10" x14ac:dyDescent="0.25">
      <c r="A30" s="10" t="s">
        <v>33</v>
      </c>
      <c r="B30" s="11">
        <f>((B29/2)^2)*PI()</f>
        <v>3.2621863699927804E-2</v>
      </c>
      <c r="C30" s="12" t="s">
        <v>24</v>
      </c>
      <c r="F30" s="3" t="s">
        <v>103</v>
      </c>
      <c r="G30" s="3" t="s">
        <v>105</v>
      </c>
      <c r="H30" s="3" t="s">
        <v>104</v>
      </c>
      <c r="I30" s="3" t="s">
        <v>106</v>
      </c>
      <c r="J30" s="3" t="s">
        <v>107</v>
      </c>
    </row>
    <row r="31" spans="1:10" x14ac:dyDescent="0.25">
      <c r="A31" s="10" t="s">
        <v>34</v>
      </c>
      <c r="B31" s="11">
        <f>(Flow/B28)/B30</f>
        <v>5.4739799728800831</v>
      </c>
      <c r="C31" s="12" t="s">
        <v>25</v>
      </c>
      <c r="D31" s="3" t="s">
        <v>109</v>
      </c>
      <c r="E31" s="2" t="s">
        <v>99</v>
      </c>
      <c r="F31" s="3">
        <v>0.62839999999999996</v>
      </c>
      <c r="G31" s="3">
        <v>0.1462</v>
      </c>
      <c r="H31" s="3">
        <v>-0.84640000000000004</v>
      </c>
      <c r="I31" s="3">
        <v>0.26029999999999998</v>
      </c>
      <c r="J31" s="3">
        <v>-0.28860000000000002</v>
      </c>
    </row>
    <row r="32" spans="1:10" x14ac:dyDescent="0.25">
      <c r="A32" s="10" t="s">
        <v>35</v>
      </c>
      <c r="B32" s="11">
        <f>Visc</f>
        <v>1.0000000000000001E-5</v>
      </c>
      <c r="C32" s="12" t="s">
        <v>26</v>
      </c>
      <c r="D32" s="3" t="s">
        <v>108</v>
      </c>
      <c r="E32" s="2" t="s">
        <v>99</v>
      </c>
      <c r="F32" s="3">
        <v>0.62760000000000005</v>
      </c>
      <c r="G32" s="3">
        <v>8.2799999999999999E-2</v>
      </c>
      <c r="H32" s="3">
        <v>0.27389999999999998</v>
      </c>
      <c r="I32" s="3">
        <v>-9.3399999999999997E-2</v>
      </c>
      <c r="J32" s="3">
        <v>-0.1132</v>
      </c>
    </row>
    <row r="33" spans="1:10" x14ac:dyDescent="0.25">
      <c r="A33" s="14" t="s">
        <v>36</v>
      </c>
      <c r="B33" s="15">
        <f>(B28*B31*B29)/(B32)</f>
        <v>3123709.7938161492</v>
      </c>
      <c r="C33" s="16"/>
      <c r="F33" s="3">
        <f>IF($B$29&gt;0.1,F32,F31)</f>
        <v>0.62760000000000005</v>
      </c>
      <c r="G33" s="3">
        <f>IF($B$29&gt;0.1,G32,G31)</f>
        <v>8.2799999999999999E-2</v>
      </c>
      <c r="H33" s="3">
        <f>IF($B$29&gt;0.1,H32,H31)</f>
        <v>0.27389999999999998</v>
      </c>
      <c r="I33" s="3">
        <f>IF($B$29&gt;0.1,I32,I31)</f>
        <v>-9.3399999999999997E-2</v>
      </c>
      <c r="J33" s="3">
        <f>IF($B$29&gt;0.1,J32,J31)</f>
        <v>-0.1132</v>
      </c>
    </row>
    <row r="36" spans="1:10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10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10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F33+(G33*(F37^2.1))+(H33*(F37^8))+(I33*(F37^4)/((1-(F37^4))))+(J33*(F37^3))</f>
        <v>0.62968618239817054</v>
      </c>
    </row>
    <row r="39" spans="1:10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10" ht="18" x14ac:dyDescent="0.35">
      <c r="A40" s="3" t="s">
        <v>47</v>
      </c>
      <c r="B40" s="23">
        <f>((1+((0.634/B39)-0.062)^2)^-0.25)</f>
        <v>0.43061153118656303</v>
      </c>
      <c r="E40" s="3" t="s">
        <v>62</v>
      </c>
      <c r="F40" s="3">
        <f>((B27/((F38/(SQRT(1-(F37^4))))*F39*(PI()/4)*(F36^2)))^2)/(2*B28)</f>
        <v>29914.241544177661</v>
      </c>
      <c r="G40" s="3" t="s">
        <v>19</v>
      </c>
    </row>
    <row r="41" spans="1:10" ht="18" x14ac:dyDescent="0.35">
      <c r="A41" s="3" t="s">
        <v>48</v>
      </c>
      <c r="B41" s="23">
        <f>F33+(G33*(B40^2.1))+(H33*(B40^8))+(I33*(B40^4)/((1-(B40^4))))+(J33*(B40^3))</f>
        <v>0.62967214599914478</v>
      </c>
      <c r="E41" s="3" t="s">
        <v>61</v>
      </c>
      <c r="F41" s="3">
        <f>IF(Fluid_in="Liquid",1,(1-((0.6439-(2.506*F37)+(7.05*(F37^2))-(8.003*(F37^3))+(3.468*(F37^4)))*(F40/B25)/Isentropic)))</f>
        <v>0.99847051387544927</v>
      </c>
    </row>
    <row r="42" spans="1:10" ht="18" x14ac:dyDescent="0.35">
      <c r="A42" s="3" t="s">
        <v>49</v>
      </c>
      <c r="B42" s="23">
        <f>IF(Fluid_in="Liquid",1,(1-((0.6439-(2.506*B40)+(7.05*(B40^2))-(8.003*(B40^3))+(3.468*(B40^4)))*(B36/B25)/Isentropic)))</f>
        <v>0.99846545467071213</v>
      </c>
    </row>
    <row r="43" spans="1:10" ht="18" x14ac:dyDescent="0.35">
      <c r="A43" s="3" t="s">
        <v>55</v>
      </c>
      <c r="B43" s="23">
        <f>((1+(((B41*B42)/B39))^2)^-0.25)</f>
        <v>0.4299371292776869</v>
      </c>
    </row>
    <row r="44" spans="1:10" x14ac:dyDescent="0.25">
      <c r="B44" s="20"/>
      <c r="C44" s="17"/>
      <c r="D44" s="18"/>
    </row>
    <row r="45" spans="1:10" x14ac:dyDescent="0.25">
      <c r="A45" s="3" t="s">
        <v>52</v>
      </c>
      <c r="B45" s="19">
        <f>B43*B29</f>
        <v>8.7622249005005315E-2</v>
      </c>
      <c r="C45" s="22" t="s">
        <v>23</v>
      </c>
      <c r="D45" s="17"/>
    </row>
    <row r="46" spans="1:10" x14ac:dyDescent="0.25">
      <c r="A46" s="3" t="s">
        <v>51</v>
      </c>
      <c r="B46" s="3">
        <f>B45/(1+Input!C16*(B26-293.15))</f>
        <v>8.7030597596425299E-2</v>
      </c>
      <c r="C46" s="3" t="s">
        <v>23</v>
      </c>
    </row>
    <row r="47" spans="1:10" ht="18.75" x14ac:dyDescent="0.3">
      <c r="A47" s="3" t="s">
        <v>54</v>
      </c>
      <c r="B47" s="24">
        <f>B46*1000</f>
        <v>87.030597596425295</v>
      </c>
      <c r="C47" s="3" t="s">
        <v>53</v>
      </c>
      <c r="E47" s="3" t="s">
        <v>62</v>
      </c>
      <c r="F47" s="24">
        <f>((B27/((F38/(SQRT(1-(F37^4))))*F41*(PI()/4)*(F36^2)))^2)/(2*B28)</f>
        <v>30005.958745514268</v>
      </c>
      <c r="G47" s="3" t="s">
        <v>19</v>
      </c>
    </row>
    <row r="49" spans="1:7" x14ac:dyDescent="0.25">
      <c r="B49" s="3" t="s">
        <v>58</v>
      </c>
    </row>
    <row r="51" spans="1:7" x14ac:dyDescent="0.25">
      <c r="A51" s="3" t="s">
        <v>50</v>
      </c>
      <c r="B51" s="21">
        <f>(B41/(SQRT(1-(B43^4))))*B42*(PI()/4)*((B45)^2)*(SQRT(2*B36*B28))</f>
        <v>5.000000520327462</v>
      </c>
      <c r="C51" s="3" t="s">
        <v>21</v>
      </c>
      <c r="E51" s="3" t="s">
        <v>50</v>
      </c>
      <c r="F51" s="21">
        <f>(F38/(SQRT(1-(F37^4))))*F41*(PI()/4)*((F36)^2)*(SQRT(2*F47*B28))</f>
        <v>5</v>
      </c>
      <c r="G51" s="3" t="s">
        <v>21</v>
      </c>
    </row>
    <row r="57" spans="1:7" x14ac:dyDescent="0.25">
      <c r="A57" s="27"/>
      <c r="B57" s="36" t="s">
        <v>88</v>
      </c>
      <c r="C57" s="36"/>
      <c r="D57" s="36"/>
    </row>
    <row r="58" spans="1:7" x14ac:dyDescent="0.25">
      <c r="A58" s="27"/>
      <c r="B58" s="27" t="s">
        <v>87</v>
      </c>
      <c r="C58" s="27" t="s">
        <v>84</v>
      </c>
      <c r="D58" s="26" t="s">
        <v>83</v>
      </c>
    </row>
    <row r="59" spans="1:7" x14ac:dyDescent="0.25">
      <c r="A59" s="27" t="s">
        <v>82</v>
      </c>
      <c r="B59" s="27">
        <v>50</v>
      </c>
      <c r="C59" s="27" t="s">
        <v>53</v>
      </c>
      <c r="D59" s="26" t="s">
        <v>81</v>
      </c>
    </row>
    <row r="60" spans="1:7" x14ac:dyDescent="0.25">
      <c r="A60" s="27" t="s">
        <v>80</v>
      </c>
      <c r="B60" s="27">
        <v>100</v>
      </c>
      <c r="C60" s="27" t="s">
        <v>53</v>
      </c>
      <c r="D60" s="26" t="s">
        <v>79</v>
      </c>
    </row>
    <row r="61" spans="1:7" x14ac:dyDescent="0.25">
      <c r="A61" s="27" t="s">
        <v>78</v>
      </c>
      <c r="B61" s="27">
        <v>1000</v>
      </c>
      <c r="C61" s="27" t="s">
        <v>53</v>
      </c>
      <c r="D61" s="26" t="s">
        <v>77</v>
      </c>
      <c r="E61" s="27"/>
      <c r="F61" s="26"/>
    </row>
    <row r="62" spans="1:7" x14ac:dyDescent="0.25">
      <c r="A62" s="31" t="s">
        <v>76</v>
      </c>
      <c r="B62" s="27">
        <v>0.46</v>
      </c>
      <c r="C62" s="27"/>
      <c r="D62" s="26" t="s">
        <v>75</v>
      </c>
    </row>
    <row r="63" spans="1:7" ht="15" customHeight="1" x14ac:dyDescent="0.25">
      <c r="A63" s="31" t="s">
        <v>74</v>
      </c>
      <c r="B63" s="27">
        <v>0.84</v>
      </c>
      <c r="C63" s="27"/>
      <c r="D63" s="26" t="s">
        <v>73</v>
      </c>
    </row>
    <row r="64" spans="1:7" x14ac:dyDescent="0.25">
      <c r="A64" s="31" t="s">
        <v>71</v>
      </c>
      <c r="B64" s="27" t="s">
        <v>93</v>
      </c>
      <c r="C64" s="30"/>
      <c r="D64" s="26" t="s">
        <v>67</v>
      </c>
    </row>
    <row r="65" spans="1:6" x14ac:dyDescent="0.25">
      <c r="A65" s="31" t="s">
        <v>90</v>
      </c>
      <c r="B65" s="31" t="s">
        <v>94</v>
      </c>
      <c r="C65" s="31"/>
      <c r="D65" s="26" t="s">
        <v>91</v>
      </c>
    </row>
    <row r="66" spans="1:6" x14ac:dyDescent="0.25">
      <c r="A66" s="31" t="s">
        <v>66</v>
      </c>
      <c r="B66" s="27">
        <v>0.75</v>
      </c>
      <c r="C66" s="27"/>
      <c r="D66" s="26" t="s">
        <v>65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10:C10 A8:C8">
    <cfRule type="expression" dxfId="0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0" zoomScaleNormal="80" workbookViewId="0">
      <selection activeCell="B45" sqref="B45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2" spans="1:8" x14ac:dyDescent="0.25">
      <c r="A2" s="1"/>
      <c r="B2" s="2"/>
      <c r="H2" s="2"/>
    </row>
    <row r="3" spans="1:8" x14ac:dyDescent="0.25">
      <c r="H3" s="2"/>
    </row>
    <row r="4" spans="1:8" x14ac:dyDescent="0.25">
      <c r="A4" s="3" t="s">
        <v>5</v>
      </c>
      <c r="B4" s="6" t="s">
        <v>18</v>
      </c>
      <c r="H4" s="2"/>
    </row>
    <row r="5" spans="1:8" x14ac:dyDescent="0.25">
      <c r="A5" s="3" t="s">
        <v>6</v>
      </c>
      <c r="B5" s="6">
        <v>5101325</v>
      </c>
      <c r="C5" s="3" t="s">
        <v>19</v>
      </c>
    </row>
    <row r="6" spans="1:8" x14ac:dyDescent="0.25">
      <c r="A6" s="3" t="s">
        <v>7</v>
      </c>
      <c r="B6" s="6">
        <v>673.15</v>
      </c>
      <c r="C6" s="3" t="s">
        <v>20</v>
      </c>
    </row>
    <row r="7" spans="1:8" x14ac:dyDescent="0.25">
      <c r="A7" s="3" t="s">
        <v>8</v>
      </c>
      <c r="B7" s="6">
        <v>28</v>
      </c>
      <c r="C7" s="3" t="s">
        <v>27</v>
      </c>
    </row>
    <row r="8" spans="1:8" x14ac:dyDescent="0.25">
      <c r="A8" s="3" t="s">
        <v>9</v>
      </c>
      <c r="B8" s="6">
        <v>0.9</v>
      </c>
    </row>
    <row r="9" spans="1:8" x14ac:dyDescent="0.25">
      <c r="A9" s="3" t="s">
        <v>10</v>
      </c>
      <c r="B9" s="6">
        <v>1.0000000000000001E-5</v>
      </c>
      <c r="C9" s="3" t="s">
        <v>26</v>
      </c>
    </row>
    <row r="10" spans="1:8" x14ac:dyDescent="0.25">
      <c r="A10" s="3" t="s">
        <v>11</v>
      </c>
      <c r="B10" s="6">
        <v>1.35</v>
      </c>
    </row>
    <row r="11" spans="1:8" x14ac:dyDescent="0.25">
      <c r="A11" s="5" t="s">
        <v>12</v>
      </c>
      <c r="B11" s="5"/>
      <c r="C11" s="5" t="s">
        <v>19</v>
      </c>
    </row>
    <row r="13" spans="1:8" x14ac:dyDescent="0.25">
      <c r="A13" s="3" t="s">
        <v>13</v>
      </c>
      <c r="B13" s="6">
        <v>5</v>
      </c>
      <c r="C13" s="3" t="s">
        <v>21</v>
      </c>
    </row>
    <row r="15" spans="1:8" x14ac:dyDescent="0.25">
      <c r="A15" s="3" t="s">
        <v>14</v>
      </c>
      <c r="B15" s="6" t="s">
        <v>39</v>
      </c>
      <c r="C15" s="4">
        <v>1.3529999999999999E-5</v>
      </c>
    </row>
    <row r="16" spans="1:8" x14ac:dyDescent="0.25">
      <c r="A16" s="3" t="s">
        <v>37</v>
      </c>
      <c r="B16" s="3" t="s">
        <v>40</v>
      </c>
      <c r="C16" s="4">
        <v>1.789E-5</v>
      </c>
    </row>
    <row r="19" spans="1:7" x14ac:dyDescent="0.25">
      <c r="A19" s="3" t="s">
        <v>15</v>
      </c>
      <c r="B19" s="3">
        <v>0.20276</v>
      </c>
      <c r="C19" s="3" t="s">
        <v>23</v>
      </c>
    </row>
    <row r="20" spans="1:7" x14ac:dyDescent="0.25">
      <c r="A20" s="3" t="s">
        <v>16</v>
      </c>
      <c r="B20" s="3">
        <v>6.0200000000000002E-3</v>
      </c>
      <c r="C20" s="3" t="s">
        <v>23</v>
      </c>
    </row>
    <row r="22" spans="1:7" x14ac:dyDescent="0.25">
      <c r="A22" s="6" t="s">
        <v>41</v>
      </c>
      <c r="B22" s="6">
        <v>30000</v>
      </c>
      <c r="C22" s="3" t="s">
        <v>19</v>
      </c>
      <c r="E22" s="6" t="s">
        <v>42</v>
      </c>
      <c r="F22" s="6">
        <v>8.7025270000000002E-2</v>
      </c>
      <c r="G22" s="3" t="s">
        <v>23</v>
      </c>
    </row>
    <row r="25" spans="1:7" x14ac:dyDescent="0.25">
      <c r="A25" s="7" t="s">
        <v>28</v>
      </c>
      <c r="B25" s="8">
        <f>B5</f>
        <v>5101325</v>
      </c>
      <c r="C25" s="32" t="s">
        <v>19</v>
      </c>
    </row>
    <row r="26" spans="1:7" x14ac:dyDescent="0.25">
      <c r="A26" s="10" t="s">
        <v>29</v>
      </c>
      <c r="B26" s="11">
        <f>B6</f>
        <v>673.15</v>
      </c>
      <c r="C26" s="33" t="s">
        <v>20</v>
      </c>
    </row>
    <row r="27" spans="1:7" x14ac:dyDescent="0.25">
      <c r="A27" s="10" t="s">
        <v>30</v>
      </c>
      <c r="B27" s="11">
        <f>B13</f>
        <v>5</v>
      </c>
      <c r="C27" s="33" t="s">
        <v>21</v>
      </c>
    </row>
    <row r="28" spans="1:7" x14ac:dyDescent="0.25">
      <c r="A28" s="10" t="s">
        <v>31</v>
      </c>
      <c r="B28" s="11">
        <f>B7</f>
        <v>28</v>
      </c>
      <c r="C28" s="13" t="s">
        <v>22</v>
      </c>
    </row>
    <row r="29" spans="1:7" x14ac:dyDescent="0.25">
      <c r="A29" s="10" t="s">
        <v>32</v>
      </c>
      <c r="B29" s="11">
        <f>(B19)*(1+C15*(B26-293.15))</f>
        <v>0.203802470264</v>
      </c>
      <c r="C29" s="33" t="s">
        <v>23</v>
      </c>
    </row>
    <row r="30" spans="1:7" x14ac:dyDescent="0.25">
      <c r="A30" s="10" t="s">
        <v>33</v>
      </c>
      <c r="B30" s="11">
        <f>((B29/2)^2)*PI()</f>
        <v>3.2621863699927804E-2</v>
      </c>
      <c r="C30" s="33" t="s">
        <v>24</v>
      </c>
    </row>
    <row r="31" spans="1:7" x14ac:dyDescent="0.25">
      <c r="A31" s="10" t="s">
        <v>34</v>
      </c>
      <c r="B31" s="11">
        <f>(B13/B28)/B30</f>
        <v>5.4739799728800831</v>
      </c>
      <c r="C31" s="33" t="s">
        <v>25</v>
      </c>
    </row>
    <row r="32" spans="1:7" x14ac:dyDescent="0.25">
      <c r="A32" s="10" t="s">
        <v>35</v>
      </c>
      <c r="B32" s="11">
        <f>B9</f>
        <v>1.0000000000000001E-5</v>
      </c>
      <c r="C32" s="33" t="s">
        <v>26</v>
      </c>
    </row>
    <row r="33" spans="1:6" x14ac:dyDescent="0.25">
      <c r="A33" s="14" t="s">
        <v>36</v>
      </c>
      <c r="B33" s="15">
        <f>(B28*B31*B29)/(B32)</f>
        <v>3123709.7938161492</v>
      </c>
      <c r="C33" s="16"/>
    </row>
    <row r="36" spans="1:6" x14ac:dyDescent="0.25">
      <c r="A36" s="27"/>
      <c r="B36" s="27"/>
      <c r="C36" s="27"/>
      <c r="D36" s="27"/>
      <c r="E36" s="27"/>
      <c r="F36" s="26"/>
    </row>
  </sheetData>
  <conditionalFormatting sqref="A10:C10 A8:C8">
    <cfRule type="expression" dxfId="8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70"/>
  <sheetViews>
    <sheetView zoomScale="80" zoomScaleNormal="80" workbookViewId="0">
      <selection activeCell="G1"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16384" width="9.140625" style="3"/>
  </cols>
  <sheetData>
    <row r="1" spans="1:7" x14ac:dyDescent="0.25">
      <c r="A1" s="37" t="s">
        <v>118</v>
      </c>
      <c r="B1" s="38" t="s">
        <v>122</v>
      </c>
      <c r="E1" s="39" t="s">
        <v>119</v>
      </c>
      <c r="F1" s="40" t="s">
        <v>120</v>
      </c>
      <c r="G1" s="41" t="s">
        <v>121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7" x14ac:dyDescent="0.25">
      <c r="A33" s="14" t="s">
        <v>36</v>
      </c>
      <c r="B33" s="15">
        <f>(B28*B31*B29)/(B32)</f>
        <v>3123709.7938161492</v>
      </c>
      <c r="C33" s="16"/>
    </row>
    <row r="36" spans="1:7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7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7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0.5959+(0.0315*(F37^2.1))-(0.184*(F37^8))+((91.706*(F37^2.5))/(B33^0.75))</f>
        <v>0.60118549488903894</v>
      </c>
    </row>
    <row r="39" spans="1:7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7" ht="18" x14ac:dyDescent="0.35">
      <c r="A40" s="3" t="s">
        <v>47</v>
      </c>
      <c r="B40" s="23">
        <f>IF(B33&lt;200000,((1+((0.6/B39)+0.6)^2)^-0.25),((1+((0.6/B39))^2)^-0.25))</f>
        <v>0.43973418986973051</v>
      </c>
      <c r="E40" s="3" t="s">
        <v>62</v>
      </c>
      <c r="F40" s="3">
        <f>((B27/((F38/(SQRT(1-(F37^4))))*F39*(PI()/4)*(F36^2)))^2)/(2*B28)</f>
        <v>32817.790305630071</v>
      </c>
      <c r="G40" s="3" t="s">
        <v>19</v>
      </c>
    </row>
    <row r="41" spans="1:7" ht="18" x14ac:dyDescent="0.35">
      <c r="A41" s="3" t="s">
        <v>48</v>
      </c>
      <c r="B41" s="23">
        <f>0.5959+(0.0315*(B40^2.1))-(0.184*(B40^8))+((91.706*(B40^2.5))/(B33^0.75))</f>
        <v>0.60141162851686381</v>
      </c>
      <c r="E41" s="3" t="s">
        <v>61</v>
      </c>
      <c r="F41" s="3">
        <f>IF(Fluid_in="Liquid",1,(1-((0.41+(0.35*(F37^4)))*(F40/B25)/Isentropic)))</f>
        <v>0.99798924287418689</v>
      </c>
    </row>
    <row r="42" spans="1:7" ht="18" x14ac:dyDescent="0.35">
      <c r="A42" s="3" t="s">
        <v>49</v>
      </c>
      <c r="B42" s="23">
        <f>IF(Fluid_in="Liquid",1,(1-((0.41+(0.35*(B40^4)))*(B36/B25)/Isentropic)))</f>
        <v>0.99815696394853515</v>
      </c>
    </row>
    <row r="43" spans="1:7" ht="18" x14ac:dyDescent="0.35">
      <c r="A43" s="3" t="s">
        <v>55</v>
      </c>
      <c r="B43" s="23">
        <f>((1+((B41*B42/B39))^2)^-0.25)</f>
        <v>0.43962727416972197</v>
      </c>
    </row>
    <row r="44" spans="1:7" ht="18" x14ac:dyDescent="0.35">
      <c r="A44" s="3" t="s">
        <v>56</v>
      </c>
      <c r="B44" s="23">
        <f>0.5959+(0.0315*(B43^2.1))-(0.184*(B43^8))+((91.706*(B43^2.5))/(B33^0.75))</f>
        <v>0.60140916794347343</v>
      </c>
    </row>
    <row r="45" spans="1:7" ht="18" x14ac:dyDescent="0.35">
      <c r="A45" s="3" t="s">
        <v>57</v>
      </c>
      <c r="B45" s="23">
        <f>IF(Fluid_in="Liquid",1,(1-((0.41+(0.35*(B43^4)))*(B36/B25)/Isentropic)))</f>
        <v>0.99815701937106194</v>
      </c>
    </row>
    <row r="46" spans="1:7" x14ac:dyDescent="0.25">
      <c r="B46" s="23"/>
    </row>
    <row r="47" spans="1:7" x14ac:dyDescent="0.25">
      <c r="A47" s="3" t="s">
        <v>52</v>
      </c>
      <c r="B47" s="19">
        <f>B43*B29</f>
        <v>8.9597124471218134E-2</v>
      </c>
      <c r="C47" s="22" t="s">
        <v>23</v>
      </c>
      <c r="D47" s="17"/>
    </row>
    <row r="48" spans="1:7" x14ac:dyDescent="0.25">
      <c r="A48" s="3" t="s">
        <v>51</v>
      </c>
      <c r="B48" s="3">
        <f>B47/(1+Input!C16*(B26-293.15))</f>
        <v>8.8992138117865272E-2</v>
      </c>
      <c r="C48" s="3" t="s">
        <v>23</v>
      </c>
    </row>
    <row r="49" spans="1:7" ht="18.75" x14ac:dyDescent="0.3">
      <c r="A49" s="3" t="s">
        <v>54</v>
      </c>
      <c r="B49" s="24">
        <f>B48*1000</f>
        <v>88.992138117865267</v>
      </c>
      <c r="C49" s="3" t="s">
        <v>53</v>
      </c>
      <c r="E49" s="3" t="s">
        <v>62</v>
      </c>
      <c r="F49" s="24">
        <f>((B27/((F38/(SQRT(1-(F37^4))))*F41*(PI()/4)*(F36^2)))^2)/(2*B28)</f>
        <v>32950.166648123159</v>
      </c>
      <c r="G49" s="3" t="s">
        <v>19</v>
      </c>
    </row>
    <row r="51" spans="1:7" x14ac:dyDescent="0.25">
      <c r="A51" s="3" t="s">
        <v>50</v>
      </c>
      <c r="B51" s="21">
        <f>(B44/(SQRT(1-(B43^4))))*B45*(PI()/4)*((B47)^2)*(SQRT(2*B36*B28))</f>
        <v>4.9999803412989259</v>
      </c>
      <c r="C51" s="3" t="s">
        <v>21</v>
      </c>
      <c r="E51" s="3" t="s">
        <v>50</v>
      </c>
      <c r="F51" s="34">
        <f>(F38/(SQRT(1-(F37^4))))*F41*(PI()/4)*((F36)^2)*(SQRT(2*F49*B28))</f>
        <v>5</v>
      </c>
      <c r="G51" s="3" t="s">
        <v>21</v>
      </c>
    </row>
    <row r="52" spans="1:7" x14ac:dyDescent="0.25">
      <c r="B52" s="3" t="s">
        <v>102</v>
      </c>
    </row>
    <row r="59" spans="1:7" x14ac:dyDescent="0.25">
      <c r="A59" s="27"/>
      <c r="B59" s="36" t="s">
        <v>88</v>
      </c>
      <c r="C59" s="36"/>
      <c r="D59" s="36"/>
      <c r="E59" s="27"/>
      <c r="F59" s="26"/>
    </row>
    <row r="60" spans="1:7" x14ac:dyDescent="0.25">
      <c r="A60" s="27"/>
      <c r="B60" s="27" t="s">
        <v>87</v>
      </c>
      <c r="C60" s="27" t="s">
        <v>86</v>
      </c>
      <c r="D60" s="27" t="s">
        <v>85</v>
      </c>
      <c r="E60" s="27" t="s">
        <v>84</v>
      </c>
      <c r="F60" s="26" t="s">
        <v>83</v>
      </c>
    </row>
    <row r="61" spans="1:7" ht="15" customHeight="1" x14ac:dyDescent="0.25">
      <c r="A61" s="27" t="s">
        <v>82</v>
      </c>
      <c r="B61" s="27">
        <v>12.5</v>
      </c>
      <c r="C61" s="27">
        <v>12.5</v>
      </c>
      <c r="D61" s="27">
        <v>12.5</v>
      </c>
      <c r="E61" s="27" t="s">
        <v>53</v>
      </c>
      <c r="F61" s="26" t="s">
        <v>81</v>
      </c>
    </row>
    <row r="62" spans="1:7" x14ac:dyDescent="0.25">
      <c r="A62" s="27" t="s">
        <v>80</v>
      </c>
      <c r="B62" s="27">
        <v>50</v>
      </c>
      <c r="C62" s="27">
        <v>50</v>
      </c>
      <c r="D62" s="27">
        <v>50</v>
      </c>
      <c r="E62" s="27" t="s">
        <v>53</v>
      </c>
      <c r="F62" s="26" t="s">
        <v>79</v>
      </c>
    </row>
    <row r="63" spans="1:7" x14ac:dyDescent="0.25">
      <c r="A63" s="27" t="s">
        <v>78</v>
      </c>
      <c r="B63" s="27">
        <v>1000</v>
      </c>
      <c r="C63" s="27">
        <v>1000</v>
      </c>
      <c r="D63" s="27">
        <v>1000</v>
      </c>
      <c r="E63" s="27" t="s">
        <v>53</v>
      </c>
      <c r="F63" s="26" t="s">
        <v>77</v>
      </c>
    </row>
    <row r="64" spans="1:7" x14ac:dyDescent="0.25">
      <c r="A64" s="28" t="s">
        <v>76</v>
      </c>
      <c r="B64" s="27">
        <v>0.1</v>
      </c>
      <c r="C64" s="27">
        <v>0.1</v>
      </c>
      <c r="D64" s="27">
        <v>0.1</v>
      </c>
      <c r="E64" s="27"/>
      <c r="F64" s="26" t="s">
        <v>75</v>
      </c>
    </row>
    <row r="65" spans="1:6" x14ac:dyDescent="0.25">
      <c r="A65" s="28" t="s">
        <v>74</v>
      </c>
      <c r="B65" s="27">
        <v>0.75</v>
      </c>
      <c r="C65" s="27">
        <v>0.75</v>
      </c>
      <c r="D65" s="27">
        <v>0.75</v>
      </c>
      <c r="E65" s="27"/>
      <c r="F65" s="26" t="s">
        <v>73</v>
      </c>
    </row>
    <row r="66" spans="1:6" x14ac:dyDescent="0.25">
      <c r="A66" s="28" t="s">
        <v>71</v>
      </c>
      <c r="B66" s="27">
        <v>5000</v>
      </c>
      <c r="C66" s="28" t="s">
        <v>70</v>
      </c>
      <c r="D66" s="27">
        <v>5000</v>
      </c>
      <c r="E66" s="30" t="s">
        <v>72</v>
      </c>
      <c r="F66" s="26" t="s">
        <v>67</v>
      </c>
    </row>
    <row r="67" spans="1:6" x14ac:dyDescent="0.25">
      <c r="A67" s="28" t="s">
        <v>71</v>
      </c>
      <c r="B67" s="29" t="s">
        <v>69</v>
      </c>
      <c r="C67" s="28" t="s">
        <v>70</v>
      </c>
      <c r="D67" s="29" t="s">
        <v>69</v>
      </c>
      <c r="E67" s="28" t="s">
        <v>68</v>
      </c>
      <c r="F67" s="26" t="s">
        <v>67</v>
      </c>
    </row>
    <row r="68" spans="1:6" x14ac:dyDescent="0.25">
      <c r="A68" s="28" t="s">
        <v>66</v>
      </c>
      <c r="B68" s="27">
        <v>0.75</v>
      </c>
      <c r="C68" s="27">
        <v>0.75</v>
      </c>
      <c r="D68" s="27">
        <v>0.75</v>
      </c>
      <c r="E68" s="27"/>
      <c r="F68" s="26" t="s">
        <v>65</v>
      </c>
    </row>
    <row r="69" spans="1:6" x14ac:dyDescent="0.25">
      <c r="A69" s="27"/>
      <c r="B69" s="27"/>
      <c r="C69" s="27"/>
      <c r="D69" s="27"/>
      <c r="E69" s="27"/>
      <c r="F69" s="26"/>
    </row>
    <row r="70" spans="1:6" x14ac:dyDescent="0.25">
      <c r="A70" s="27"/>
      <c r="B70" s="27"/>
      <c r="C70" s="27"/>
      <c r="D70" s="27"/>
      <c r="E70" s="27"/>
      <c r="F70" s="26"/>
    </row>
  </sheetData>
  <mergeCells count="1">
    <mergeCell ref="B59:D59"/>
  </mergeCells>
  <conditionalFormatting sqref="A10 A8 C8 C10">
    <cfRule type="expression" dxfId="7" priority="7">
      <formula>$B$4="Liquid"</formula>
    </cfRule>
  </conditionalFormatting>
  <conditionalFormatting sqref="B10 B8">
    <cfRule type="expression" dxfId="6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32.285156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16384" width="9.140625" style="3"/>
  </cols>
  <sheetData>
    <row r="1" spans="1:7" x14ac:dyDescent="0.25">
      <c r="A1" s="37" t="s">
        <v>118</v>
      </c>
      <c r="B1" s="38" t="s">
        <v>122</v>
      </c>
      <c r="E1" s="39" t="s">
        <v>119</v>
      </c>
      <c r="F1" s="40" t="s">
        <v>123</v>
      </c>
      <c r="G1" s="41" t="s">
        <v>124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7" x14ac:dyDescent="0.25">
      <c r="A33" s="14" t="s">
        <v>36</v>
      </c>
      <c r="B33" s="15">
        <f>(B28*B31*B29)/(B32)</f>
        <v>3123709.7938161492</v>
      </c>
      <c r="C33" s="16"/>
    </row>
    <row r="36" spans="1:7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7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7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IF(B29&gt;0.0584,0.5959+(0.0312*(F37^2.1))-(0.184*(F37^8))+(2.286*((F37^4)/((B29*1000)*(1-(F37^4)))))-(0.856*((F37^3)/(B29*1000))),0.5959+(0.0312*(F37^2.1))-(0.184*(F37^8))+(0.039*((F37^4)/((1-(F37^4)))))-(0.856*((F37^3)/(B29*1000))))+((91.706*(F37^2.5))/(B33^0.75))</f>
        <v>0.60119751488290951</v>
      </c>
    </row>
    <row r="39" spans="1:7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7" ht="18" x14ac:dyDescent="0.35">
      <c r="A40" s="3" t="s">
        <v>47</v>
      </c>
      <c r="B40" s="23">
        <f>IF(B33&lt;200000,((1+((0.6/B39)+0.6)^2)^-0.25),((1+((0.6/B39))^2)^-0.25))</f>
        <v>0.43973418986973051</v>
      </c>
      <c r="E40" s="3" t="s">
        <v>62</v>
      </c>
      <c r="F40" s="3">
        <f>((B27/((F38/(SQRT(1-(F37^4))))*F39*(PI()/4)*(F36^2)))^2)/(2*B28)</f>
        <v>32816.478039078211</v>
      </c>
      <c r="G40" s="3" t="s">
        <v>19</v>
      </c>
    </row>
    <row r="41" spans="1:7" ht="18" x14ac:dyDescent="0.35">
      <c r="A41" s="3" t="s">
        <v>48</v>
      </c>
      <c r="B41" s="23">
        <f>IF(B29&gt;0.0584,0.5959+(0.0312*(B40^2.1))-(0.184*(B40^8))+(2.286*((B40^4)/((B29*1000)*(1-(B40^4)))))-(0.856*((B40^3)/(B29*1000))),0.5959+(0.0312*(B40^2.1))-(0.184*(B40^8))+(0.039*((B40^4)/((1-(B40^4)))))-(0.856*((B40^3)/(B29*1000))))+((91.706*(B40^2.5))/(B33^0.75))</f>
        <v>0.60143674696445004</v>
      </c>
      <c r="E41" s="3" t="s">
        <v>61</v>
      </c>
      <c r="F41" s="3">
        <f>IF(Fluid_in="Liquid",1,(1-((0.41+(0.35*(F37^4)))*(F40/B25)/Isentropic)))</f>
        <v>0.99798932327720291</v>
      </c>
    </row>
    <row r="42" spans="1:7" ht="18" x14ac:dyDescent="0.35">
      <c r="A42" s="3" t="s">
        <v>49</v>
      </c>
      <c r="B42" s="23">
        <f>IF(Fluid_in="Liquid",1,(1-((0.41+(0.35*(B40^4)))*(B36/B25)/Isentropic)))</f>
        <v>0.99815696394853515</v>
      </c>
    </row>
    <row r="43" spans="1:7" ht="18" x14ac:dyDescent="0.35">
      <c r="A43" s="3" t="s">
        <v>55</v>
      </c>
      <c r="B43" s="23">
        <f>((1+((B41*B42/B39))^2)^-0.25)</f>
        <v>0.43961843667015427</v>
      </c>
    </row>
    <row r="44" spans="1:7" ht="18" x14ac:dyDescent="0.35">
      <c r="A44" s="3" t="s">
        <v>56</v>
      </c>
      <c r="B44" s="23">
        <f>IF(B29&gt;0.0584,0.5959+(0.0312*(B43^2.1))-(0.184*(B43^8))+(2.286*((B43^4)/((B29*1000)*(1-(B43^4)))))-(0.856*((B43^3)/(B29*1000))),0.5959+(0.0312*(B43^2.1))-(0.184*(B43^8))+(0.039*((B43^4)/((1-(B43^4)))))-(0.856*((B43^3)/(B29*1000))))+((91.706*(B43^2.5))/(B33^0.75))</f>
        <v>0.60143391812720115</v>
      </c>
    </row>
    <row r="45" spans="1:7" ht="18" x14ac:dyDescent="0.35">
      <c r="A45" s="3" t="s">
        <v>57</v>
      </c>
      <c r="B45" s="23">
        <f>IF(Fluid_in="Liquid",1,(1-((0.41+(0.35*(B43^4)))*(B36/B25)/Isentropic)))</f>
        <v>0.99815702395040018</v>
      </c>
    </row>
    <row r="46" spans="1:7" x14ac:dyDescent="0.25">
      <c r="B46" s="23"/>
    </row>
    <row r="47" spans="1:7" x14ac:dyDescent="0.25">
      <c r="A47" s="3" t="s">
        <v>52</v>
      </c>
      <c r="B47" s="19">
        <f>B43*B29</f>
        <v>8.9595323366975288E-2</v>
      </c>
      <c r="C47" s="22" t="s">
        <v>23</v>
      </c>
      <c r="D47" s="17"/>
    </row>
    <row r="48" spans="1:7" x14ac:dyDescent="0.25">
      <c r="A48" s="3" t="s">
        <v>51</v>
      </c>
      <c r="B48" s="3">
        <f>B47/(1+Input!C16*(B26-293.15))</f>
        <v>8.8990349175212355E-2</v>
      </c>
      <c r="C48" s="3" t="s">
        <v>23</v>
      </c>
    </row>
    <row r="49" spans="1:7" ht="18.75" x14ac:dyDescent="0.3">
      <c r="A49" s="3" t="s">
        <v>54</v>
      </c>
      <c r="B49" s="24">
        <f>B48*1000</f>
        <v>88.990349175212359</v>
      </c>
      <c r="C49" s="3" t="s">
        <v>53</v>
      </c>
      <c r="E49" s="3" t="s">
        <v>62</v>
      </c>
      <c r="F49" s="24">
        <f>((B27/((F38/(SQRT(1-(F37^4))))*F41*(PI()/4)*(F36^2)))^2)/(2*B28)</f>
        <v>32948.843779264585</v>
      </c>
      <c r="G49" s="3" t="s">
        <v>19</v>
      </c>
    </row>
    <row r="51" spans="1:7" x14ac:dyDescent="0.25">
      <c r="A51" s="3" t="s">
        <v>50</v>
      </c>
      <c r="B51" s="21">
        <f>(B44/(SQRT(1-(B43^4))))*B45*(PI()/4)*((B47)^2)*(SQRT(2*B36*B28))</f>
        <v>4.9999773035572517</v>
      </c>
      <c r="C51" s="3" t="s">
        <v>21</v>
      </c>
      <c r="E51" s="3" t="s">
        <v>50</v>
      </c>
      <c r="F51" s="34">
        <f>(F38/(SQRT(1-(F37^4))))*F41*(PI()/4)*((F36)^2)*(SQRT(2*F49*B28))</f>
        <v>5</v>
      </c>
      <c r="G51" s="3" t="s">
        <v>21</v>
      </c>
    </row>
    <row r="52" spans="1:7" x14ac:dyDescent="0.25">
      <c r="B52" s="3" t="s">
        <v>102</v>
      </c>
    </row>
    <row r="59" spans="1:7" x14ac:dyDescent="0.25">
      <c r="A59" s="27"/>
      <c r="B59" s="36" t="s">
        <v>88</v>
      </c>
      <c r="C59" s="36"/>
      <c r="D59" s="36"/>
      <c r="E59" s="27"/>
      <c r="F59" s="26"/>
    </row>
    <row r="60" spans="1:7" x14ac:dyDescent="0.25">
      <c r="A60" s="27"/>
      <c r="B60" s="27" t="s">
        <v>87</v>
      </c>
      <c r="C60" s="27" t="s">
        <v>86</v>
      </c>
      <c r="D60" s="27" t="s">
        <v>85</v>
      </c>
      <c r="E60" s="27" t="s">
        <v>84</v>
      </c>
      <c r="F60" s="26" t="s">
        <v>83</v>
      </c>
    </row>
    <row r="61" spans="1:7" ht="15" customHeight="1" x14ac:dyDescent="0.25">
      <c r="A61" s="27" t="s">
        <v>82</v>
      </c>
      <c r="B61" s="27">
        <v>12.5</v>
      </c>
      <c r="C61" s="27">
        <v>12.5</v>
      </c>
      <c r="D61" s="27">
        <v>12.5</v>
      </c>
      <c r="E61" s="27" t="s">
        <v>53</v>
      </c>
      <c r="F61" s="26" t="s">
        <v>81</v>
      </c>
    </row>
    <row r="62" spans="1:7" x14ac:dyDescent="0.25">
      <c r="A62" s="27" t="s">
        <v>80</v>
      </c>
      <c r="B62" s="27">
        <v>50</v>
      </c>
      <c r="C62" s="27">
        <v>50</v>
      </c>
      <c r="D62" s="27">
        <v>50</v>
      </c>
      <c r="E62" s="27" t="s">
        <v>53</v>
      </c>
      <c r="F62" s="26" t="s">
        <v>79</v>
      </c>
    </row>
    <row r="63" spans="1:7" x14ac:dyDescent="0.25">
      <c r="A63" s="27" t="s">
        <v>78</v>
      </c>
      <c r="B63" s="27">
        <v>1000</v>
      </c>
      <c r="C63" s="27">
        <v>1000</v>
      </c>
      <c r="D63" s="27">
        <v>1000</v>
      </c>
      <c r="E63" s="27" t="s">
        <v>53</v>
      </c>
      <c r="F63" s="26" t="s">
        <v>77</v>
      </c>
    </row>
    <row r="64" spans="1:7" x14ac:dyDescent="0.25">
      <c r="A64" s="31" t="s">
        <v>76</v>
      </c>
      <c r="B64" s="27">
        <v>0.1</v>
      </c>
      <c r="C64" s="27">
        <v>0.1</v>
      </c>
      <c r="D64" s="27">
        <v>0.1</v>
      </c>
      <c r="E64" s="27"/>
      <c r="F64" s="26" t="s">
        <v>75</v>
      </c>
    </row>
    <row r="65" spans="1:6" x14ac:dyDescent="0.25">
      <c r="A65" s="31" t="s">
        <v>74</v>
      </c>
      <c r="B65" s="27">
        <v>0.75</v>
      </c>
      <c r="C65" s="27">
        <v>0.75</v>
      </c>
      <c r="D65" s="27">
        <v>0.75</v>
      </c>
      <c r="E65" s="27"/>
      <c r="F65" s="26" t="s">
        <v>73</v>
      </c>
    </row>
    <row r="66" spans="1:6" x14ac:dyDescent="0.25">
      <c r="A66" s="31" t="s">
        <v>71</v>
      </c>
      <c r="B66" s="27">
        <v>5000</v>
      </c>
      <c r="C66" s="31" t="s">
        <v>70</v>
      </c>
      <c r="D66" s="27">
        <v>5000</v>
      </c>
      <c r="E66" s="30" t="s">
        <v>72</v>
      </c>
      <c r="F66" s="26" t="s">
        <v>67</v>
      </c>
    </row>
    <row r="67" spans="1:6" x14ac:dyDescent="0.25">
      <c r="A67" s="31" t="s">
        <v>71</v>
      </c>
      <c r="B67" s="29" t="s">
        <v>69</v>
      </c>
      <c r="C67" s="31" t="s">
        <v>70</v>
      </c>
      <c r="D67" s="29" t="s">
        <v>69</v>
      </c>
      <c r="E67" s="31" t="s">
        <v>68</v>
      </c>
      <c r="F67" s="26" t="s">
        <v>67</v>
      </c>
    </row>
    <row r="68" spans="1:6" x14ac:dyDescent="0.25">
      <c r="A68" s="31" t="s">
        <v>66</v>
      </c>
      <c r="B68" s="27">
        <v>0.75</v>
      </c>
      <c r="C68" s="27">
        <v>0.75</v>
      </c>
      <c r="D68" s="27">
        <v>0.75</v>
      </c>
      <c r="E68" s="27"/>
      <c r="F68" s="26" t="s">
        <v>65</v>
      </c>
    </row>
    <row r="69" spans="1:6" x14ac:dyDescent="0.25">
      <c r="A69" s="27"/>
      <c r="B69" s="27"/>
      <c r="C69" s="27"/>
      <c r="D69" s="27"/>
      <c r="E69" s="27"/>
      <c r="F69" s="26"/>
    </row>
    <row r="70" spans="1:6" x14ac:dyDescent="0.25">
      <c r="A70" s="27"/>
      <c r="B70" s="27"/>
      <c r="C70" s="27"/>
      <c r="D70" s="27"/>
      <c r="E70" s="27"/>
      <c r="F70" s="26"/>
    </row>
  </sheetData>
  <mergeCells count="1">
    <mergeCell ref="B59:D59"/>
  </mergeCells>
  <dataValidations count="2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32.285156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16384" width="9.140625" style="3"/>
  </cols>
  <sheetData>
    <row r="1" spans="1:7" x14ac:dyDescent="0.25">
      <c r="A1" s="37" t="s">
        <v>118</v>
      </c>
      <c r="B1" s="38" t="s">
        <v>122</v>
      </c>
      <c r="E1" s="39" t="s">
        <v>119</v>
      </c>
      <c r="F1" s="40" t="s">
        <v>125</v>
      </c>
      <c r="G1" s="41" t="s">
        <v>126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7" x14ac:dyDescent="0.25">
      <c r="A33" s="14" t="s">
        <v>36</v>
      </c>
      <c r="B33" s="15">
        <f>(B28*B31*B29)/(B32)</f>
        <v>3123709.7938161492</v>
      </c>
      <c r="C33" s="16"/>
    </row>
    <row r="36" spans="1:7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7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7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0.5959+(0.0312*(F37^2.1))-(0.184*(F37^8))+(0.039*(F37^4)/((1-(F37^4)))-(0.01584*(F37^3)))+((91.706*(F37^2.5))/(B33^0.75))</f>
        <v>0.60125527353847563</v>
      </c>
    </row>
    <row r="39" spans="1:7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7" ht="18" x14ac:dyDescent="0.35">
      <c r="A40" s="3" t="s">
        <v>47</v>
      </c>
      <c r="B40" s="23">
        <f>IF(B33&lt;200000,((1+((0.6/B39)+0.6)^2)^-0.25),((1+((0.6/B39))^2)^-0.25))</f>
        <v>0.43973418986973051</v>
      </c>
      <c r="E40" s="3" t="s">
        <v>62</v>
      </c>
      <c r="F40" s="3">
        <f>((B27/((F38/(SQRT(1-(F37^4))))*F39*(PI()/4)*(F36^2)))^2)/(2*B28)</f>
        <v>32810.173413757409</v>
      </c>
      <c r="G40" s="3" t="s">
        <v>19</v>
      </c>
    </row>
    <row r="41" spans="1:7" ht="18" x14ac:dyDescent="0.35">
      <c r="A41" s="3" t="s">
        <v>48</v>
      </c>
      <c r="B41" s="23">
        <f>0.5959+(0.0312*(B40^2.1))-(0.184*(B40^8))+(0.039*(B40^4)/((1-(B40^4)))-(0.01584*(B40^3)))+((91.706*(B40^2.5))/(B33^0.75))</f>
        <v>0.60152619359544768</v>
      </c>
      <c r="E41" s="3" t="s">
        <v>61</v>
      </c>
      <c r="F41" s="3">
        <f>IF(Fluid_in="Liquid",1,(1-((0.41+(0.35*(F37^4)))*(F40/B25)/Isentropic)))</f>
        <v>0.99798970956373134</v>
      </c>
    </row>
    <row r="42" spans="1:7" ht="18" x14ac:dyDescent="0.35">
      <c r="A42" s="3" t="s">
        <v>49</v>
      </c>
      <c r="B42" s="23">
        <f>IF(Fluid_in="Liquid",1,(1-((0.41+(0.35*(B40^4)))*(B36/B25)/Isentropic)))</f>
        <v>0.99815696394853515</v>
      </c>
    </row>
    <row r="43" spans="1:7" ht="18" x14ac:dyDescent="0.35">
      <c r="A43" s="3" t="s">
        <v>55</v>
      </c>
      <c r="B43" s="23">
        <f>((1+((B41*B42/B39))^2)^-0.25)</f>
        <v>0.43958697060641694</v>
      </c>
    </row>
    <row r="44" spans="1:7" ht="18" x14ac:dyDescent="0.35">
      <c r="A44" s="3" t="s">
        <v>56</v>
      </c>
      <c r="B44" s="23">
        <f>0.5959+(0.0312*(B43^2.1))-(0.184*(B43^8))+(0.039*((B43^4)/((1-(B43^4)))))-(0.01584*(B43^3))+((91.706*(B43^2.5))/(B33^0.75))</f>
        <v>0.60152208903380344</v>
      </c>
    </row>
    <row r="45" spans="1:7" ht="18" x14ac:dyDescent="0.35">
      <c r="A45" s="3" t="s">
        <v>57</v>
      </c>
      <c r="B45" s="23">
        <f>IF(Fluid_in="Liquid",1,(1-((0.41+(0.35*(B43^4)))*(B36/B25)/Isentropic)))</f>
        <v>0.99815704025296781</v>
      </c>
    </row>
    <row r="46" spans="1:7" x14ac:dyDescent="0.25">
      <c r="B46" s="23"/>
    </row>
    <row r="47" spans="1:7" x14ac:dyDescent="0.25">
      <c r="A47" s="3" t="s">
        <v>52</v>
      </c>
      <c r="B47" s="19">
        <f>B43*B29</f>
        <v>8.9588910505456129E-2</v>
      </c>
      <c r="C47" s="22" t="s">
        <v>23</v>
      </c>
      <c r="D47" s="17"/>
    </row>
    <row r="48" spans="1:7" x14ac:dyDescent="0.25">
      <c r="A48" s="3" t="s">
        <v>51</v>
      </c>
      <c r="B48" s="3">
        <f>B47/(1+Input!C16*(B26-293.15))</f>
        <v>8.8983979615235839E-2</v>
      </c>
      <c r="C48" s="3" t="s">
        <v>23</v>
      </c>
    </row>
    <row r="49" spans="1:7" ht="18.75" x14ac:dyDescent="0.3">
      <c r="A49" s="3" t="s">
        <v>54</v>
      </c>
      <c r="B49" s="24">
        <f>B48*1000</f>
        <v>88.983979615235839</v>
      </c>
      <c r="C49" s="3" t="s">
        <v>53</v>
      </c>
      <c r="E49" s="3" t="s">
        <v>62</v>
      </c>
      <c r="F49" s="24">
        <f>((B27/((F38/(SQRT(1-(F37^4))))*F41*(PI()/4)*(F36^2)))^2)/(2*B28)</f>
        <v>32942.488222386557</v>
      </c>
      <c r="G49" s="3" t="s">
        <v>19</v>
      </c>
    </row>
    <row r="51" spans="1:7" x14ac:dyDescent="0.25">
      <c r="A51" s="3" t="s">
        <v>50</v>
      </c>
      <c r="B51" s="21">
        <f>(B44/(SQRT(1-(B43^4))))*B45*(PI()/4)*((B47)^2)*(SQRT(2*B36*B28))</f>
        <v>4.999966784651785</v>
      </c>
      <c r="C51" s="3" t="s">
        <v>21</v>
      </c>
      <c r="E51" s="3" t="s">
        <v>50</v>
      </c>
      <c r="F51" s="3">
        <f>(F38/(SQRT(1-(F37^4))))*F41*(PI()/4)*((F36)^2)*(SQRT(2*F49*B28))</f>
        <v>5</v>
      </c>
      <c r="G51" s="3" t="s">
        <v>21</v>
      </c>
    </row>
    <row r="52" spans="1:7" x14ac:dyDescent="0.25">
      <c r="B52" s="3" t="s">
        <v>102</v>
      </c>
    </row>
    <row r="59" spans="1:7" x14ac:dyDescent="0.25">
      <c r="A59" s="27"/>
      <c r="B59" s="36" t="s">
        <v>88</v>
      </c>
      <c r="C59" s="36"/>
      <c r="D59" s="36"/>
      <c r="E59" s="27"/>
      <c r="F59" s="26"/>
    </row>
    <row r="60" spans="1:7" x14ac:dyDescent="0.25">
      <c r="A60" s="27"/>
      <c r="B60" s="27" t="s">
        <v>87</v>
      </c>
      <c r="C60" s="27" t="s">
        <v>86</v>
      </c>
      <c r="D60" s="27" t="s">
        <v>85</v>
      </c>
      <c r="E60" s="27" t="s">
        <v>84</v>
      </c>
      <c r="F60" s="26" t="s">
        <v>83</v>
      </c>
    </row>
    <row r="61" spans="1:7" ht="15" customHeight="1" x14ac:dyDescent="0.25">
      <c r="A61" s="27" t="s">
        <v>82</v>
      </c>
      <c r="B61" s="27">
        <v>12.5</v>
      </c>
      <c r="C61" s="27">
        <v>12.5</v>
      </c>
      <c r="D61" s="27">
        <v>12.5</v>
      </c>
      <c r="E61" s="27" t="s">
        <v>53</v>
      </c>
      <c r="F61" s="26" t="s">
        <v>81</v>
      </c>
    </row>
    <row r="62" spans="1:7" x14ac:dyDescent="0.25">
      <c r="A62" s="27" t="s">
        <v>80</v>
      </c>
      <c r="B62" s="27">
        <v>50</v>
      </c>
      <c r="C62" s="27">
        <v>50</v>
      </c>
      <c r="D62" s="27">
        <v>50</v>
      </c>
      <c r="E62" s="27" t="s">
        <v>53</v>
      </c>
      <c r="F62" s="26" t="s">
        <v>79</v>
      </c>
    </row>
    <row r="63" spans="1:7" x14ac:dyDescent="0.25">
      <c r="A63" s="27" t="s">
        <v>78</v>
      </c>
      <c r="B63" s="27">
        <v>1000</v>
      </c>
      <c r="C63" s="27">
        <v>1000</v>
      </c>
      <c r="D63" s="27">
        <v>1000</v>
      </c>
      <c r="E63" s="27" t="s">
        <v>53</v>
      </c>
      <c r="F63" s="26" t="s">
        <v>77</v>
      </c>
    </row>
    <row r="64" spans="1:7" x14ac:dyDescent="0.25">
      <c r="A64" s="31" t="s">
        <v>76</v>
      </c>
      <c r="B64" s="27">
        <v>0.1</v>
      </c>
      <c r="C64" s="27">
        <v>0.1</v>
      </c>
      <c r="D64" s="27">
        <v>0.1</v>
      </c>
      <c r="E64" s="27"/>
      <c r="F64" s="26" t="s">
        <v>75</v>
      </c>
    </row>
    <row r="65" spans="1:6" x14ac:dyDescent="0.25">
      <c r="A65" s="31" t="s">
        <v>74</v>
      </c>
      <c r="B65" s="27">
        <v>0.75</v>
      </c>
      <c r="C65" s="27">
        <v>0.75</v>
      </c>
      <c r="D65" s="27">
        <v>0.75</v>
      </c>
      <c r="E65" s="27"/>
      <c r="F65" s="26" t="s">
        <v>73</v>
      </c>
    </row>
    <row r="66" spans="1:6" x14ac:dyDescent="0.25">
      <c r="A66" s="31" t="s">
        <v>71</v>
      </c>
      <c r="B66" s="27">
        <v>5000</v>
      </c>
      <c r="C66" s="31" t="s">
        <v>70</v>
      </c>
      <c r="D66" s="27">
        <v>5000</v>
      </c>
      <c r="E66" s="30" t="s">
        <v>72</v>
      </c>
      <c r="F66" s="26" t="s">
        <v>67</v>
      </c>
    </row>
    <row r="67" spans="1:6" x14ac:dyDescent="0.25">
      <c r="A67" s="31" t="s">
        <v>71</v>
      </c>
      <c r="B67" s="29" t="s">
        <v>69</v>
      </c>
      <c r="C67" s="31" t="s">
        <v>70</v>
      </c>
      <c r="D67" s="29" t="s">
        <v>69</v>
      </c>
      <c r="E67" s="31" t="s">
        <v>68</v>
      </c>
      <c r="F67" s="26" t="s">
        <v>67</v>
      </c>
    </row>
    <row r="68" spans="1:6" x14ac:dyDescent="0.25">
      <c r="A68" s="31" t="s">
        <v>66</v>
      </c>
      <c r="B68" s="27">
        <v>0.75</v>
      </c>
      <c r="C68" s="27">
        <v>0.75</v>
      </c>
      <c r="D68" s="27">
        <v>0.75</v>
      </c>
      <c r="E68" s="27"/>
      <c r="F68" s="26" t="s">
        <v>65</v>
      </c>
    </row>
    <row r="69" spans="1:6" x14ac:dyDescent="0.25">
      <c r="A69" s="27"/>
      <c r="B69" s="27"/>
      <c r="C69" s="27"/>
      <c r="D69" s="27"/>
      <c r="E69" s="27"/>
      <c r="F69" s="26"/>
    </row>
    <row r="70" spans="1:6" x14ac:dyDescent="0.25">
      <c r="A70" s="27"/>
      <c r="B70" s="27"/>
      <c r="C70" s="27"/>
      <c r="D70" s="27"/>
      <c r="E70" s="27"/>
      <c r="F70" s="26"/>
    </row>
  </sheetData>
  <mergeCells count="1">
    <mergeCell ref="B59:D59"/>
  </mergeCells>
  <conditionalFormatting sqref="A10:C10 A8:C8">
    <cfRule type="expression" dxfId="5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zoomScale="80" zoomScaleNormal="80" workbookViewId="0">
      <selection activeCell="F51" sqref="F51"/>
    </sheetView>
  </sheetViews>
  <sheetFormatPr defaultRowHeight="15" x14ac:dyDescent="0.25"/>
  <cols>
    <col min="1" max="1" width="34.5703125" style="3" bestFit="1" customWidth="1"/>
    <col min="2" max="2" width="32.285156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16384" width="9.140625" style="3"/>
  </cols>
  <sheetData>
    <row r="1" spans="1:7" x14ac:dyDescent="0.25">
      <c r="A1" s="37" t="s">
        <v>118</v>
      </c>
      <c r="B1" s="38" t="s">
        <v>122</v>
      </c>
      <c r="E1" s="39" t="s">
        <v>119</v>
      </c>
      <c r="F1" s="40" t="s">
        <v>127</v>
      </c>
      <c r="G1" s="41" t="s">
        <v>128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7" x14ac:dyDescent="0.25">
      <c r="A33" s="14" t="s">
        <v>36</v>
      </c>
      <c r="B33" s="15">
        <f>(B28*B31*B29)/(B32)</f>
        <v>3123709.7938161492</v>
      </c>
      <c r="C33" s="16"/>
    </row>
    <row r="36" spans="1:7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7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7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0.5959+(0.461*(F37^2.1))+(0.48*(F37^8))+(0.039*(F37^4)/((1-(F37^4))))+((91.706*(F37^2.5))/(B33^0.75))</f>
        <v>0.67629509833641499</v>
      </c>
    </row>
    <row r="39" spans="1:7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7" ht="18" x14ac:dyDescent="0.35">
      <c r="A40" s="3" t="s">
        <v>47</v>
      </c>
      <c r="B40" s="23">
        <f>((1+((0.61/B39)+0.55)^2)^-0.25)</f>
        <v>0.41539129505894778</v>
      </c>
      <c r="E40" s="3" t="s">
        <v>62</v>
      </c>
      <c r="F40" s="3">
        <f>((B27/((F38/(SQRT(1-(F37^4))))*F39*(PI()/4)*(F36^2)))^2)/(2*B28)</f>
        <v>25933.06468967098</v>
      </c>
      <c r="G40" s="3" t="s">
        <v>19</v>
      </c>
    </row>
    <row r="41" spans="1:7" ht="18" x14ac:dyDescent="0.35">
      <c r="A41" s="3" t="s">
        <v>48</v>
      </c>
      <c r="B41" s="23">
        <f>0.5959+(0.461*(B40^2.1))+(0.48*(B40^8))+(0.039*(B40^4)/((1-(B40^4))))+((91.706*(B40^2.5))/(B33^0.75))</f>
        <v>0.67051490711492778</v>
      </c>
      <c r="E41" s="3" t="s">
        <v>61</v>
      </c>
      <c r="F41" s="3">
        <f>IF(Fluid_in="Liquid",1,1-(0.333+(1.145*((F37^2)+(0.7*(F37^5))+(12*(F37^13)))))*((F40/B25)/Isentropic))</f>
        <v>0.99790394517476499</v>
      </c>
    </row>
    <row r="42" spans="1:7" ht="18" x14ac:dyDescent="0.35">
      <c r="A42" s="3" t="s">
        <v>49</v>
      </c>
      <c r="B42" s="23">
        <f>IF(Fluid_in="Liquid",1,1-(0.333+(1.145*((B40^2)+(0.7*(B40^5))+(12*(B40^13)))))*((B36/B25)/Isentropic))</f>
        <v>0.99764491264004396</v>
      </c>
      <c r="E42" s="3" t="s">
        <v>62</v>
      </c>
      <c r="F42" s="3">
        <f>((B27/((F38/(SQRT(1-(F37^4))))*F41*(PI()/4)*(F36^2)))^2)/(2*B28)</f>
        <v>26042.121704737096</v>
      </c>
      <c r="G42" s="3" t="s">
        <v>19</v>
      </c>
    </row>
    <row r="43" spans="1:7" ht="18" x14ac:dyDescent="0.35">
      <c r="A43" s="3" t="s">
        <v>55</v>
      </c>
      <c r="B43" s="23">
        <f>((1+((B41*B42/B39))^2)^-0.25)</f>
        <v>0.41722484020171829</v>
      </c>
      <c r="C43" s="23"/>
      <c r="E43" s="3" t="s">
        <v>61</v>
      </c>
      <c r="F43" s="3">
        <f>IF(Fluid_in="Liquid",1,1-(0.333+(1.145*((F37^2)+(0.7*(F37^5))+(12*(F37^13)))))*((F42/B25)/Isentropic))</f>
        <v>0.99789513057898194</v>
      </c>
    </row>
    <row r="44" spans="1:7" ht="18" x14ac:dyDescent="0.35">
      <c r="A44" s="3" t="s">
        <v>56</v>
      </c>
      <c r="B44" s="23">
        <f>0.5959+(0.461*(B43^2.1))+(0.48*(B43^8))+(0.039*(B43^4)/((1-(B43^4))))+((91.706*(B43^2.5))/(B33^0.75))</f>
        <v>0.67123059017396058</v>
      </c>
      <c r="C44" s="23"/>
    </row>
    <row r="45" spans="1:7" ht="18" x14ac:dyDescent="0.35">
      <c r="A45" s="3" t="s">
        <v>57</v>
      </c>
      <c r="B45" s="23">
        <f>IF(Fluid_in="Liquid",1,1-(0.333+(1.145*((B43^2)+(0.7*(B43^5))+(12*(B43^13)))))*((B36/B25)/Isentropic))</f>
        <v>0.99763629791988517</v>
      </c>
    </row>
    <row r="46" spans="1:7" ht="18" x14ac:dyDescent="0.35">
      <c r="A46" s="3" t="s">
        <v>115</v>
      </c>
      <c r="B46" s="23">
        <f>((1+((B44*B45/B39))^2)^-0.25)</f>
        <v>0.41701083228695229</v>
      </c>
      <c r="C46" s="23"/>
    </row>
    <row r="47" spans="1:7" ht="18" x14ac:dyDescent="0.35">
      <c r="A47" s="3" t="s">
        <v>116</v>
      </c>
      <c r="B47" s="23">
        <f>0.5959+(0.461*(B46^2.1))+(0.48*(B46^8))+(0.039*(B46^4)/((1-(B46^4))))+((91.706*(B46^2.5))/(B33^0.75))</f>
        <v>0.67114684688506954</v>
      </c>
      <c r="C47" s="23"/>
    </row>
    <row r="48" spans="1:7" ht="18" x14ac:dyDescent="0.35">
      <c r="A48" s="3" t="s">
        <v>117</v>
      </c>
      <c r="B48" s="23">
        <f>IF(Fluid_in="Liquid",1,1-(0.333+(1.145*((B46^2)+(0.7*(B46^5))+(12*(B46^13)))))*((B36/B25)/Isentropic))</f>
        <v>0.99763730612303236</v>
      </c>
    </row>
    <row r="49" spans="1:7" x14ac:dyDescent="0.25">
      <c r="B49" s="23"/>
    </row>
    <row r="50" spans="1:7" x14ac:dyDescent="0.25">
      <c r="A50" s="3" t="s">
        <v>52</v>
      </c>
      <c r="B50" s="19">
        <f>B46*B29</f>
        <v>8.4987837746927489E-2</v>
      </c>
      <c r="C50" s="22" t="s">
        <v>23</v>
      </c>
      <c r="D50" s="17"/>
    </row>
    <row r="51" spans="1:7" x14ac:dyDescent="0.25">
      <c r="A51" s="3" t="s">
        <v>51</v>
      </c>
      <c r="B51" s="3">
        <f>B50/(1+Input!C16*(B26-293.15))</f>
        <v>8.4413974664364205E-2</v>
      </c>
      <c r="C51" s="3" t="s">
        <v>23</v>
      </c>
    </row>
    <row r="52" spans="1:7" ht="18.75" x14ac:dyDescent="0.3">
      <c r="A52" s="3" t="s">
        <v>54</v>
      </c>
      <c r="B52" s="24">
        <f>B51*1000</f>
        <v>84.413974664364204</v>
      </c>
      <c r="C52" s="3" t="s">
        <v>53</v>
      </c>
      <c r="E52" s="3" t="s">
        <v>62</v>
      </c>
      <c r="F52" s="24">
        <f>((B27/((F38/(SQRT(1-(F37^4))))*F43*(PI()/4)*(F36^2)))^2)/(2*B28)</f>
        <v>26042.581776708514</v>
      </c>
      <c r="G52" s="3" t="s">
        <v>19</v>
      </c>
    </row>
    <row r="54" spans="1:7" x14ac:dyDescent="0.25">
      <c r="A54" s="3" t="s">
        <v>50</v>
      </c>
      <c r="B54" s="21">
        <f>(B44/(SQRT(1-(B43^4))))*B45*(PI()/4)*((B50)^2)*(SQRT(2*B36*B28))</f>
        <v>5.0001606836347321</v>
      </c>
      <c r="C54" s="3" t="s">
        <v>21</v>
      </c>
      <c r="E54" s="3" t="s">
        <v>50</v>
      </c>
      <c r="F54" s="35">
        <f>(F38/(SQRT(1-(F37^4))))*F41*(PI()/4)*((F36)^2)*(SQRT(2*F52*B28))</f>
        <v>5.0000441659424579</v>
      </c>
      <c r="G54" s="3" t="s">
        <v>21</v>
      </c>
    </row>
    <row r="55" spans="1:7" x14ac:dyDescent="0.25">
      <c r="B55" s="3" t="s">
        <v>102</v>
      </c>
    </row>
    <row r="62" spans="1:7" x14ac:dyDescent="0.25">
      <c r="A62" s="27"/>
      <c r="B62" s="36" t="s">
        <v>88</v>
      </c>
      <c r="C62" s="36"/>
      <c r="D62" s="36"/>
      <c r="E62" s="27"/>
      <c r="F62" s="26"/>
    </row>
    <row r="63" spans="1:7" x14ac:dyDescent="0.25">
      <c r="A63" s="27"/>
      <c r="B63" s="27" t="s">
        <v>87</v>
      </c>
      <c r="C63" s="27" t="s">
        <v>86</v>
      </c>
      <c r="D63" s="27" t="s">
        <v>85</v>
      </c>
      <c r="E63" s="27" t="s">
        <v>84</v>
      </c>
      <c r="F63" s="26" t="s">
        <v>83</v>
      </c>
    </row>
    <row r="64" spans="1:7" ht="15" customHeight="1" x14ac:dyDescent="0.25">
      <c r="A64" s="27" t="s">
        <v>82</v>
      </c>
      <c r="B64" s="27">
        <v>12.5</v>
      </c>
      <c r="C64" s="27">
        <v>12.5</v>
      </c>
      <c r="D64" s="27">
        <v>12.5</v>
      </c>
      <c r="E64" s="27" t="s">
        <v>53</v>
      </c>
      <c r="F64" s="26" t="s">
        <v>81</v>
      </c>
    </row>
    <row r="65" spans="1:6" x14ac:dyDescent="0.25">
      <c r="A65" s="27" t="s">
        <v>80</v>
      </c>
      <c r="B65" s="27">
        <v>50</v>
      </c>
      <c r="C65" s="27">
        <v>50</v>
      </c>
      <c r="D65" s="27">
        <v>50</v>
      </c>
      <c r="E65" s="27" t="s">
        <v>53</v>
      </c>
      <c r="F65" s="26" t="s">
        <v>79</v>
      </c>
    </row>
    <row r="66" spans="1:6" x14ac:dyDescent="0.25">
      <c r="A66" s="27" t="s">
        <v>78</v>
      </c>
      <c r="B66" s="27">
        <v>1000</v>
      </c>
      <c r="C66" s="27">
        <v>1000</v>
      </c>
      <c r="D66" s="27">
        <v>1000</v>
      </c>
      <c r="E66" s="27" t="s">
        <v>53</v>
      </c>
      <c r="F66" s="26" t="s">
        <v>77</v>
      </c>
    </row>
    <row r="67" spans="1:6" x14ac:dyDescent="0.25">
      <c r="A67" s="31" t="s">
        <v>76</v>
      </c>
      <c r="B67" s="27">
        <v>0.1</v>
      </c>
      <c r="C67" s="27">
        <v>0.1</v>
      </c>
      <c r="D67" s="27">
        <v>0.1</v>
      </c>
      <c r="E67" s="27"/>
      <c r="F67" s="26" t="s">
        <v>75</v>
      </c>
    </row>
    <row r="68" spans="1:6" x14ac:dyDescent="0.25">
      <c r="A68" s="31" t="s">
        <v>74</v>
      </c>
      <c r="B68" s="27">
        <v>0.75</v>
      </c>
      <c r="C68" s="27">
        <v>0.75</v>
      </c>
      <c r="D68" s="27">
        <v>0.75</v>
      </c>
      <c r="E68" s="27"/>
      <c r="F68" s="26" t="s">
        <v>73</v>
      </c>
    </row>
    <row r="69" spans="1:6" x14ac:dyDescent="0.25">
      <c r="A69" s="31" t="s">
        <v>71</v>
      </c>
      <c r="B69" s="27">
        <v>5000</v>
      </c>
      <c r="C69" s="31" t="s">
        <v>70</v>
      </c>
      <c r="D69" s="27">
        <v>5000</v>
      </c>
      <c r="E69" s="30" t="s">
        <v>72</v>
      </c>
      <c r="F69" s="26" t="s">
        <v>67</v>
      </c>
    </row>
    <row r="70" spans="1:6" x14ac:dyDescent="0.25">
      <c r="A70" s="31" t="s">
        <v>71</v>
      </c>
      <c r="B70" s="29" t="s">
        <v>69</v>
      </c>
      <c r="C70" s="31" t="s">
        <v>70</v>
      </c>
      <c r="D70" s="29" t="s">
        <v>69</v>
      </c>
      <c r="E70" s="31" t="s">
        <v>68</v>
      </c>
      <c r="F70" s="26" t="s">
        <v>67</v>
      </c>
    </row>
    <row r="71" spans="1:6" x14ac:dyDescent="0.25">
      <c r="A71" s="31" t="s">
        <v>66</v>
      </c>
      <c r="B71" s="27">
        <v>0.75</v>
      </c>
      <c r="C71" s="27">
        <v>0.75</v>
      </c>
      <c r="D71" s="27">
        <v>0.75</v>
      </c>
      <c r="E71" s="27"/>
      <c r="F71" s="26" t="s">
        <v>65</v>
      </c>
    </row>
    <row r="72" spans="1:6" x14ac:dyDescent="0.25">
      <c r="A72" s="27"/>
      <c r="B72" s="27"/>
      <c r="C72" s="27"/>
      <c r="D72" s="27"/>
      <c r="E72" s="27"/>
      <c r="F72" s="26"/>
    </row>
    <row r="73" spans="1:6" x14ac:dyDescent="0.25">
      <c r="A73" s="27"/>
      <c r="B73" s="27"/>
      <c r="C73" s="27"/>
      <c r="D73" s="27"/>
      <c r="E73" s="27"/>
      <c r="F73" s="26"/>
    </row>
  </sheetData>
  <mergeCells count="1">
    <mergeCell ref="B62:D62"/>
  </mergeCells>
  <conditionalFormatting sqref="A10:C10 A8:C8">
    <cfRule type="expression" dxfId="4" priority="1">
      <formula>$B$4="Liquid"</formula>
    </cfRule>
  </conditionalFormatting>
  <dataValidations count="2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zoomScale="80" zoomScaleNormal="80" workbookViewId="0">
      <selection sqref="A1:G1"/>
    </sheetView>
  </sheetViews>
  <sheetFormatPr defaultRowHeight="15" x14ac:dyDescent="0.25"/>
  <cols>
    <col min="1" max="1" width="38.710937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8.710937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37" t="s">
        <v>118</v>
      </c>
      <c r="B1" s="38" t="s">
        <v>122</v>
      </c>
      <c r="E1" s="39" t="s">
        <v>119</v>
      </c>
      <c r="F1" s="40" t="s">
        <v>129</v>
      </c>
      <c r="G1" s="41" t="s">
        <v>130</v>
      </c>
    </row>
    <row r="2" spans="1:8" hidden="1" x14ac:dyDescent="0.25">
      <c r="A2" s="1"/>
      <c r="B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9" x14ac:dyDescent="0.25">
      <c r="A33" s="14" t="s">
        <v>36</v>
      </c>
      <c r="B33" s="15">
        <f>(B28*B31*B29)/(B32)</f>
        <v>3123709.7938161492</v>
      </c>
      <c r="C33" s="16"/>
    </row>
    <row r="36" spans="1:9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9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9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IF(B33&lt;(500*F37),0.734,0.73)</f>
        <v>0.73</v>
      </c>
    </row>
    <row r="39" spans="1:9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9" ht="18" x14ac:dyDescent="0.35">
      <c r="A40" s="3" t="s">
        <v>47</v>
      </c>
      <c r="B40" s="23">
        <f>(1+((0.734/B39))^2)^-0.25</f>
        <v>0.39881658563379752</v>
      </c>
      <c r="E40" s="3" t="s">
        <v>62</v>
      </c>
      <c r="F40" s="3">
        <f>((B27/((F38/(SQRT(1-(F37^4))))*F39*(PI()/4)*(F36^2)))^2)/(2*B28)</f>
        <v>22257.716305686361</v>
      </c>
      <c r="G40" s="3" t="s">
        <v>19</v>
      </c>
    </row>
    <row r="41" spans="1:9" ht="18" x14ac:dyDescent="0.35">
      <c r="A41" s="3" t="s">
        <v>48</v>
      </c>
      <c r="B41" s="23">
        <f>IF(B33&lt;(500*B40),0.734,0.73)</f>
        <v>0.73</v>
      </c>
      <c r="E41" s="3" t="s">
        <v>57</v>
      </c>
      <c r="F41" s="3">
        <f>IF(Fluid_in="Liquid",1,(1-((0.41+(0.35*(B40^4)))*(B36/B25)/Isentropic)))</f>
        <v>0.99817540024425833</v>
      </c>
    </row>
    <row r="42" spans="1:9" ht="18" x14ac:dyDescent="0.35">
      <c r="A42" s="3" t="s">
        <v>49</v>
      </c>
      <c r="B42" s="23">
        <f>IF(Fluid_in="Liquid",1,(1-((0.41+(0.35*(B40^4)))*(B36/B25)/Isentropic)))</f>
        <v>0.99817540024425833</v>
      </c>
      <c r="F42" s="23"/>
    </row>
    <row r="43" spans="1:9" ht="18" x14ac:dyDescent="0.35">
      <c r="A43" s="3" t="s">
        <v>55</v>
      </c>
      <c r="B43" s="23">
        <f>((1+((B41*B42/B39))^2)^-0.25)</f>
        <v>0.4002359010314408</v>
      </c>
      <c r="F43" s="23"/>
      <c r="I43" s="23"/>
    </row>
    <row r="44" spans="1:9" ht="18" x14ac:dyDescent="0.35">
      <c r="A44" s="3" t="s">
        <v>56</v>
      </c>
      <c r="B44" s="23">
        <f>IF(B33&lt;(500*B43),0.734,0.73)</f>
        <v>0.73</v>
      </c>
      <c r="F44" s="23"/>
      <c r="I44" s="23"/>
    </row>
    <row r="45" spans="1:9" ht="18" x14ac:dyDescent="0.35">
      <c r="A45" s="3" t="s">
        <v>57</v>
      </c>
      <c r="B45" s="23">
        <f>IF(Fluid_in="Liquid",1,(1-((0.41+(0.35*(B43^4)))*(B36/B25)/Isentropic)))</f>
        <v>0.99817484823196612</v>
      </c>
      <c r="I45" s="23"/>
    </row>
    <row r="46" spans="1:9" x14ac:dyDescent="0.25">
      <c r="B46" s="20"/>
      <c r="C46" s="17"/>
      <c r="D46" s="18"/>
    </row>
    <row r="47" spans="1:9" x14ac:dyDescent="0.25">
      <c r="A47" s="3" t="s">
        <v>52</v>
      </c>
      <c r="B47" s="19">
        <f>B43*B29</f>
        <v>8.1569065318545464E-2</v>
      </c>
      <c r="C47" s="22" t="s">
        <v>23</v>
      </c>
      <c r="D47" s="17"/>
    </row>
    <row r="48" spans="1:9" x14ac:dyDescent="0.25">
      <c r="A48" s="3" t="s">
        <v>51</v>
      </c>
      <c r="B48" s="3">
        <f>B47/(1+Input!C16*(B26-293.15))</f>
        <v>8.1018286801213452E-2</v>
      </c>
      <c r="C48" s="3" t="s">
        <v>23</v>
      </c>
    </row>
    <row r="49" spans="1:7" ht="18.75" x14ac:dyDescent="0.3">
      <c r="A49" s="3" t="s">
        <v>54</v>
      </c>
      <c r="B49" s="24">
        <f>B48*1000</f>
        <v>81.018286801213449</v>
      </c>
      <c r="C49" s="3" t="s">
        <v>53</v>
      </c>
      <c r="E49" s="3" t="s">
        <v>62</v>
      </c>
      <c r="F49" s="24">
        <f>((B27/((F38/(SQRT(1-(F37^4))))*F41*(PI()/4)*(F36^2)))^2)/(2*B28)</f>
        <v>22339.161993981852</v>
      </c>
      <c r="G49" s="3" t="s">
        <v>19</v>
      </c>
    </row>
    <row r="51" spans="1:7" x14ac:dyDescent="0.25">
      <c r="A51" s="3" t="s">
        <v>50</v>
      </c>
      <c r="B51" s="21">
        <f>(B41/(SQRT(1-(B43^4))))*B45*(PI()/4)*((B47)^2)*(SQRT(2*B36*B28))</f>
        <v>4.9999977552204982</v>
      </c>
      <c r="C51" s="3" t="s">
        <v>21</v>
      </c>
      <c r="E51" s="3" t="s">
        <v>50</v>
      </c>
      <c r="F51" s="21">
        <f>(F38/(SQRT(1-(F37^4))))*F41*(PI()/4)*((F37*B29)^2)*(SQRT(2*F49*B28))</f>
        <v>5</v>
      </c>
      <c r="G51" s="3" t="s">
        <v>21</v>
      </c>
    </row>
    <row r="53" spans="1:7" x14ac:dyDescent="0.25">
      <c r="B53" s="3" t="s">
        <v>92</v>
      </c>
    </row>
    <row r="58" spans="1:7" x14ac:dyDescent="0.25">
      <c r="A58" s="27"/>
      <c r="B58" s="36" t="s">
        <v>88</v>
      </c>
      <c r="C58" s="36"/>
      <c r="D58" s="36"/>
      <c r="E58" s="27"/>
      <c r="F58" s="26"/>
    </row>
    <row r="59" spans="1:7" x14ac:dyDescent="0.25">
      <c r="A59" s="27"/>
      <c r="B59" s="27"/>
      <c r="C59" s="27" t="s">
        <v>84</v>
      </c>
      <c r="D59" s="26" t="s">
        <v>83</v>
      </c>
    </row>
    <row r="60" spans="1:7" ht="15" customHeight="1" x14ac:dyDescent="0.25">
      <c r="A60" s="27" t="s">
        <v>82</v>
      </c>
      <c r="B60" s="27">
        <v>6</v>
      </c>
      <c r="C60" s="27" t="s">
        <v>53</v>
      </c>
      <c r="D60" s="26" t="s">
        <v>81</v>
      </c>
    </row>
    <row r="61" spans="1:7" x14ac:dyDescent="0.25">
      <c r="A61" s="27" t="s">
        <v>80</v>
      </c>
      <c r="B61" s="27">
        <v>50</v>
      </c>
      <c r="C61" s="27" t="s">
        <v>53</v>
      </c>
      <c r="D61" s="26" t="s">
        <v>79</v>
      </c>
    </row>
    <row r="62" spans="1:7" x14ac:dyDescent="0.25">
      <c r="A62" s="27" t="s">
        <v>78</v>
      </c>
      <c r="B62" s="27">
        <v>500</v>
      </c>
      <c r="C62" s="27" t="s">
        <v>53</v>
      </c>
      <c r="D62" s="26" t="s">
        <v>77</v>
      </c>
    </row>
    <row r="63" spans="1:7" x14ac:dyDescent="0.25">
      <c r="A63" s="28" t="s">
        <v>76</v>
      </c>
      <c r="B63" s="27">
        <v>0.1</v>
      </c>
      <c r="C63" s="27"/>
      <c r="D63" s="26" t="s">
        <v>75</v>
      </c>
    </row>
    <row r="64" spans="1:7" x14ac:dyDescent="0.25">
      <c r="A64" s="28" t="s">
        <v>74</v>
      </c>
      <c r="B64" s="27">
        <v>0.316</v>
      </c>
      <c r="C64" s="27"/>
      <c r="D64" s="26" t="s">
        <v>73</v>
      </c>
    </row>
    <row r="65" spans="1:6" x14ac:dyDescent="0.25">
      <c r="A65" s="28" t="s">
        <v>71</v>
      </c>
      <c r="B65" s="27">
        <v>80</v>
      </c>
      <c r="C65" s="30"/>
      <c r="D65" s="26" t="s">
        <v>67</v>
      </c>
    </row>
    <row r="66" spans="1:6" x14ac:dyDescent="0.25">
      <c r="A66" s="28" t="s">
        <v>90</v>
      </c>
      <c r="B66" s="28" t="s">
        <v>89</v>
      </c>
      <c r="C66" s="28"/>
      <c r="D66" s="26" t="s">
        <v>91</v>
      </c>
    </row>
    <row r="67" spans="1:6" x14ac:dyDescent="0.25">
      <c r="A67" s="28" t="s">
        <v>66</v>
      </c>
      <c r="B67" s="27">
        <v>0.75</v>
      </c>
      <c r="C67" s="27"/>
      <c r="D67" s="26" t="s">
        <v>65</v>
      </c>
      <c r="E67" s="27"/>
    </row>
    <row r="68" spans="1:6" x14ac:dyDescent="0.25">
      <c r="A68" s="27"/>
      <c r="B68" s="27"/>
      <c r="C68" s="27"/>
      <c r="D68" s="27"/>
      <c r="E68" s="27"/>
      <c r="F68" s="26"/>
    </row>
  </sheetData>
  <mergeCells count="1">
    <mergeCell ref="B58:D58"/>
  </mergeCells>
  <conditionalFormatting sqref="A10:C10 A8:C8">
    <cfRule type="expression" dxfId="3" priority="1">
      <formula>$B$4="Liquid"</formula>
    </cfRule>
  </conditionalFormatting>
  <dataValidations count="2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1"/>
  <sheetViews>
    <sheetView zoomScale="80" zoomScaleNormal="80" workbookViewId="0">
      <selection activeCell="C1" sqref="C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15.85546875" style="3" customWidth="1"/>
    <col min="5" max="5" width="37" style="3" bestFit="1" customWidth="1"/>
    <col min="6" max="6" width="17.28515625" style="3" bestFit="1" customWidth="1"/>
    <col min="7" max="10" width="15" style="3" customWidth="1"/>
    <col min="11" max="16384" width="9.140625" style="3"/>
  </cols>
  <sheetData>
    <row r="1" spans="1:8" x14ac:dyDescent="0.25">
      <c r="A1" s="1" t="s">
        <v>2</v>
      </c>
      <c r="B1" s="2" t="s">
        <v>133</v>
      </c>
      <c r="C1" s="39" t="s">
        <v>119</v>
      </c>
      <c r="D1" s="40" t="s">
        <v>134</v>
      </c>
      <c r="E1" s="41" t="s">
        <v>131</v>
      </c>
    </row>
    <row r="2" spans="1:8" x14ac:dyDescent="0.25">
      <c r="A2" s="1"/>
      <c r="B2" s="2"/>
      <c r="D2" s="40" t="s">
        <v>135</v>
      </c>
      <c r="E2" s="41" t="s">
        <v>132</v>
      </c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15" hidden="1" x14ac:dyDescent="0.25"/>
    <row r="18" spans="1:15" hidden="1" x14ac:dyDescent="0.25"/>
    <row r="19" spans="1:15" hidden="1" x14ac:dyDescent="0.25"/>
    <row r="20" spans="1:15" hidden="1" x14ac:dyDescent="0.25"/>
    <row r="21" spans="1:15" hidden="1" x14ac:dyDescent="0.25"/>
    <row r="22" spans="1:15" hidden="1" x14ac:dyDescent="0.25"/>
    <row r="23" spans="1:15" hidden="1" x14ac:dyDescent="0.25"/>
    <row r="24" spans="1:15" x14ac:dyDescent="0.25">
      <c r="F24" s="3" t="s">
        <v>103</v>
      </c>
      <c r="G24" s="3" t="s">
        <v>105</v>
      </c>
      <c r="H24" s="3" t="s">
        <v>104</v>
      </c>
      <c r="I24" s="3" t="s">
        <v>106</v>
      </c>
      <c r="J24" s="3" t="s">
        <v>107</v>
      </c>
      <c r="K24" s="3" t="s">
        <v>110</v>
      </c>
      <c r="L24" s="3" t="s">
        <v>111</v>
      </c>
      <c r="M24" s="3" t="s">
        <v>112</v>
      </c>
      <c r="N24" s="3" t="s">
        <v>113</v>
      </c>
      <c r="O24" s="3" t="s">
        <v>114</v>
      </c>
    </row>
    <row r="25" spans="1:15" x14ac:dyDescent="0.25">
      <c r="A25" s="7" t="s">
        <v>28</v>
      </c>
      <c r="B25" s="8">
        <f>OpPress</f>
        <v>5101325</v>
      </c>
      <c r="C25" s="9" t="s">
        <v>19</v>
      </c>
      <c r="D25" s="3" t="s">
        <v>109</v>
      </c>
      <c r="E25" s="41" t="s">
        <v>131</v>
      </c>
      <c r="F25" s="3">
        <v>0.5917</v>
      </c>
      <c r="G25" s="3">
        <v>0.30609999999999998</v>
      </c>
      <c r="H25" s="3">
        <v>0.34060000000000001</v>
      </c>
      <c r="I25" s="3">
        <v>-0.1019</v>
      </c>
      <c r="J25" s="3">
        <v>-0.27150000000000002</v>
      </c>
      <c r="K25" s="3">
        <v>7.3</v>
      </c>
      <c r="L25" s="3">
        <v>-15.7</v>
      </c>
      <c r="M25" s="3">
        <v>170.8</v>
      </c>
      <c r="N25" s="3">
        <v>-399.7</v>
      </c>
      <c r="O25" s="3">
        <v>332.2</v>
      </c>
    </row>
    <row r="26" spans="1:15" x14ac:dyDescent="0.25">
      <c r="A26" s="10" t="s">
        <v>29</v>
      </c>
      <c r="B26" s="11">
        <f>OpTemp</f>
        <v>673.15</v>
      </c>
      <c r="C26" s="12" t="s">
        <v>20</v>
      </c>
      <c r="D26" s="3" t="s">
        <v>109</v>
      </c>
      <c r="E26" s="41" t="s">
        <v>132</v>
      </c>
      <c r="F26" s="3">
        <v>0.58660000000000001</v>
      </c>
      <c r="G26" s="3">
        <v>0.39169999999999999</v>
      </c>
      <c r="H26" s="3">
        <v>0.75860000000000005</v>
      </c>
      <c r="I26" s="3">
        <v>-0.2273</v>
      </c>
      <c r="J26" s="3">
        <v>-0.33429999999999999</v>
      </c>
      <c r="K26" s="3">
        <v>69.099999999999994</v>
      </c>
      <c r="L26" s="3">
        <v>-469.4</v>
      </c>
      <c r="M26" s="3">
        <v>1245.5999999999999</v>
      </c>
      <c r="N26" s="3">
        <v>-1287.5</v>
      </c>
      <c r="O26" s="3">
        <v>486.2</v>
      </c>
    </row>
    <row r="27" spans="1:15" x14ac:dyDescent="0.25">
      <c r="A27" s="10" t="s">
        <v>30</v>
      </c>
      <c r="B27" s="11">
        <f>Flow</f>
        <v>5</v>
      </c>
      <c r="C27" s="12" t="s">
        <v>21</v>
      </c>
      <c r="F27" s="3">
        <f>VLOOKUP($B$1,$E$25:$J$26,2,0)</f>
        <v>0.5917</v>
      </c>
      <c r="G27" s="3">
        <f>VLOOKUP($B$1,$E$25:$J$26,3,0)</f>
        <v>0.30609999999999998</v>
      </c>
      <c r="H27" s="3">
        <f>VLOOKUP($B$1,$E$25:$J$26,4,0)</f>
        <v>0.34060000000000001</v>
      </c>
      <c r="I27" s="3">
        <f>VLOOKUP($B$1,$E$25:$J$26,5,0)</f>
        <v>-0.1019</v>
      </c>
      <c r="J27" s="3">
        <f>VLOOKUP($B$1,$E$25:$J$26,6,0)</f>
        <v>-0.27150000000000002</v>
      </c>
      <c r="K27" s="3">
        <f>VLOOKUP($B$1,$E$25:$O$26,7,0)</f>
        <v>7.3</v>
      </c>
      <c r="L27" s="3">
        <f>VLOOKUP($B$1,$E$25:$O$26,8,0)</f>
        <v>-15.7</v>
      </c>
      <c r="M27" s="3">
        <f>VLOOKUP($B$1,$E$25:$O$26,9,0)</f>
        <v>170.8</v>
      </c>
      <c r="N27" s="3">
        <f>VLOOKUP($B$1,$E$25:$O$26,10,0)</f>
        <v>-399.7</v>
      </c>
      <c r="O27" s="3">
        <f>VLOOKUP($B$1,$E$25:$O$26,11,0)</f>
        <v>332.2</v>
      </c>
    </row>
    <row r="28" spans="1:15" x14ac:dyDescent="0.25">
      <c r="A28" s="10" t="s">
        <v>31</v>
      </c>
      <c r="B28" s="11">
        <f>OpDens</f>
        <v>28</v>
      </c>
      <c r="C28" s="13" t="s">
        <v>22</v>
      </c>
    </row>
    <row r="29" spans="1:15" x14ac:dyDescent="0.25">
      <c r="A29" s="10" t="s">
        <v>32</v>
      </c>
      <c r="B29" s="11">
        <f>(ID)*(1+Input!C15*(B26-293.15))</f>
        <v>0.203802470264</v>
      </c>
      <c r="C29" s="12" t="s">
        <v>23</v>
      </c>
      <c r="D29" s="3" t="s">
        <v>108</v>
      </c>
      <c r="E29" s="41" t="s">
        <v>131</v>
      </c>
      <c r="F29" s="3">
        <v>0.60160000000000002</v>
      </c>
      <c r="G29" s="3">
        <v>0.33119999999999999</v>
      </c>
      <c r="H29" s="3">
        <v>-1.5581</v>
      </c>
      <c r="I29" s="3">
        <v>0.65100000000000002</v>
      </c>
      <c r="J29" s="3">
        <v>-0.73080000000000001</v>
      </c>
      <c r="K29" s="3">
        <v>-139.69999999999999</v>
      </c>
      <c r="L29" s="3">
        <v>1328.8</v>
      </c>
      <c r="M29" s="3">
        <v>-4228.2</v>
      </c>
      <c r="N29" s="3">
        <v>5691.9</v>
      </c>
      <c r="O29" s="3">
        <v>-2710.4</v>
      </c>
    </row>
    <row r="30" spans="1:15" x14ac:dyDescent="0.25">
      <c r="A30" s="10" t="s">
        <v>33</v>
      </c>
      <c r="B30" s="11">
        <f>((B29/2)^2)*PI()</f>
        <v>3.2621863699927804E-2</v>
      </c>
      <c r="C30" s="12" t="s">
        <v>24</v>
      </c>
      <c r="D30" s="3" t="s">
        <v>108</v>
      </c>
      <c r="E30" s="41" t="s">
        <v>132</v>
      </c>
      <c r="F30" s="3">
        <v>0.60370000000000001</v>
      </c>
      <c r="G30" s="3">
        <v>0.1598</v>
      </c>
      <c r="H30" s="3">
        <v>-0.2918</v>
      </c>
      <c r="I30" s="3">
        <v>2.4400000000000002E-2</v>
      </c>
      <c r="J30" s="3">
        <v>-7.9000000000000001E-2</v>
      </c>
      <c r="K30" s="3">
        <v>-103.2</v>
      </c>
      <c r="L30" s="3">
        <v>898.3</v>
      </c>
      <c r="M30" s="3">
        <v>-2557.3000000000002</v>
      </c>
      <c r="N30" s="3">
        <v>2977</v>
      </c>
      <c r="O30" s="3">
        <v>-1131.3</v>
      </c>
    </row>
    <row r="31" spans="1:15" x14ac:dyDescent="0.25">
      <c r="A31" s="10" t="s">
        <v>34</v>
      </c>
      <c r="B31" s="11">
        <f>(Flow/B28)/B30</f>
        <v>5.4739799728800831</v>
      </c>
      <c r="C31" s="12" t="s">
        <v>25</v>
      </c>
      <c r="F31" s="3">
        <f>VLOOKUP($B$1,E29:J30,2,0)</f>
        <v>0.60160000000000002</v>
      </c>
      <c r="G31" s="3">
        <f>VLOOKUP($B$1,$E$29:$J$30,3,0)</f>
        <v>0.33119999999999999</v>
      </c>
      <c r="H31" s="3">
        <f>VLOOKUP($B$1,$E$29:$J$30,4,0)</f>
        <v>-1.5581</v>
      </c>
      <c r="I31" s="3">
        <f>VLOOKUP($B$1,$E$29:$J$30,5,0)</f>
        <v>0.65100000000000002</v>
      </c>
      <c r="J31" s="3">
        <f>VLOOKUP($B$1,$E$29:$J$30,6,0)</f>
        <v>-0.73080000000000001</v>
      </c>
      <c r="K31" s="3">
        <f>VLOOKUP($B$1,$E$29:O$30,7,0)</f>
        <v>-139.69999999999999</v>
      </c>
      <c r="L31" s="3">
        <f>VLOOKUP($B$1,$E$29:P$30,8,0)</f>
        <v>1328.8</v>
      </c>
      <c r="M31" s="3">
        <f>VLOOKUP($B$1,$E$29:Q$30,9,0)</f>
        <v>-4228.2</v>
      </c>
      <c r="N31" s="3">
        <f>VLOOKUP($B$1,$E$29:R$30,10,0)</f>
        <v>5691.9</v>
      </c>
      <c r="O31" s="3">
        <f>VLOOKUP($B$1,$E$29:S$30,11,0)</f>
        <v>-2710.4</v>
      </c>
    </row>
    <row r="32" spans="1:15" x14ac:dyDescent="0.25">
      <c r="A32" s="10" t="s">
        <v>35</v>
      </c>
      <c r="B32" s="11">
        <f>Visc</f>
        <v>1.0000000000000001E-5</v>
      </c>
      <c r="C32" s="12" t="s">
        <v>26</v>
      </c>
    </row>
    <row r="33" spans="1:15" x14ac:dyDescent="0.25">
      <c r="A33" s="14" t="s">
        <v>36</v>
      </c>
      <c r="B33" s="15">
        <f>(B28*B31*B29)/(B32)</f>
        <v>3123709.7938161492</v>
      </c>
      <c r="C33" s="16"/>
      <c r="F33" s="3">
        <f t="shared" ref="F33:O33" si="0">IF($B$29&gt;0.1,F31,F27)</f>
        <v>0.60160000000000002</v>
      </c>
      <c r="G33" s="3">
        <f t="shared" si="0"/>
        <v>0.33119999999999999</v>
      </c>
      <c r="H33" s="3">
        <f t="shared" si="0"/>
        <v>-1.5581</v>
      </c>
      <c r="I33" s="3">
        <f t="shared" si="0"/>
        <v>0.65100000000000002</v>
      </c>
      <c r="J33" s="3">
        <f t="shared" si="0"/>
        <v>-0.73080000000000001</v>
      </c>
      <c r="K33" s="3">
        <f t="shared" si="0"/>
        <v>-139.69999999999999</v>
      </c>
      <c r="L33" s="3">
        <f t="shared" si="0"/>
        <v>1328.8</v>
      </c>
      <c r="M33" s="3">
        <f t="shared" si="0"/>
        <v>-4228.2</v>
      </c>
      <c r="N33" s="3">
        <f t="shared" si="0"/>
        <v>5691.9</v>
      </c>
      <c r="O33" s="3">
        <f t="shared" si="0"/>
        <v>-2710.4</v>
      </c>
    </row>
    <row r="36" spans="1:15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15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15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F33+(G33*(F37^2.1))+(H33*(F37^8))+(I33*(F37^4)/((1-(F37^4))))+(J33*(F37^3))+((K33+(L33*F37)+(M33*(F37^2))+(N33*(F37^4)))/(B33^0.75))</f>
        <v>0.61890442470043439</v>
      </c>
    </row>
    <row r="39" spans="1:15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15" ht="18" x14ac:dyDescent="0.35">
      <c r="A40" s="3" t="s">
        <v>47</v>
      </c>
      <c r="B40" s="23">
        <f>((1+((0.607/B39)+0.088)^2)^-0.25)</f>
        <v>0.43371685367320933</v>
      </c>
      <c r="E40" s="3" t="s">
        <v>62</v>
      </c>
      <c r="F40" s="3">
        <f>((B27/((F38/(SQRT(1-(F37^4))))*F39*(PI()/4)*(F36^2)))^2)/(2*B28)</f>
        <v>30965.574920296687</v>
      </c>
      <c r="G40" s="3" t="s">
        <v>19</v>
      </c>
    </row>
    <row r="41" spans="1:15" ht="18" x14ac:dyDescent="0.35">
      <c r="A41" s="3" t="s">
        <v>48</v>
      </c>
      <c r="B41" s="23">
        <f>F33+(G33*(B40^2.1))+(H33*(B40^8))+(I33*(B40^4)/((1-(B40^4))))+(J33*(B40^3))+((K33+(L33*B40)+(M33*(B40^2))+(N33*(B40^4)))/(B33^0.75))</f>
        <v>0.61909815894200515</v>
      </c>
      <c r="E41" s="3" t="s">
        <v>61</v>
      </c>
      <c r="F41" s="3">
        <f>IF(Fluid_in="Liquid",1,(1-((0.1926+(0.574*F37)+(0.9675*(F37^2))-(4.24*(F37^3))+(3.62*(F37^4)))*(F40/B25)/Isentropic)))</f>
        <v>0.99817922344914123</v>
      </c>
    </row>
    <row r="42" spans="1:15" ht="18" x14ac:dyDescent="0.35">
      <c r="A42" s="3" t="s">
        <v>49</v>
      </c>
      <c r="B42" s="23">
        <f>IF(Fluid_in="Liquid",1,(1-((0.1926+(0.574*B40)+(0.9675*(B40^2))-(4.24*(B40^3))+(3.62*(B40^4)))*(B36/B25)/Isentropic)))</f>
        <v>0.99823262285909387</v>
      </c>
    </row>
    <row r="43" spans="1:15" ht="18" x14ac:dyDescent="0.35">
      <c r="A43" s="3" t="s">
        <v>55</v>
      </c>
      <c r="B43" s="23">
        <f>((1+(((B41*B42)/B39))^2)^-0.25)</f>
        <v>0.4335144339365482</v>
      </c>
    </row>
    <row r="44" spans="1:15" x14ac:dyDescent="0.25">
      <c r="B44" s="20"/>
      <c r="C44" s="17"/>
      <c r="D44" s="18"/>
    </row>
    <row r="45" spans="1:15" x14ac:dyDescent="0.25">
      <c r="A45" s="3" t="s">
        <v>52</v>
      </c>
      <c r="B45" s="19">
        <f>B43*B29</f>
        <v>8.8351312531368159E-2</v>
      </c>
      <c r="C45" s="22" t="s">
        <v>23</v>
      </c>
      <c r="D45" s="17"/>
    </row>
    <row r="46" spans="1:15" x14ac:dyDescent="0.25">
      <c r="A46" s="3" t="s">
        <v>51</v>
      </c>
      <c r="B46" s="3">
        <f>B45/(1+Input!C16*(B26-293.15))</f>
        <v>8.7754738269663332E-2</v>
      </c>
      <c r="C46" s="3" t="s">
        <v>23</v>
      </c>
    </row>
    <row r="47" spans="1:15" ht="18.75" x14ac:dyDescent="0.3">
      <c r="A47" s="3" t="s">
        <v>54</v>
      </c>
      <c r="B47" s="24">
        <f>B46*1000</f>
        <v>87.754738269663335</v>
      </c>
      <c r="C47" s="3" t="s">
        <v>53</v>
      </c>
      <c r="E47" s="3" t="s">
        <v>62</v>
      </c>
      <c r="F47" s="24">
        <f>((B27/((F38/(SQRT(1-(F37^4))))*F41*(PI()/4)*(F36^2)))^2)/(2*B28)</f>
        <v>31078.646428821263</v>
      </c>
      <c r="G47" s="3" t="s">
        <v>19</v>
      </c>
    </row>
    <row r="49" spans="1:7" x14ac:dyDescent="0.25">
      <c r="B49" s="3" t="s">
        <v>58</v>
      </c>
    </row>
    <row r="51" spans="1:7" x14ac:dyDescent="0.25">
      <c r="A51" s="3" t="s">
        <v>50</v>
      </c>
      <c r="B51" s="21">
        <f>(B41/(SQRT(1-(B43^4))))*B42*(PI()/4)*((B45)^2)*(SQRT(2*B36*B28))</f>
        <v>5.0000005203274602</v>
      </c>
      <c r="C51" s="3" t="s">
        <v>21</v>
      </c>
      <c r="E51" s="3" t="s">
        <v>50</v>
      </c>
      <c r="F51" s="21">
        <f>(F38/(SQRT(1-(F37^4))))*F41*(PI()/4)*((F36)^2)*(SQRT(2*F47*B28))</f>
        <v>5</v>
      </c>
      <c r="G51" s="3" t="s">
        <v>21</v>
      </c>
    </row>
    <row r="57" spans="1:7" x14ac:dyDescent="0.25">
      <c r="A57" s="27"/>
      <c r="B57" s="36" t="s">
        <v>88</v>
      </c>
      <c r="C57" s="36"/>
      <c r="D57" s="36"/>
    </row>
    <row r="58" spans="1:7" x14ac:dyDescent="0.25">
      <c r="A58" s="27"/>
      <c r="B58" s="27" t="s">
        <v>87</v>
      </c>
      <c r="C58" s="27" t="s">
        <v>84</v>
      </c>
      <c r="D58" s="26" t="s">
        <v>83</v>
      </c>
    </row>
    <row r="59" spans="1:7" x14ac:dyDescent="0.25">
      <c r="A59" s="27" t="s">
        <v>82</v>
      </c>
      <c r="B59" s="27">
        <v>50</v>
      </c>
      <c r="C59" s="27" t="s">
        <v>53</v>
      </c>
      <c r="D59" s="26" t="s">
        <v>81</v>
      </c>
    </row>
    <row r="60" spans="1:7" x14ac:dyDescent="0.25">
      <c r="A60" s="27" t="s">
        <v>80</v>
      </c>
      <c r="B60" s="27">
        <v>100</v>
      </c>
      <c r="C60" s="27" t="s">
        <v>53</v>
      </c>
      <c r="D60" s="26" t="s">
        <v>79</v>
      </c>
    </row>
    <row r="61" spans="1:7" x14ac:dyDescent="0.25">
      <c r="A61" s="27" t="s">
        <v>78</v>
      </c>
      <c r="B61" s="27">
        <v>1000</v>
      </c>
      <c r="C61" s="27" t="s">
        <v>53</v>
      </c>
      <c r="D61" s="26" t="s">
        <v>77</v>
      </c>
      <c r="E61" s="27"/>
      <c r="F61" s="26"/>
    </row>
    <row r="62" spans="1:7" x14ac:dyDescent="0.25">
      <c r="A62" s="31" t="s">
        <v>76</v>
      </c>
      <c r="B62" s="27">
        <v>0.46</v>
      </c>
      <c r="C62" s="27"/>
      <c r="D62" s="26" t="s">
        <v>75</v>
      </c>
    </row>
    <row r="63" spans="1:7" ht="15" customHeight="1" x14ac:dyDescent="0.25">
      <c r="A63" s="31" t="s">
        <v>74</v>
      </c>
      <c r="B63" s="27">
        <v>0.84</v>
      </c>
      <c r="C63" s="27"/>
      <c r="D63" s="26" t="s">
        <v>73</v>
      </c>
    </row>
    <row r="64" spans="1:7" x14ac:dyDescent="0.25">
      <c r="A64" s="31" t="s">
        <v>71</v>
      </c>
      <c r="B64" s="27" t="s">
        <v>93</v>
      </c>
      <c r="C64" s="30"/>
      <c r="D64" s="26" t="s">
        <v>67</v>
      </c>
    </row>
    <row r="65" spans="1:6" x14ac:dyDescent="0.25">
      <c r="A65" s="31" t="s">
        <v>90</v>
      </c>
      <c r="B65" s="31" t="s">
        <v>94</v>
      </c>
      <c r="C65" s="31"/>
      <c r="D65" s="26" t="s">
        <v>91</v>
      </c>
    </row>
    <row r="66" spans="1:6" x14ac:dyDescent="0.25">
      <c r="A66" s="31" t="s">
        <v>66</v>
      </c>
      <c r="B66" s="27">
        <v>0.75</v>
      </c>
      <c r="C66" s="27"/>
      <c r="D66" s="26" t="s">
        <v>65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10:C10 A8:C8">
    <cfRule type="expression" dxfId="2" priority="1">
      <formula>$B$4="Liquid"</formula>
    </cfRule>
  </conditionalFormatting>
  <dataValidations count="3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  <dataValidation type="list" allowBlank="1" showInputMessage="1" showErrorMessage="1" sqref="B1">
      <formula1>$E$1:$E$2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37" t="s">
        <v>118</v>
      </c>
      <c r="B1" s="38" t="s">
        <v>122</v>
      </c>
      <c r="E1" s="39" t="s">
        <v>119</v>
      </c>
      <c r="F1" s="40" t="s">
        <v>136</v>
      </c>
      <c r="G1" s="41" t="s">
        <v>137</v>
      </c>
    </row>
    <row r="2" spans="1:8" x14ac:dyDescent="0.25">
      <c r="A2" s="1"/>
      <c r="B2" s="2"/>
      <c r="E2" s="2"/>
      <c r="F2" s="40" t="s">
        <v>138</v>
      </c>
      <c r="G2" s="41" t="s">
        <v>139</v>
      </c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28</v>
      </c>
      <c r="B25" s="8">
        <f>OpPress</f>
        <v>5101325</v>
      </c>
      <c r="C25" s="9" t="s">
        <v>19</v>
      </c>
    </row>
    <row r="26" spans="1:3" x14ac:dyDescent="0.25">
      <c r="A26" s="10" t="s">
        <v>29</v>
      </c>
      <c r="B26" s="11">
        <f>OpTemp</f>
        <v>673.15</v>
      </c>
      <c r="C26" s="12" t="s">
        <v>20</v>
      </c>
    </row>
    <row r="27" spans="1:3" x14ac:dyDescent="0.25">
      <c r="A27" s="10" t="s">
        <v>30</v>
      </c>
      <c r="B27" s="11">
        <f>Flow</f>
        <v>5</v>
      </c>
      <c r="C27" s="12" t="s">
        <v>21</v>
      </c>
    </row>
    <row r="28" spans="1:3" x14ac:dyDescent="0.25">
      <c r="A28" s="10" t="s">
        <v>31</v>
      </c>
      <c r="B28" s="11">
        <f>OpDens</f>
        <v>28</v>
      </c>
      <c r="C28" s="13" t="s">
        <v>22</v>
      </c>
    </row>
    <row r="29" spans="1:3" x14ac:dyDescent="0.25">
      <c r="A29" s="10" t="s">
        <v>32</v>
      </c>
      <c r="B29" s="11">
        <f>(ID)*(1+Input!C15*(B26-293.15))</f>
        <v>0.203802470264</v>
      </c>
      <c r="C29" s="12" t="s">
        <v>23</v>
      </c>
    </row>
    <row r="30" spans="1:3" x14ac:dyDescent="0.25">
      <c r="A30" s="10" t="s">
        <v>33</v>
      </c>
      <c r="B30" s="11">
        <f>((B29/2)^2)*PI()</f>
        <v>3.2621863699927804E-2</v>
      </c>
      <c r="C30" s="12" t="s">
        <v>24</v>
      </c>
    </row>
    <row r="31" spans="1:3" x14ac:dyDescent="0.25">
      <c r="A31" s="10" t="s">
        <v>34</v>
      </c>
      <c r="B31" s="11">
        <f>(Flow/B28)/B30</f>
        <v>5.4739799728800831</v>
      </c>
      <c r="C31" s="12" t="s">
        <v>25</v>
      </c>
    </row>
    <row r="32" spans="1:3" x14ac:dyDescent="0.25">
      <c r="A32" s="10" t="s">
        <v>35</v>
      </c>
      <c r="B32" s="11">
        <f>Visc</f>
        <v>1.0000000000000001E-5</v>
      </c>
      <c r="C32" s="12" t="s">
        <v>26</v>
      </c>
    </row>
    <row r="33" spans="1:7" x14ac:dyDescent="0.25">
      <c r="A33" s="14" t="s">
        <v>36</v>
      </c>
      <c r="B33" s="15">
        <f>(B28*B31*B29)/(B32)</f>
        <v>3123709.7938161492</v>
      </c>
      <c r="C33" s="16"/>
    </row>
    <row r="36" spans="1:7" x14ac:dyDescent="0.25">
      <c r="A36" s="3" t="s">
        <v>41</v>
      </c>
      <c r="B36" s="3">
        <f>DP</f>
        <v>30000</v>
      </c>
      <c r="C36" s="3" t="s">
        <v>19</v>
      </c>
      <c r="E36" s="3" t="s">
        <v>64</v>
      </c>
      <c r="F36" s="3">
        <f>Bore*(1+Input!C16*(B26-293.15))</f>
        <v>8.7616885190513999E-2</v>
      </c>
      <c r="G36" s="3" t="s">
        <v>23</v>
      </c>
    </row>
    <row r="37" spans="1:7" x14ac:dyDescent="0.25">
      <c r="A37" s="3" t="s">
        <v>43</v>
      </c>
      <c r="B37" s="3">
        <f>B25-B36</f>
        <v>5071325</v>
      </c>
      <c r="C37" s="3" t="s">
        <v>19</v>
      </c>
      <c r="E37" s="3" t="s">
        <v>59</v>
      </c>
      <c r="F37" s="3">
        <f>F36/B29</f>
        <v>0.42991081058545338</v>
      </c>
    </row>
    <row r="38" spans="1:7" ht="18" x14ac:dyDescent="0.35">
      <c r="A38" s="3" t="s">
        <v>45</v>
      </c>
      <c r="B38" s="3">
        <v>3.5124070000000003E-5</v>
      </c>
      <c r="C38" s="3" t="s">
        <v>46</v>
      </c>
      <c r="E38" s="3" t="s">
        <v>60</v>
      </c>
      <c r="F38" s="3">
        <f>0.7746-(0.1334*(F37^2.1))+(1.4098*(F37^8))+(0.0675*((F37^4)/(1-(F37^4))))+(0.3865*(F37^3))</f>
        <v>0.786683231167425</v>
      </c>
    </row>
    <row r="39" spans="1:7" ht="18" x14ac:dyDescent="0.35">
      <c r="A39" s="3" t="s">
        <v>44</v>
      </c>
      <c r="B39" s="3">
        <f>B27/(B38*((B29*1000)^2)*1*(SQRT(B28))*((SQRT(B36/1000))))</f>
        <v>0.11825149494761043</v>
      </c>
      <c r="E39" s="3" t="s">
        <v>63</v>
      </c>
      <c r="F39" s="3">
        <v>1</v>
      </c>
    </row>
    <row r="40" spans="1:7" ht="18" x14ac:dyDescent="0.35">
      <c r="A40" s="3" t="s">
        <v>47</v>
      </c>
      <c r="B40" s="23">
        <f>((1+((0.76/B39)+0.26)^2)^-0.25)</f>
        <v>0.38457730436320525</v>
      </c>
      <c r="E40" s="3" t="s">
        <v>62</v>
      </c>
      <c r="F40" s="3">
        <f>((B27/((F38/(SQRT(1-(F37^4))))*F39*(PI()/4)*(F36^2)))^2)/(2*B28)</f>
        <v>19165.781694994395</v>
      </c>
      <c r="G40" s="3" t="s">
        <v>19</v>
      </c>
    </row>
    <row r="41" spans="1:7" ht="18" x14ac:dyDescent="0.35">
      <c r="A41" s="3" t="s">
        <v>48</v>
      </c>
      <c r="B41" s="23">
        <f>0.7746-(0.1334*(B40^2.1))+(1.4098*(B40^8))+(0.0675*((B40^4)/(1-(B40^4))))+(0.3865*(B40^3))</f>
        <v>0.78083608794121695</v>
      </c>
      <c r="E41" s="3" t="s">
        <v>61</v>
      </c>
      <c r="F41" s="3">
        <f>IF(Fluid_in="Liquid",1,(1-((0.41+(0.35*(F37^4)))*(F40/B25)/Isentropic)))</f>
        <v>0.99882570606503085</v>
      </c>
    </row>
    <row r="42" spans="1:7" ht="18" x14ac:dyDescent="0.35">
      <c r="A42" s="3" t="s">
        <v>49</v>
      </c>
      <c r="B42" s="23">
        <f>IF(Fluid_in="Liquid",1,(1-((0.41+(0.35*(B40^4)))*(B36/B25)/Isentropic)))</f>
        <v>0.99818062077442904</v>
      </c>
    </row>
    <row r="43" spans="1:7" ht="18" x14ac:dyDescent="0.35">
      <c r="A43" s="3" t="s">
        <v>55</v>
      </c>
      <c r="B43" s="23">
        <f>((1+(((B41*B42)/B39))^2)^-0.25)</f>
        <v>0.38730040623205703</v>
      </c>
    </row>
    <row r="44" spans="1:7" x14ac:dyDescent="0.25">
      <c r="B44" s="20"/>
      <c r="C44" s="17"/>
      <c r="D44" s="18"/>
    </row>
    <row r="45" spans="1:7" x14ac:dyDescent="0.25">
      <c r="A45" s="3" t="s">
        <v>52</v>
      </c>
      <c r="B45" s="19">
        <f>B43*B29</f>
        <v>7.8932779524343924E-2</v>
      </c>
      <c r="C45" s="22" t="s">
        <v>23</v>
      </c>
      <c r="D45" s="17"/>
    </row>
    <row r="46" spans="1:7" x14ac:dyDescent="0.25">
      <c r="A46" s="3" t="s">
        <v>51</v>
      </c>
      <c r="B46" s="3">
        <f>B45/(1+Input!C16*(B26-293.15))</f>
        <v>7.8399801990452433E-2</v>
      </c>
      <c r="C46" s="3" t="s">
        <v>23</v>
      </c>
    </row>
    <row r="47" spans="1:7" ht="18.75" x14ac:dyDescent="0.3">
      <c r="A47" s="3" t="s">
        <v>54</v>
      </c>
      <c r="B47" s="24">
        <f>B46*1000</f>
        <v>78.399801990452431</v>
      </c>
      <c r="C47" s="3" t="s">
        <v>53</v>
      </c>
      <c r="E47" s="3" t="s">
        <v>62</v>
      </c>
      <c r="F47" s="24">
        <f>((B27/((F38/(SQRT(1-(F37^4))))*F41*(PI()/4)*(F36^2)))^2)/(2*B28)</f>
        <v>19210.87362862322</v>
      </c>
      <c r="G47" s="3" t="s">
        <v>19</v>
      </c>
    </row>
    <row r="49" spans="1:7" x14ac:dyDescent="0.25">
      <c r="B49" s="3" t="s">
        <v>58</v>
      </c>
    </row>
    <row r="51" spans="1:7" x14ac:dyDescent="0.25">
      <c r="A51" s="3" t="s">
        <v>50</v>
      </c>
      <c r="B51" s="21">
        <f>(B41/(SQRT(1-(B43^4))))*B42*(PI()/4)*((B45)^2)*(SQRT(2*B36*B28))</f>
        <v>5.0000005203274602</v>
      </c>
      <c r="C51" s="3" t="s">
        <v>21</v>
      </c>
      <c r="E51" s="3" t="s">
        <v>50</v>
      </c>
      <c r="F51" s="21">
        <f>(F38/(SQRT(1-(F37^4))))*F41*(PI()/4)*((F36)^2)*(SQRT(2*F47*B28))</f>
        <v>5</v>
      </c>
      <c r="G51" s="3" t="s">
        <v>21</v>
      </c>
    </row>
    <row r="57" spans="1:7" x14ac:dyDescent="0.25">
      <c r="A57" s="27"/>
      <c r="B57" s="36" t="s">
        <v>88</v>
      </c>
      <c r="C57" s="36"/>
      <c r="D57" s="36"/>
    </row>
    <row r="58" spans="1:7" x14ac:dyDescent="0.25">
      <c r="A58" s="27"/>
      <c r="B58" s="27" t="s">
        <v>87</v>
      </c>
      <c r="C58" s="27" t="s">
        <v>84</v>
      </c>
      <c r="D58" s="26" t="s">
        <v>83</v>
      </c>
    </row>
    <row r="59" spans="1:7" x14ac:dyDescent="0.25">
      <c r="A59" s="27" t="s">
        <v>82</v>
      </c>
      <c r="B59" s="27">
        <v>15</v>
      </c>
      <c r="C59" s="27" t="s">
        <v>53</v>
      </c>
      <c r="D59" s="26" t="s">
        <v>81</v>
      </c>
    </row>
    <row r="60" spans="1:7" x14ac:dyDescent="0.25">
      <c r="A60" s="27" t="s">
        <v>80</v>
      </c>
      <c r="B60" s="27" t="s">
        <v>95</v>
      </c>
      <c r="C60" s="27" t="s">
        <v>53</v>
      </c>
      <c r="D60" s="26" t="s">
        <v>79</v>
      </c>
    </row>
    <row r="61" spans="1:7" x14ac:dyDescent="0.25">
      <c r="A61" s="27" t="s">
        <v>78</v>
      </c>
      <c r="B61" s="27">
        <v>500</v>
      </c>
      <c r="C61" s="27" t="s">
        <v>53</v>
      </c>
      <c r="D61" s="26" t="s">
        <v>77</v>
      </c>
      <c r="E61" s="27"/>
      <c r="F61" s="26"/>
    </row>
    <row r="62" spans="1:7" x14ac:dyDescent="0.25">
      <c r="A62" s="31" t="s">
        <v>76</v>
      </c>
      <c r="B62" s="27">
        <v>0.245</v>
      </c>
      <c r="C62" s="27"/>
      <c r="D62" s="26" t="s">
        <v>75</v>
      </c>
    </row>
    <row r="63" spans="1:7" ht="15" customHeight="1" x14ac:dyDescent="0.25">
      <c r="A63" s="31" t="s">
        <v>74</v>
      </c>
      <c r="B63" s="27">
        <v>0.6</v>
      </c>
      <c r="C63" s="27"/>
      <c r="D63" s="26" t="s">
        <v>73</v>
      </c>
    </row>
    <row r="64" spans="1:7" x14ac:dyDescent="0.25">
      <c r="A64" s="31" t="s">
        <v>71</v>
      </c>
      <c r="B64" s="27" t="s">
        <v>97</v>
      </c>
      <c r="C64" s="30"/>
      <c r="D64" s="26" t="s">
        <v>67</v>
      </c>
    </row>
    <row r="65" spans="1:6" x14ac:dyDescent="0.25">
      <c r="A65" s="31" t="s">
        <v>90</v>
      </c>
      <c r="B65" s="31" t="s">
        <v>96</v>
      </c>
      <c r="C65" s="31"/>
      <c r="D65" s="26" t="s">
        <v>91</v>
      </c>
    </row>
    <row r="66" spans="1:6" x14ac:dyDescent="0.25">
      <c r="A66" s="31" t="s">
        <v>66</v>
      </c>
      <c r="B66" s="27">
        <v>0.75</v>
      </c>
      <c r="C66" s="27"/>
      <c r="D66" s="26" t="s">
        <v>65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10:C10 A8:C8">
    <cfRule type="expression" dxfId="1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Sheet1</vt:lpstr>
      <vt:lpstr>Input</vt:lpstr>
      <vt:lpstr>Concentric - Corner</vt:lpstr>
      <vt:lpstr>Concentric - Flange</vt:lpstr>
      <vt:lpstr>Concentric - D D2</vt:lpstr>
      <vt:lpstr>Concentric - 2.5 8D</vt:lpstr>
      <vt:lpstr>Conical</vt:lpstr>
      <vt:lpstr>Eccentric</vt:lpstr>
      <vt:lpstr>Quarter Circle</vt:lpstr>
      <vt:lpstr>Segmental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Pipemat</vt:lpstr>
      <vt:lpstr>Visc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2013-05-07T11:01:21Z</dcterms:created>
  <dcterms:modified xsi:type="dcterms:W3CDTF">2013-06-19T09:43:44Z</dcterms:modified>
</cp:coreProperties>
</file>