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330" windowWidth="19155" windowHeight="10845" activeTab="2"/>
  </bookViews>
  <sheets>
    <sheet name="Sheet1" sheetId="1" r:id="rId1"/>
    <sheet name="Input" sheetId="19" r:id="rId2"/>
    <sheet name="Concentric - Flange" sheetId="22" r:id="rId3"/>
  </sheets>
  <definedNames>
    <definedName name="Bore">Input!$F$38</definedName>
    <definedName name="Calc">Sheet1!$J$1:$J$2</definedName>
    <definedName name="Comp">Input!$B$24</definedName>
    <definedName name="DP">Input!$B$38</definedName>
    <definedName name="Element">Input!$B$32</definedName>
    <definedName name="Flow">Input!$B$29</definedName>
    <definedName name="Fluid">Sheet1!$E$1:$E$2</definedName>
    <definedName name="Fluid_in">Input!$B$18</definedName>
    <definedName name="ID">Input!$B$35</definedName>
    <definedName name="Isentropic">Input!$B$26</definedName>
    <definedName name="Materials">Sheet1!$G$1:$G$2</definedName>
    <definedName name="OpDens">Input!$B$23</definedName>
    <definedName name="OpPress">Input!$B$21</definedName>
    <definedName name="OpTemp">Input!$B$22</definedName>
    <definedName name="Orifice1">Sheet1!$C$1:$C$3</definedName>
    <definedName name="Pipemat">Input!$B$31</definedName>
    <definedName name="Visc">Input!$B$25</definedName>
  </definedNames>
  <calcPr calcId="145621"/>
</workbook>
</file>

<file path=xl/calcChain.xml><?xml version="1.0" encoding="utf-8"?>
<calcChain xmlns="http://schemas.openxmlformats.org/spreadsheetml/2006/main">
  <c r="B95" i="22" l="1"/>
  <c r="H63" i="22"/>
  <c r="E63" i="22"/>
  <c r="B63" i="22"/>
  <c r="F38" i="19" l="1"/>
  <c r="B23" i="19"/>
  <c r="B36" i="19" l="1"/>
  <c r="B35" i="19"/>
  <c r="B38" i="19"/>
  <c r="B29" i="19"/>
  <c r="B22" i="19"/>
  <c r="B26" i="19"/>
  <c r="B25" i="19"/>
  <c r="B24" i="19"/>
  <c r="B21" i="19"/>
  <c r="B70" i="22" l="1"/>
  <c r="B36" i="22" l="1"/>
  <c r="B37" i="22" s="1"/>
  <c r="B32" i="22"/>
  <c r="B28" i="22"/>
  <c r="B27" i="22"/>
  <c r="B26" i="22"/>
  <c r="B71" i="22" s="1"/>
  <c r="B25" i="22"/>
  <c r="B48" i="19"/>
  <c r="B44" i="19"/>
  <c r="B42" i="19"/>
  <c r="B45" i="19" s="1"/>
  <c r="B41" i="19"/>
  <c r="B43" i="19"/>
  <c r="B38" i="22" l="1"/>
  <c r="H56" i="22" s="1"/>
  <c r="B29" i="22" l="1"/>
  <c r="B49" i="19"/>
  <c r="B46" i="19"/>
  <c r="B30" i="22" s="1"/>
  <c r="B56" i="22"/>
  <c r="E56" i="22"/>
  <c r="B39" i="22" l="1"/>
  <c r="B40" i="22" s="1"/>
  <c r="B42" i="22"/>
  <c r="B47" i="22"/>
  <c r="E47" i="22"/>
  <c r="B74" i="22"/>
  <c r="B72" i="22"/>
  <c r="B73" i="22" s="1"/>
  <c r="H47" i="22"/>
  <c r="B33" i="22"/>
  <c r="B47" i="19"/>
  <c r="H46" i="22" l="1"/>
  <c r="E46" i="22"/>
  <c r="B46" i="22"/>
  <c r="B78" i="22"/>
  <c r="B76" i="22"/>
  <c r="B80" i="22"/>
  <c r="B75" i="22"/>
  <c r="B77" i="22"/>
  <c r="B43" i="22"/>
  <c r="B50" i="22" s="1"/>
  <c r="B31" i="22"/>
  <c r="B82" i="22" l="1"/>
  <c r="B83" i="22"/>
  <c r="B45" i="22"/>
  <c r="B55" i="22"/>
  <c r="B57" i="22"/>
  <c r="B48" i="22"/>
  <c r="B44" i="22"/>
  <c r="B81" i="22" l="1"/>
  <c r="B79" i="22" s="1"/>
  <c r="B84" i="22" s="1"/>
  <c r="B86" i="22" s="1"/>
  <c r="B87" i="22" s="1"/>
  <c r="B88" i="22" s="1"/>
  <c r="B89" i="22" s="1"/>
  <c r="B52" i="22"/>
  <c r="B53" i="22"/>
  <c r="B51" i="22" l="1"/>
  <c r="B49" i="22" s="1"/>
  <c r="B54" i="22" s="1"/>
  <c r="B58" i="22" s="1"/>
  <c r="B90" i="22"/>
  <c r="B91" i="22" s="1"/>
  <c r="B92" i="22" s="1"/>
  <c r="B93" i="22" s="1"/>
  <c r="B61" i="22" l="1"/>
  <c r="B59" i="22"/>
  <c r="E43" i="22"/>
  <c r="E48" i="22"/>
  <c r="E57" i="22"/>
  <c r="E50" i="22"/>
  <c r="E55" i="22"/>
  <c r="E53" i="22" l="1"/>
  <c r="E45" i="22"/>
  <c r="E44" i="22"/>
  <c r="E52" i="22" l="1"/>
  <c r="E51" i="22" s="1"/>
  <c r="E49" i="22" s="1"/>
  <c r="E54" i="22" s="1"/>
  <c r="E58" i="22" s="1"/>
  <c r="H43" i="22" s="1"/>
  <c r="H57" i="22" s="1"/>
  <c r="E59" i="22" l="1"/>
  <c r="E61" i="22"/>
  <c r="H50" i="22"/>
  <c r="H48" i="22"/>
  <c r="H44" i="22"/>
  <c r="H55" i="22"/>
  <c r="H45" i="22"/>
  <c r="H53" i="22" l="1"/>
  <c r="H52" i="22"/>
  <c r="H51" i="22" l="1"/>
  <c r="H49" i="22" s="1"/>
  <c r="H54" i="22" s="1"/>
  <c r="H58" i="22" s="1"/>
  <c r="H59" i="22" l="1"/>
  <c r="H61" i="22"/>
</calcChain>
</file>

<file path=xl/comments1.xml><?xml version="1.0" encoding="utf-8"?>
<comments xmlns="http://schemas.openxmlformats.org/spreadsheetml/2006/main">
  <authors>
    <author>Jen Wilson</author>
  </authors>
  <commentList>
    <comment ref="A41" authorId="0">
      <text>
        <r>
          <rPr>
            <b/>
            <sz val="9"/>
            <color indexed="81"/>
            <rFont val="Tahoma"/>
            <family val="2"/>
          </rPr>
          <t>Jen Wilson:</t>
        </r>
        <r>
          <rPr>
            <sz val="9"/>
            <color indexed="81"/>
            <rFont val="Tahoma"/>
            <family val="2"/>
          </rPr>
          <t xml:space="preserve">
Miller Table 9.15</t>
        </r>
      </text>
    </comment>
  </commentList>
</comments>
</file>

<file path=xl/sharedStrings.xml><?xml version="1.0" encoding="utf-8"?>
<sst xmlns="http://schemas.openxmlformats.org/spreadsheetml/2006/main" count="291" uniqueCount="99">
  <si>
    <t>Concentric Orifice</t>
  </si>
  <si>
    <t>Conical Entrance Orifice</t>
  </si>
  <si>
    <t>Eccentric Orifice</t>
  </si>
  <si>
    <t>Quarter Circle Orifice</t>
  </si>
  <si>
    <t>Segmental Orifice</t>
  </si>
  <si>
    <t>Corner taps - ISO 5167-2:2003</t>
  </si>
  <si>
    <t>Flange taps - ISO 5167-2:2003</t>
  </si>
  <si>
    <t>D &amp; D/2 taps - ISO 5167-2:2003</t>
  </si>
  <si>
    <t>2½ &amp; 8D taps - ISO 5167-2:2003</t>
  </si>
  <si>
    <t>Operating Pressure</t>
  </si>
  <si>
    <t>Operating Temperature</t>
  </si>
  <si>
    <t>Operating Density</t>
  </si>
  <si>
    <t>Compressibility</t>
  </si>
  <si>
    <t>Operating Viscosity</t>
  </si>
  <si>
    <t>Isentropic Index</t>
  </si>
  <si>
    <t>Flowrate (x4)</t>
  </si>
  <si>
    <t>Materials</t>
  </si>
  <si>
    <t>Pipe ID</t>
  </si>
  <si>
    <t>Pipe WT</t>
  </si>
  <si>
    <t>Gas</t>
  </si>
  <si>
    <t>Convert Operating Pressure</t>
  </si>
  <si>
    <t>Convert temperature</t>
  </si>
  <si>
    <t>Calculate mass flow (if not given)</t>
  </si>
  <si>
    <t>Calc/convert density</t>
  </si>
  <si>
    <t>Convert diameter with expans.</t>
  </si>
  <si>
    <t>Calc pipe area</t>
  </si>
  <si>
    <t>Calc pipe velocity</t>
  </si>
  <si>
    <t>Calculate viscosity</t>
  </si>
  <si>
    <t>Calc Reynolds Number</t>
  </si>
  <si>
    <t>Co-efficient of Expansion</t>
  </si>
  <si>
    <t>316L Pipe</t>
  </si>
  <si>
    <t>CS Pipe</t>
  </si>
  <si>
    <t>316L Element</t>
  </si>
  <si>
    <t>DP</t>
  </si>
  <si>
    <t>Bore</t>
  </si>
  <si>
    <t>Downstream Pressure, P2</t>
  </si>
  <si>
    <t>L1</t>
  </si>
  <si>
    <r>
      <t>Sizing Factor, S</t>
    </r>
    <r>
      <rPr>
        <vertAlign val="subscript"/>
        <sz val="11"/>
        <color theme="1"/>
        <rFont val="Calibri"/>
        <family val="2"/>
      </rPr>
      <t>M</t>
    </r>
  </si>
  <si>
    <r>
      <t>N Factor for Mass Flow, N*</t>
    </r>
    <r>
      <rPr>
        <vertAlign val="subscript"/>
        <sz val="11"/>
        <color theme="1"/>
        <rFont val="Calibri"/>
        <family val="2"/>
      </rPr>
      <t>Mρ</t>
    </r>
  </si>
  <si>
    <r>
      <t>Initial Beta, β</t>
    </r>
    <r>
      <rPr>
        <vertAlign val="subscript"/>
        <sz val="11"/>
        <color theme="1"/>
        <rFont val="Calibri"/>
        <family val="2"/>
      </rPr>
      <t>0</t>
    </r>
  </si>
  <si>
    <r>
      <t>A</t>
    </r>
    <r>
      <rPr>
        <vertAlign val="subscript"/>
        <sz val="11"/>
        <color theme="1"/>
        <rFont val="Calibri"/>
        <family val="2"/>
      </rPr>
      <t>0</t>
    </r>
  </si>
  <si>
    <r>
      <t>Expansibility Factor, Y</t>
    </r>
    <r>
      <rPr>
        <vertAlign val="subscript"/>
        <sz val="11"/>
        <color theme="1"/>
        <rFont val="Calibri"/>
        <family val="2"/>
      </rPr>
      <t>0</t>
    </r>
  </si>
  <si>
    <t>ISO 5167</t>
  </si>
  <si>
    <t>Miller</t>
  </si>
  <si>
    <t>ü</t>
  </si>
  <si>
    <t>û</t>
  </si>
  <si>
    <t>Corner taps</t>
  </si>
  <si>
    <t>Flange taps</t>
  </si>
  <si>
    <t>D &amp; D/2 taps</t>
  </si>
  <si>
    <t>2½ &amp; 8D taps</t>
  </si>
  <si>
    <t>psi[a]</t>
  </si>
  <si>
    <t>°R</t>
  </si>
  <si>
    <r>
      <t>lb/ft</t>
    </r>
    <r>
      <rPr>
        <vertAlign val="superscript"/>
        <sz val="11"/>
        <color theme="1"/>
        <rFont val="Calibri"/>
        <family val="2"/>
      </rPr>
      <t>3</t>
    </r>
  </si>
  <si>
    <t>lb/ft.s</t>
  </si>
  <si>
    <t>in</t>
  </si>
  <si>
    <r>
      <t>lb/ft</t>
    </r>
    <r>
      <rPr>
        <vertAlign val="superscript"/>
        <sz val="11"/>
        <color theme="1"/>
        <rFont val="Calibri"/>
        <family val="2"/>
        <scheme val="minor"/>
      </rPr>
      <t>3</t>
    </r>
  </si>
  <si>
    <t>B</t>
  </si>
  <si>
    <r>
      <t>M</t>
    </r>
    <r>
      <rPr>
        <vertAlign val="subscript"/>
        <sz val="11"/>
        <color theme="1"/>
        <rFont val="Calibri"/>
        <family val="2"/>
      </rPr>
      <t>2,0</t>
    </r>
  </si>
  <si>
    <r>
      <t>M</t>
    </r>
    <r>
      <rPr>
        <vertAlign val="subscript"/>
        <sz val="11"/>
        <color theme="1"/>
        <rFont val="Calibri"/>
        <family val="2"/>
      </rPr>
      <t>1,0</t>
    </r>
  </si>
  <si>
    <t>L2</t>
  </si>
  <si>
    <t>C</t>
  </si>
  <si>
    <t>Cd(FT)</t>
  </si>
  <si>
    <t>Ci(FT)</t>
  </si>
  <si>
    <t>Ci(CT)</t>
  </si>
  <si>
    <t>Tap term</t>
  </si>
  <si>
    <t>Upstream</t>
  </si>
  <si>
    <t>Downstream</t>
  </si>
  <si>
    <t>Velocity of approach factor, Ev</t>
  </si>
  <si>
    <t>lb/s</t>
  </si>
  <si>
    <t>ft/s</t>
  </si>
  <si>
    <t>ft2</t>
  </si>
  <si>
    <t>Ratio of differential pressure, x1</t>
  </si>
  <si>
    <t>in.wg[60°F]</t>
  </si>
  <si>
    <t>d</t>
  </si>
  <si>
    <t>Beta, β1</t>
  </si>
  <si>
    <t>[lb/s]</t>
  </si>
  <si>
    <t>Beta, β2</t>
  </si>
  <si>
    <t>d machined</t>
  </si>
  <si>
    <t>BACK CALC</t>
  </si>
  <si>
    <r>
      <t>M</t>
    </r>
    <r>
      <rPr>
        <vertAlign val="subscript"/>
        <sz val="11"/>
        <color theme="1"/>
        <rFont val="Calibri"/>
        <family val="2"/>
      </rPr>
      <t>1</t>
    </r>
  </si>
  <si>
    <r>
      <t>M</t>
    </r>
    <r>
      <rPr>
        <vertAlign val="subscript"/>
        <sz val="11"/>
        <color theme="1"/>
        <rFont val="Calibri"/>
        <family val="2"/>
      </rPr>
      <t>2</t>
    </r>
  </si>
  <si>
    <t>Beta, β</t>
  </si>
  <si>
    <t>A</t>
  </si>
  <si>
    <t>hw</t>
  </si>
  <si>
    <t>in wg [60°F]</t>
  </si>
  <si>
    <t>Pa[A]</t>
  </si>
  <si>
    <t>°K</t>
  </si>
  <si>
    <t>kg/m3</t>
  </si>
  <si>
    <t>Pa.s</t>
  </si>
  <si>
    <t>kg/s</t>
  </si>
  <si>
    <t>m</t>
  </si>
  <si>
    <t>CALCULATION TYPE</t>
  </si>
  <si>
    <t>CH/FPD/ORIFICE/DESIGN</t>
  </si>
  <si>
    <t>C2</t>
  </si>
  <si>
    <t>Concentric - Flange taps</t>
  </si>
  <si>
    <t>AGA-3</t>
  </si>
  <si>
    <t>qm</t>
  </si>
  <si>
    <t>Iterate until B63=B27</t>
  </si>
  <si>
    <t>Iterate until B95=B27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</si>
</sst>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trike/>
      <sz val="11"/>
      <color rgb="FFFF0000"/>
      <name val="Calibri"/>
      <family val="2"/>
    </font>
    <font>
      <vertAlign val="subscript"/>
      <sz val="11"/>
      <color theme="1"/>
      <name val="Calibri"/>
      <family val="2"/>
    </font>
    <font>
      <sz val="10"/>
      <color rgb="FFFF0000"/>
      <name val="Arial"/>
      <family val="2"/>
    </font>
    <font>
      <sz val="11"/>
      <name val="Wingdings"/>
      <charset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/>
    <xf numFmtId="0" fontId="10" fillId="0" borderId="0"/>
    <xf numFmtId="0" fontId="1" fillId="0" borderId="0"/>
  </cellStyleXfs>
  <cellXfs count="43">
    <xf numFmtId="0" fontId="0" fillId="0" borderId="0" xfId="0"/>
    <xf numFmtId="0" fontId="7" fillId="0" borderId="0" xfId="8" applyFont="1" applyFill="1"/>
    <xf numFmtId="0" fontId="8" fillId="0" borderId="0" xfId="0" applyFont="1" applyFill="1"/>
    <xf numFmtId="0" fontId="9" fillId="0" borderId="0" xfId="0" applyFont="1"/>
    <xf numFmtId="0" fontId="10" fillId="0" borderId="0" xfId="14"/>
    <xf numFmtId="0" fontId="14" fillId="0" borderId="0" xfId="0" applyFont="1"/>
    <xf numFmtId="0" fontId="9" fillId="12" borderId="1" xfId="0" applyFont="1" applyFill="1" applyBorder="1"/>
    <xf numFmtId="0" fontId="9" fillId="13" borderId="2" xfId="0" applyFont="1" applyFill="1" applyBorder="1"/>
    <xf numFmtId="0" fontId="9" fillId="13" borderId="3" xfId="0" applyFont="1" applyFill="1" applyBorder="1"/>
    <xf numFmtId="0" fontId="9" fillId="13" borderId="5" xfId="0" applyFont="1" applyFill="1" applyBorder="1"/>
    <xf numFmtId="0" fontId="9" fillId="13" borderId="0" xfId="0" applyFont="1" applyFill="1" applyBorder="1"/>
    <xf numFmtId="0" fontId="1" fillId="13" borderId="6" xfId="15" applyFill="1" applyBorder="1"/>
    <xf numFmtId="0" fontId="9" fillId="13" borderId="7" xfId="0" applyFont="1" applyFill="1" applyBorder="1"/>
    <xf numFmtId="0" fontId="9" fillId="13" borderId="8" xfId="0" applyFont="1" applyFill="1" applyBorder="1"/>
    <xf numFmtId="0" fontId="9" fillId="13" borderId="9" xfId="0" applyFont="1" applyFill="1" applyBorder="1"/>
    <xf numFmtId="0" fontId="6" fillId="0" borderId="0" xfId="13"/>
    <xf numFmtId="0" fontId="6" fillId="0" borderId="0" xfId="13" applyFont="1"/>
    <xf numFmtId="0" fontId="6" fillId="0" borderId="0" xfId="13" applyAlignment="1">
      <alignment vertical="center"/>
    </xf>
    <xf numFmtId="0" fontId="2" fillId="0" borderId="0" xfId="13" applyFont="1"/>
    <xf numFmtId="0" fontId="9" fillId="0" borderId="0" xfId="0" applyFont="1" applyFill="1"/>
    <xf numFmtId="0" fontId="13" fillId="0" borderId="0" xfId="0" applyFont="1" applyFill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8" applyFont="1" applyFill="1"/>
    <xf numFmtId="0" fontId="17" fillId="12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13" borderId="6" xfId="13" applyFont="1" applyFill="1" applyBorder="1"/>
    <xf numFmtId="0" fontId="2" fillId="13" borderId="4" xfId="13" applyFont="1" applyFill="1" applyBorder="1"/>
    <xf numFmtId="0" fontId="9" fillId="12" borderId="0" xfId="0" applyFont="1" applyFill="1"/>
    <xf numFmtId="0" fontId="13" fillId="0" borderId="0" xfId="0" applyFont="1"/>
    <xf numFmtId="0" fontId="13" fillId="12" borderId="0" xfId="0" applyFont="1" applyFill="1"/>
    <xf numFmtId="0" fontId="8" fillId="0" borderId="0" xfId="0" applyFont="1"/>
    <xf numFmtId="0" fontId="8" fillId="12" borderId="0" xfId="0" applyFont="1" applyFill="1"/>
    <xf numFmtId="0" fontId="9" fillId="15" borderId="0" xfId="0" applyFont="1" applyFill="1"/>
    <xf numFmtId="0" fontId="9" fillId="16" borderId="1" xfId="0" applyFont="1" applyFill="1" applyBorder="1"/>
    <xf numFmtId="0" fontId="20" fillId="17" borderId="0" xfId="15" applyNumberFormat="1" applyFont="1" applyFill="1" applyBorder="1" applyAlignment="1" applyProtection="1"/>
    <xf numFmtId="0" fontId="21" fillId="17" borderId="0" xfId="0" applyFont="1" applyFill="1" applyBorder="1"/>
    <xf numFmtId="0" fontId="20" fillId="0" borderId="0" xfId="15" applyNumberFormat="1" applyFont="1" applyFill="1" applyBorder="1" applyAlignment="1" applyProtection="1"/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9" fillId="18" borderId="0" xfId="0" applyFont="1" applyFill="1"/>
  </cellXfs>
  <cellStyles count="16">
    <cellStyle name="40% - Accent1 2" xfId="6"/>
    <cellStyle name="40% - Accent6 2" xfId="12"/>
    <cellStyle name="60% - Accent2 2" xfId="8"/>
    <cellStyle name="60% - Accent5 2" xfId="10"/>
    <cellStyle name="Accent1 2" xfId="5"/>
    <cellStyle name="Accent2 2" xfId="7"/>
    <cellStyle name="Accent4 2" xfId="9"/>
    <cellStyle name="Accent6 2" xfId="11"/>
    <cellStyle name="Good 2" xfId="2"/>
    <cellStyle name="Good 3" xfId="4"/>
    <cellStyle name="Neutral 2" xfId="3"/>
    <cellStyle name="Normal" xfId="0" builtinId="0"/>
    <cellStyle name="Normal 2" xfId="1"/>
    <cellStyle name="Normal 2 2" xfId="14"/>
    <cellStyle name="Normal 3" xfId="15"/>
    <cellStyle name="Normal 4" xfId="13"/>
  </cellStyles>
  <dxfs count="3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46"/>
  <sheetViews>
    <sheetView workbookViewId="0">
      <selection activeCell="E9" sqref="E9"/>
    </sheetView>
  </sheetViews>
  <sheetFormatPr defaultRowHeight="15" x14ac:dyDescent="0.25"/>
  <cols>
    <col min="1" max="1" width="9.140625" style="2"/>
    <col min="2" max="2" width="22.42578125" style="2" bestFit="1" customWidth="1"/>
    <col min="3" max="3" width="28" style="2" bestFit="1" customWidth="1"/>
    <col min="4" max="6" width="9.140625" style="2"/>
    <col min="7" max="7" width="12.42578125" style="2" customWidth="1"/>
    <col min="8" max="8" width="11" style="2" bestFit="1" customWidth="1"/>
    <col min="9" max="16384" width="9.140625" style="2"/>
  </cols>
  <sheetData>
    <row r="1" spans="2:8" x14ac:dyDescent="0.25">
      <c r="B1" s="1" t="s">
        <v>0</v>
      </c>
      <c r="C1" s="2" t="s">
        <v>5</v>
      </c>
      <c r="E1" s="3"/>
      <c r="G1" s="2" t="s">
        <v>30</v>
      </c>
      <c r="H1" s="4">
        <v>9.2499999999999995E-6</v>
      </c>
    </row>
    <row r="2" spans="2:8" x14ac:dyDescent="0.25">
      <c r="B2" s="1"/>
      <c r="C2" s="2" t="s">
        <v>6</v>
      </c>
      <c r="E2" s="3" t="s">
        <v>19</v>
      </c>
      <c r="G2" s="2" t="s">
        <v>31</v>
      </c>
      <c r="H2" s="4">
        <v>6.1999999999999999E-6</v>
      </c>
    </row>
    <row r="3" spans="2:8" x14ac:dyDescent="0.25">
      <c r="B3" s="1"/>
      <c r="C3" s="2" t="s">
        <v>7</v>
      </c>
    </row>
    <row r="4" spans="2:8" x14ac:dyDescent="0.25">
      <c r="B4" s="1"/>
      <c r="C4" s="20" t="s">
        <v>8</v>
      </c>
    </row>
    <row r="5" spans="2:8" x14ac:dyDescent="0.25">
      <c r="B5" s="1" t="s">
        <v>1</v>
      </c>
      <c r="C5" s="2" t="s">
        <v>5</v>
      </c>
    </row>
    <row r="6" spans="2:8" x14ac:dyDescent="0.25">
      <c r="B6" s="1"/>
      <c r="C6" s="20" t="s">
        <v>6</v>
      </c>
    </row>
    <row r="7" spans="2:8" x14ac:dyDescent="0.25">
      <c r="B7" s="1"/>
      <c r="C7" s="20" t="s">
        <v>7</v>
      </c>
    </row>
    <row r="8" spans="2:8" x14ac:dyDescent="0.25">
      <c r="B8" s="1"/>
      <c r="C8" s="20" t="s">
        <v>8</v>
      </c>
    </row>
    <row r="9" spans="2:8" x14ac:dyDescent="0.25">
      <c r="B9" s="1" t="s">
        <v>2</v>
      </c>
      <c r="C9" s="2" t="s">
        <v>5</v>
      </c>
    </row>
    <row r="10" spans="2:8" x14ac:dyDescent="0.25">
      <c r="B10" s="1"/>
      <c r="C10" s="20" t="s">
        <v>6</v>
      </c>
    </row>
    <row r="11" spans="2:8" x14ac:dyDescent="0.25">
      <c r="B11" s="1"/>
      <c r="C11" s="20" t="s">
        <v>7</v>
      </c>
    </row>
    <row r="12" spans="2:8" x14ac:dyDescent="0.25">
      <c r="B12" s="1"/>
      <c r="C12" s="20" t="s">
        <v>8</v>
      </c>
    </row>
    <row r="13" spans="2:8" x14ac:dyDescent="0.25">
      <c r="B13" s="1" t="s">
        <v>3</v>
      </c>
      <c r="C13" s="2" t="s">
        <v>5</v>
      </c>
    </row>
    <row r="14" spans="2:8" x14ac:dyDescent="0.25">
      <c r="B14" s="1"/>
      <c r="C14" s="2" t="s">
        <v>6</v>
      </c>
    </row>
    <row r="15" spans="2:8" x14ac:dyDescent="0.25">
      <c r="B15" s="1"/>
      <c r="C15" s="20" t="s">
        <v>7</v>
      </c>
    </row>
    <row r="16" spans="2:8" x14ac:dyDescent="0.25">
      <c r="B16" s="1"/>
      <c r="C16" s="20" t="s">
        <v>8</v>
      </c>
    </row>
    <row r="17" spans="2:10" x14ac:dyDescent="0.25">
      <c r="B17" s="1" t="s">
        <v>4</v>
      </c>
      <c r="C17" s="20" t="s">
        <v>5</v>
      </c>
    </row>
    <row r="18" spans="2:10" x14ac:dyDescent="0.25">
      <c r="C18" s="20" t="s">
        <v>6</v>
      </c>
    </row>
    <row r="19" spans="2:10" x14ac:dyDescent="0.25">
      <c r="C19" s="20" t="s">
        <v>7</v>
      </c>
    </row>
    <row r="20" spans="2:10" x14ac:dyDescent="0.25">
      <c r="C20" s="20" t="s">
        <v>8</v>
      </c>
    </row>
    <row r="22" spans="2:10" x14ac:dyDescent="0.25">
      <c r="D22" s="2" t="s">
        <v>42</v>
      </c>
      <c r="E22" s="2" t="s">
        <v>43</v>
      </c>
    </row>
    <row r="23" spans="2:10" x14ac:dyDescent="0.25">
      <c r="B23" s="1" t="s">
        <v>0</v>
      </c>
      <c r="C23" s="19" t="s">
        <v>46</v>
      </c>
      <c r="D23" s="24" t="s">
        <v>44</v>
      </c>
      <c r="E23" s="24" t="s">
        <v>44</v>
      </c>
      <c r="G23" s="23"/>
      <c r="H23" s="19"/>
      <c r="I23" s="19"/>
      <c r="J23" s="19"/>
    </row>
    <row r="24" spans="2:10" x14ac:dyDescent="0.25">
      <c r="B24" s="1"/>
      <c r="C24" s="19" t="s">
        <v>47</v>
      </c>
      <c r="D24" s="24" t="s">
        <v>44</v>
      </c>
      <c r="E24" s="24" t="s">
        <v>44</v>
      </c>
      <c r="G24" s="23"/>
      <c r="H24" s="19"/>
      <c r="I24" s="19"/>
      <c r="J24" s="19"/>
    </row>
    <row r="25" spans="2:10" x14ac:dyDescent="0.25">
      <c r="B25" s="1"/>
      <c r="C25" s="19" t="s">
        <v>48</v>
      </c>
      <c r="D25" s="24" t="s">
        <v>44</v>
      </c>
      <c r="E25" s="24" t="s">
        <v>44</v>
      </c>
      <c r="G25" s="23"/>
      <c r="H25" s="19"/>
      <c r="I25" s="19"/>
      <c r="J25" s="19"/>
    </row>
    <row r="26" spans="2:10" x14ac:dyDescent="0.25">
      <c r="B26" s="1"/>
      <c r="C26" s="19" t="s">
        <v>49</v>
      </c>
      <c r="D26" s="25" t="s">
        <v>45</v>
      </c>
      <c r="E26" s="24" t="s">
        <v>44</v>
      </c>
      <c r="G26" s="23"/>
      <c r="H26" s="19"/>
      <c r="I26" s="19"/>
      <c r="J26" s="19"/>
    </row>
    <row r="27" spans="2:10" x14ac:dyDescent="0.25">
      <c r="B27" s="1" t="s">
        <v>1</v>
      </c>
      <c r="C27" s="19" t="s">
        <v>46</v>
      </c>
      <c r="D27" s="24" t="s">
        <v>44</v>
      </c>
      <c r="E27" s="24" t="s">
        <v>44</v>
      </c>
      <c r="G27" s="23"/>
      <c r="H27" s="19"/>
      <c r="I27" s="19"/>
      <c r="J27" s="19"/>
    </row>
    <row r="28" spans="2:10" x14ac:dyDescent="0.25">
      <c r="B28" s="1"/>
      <c r="C28" s="19" t="s">
        <v>47</v>
      </c>
      <c r="D28" s="25" t="s">
        <v>45</v>
      </c>
      <c r="E28" s="25" t="s">
        <v>45</v>
      </c>
      <c r="G28" s="23"/>
      <c r="H28" s="19"/>
      <c r="I28" s="19"/>
      <c r="J28" s="19"/>
    </row>
    <row r="29" spans="2:10" x14ac:dyDescent="0.25">
      <c r="B29" s="1"/>
      <c r="C29" s="19" t="s">
        <v>48</v>
      </c>
      <c r="D29" s="25" t="s">
        <v>45</v>
      </c>
      <c r="E29" s="25" t="s">
        <v>45</v>
      </c>
      <c r="G29" s="23"/>
      <c r="H29" s="19"/>
      <c r="I29" s="19"/>
      <c r="J29" s="19"/>
    </row>
    <row r="30" spans="2:10" x14ac:dyDescent="0.25">
      <c r="B30" s="1"/>
      <c r="C30" s="19" t="s">
        <v>49</v>
      </c>
      <c r="D30" s="25" t="s">
        <v>45</v>
      </c>
      <c r="E30" s="25" t="s">
        <v>45</v>
      </c>
      <c r="G30" s="23"/>
      <c r="H30" s="19"/>
      <c r="I30" s="19"/>
      <c r="J30" s="19"/>
    </row>
    <row r="31" spans="2:10" x14ac:dyDescent="0.25">
      <c r="B31" s="1" t="s">
        <v>2</v>
      </c>
      <c r="C31" s="19" t="s">
        <v>46</v>
      </c>
      <c r="D31" s="24" t="s">
        <v>44</v>
      </c>
      <c r="E31" s="24" t="s">
        <v>44</v>
      </c>
      <c r="G31" s="23"/>
      <c r="H31" s="19"/>
      <c r="I31" s="19"/>
      <c r="J31" s="19"/>
    </row>
    <row r="32" spans="2:10" x14ac:dyDescent="0.25">
      <c r="B32" s="1"/>
      <c r="C32" s="19" t="s">
        <v>47</v>
      </c>
      <c r="D32" s="25" t="s">
        <v>45</v>
      </c>
      <c r="E32" s="24" t="s">
        <v>44</v>
      </c>
      <c r="G32" s="23"/>
      <c r="H32" s="19"/>
      <c r="I32" s="19"/>
      <c r="J32" s="19"/>
    </row>
    <row r="33" spans="2:10" x14ac:dyDescent="0.25">
      <c r="B33" s="1"/>
      <c r="C33" s="19" t="s">
        <v>48</v>
      </c>
      <c r="D33" s="25" t="s">
        <v>45</v>
      </c>
      <c r="E33" s="25" t="s">
        <v>45</v>
      </c>
      <c r="G33" s="23"/>
      <c r="H33" s="19"/>
      <c r="I33" s="19"/>
      <c r="J33" s="19"/>
    </row>
    <row r="34" spans="2:10" x14ac:dyDescent="0.25">
      <c r="B34" s="1"/>
      <c r="C34" s="19" t="s">
        <v>49</v>
      </c>
      <c r="D34" s="25" t="s">
        <v>45</v>
      </c>
      <c r="E34" s="25" t="s">
        <v>45</v>
      </c>
      <c r="G34" s="23"/>
      <c r="H34" s="19"/>
      <c r="I34" s="19"/>
      <c r="J34" s="19"/>
    </row>
    <row r="35" spans="2:10" x14ac:dyDescent="0.25">
      <c r="B35" s="1" t="s">
        <v>3</v>
      </c>
      <c r="C35" s="19" t="s">
        <v>46</v>
      </c>
      <c r="D35" s="24" t="s">
        <v>44</v>
      </c>
      <c r="E35" s="25" t="s">
        <v>45</v>
      </c>
      <c r="G35" s="23"/>
      <c r="H35" s="19"/>
      <c r="I35" s="19"/>
      <c r="J35" s="19"/>
    </row>
    <row r="36" spans="2:10" x14ac:dyDescent="0.25">
      <c r="B36" s="1"/>
      <c r="C36" s="19" t="s">
        <v>47</v>
      </c>
      <c r="D36" s="24" t="s">
        <v>44</v>
      </c>
      <c r="E36" s="24" t="s">
        <v>44</v>
      </c>
      <c r="G36" s="23"/>
      <c r="H36" s="19"/>
      <c r="I36" s="19"/>
      <c r="J36" s="19"/>
    </row>
    <row r="37" spans="2:10" x14ac:dyDescent="0.25">
      <c r="B37" s="1"/>
      <c r="C37" s="19" t="s">
        <v>48</v>
      </c>
      <c r="D37" s="25" t="s">
        <v>45</v>
      </c>
      <c r="E37" s="25" t="s">
        <v>45</v>
      </c>
      <c r="G37" s="23"/>
      <c r="H37" s="19"/>
      <c r="I37" s="19"/>
      <c r="J37" s="19"/>
    </row>
    <row r="38" spans="2:10" x14ac:dyDescent="0.25">
      <c r="B38" s="1"/>
      <c r="C38" s="19" t="s">
        <v>49</v>
      </c>
      <c r="D38" s="25" t="s">
        <v>45</v>
      </c>
      <c r="E38" s="25" t="s">
        <v>45</v>
      </c>
      <c r="G38" s="23"/>
      <c r="H38" s="19"/>
      <c r="I38" s="19"/>
      <c r="J38" s="19"/>
    </row>
    <row r="39" spans="2:10" x14ac:dyDescent="0.25">
      <c r="B39" s="1" t="s">
        <v>4</v>
      </c>
      <c r="C39" s="19" t="s">
        <v>46</v>
      </c>
      <c r="D39" s="25" t="s">
        <v>45</v>
      </c>
      <c r="E39" s="25" t="s">
        <v>45</v>
      </c>
      <c r="G39" s="23"/>
      <c r="H39" s="19"/>
      <c r="I39" s="19"/>
      <c r="J39" s="19"/>
    </row>
    <row r="40" spans="2:10" x14ac:dyDescent="0.25">
      <c r="C40" s="19" t="s">
        <v>47</v>
      </c>
      <c r="D40" s="25" t="s">
        <v>45</v>
      </c>
      <c r="E40" s="24" t="s">
        <v>44</v>
      </c>
      <c r="G40" s="19"/>
      <c r="H40" s="19"/>
      <c r="I40" s="19"/>
      <c r="J40" s="19"/>
    </row>
    <row r="41" spans="2:10" x14ac:dyDescent="0.25">
      <c r="C41" s="19" t="s">
        <v>48</v>
      </c>
      <c r="D41" s="25" t="s">
        <v>45</v>
      </c>
      <c r="E41" s="25" t="s">
        <v>45</v>
      </c>
      <c r="G41" s="19"/>
      <c r="H41" s="19"/>
      <c r="I41" s="19"/>
      <c r="J41" s="19"/>
    </row>
    <row r="42" spans="2:10" x14ac:dyDescent="0.25">
      <c r="C42" s="19" t="s">
        <v>49</v>
      </c>
      <c r="D42" s="25" t="s">
        <v>45</v>
      </c>
      <c r="E42" s="25" t="s">
        <v>45</v>
      </c>
      <c r="G42" s="19"/>
      <c r="H42" s="19"/>
      <c r="I42" s="19"/>
      <c r="J42" s="19"/>
    </row>
    <row r="43" spans="2:10" x14ac:dyDescent="0.25">
      <c r="G43" s="19"/>
      <c r="H43" s="19"/>
      <c r="I43" s="19"/>
      <c r="J43" s="19"/>
    </row>
    <row r="44" spans="2:10" x14ac:dyDescent="0.25">
      <c r="G44" s="19"/>
      <c r="H44" s="19"/>
      <c r="I44" s="19"/>
      <c r="J44" s="19"/>
    </row>
    <row r="45" spans="2:10" x14ac:dyDescent="0.25">
      <c r="G45" s="19"/>
      <c r="H45" s="19"/>
      <c r="I45" s="19"/>
      <c r="J45" s="19"/>
    </row>
    <row r="46" spans="2:10" x14ac:dyDescent="0.25">
      <c r="G46" s="19"/>
      <c r="H46" s="19"/>
      <c r="I46" s="19"/>
      <c r="J46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52"/>
  <sheetViews>
    <sheetView zoomScale="80" zoomScaleNormal="80" workbookViewId="0">
      <selection activeCell="F19" sqref="F19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9.140625" style="3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2" spans="1:8" x14ac:dyDescent="0.25">
      <c r="A2" s="3" t="s">
        <v>9</v>
      </c>
      <c r="B2" s="6">
        <v>1101325</v>
      </c>
      <c r="C2" s="3" t="s">
        <v>85</v>
      </c>
      <c r="E2" s="26"/>
      <c r="H2" s="2"/>
    </row>
    <row r="3" spans="1:8" x14ac:dyDescent="0.25">
      <c r="A3" s="3" t="s">
        <v>10</v>
      </c>
      <c r="B3" s="6">
        <v>350</v>
      </c>
      <c r="C3" s="3" t="s">
        <v>86</v>
      </c>
      <c r="E3" s="26"/>
      <c r="H3" s="2"/>
    </row>
    <row r="4" spans="1:8" x14ac:dyDescent="0.25">
      <c r="A4" s="3" t="s">
        <v>11</v>
      </c>
      <c r="B4" s="6">
        <v>10</v>
      </c>
      <c r="C4" s="3" t="s">
        <v>87</v>
      </c>
      <c r="E4" s="26"/>
      <c r="H4" s="2"/>
    </row>
    <row r="5" spans="1:8" x14ac:dyDescent="0.25">
      <c r="A5" s="3" t="s">
        <v>12</v>
      </c>
      <c r="B5" s="6">
        <v>0.99</v>
      </c>
      <c r="E5" s="26"/>
      <c r="H5" s="2"/>
    </row>
    <row r="6" spans="1:8" x14ac:dyDescent="0.25">
      <c r="A6" s="3" t="s">
        <v>13</v>
      </c>
      <c r="B6" s="6">
        <v>1.0000000000000001E-5</v>
      </c>
      <c r="C6" s="3" t="s">
        <v>88</v>
      </c>
      <c r="E6" s="26"/>
      <c r="H6" s="2"/>
    </row>
    <row r="7" spans="1:8" x14ac:dyDescent="0.25">
      <c r="A7" s="3" t="s">
        <v>14</v>
      </c>
      <c r="B7" s="6">
        <v>1.4</v>
      </c>
      <c r="E7" s="26"/>
      <c r="H7" s="2"/>
    </row>
    <row r="8" spans="1:8" x14ac:dyDescent="0.25">
      <c r="E8" s="27"/>
      <c r="H8" s="2"/>
    </row>
    <row r="9" spans="1:8" x14ac:dyDescent="0.25">
      <c r="A9" s="3" t="s">
        <v>15</v>
      </c>
      <c r="B9" s="6">
        <v>1</v>
      </c>
      <c r="C9" s="3" t="s">
        <v>89</v>
      </c>
      <c r="E9" s="27"/>
      <c r="H9" s="2"/>
    </row>
    <row r="10" spans="1:8" x14ac:dyDescent="0.25">
      <c r="E10" s="26"/>
      <c r="H10" s="2"/>
    </row>
    <row r="11" spans="1:8" x14ac:dyDescent="0.25">
      <c r="A11" s="3" t="s">
        <v>16</v>
      </c>
      <c r="B11" s="6" t="s">
        <v>31</v>
      </c>
      <c r="C11" s="4">
        <v>1.3529999999999999E-5</v>
      </c>
      <c r="H11" s="2"/>
    </row>
    <row r="12" spans="1:8" x14ac:dyDescent="0.25">
      <c r="A12" s="3" t="s">
        <v>29</v>
      </c>
      <c r="B12" s="3" t="s">
        <v>32</v>
      </c>
      <c r="C12" s="4">
        <v>1.789E-5</v>
      </c>
      <c r="H12" s="2"/>
    </row>
    <row r="13" spans="1:8" x14ac:dyDescent="0.25">
      <c r="H13" s="2"/>
    </row>
    <row r="14" spans="1:8" x14ac:dyDescent="0.25">
      <c r="H14" s="2"/>
    </row>
    <row r="15" spans="1:8" x14ac:dyDescent="0.25">
      <c r="A15" s="3" t="s">
        <v>17</v>
      </c>
      <c r="B15" s="3">
        <v>0.10226</v>
      </c>
      <c r="C15" s="3" t="s">
        <v>90</v>
      </c>
      <c r="H15" s="2"/>
    </row>
    <row r="16" spans="1:8" x14ac:dyDescent="0.25">
      <c r="A16" s="3" t="s">
        <v>18</v>
      </c>
      <c r="B16" s="3">
        <v>6.0200000000000002E-3</v>
      </c>
      <c r="C16" s="3" t="s">
        <v>90</v>
      </c>
      <c r="H16" s="2"/>
    </row>
    <row r="17" spans="1:8" x14ac:dyDescent="0.25">
      <c r="H17" s="2"/>
    </row>
    <row r="18" spans="1:8" x14ac:dyDescent="0.25">
      <c r="A18" s="6" t="s">
        <v>33</v>
      </c>
      <c r="B18" s="6">
        <v>15000</v>
      </c>
      <c r="C18" s="3" t="s">
        <v>85</v>
      </c>
      <c r="E18" s="6" t="s">
        <v>34</v>
      </c>
      <c r="F18" s="6">
        <v>6.0089999999999998E-2</v>
      </c>
      <c r="G18" s="3" t="s">
        <v>90</v>
      </c>
      <c r="H18" s="2"/>
    </row>
    <row r="19" spans="1:8" x14ac:dyDescent="0.25">
      <c r="H19" s="2"/>
    </row>
    <row r="20" spans="1:8" x14ac:dyDescent="0.25">
      <c r="H20" s="2"/>
    </row>
    <row r="21" spans="1:8" x14ac:dyDescent="0.25">
      <c r="A21" s="3" t="s">
        <v>9</v>
      </c>
      <c r="B21" s="36">
        <f>B2*0.00014503773801</f>
        <v>159.73368681386324</v>
      </c>
      <c r="C21" s="3" t="s">
        <v>50</v>
      </c>
      <c r="E21" s="26"/>
    </row>
    <row r="22" spans="1:8" x14ac:dyDescent="0.25">
      <c r="A22" s="3" t="s">
        <v>10</v>
      </c>
      <c r="B22" s="36">
        <f>B3*(9/5)</f>
        <v>630</v>
      </c>
      <c r="C22" s="3" t="s">
        <v>51</v>
      </c>
      <c r="E22" s="26"/>
    </row>
    <row r="23" spans="1:8" ht="17.25" x14ac:dyDescent="0.25">
      <c r="A23" s="3" t="s">
        <v>11</v>
      </c>
      <c r="B23" s="36">
        <f>B4*0.062428</f>
        <v>0.62427999999999995</v>
      </c>
      <c r="C23" s="3" t="s">
        <v>52</v>
      </c>
      <c r="E23" s="26"/>
    </row>
    <row r="24" spans="1:8" x14ac:dyDescent="0.25">
      <c r="A24" s="3" t="s">
        <v>12</v>
      </c>
      <c r="B24" s="36">
        <f>B5</f>
        <v>0.99</v>
      </c>
      <c r="E24" s="26"/>
    </row>
    <row r="25" spans="1:8" x14ac:dyDescent="0.25">
      <c r="A25" s="3" t="s">
        <v>13</v>
      </c>
      <c r="B25" s="36">
        <f>B6*0.67196899481</f>
        <v>6.7196899481000013E-6</v>
      </c>
      <c r="C25" s="3" t="s">
        <v>53</v>
      </c>
      <c r="E25" s="26"/>
    </row>
    <row r="26" spans="1:8" x14ac:dyDescent="0.25">
      <c r="A26" s="3" t="s">
        <v>14</v>
      </c>
      <c r="B26" s="36">
        <f>B7</f>
        <v>1.4</v>
      </c>
      <c r="E26" s="26"/>
    </row>
    <row r="27" spans="1:8" x14ac:dyDescent="0.25">
      <c r="A27" s="5"/>
      <c r="B27" s="5"/>
      <c r="C27" s="5"/>
      <c r="E27" s="26"/>
    </row>
    <row r="28" spans="1:8" x14ac:dyDescent="0.25">
      <c r="E28" s="27"/>
    </row>
    <row r="29" spans="1:8" x14ac:dyDescent="0.25">
      <c r="A29" s="3" t="s">
        <v>15</v>
      </c>
      <c r="B29" s="36">
        <f>B9*2.2046244202</f>
        <v>2.2046244202</v>
      </c>
      <c r="C29" s="3" t="s">
        <v>68</v>
      </c>
      <c r="E29" s="27"/>
    </row>
    <row r="30" spans="1:8" x14ac:dyDescent="0.25">
      <c r="E30" s="26"/>
    </row>
    <row r="31" spans="1:8" x14ac:dyDescent="0.25">
      <c r="A31" s="3" t="s">
        <v>16</v>
      </c>
      <c r="B31" s="36" t="s">
        <v>31</v>
      </c>
      <c r="C31" s="4">
        <v>7.9999999999999996E-6</v>
      </c>
    </row>
    <row r="32" spans="1:8" x14ac:dyDescent="0.25">
      <c r="A32" s="3" t="s">
        <v>29</v>
      </c>
      <c r="B32" s="3" t="s">
        <v>32</v>
      </c>
      <c r="C32" s="4">
        <v>9.0000000000000002E-6</v>
      </c>
    </row>
    <row r="35" spans="1:7" x14ac:dyDescent="0.25">
      <c r="A35" s="3" t="s">
        <v>17</v>
      </c>
      <c r="B35" s="3">
        <f>B15*39.37007874</f>
        <v>4.0259842519523996</v>
      </c>
      <c r="C35" s="3" t="s">
        <v>54</v>
      </c>
    </row>
    <row r="36" spans="1:7" x14ac:dyDescent="0.25">
      <c r="A36" s="3" t="s">
        <v>18</v>
      </c>
      <c r="B36" s="3">
        <f>B16*39.37007874</f>
        <v>0.23700787401479997</v>
      </c>
      <c r="C36" s="3" t="s">
        <v>54</v>
      </c>
    </row>
    <row r="38" spans="1:7" x14ac:dyDescent="0.25">
      <c r="A38" s="36" t="s">
        <v>33</v>
      </c>
      <c r="B38" s="36">
        <f>Fluid_in*0.00014503773801</f>
        <v>2.1755660701499999</v>
      </c>
      <c r="C38" s="3" t="s">
        <v>50</v>
      </c>
      <c r="E38" s="36" t="s">
        <v>34</v>
      </c>
      <c r="F38" s="36">
        <f>F18*39.37007874</f>
        <v>2.3657480314865995</v>
      </c>
      <c r="G38" s="3" t="s">
        <v>54</v>
      </c>
    </row>
    <row r="41" spans="1:7" x14ac:dyDescent="0.25">
      <c r="A41" s="7" t="s">
        <v>20</v>
      </c>
      <c r="B41" s="8">
        <f>B21</f>
        <v>159.73368681386324</v>
      </c>
      <c r="C41" s="29" t="s">
        <v>50</v>
      </c>
    </row>
    <row r="42" spans="1:7" x14ac:dyDescent="0.25">
      <c r="A42" s="9" t="s">
        <v>21</v>
      </c>
      <c r="B42" s="10">
        <f>B22</f>
        <v>630</v>
      </c>
      <c r="C42" s="28" t="s">
        <v>51</v>
      </c>
    </row>
    <row r="43" spans="1:7" x14ac:dyDescent="0.25">
      <c r="A43" s="9" t="s">
        <v>22</v>
      </c>
      <c r="B43" s="10">
        <f>B29</f>
        <v>2.2046244202</v>
      </c>
      <c r="C43" s="28" t="s">
        <v>68</v>
      </c>
    </row>
    <row r="44" spans="1:7" ht="17.25" x14ac:dyDescent="0.25">
      <c r="A44" s="9" t="s">
        <v>23</v>
      </c>
      <c r="B44" s="10">
        <f>B23</f>
        <v>0.62427999999999995</v>
      </c>
      <c r="C44" s="11" t="s">
        <v>55</v>
      </c>
    </row>
    <row r="45" spans="1:7" x14ac:dyDescent="0.25">
      <c r="A45" s="9" t="s">
        <v>24</v>
      </c>
      <c r="B45" s="10">
        <f>(B35)*(1+C31*(B42-527.67))</f>
        <v>4.0292800837004181</v>
      </c>
      <c r="C45" s="28" t="s">
        <v>54</v>
      </c>
    </row>
    <row r="46" spans="1:7" x14ac:dyDescent="0.25">
      <c r="A46" s="9" t="s">
        <v>25</v>
      </c>
      <c r="B46" s="10">
        <f>(((B45/12)/2)^2)*PI()</f>
        <v>8.8548723237535196E-2</v>
      </c>
      <c r="C46" s="28" t="s">
        <v>70</v>
      </c>
    </row>
    <row r="47" spans="1:7" x14ac:dyDescent="0.25">
      <c r="A47" s="9" t="s">
        <v>26</v>
      </c>
      <c r="B47" s="10">
        <f>B43/(B44*B46)</f>
        <v>39.881628933287182</v>
      </c>
      <c r="C47" s="28" t="s">
        <v>69</v>
      </c>
    </row>
    <row r="48" spans="1:7" x14ac:dyDescent="0.25">
      <c r="A48" s="9" t="s">
        <v>27</v>
      </c>
      <c r="B48" s="10">
        <f>B25</f>
        <v>6.7196899481000013E-6</v>
      </c>
      <c r="C48" s="28" t="s">
        <v>53</v>
      </c>
    </row>
    <row r="49" spans="1:6" x14ac:dyDescent="0.25">
      <c r="A49" s="12" t="s">
        <v>28</v>
      </c>
      <c r="B49" s="13">
        <f>(48*B43)/(PI()*B48*B45)</f>
        <v>1244082.8017060086</v>
      </c>
      <c r="C49" s="14"/>
    </row>
    <row r="52" spans="1:6" x14ac:dyDescent="0.25">
      <c r="A52" s="22"/>
      <c r="B52" s="22"/>
      <c r="C52" s="22"/>
      <c r="D52" s="22"/>
      <c r="E52" s="22"/>
      <c r="F52" s="21"/>
    </row>
  </sheetData>
  <conditionalFormatting sqref="A26:C26 A24:C24">
    <cfRule type="expression" dxfId="2" priority="2">
      <formula>$B$18="Liquid"</formula>
    </cfRule>
  </conditionalFormatting>
  <conditionalFormatting sqref="A7:C7 A5:C5">
    <cfRule type="expression" dxfId="1" priority="1">
      <formula>$B$4="Liquid"</formula>
    </cfRule>
  </conditionalFormatting>
  <dataValidations count="1">
    <dataValidation type="list" allowBlank="1" showInputMessage="1" showErrorMessage="1" sqref="B31 B11">
      <formula1>Materials</formula1>
    </dataValidation>
  </dataValidations>
  <pageMargins left="0.7" right="0.7" top="0.75" bottom="0.75" header="0.3" footer="0.3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"/>
  <sheetViews>
    <sheetView tabSelected="1" zoomScale="80" zoomScaleNormal="80" workbookViewId="0">
      <selection activeCell="B97" sqref="B97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17" style="3" bestFit="1" customWidth="1"/>
    <col min="4" max="4" width="29" style="3" customWidth="1"/>
    <col min="5" max="5" width="30.28515625" style="3" bestFit="1" customWidth="1"/>
    <col min="6" max="6" width="17.140625" style="3" customWidth="1"/>
    <col min="7" max="7" width="16.42578125" style="3" customWidth="1"/>
    <col min="8" max="8" width="30.85546875" style="3" bestFit="1" customWidth="1"/>
    <col min="9" max="16384" width="9.140625" style="3"/>
  </cols>
  <sheetData>
    <row r="1" spans="1:7" x14ac:dyDescent="0.25">
      <c r="A1" s="37" t="s">
        <v>91</v>
      </c>
      <c r="B1" s="38" t="s">
        <v>95</v>
      </c>
      <c r="E1" s="39" t="s">
        <v>92</v>
      </c>
      <c r="F1" s="40" t="s">
        <v>93</v>
      </c>
      <c r="G1" s="41" t="s">
        <v>94</v>
      </c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5" hidden="1" x14ac:dyDescent="0.25"/>
    <row r="18" spans="1:5" hidden="1" x14ac:dyDescent="0.25"/>
    <row r="19" spans="1:5" hidden="1" x14ac:dyDescent="0.25"/>
    <row r="20" spans="1:5" hidden="1" x14ac:dyDescent="0.25"/>
    <row r="21" spans="1:5" hidden="1" x14ac:dyDescent="0.25"/>
    <row r="22" spans="1:5" hidden="1" x14ac:dyDescent="0.25"/>
    <row r="23" spans="1:5" hidden="1" x14ac:dyDescent="0.25"/>
    <row r="25" spans="1:5" x14ac:dyDescent="0.25">
      <c r="A25" s="7" t="s">
        <v>20</v>
      </c>
      <c r="B25" s="8">
        <f>OpPress</f>
        <v>159.73368681386324</v>
      </c>
      <c r="C25" s="29" t="s">
        <v>50</v>
      </c>
    </row>
    <row r="26" spans="1:5" x14ac:dyDescent="0.25">
      <c r="A26" s="9" t="s">
        <v>21</v>
      </c>
      <c r="B26" s="10">
        <f>OpTemp</f>
        <v>630</v>
      </c>
      <c r="C26" s="28" t="s">
        <v>51</v>
      </c>
    </row>
    <row r="27" spans="1:5" x14ac:dyDescent="0.25">
      <c r="A27" s="9" t="s">
        <v>22</v>
      </c>
      <c r="B27" s="10">
        <f>Flow</f>
        <v>2.2046244202</v>
      </c>
      <c r="C27" s="28" t="s">
        <v>68</v>
      </c>
      <c r="E27" s="2"/>
    </row>
    <row r="28" spans="1:5" ht="17.25" x14ac:dyDescent="0.25">
      <c r="A28" s="9" t="s">
        <v>23</v>
      </c>
      <c r="B28" s="10">
        <f>OpDens</f>
        <v>0.62427999999999995</v>
      </c>
      <c r="C28" s="11" t="s">
        <v>55</v>
      </c>
      <c r="E28" s="2"/>
    </row>
    <row r="29" spans="1:5" x14ac:dyDescent="0.25">
      <c r="A29" s="9" t="s">
        <v>24</v>
      </c>
      <c r="B29" s="10">
        <f>Input!B45</f>
        <v>4.0292800837004181</v>
      </c>
      <c r="C29" s="28" t="s">
        <v>54</v>
      </c>
      <c r="E29" s="2"/>
    </row>
    <row r="30" spans="1:5" x14ac:dyDescent="0.25">
      <c r="A30" s="9" t="s">
        <v>25</v>
      </c>
      <c r="B30" s="10">
        <f>Input!B46</f>
        <v>8.8548723237535196E-2</v>
      </c>
      <c r="C30" s="28" t="s">
        <v>70</v>
      </c>
    </row>
    <row r="31" spans="1:5" x14ac:dyDescent="0.25">
      <c r="A31" s="9" t="s">
        <v>26</v>
      </c>
      <c r="B31" s="10">
        <f>Input!B47</f>
        <v>39.881628933287182</v>
      </c>
      <c r="C31" s="28" t="s">
        <v>69</v>
      </c>
    </row>
    <row r="32" spans="1:5" x14ac:dyDescent="0.25">
      <c r="A32" s="9" t="s">
        <v>27</v>
      </c>
      <c r="B32" s="10">
        <f>Visc</f>
        <v>6.7196899481000013E-6</v>
      </c>
      <c r="C32" s="28" t="s">
        <v>53</v>
      </c>
    </row>
    <row r="33" spans="1:8" x14ac:dyDescent="0.25">
      <c r="A33" s="12" t="s">
        <v>28</v>
      </c>
      <c r="B33" s="13">
        <f>Input!B49</f>
        <v>1244082.8017060086</v>
      </c>
      <c r="C33" s="14"/>
    </row>
    <row r="36" spans="1:8" x14ac:dyDescent="0.25">
      <c r="A36" s="3" t="s">
        <v>33</v>
      </c>
      <c r="B36" s="30">
        <f>DP</f>
        <v>2.1755660701499999</v>
      </c>
      <c r="C36" s="3" t="s">
        <v>50</v>
      </c>
    </row>
    <row r="37" spans="1:8" x14ac:dyDescent="0.25">
      <c r="A37" s="3" t="s">
        <v>33</v>
      </c>
      <c r="B37" s="30">
        <f>B36*27.679904843</f>
        <v>60.219461801411455</v>
      </c>
      <c r="C37" s="3" t="s">
        <v>72</v>
      </c>
    </row>
    <row r="38" spans="1:8" x14ac:dyDescent="0.25">
      <c r="A38" s="3" t="s">
        <v>35</v>
      </c>
      <c r="B38" s="30">
        <f>B25-B36</f>
        <v>157.55812074371323</v>
      </c>
      <c r="C38" s="3" t="s">
        <v>50</v>
      </c>
    </row>
    <row r="39" spans="1:8" x14ac:dyDescent="0.25">
      <c r="A39" s="3" t="s">
        <v>36</v>
      </c>
      <c r="B39" s="30">
        <f>1/B29</f>
        <v>0.2481832931012376</v>
      </c>
    </row>
    <row r="40" spans="1:8" x14ac:dyDescent="0.25">
      <c r="A40" s="3" t="s">
        <v>59</v>
      </c>
      <c r="B40" s="30">
        <f>B39</f>
        <v>0.2481832931012376</v>
      </c>
    </row>
    <row r="41" spans="1:8" ht="18" x14ac:dyDescent="0.35">
      <c r="A41" s="3" t="s">
        <v>38</v>
      </c>
      <c r="B41" s="3">
        <v>9.9701899999999996E-2</v>
      </c>
      <c r="C41" s="3" t="s">
        <v>75</v>
      </c>
    </row>
    <row r="42" spans="1:8" ht="18" x14ac:dyDescent="0.35">
      <c r="A42" s="3" t="s">
        <v>37</v>
      </c>
      <c r="B42" s="3">
        <f>B27/(B41*((B29)^2)*1*(SQRT(B28))*((SQRT(B37))))</f>
        <v>0.22213557634652834</v>
      </c>
    </row>
    <row r="43" spans="1:8" ht="18" x14ac:dyDescent="0.35">
      <c r="A43" s="3" t="s">
        <v>39</v>
      </c>
      <c r="B43" s="19">
        <f>IF(B33&lt;200000,((1+((0.6/B42)+0.6)^2)^-0.25),((1+((0.6/B42))^2)^-0.25))</f>
        <v>0.58923277461008883</v>
      </c>
      <c r="D43" s="3" t="s">
        <v>76</v>
      </c>
      <c r="E43" s="19">
        <f>B58/$B$29</f>
        <v>0.58768489680376035</v>
      </c>
      <c r="G43" s="3" t="s">
        <v>76</v>
      </c>
      <c r="H43" s="19">
        <f>E58/$B$29</f>
        <v>0.58791020805742211</v>
      </c>
    </row>
    <row r="44" spans="1:8" ht="18" x14ac:dyDescent="0.35">
      <c r="A44" s="3" t="s">
        <v>40</v>
      </c>
      <c r="B44" s="30">
        <f>(19000*B43/$B$33)^0.8</f>
        <v>2.3086227336028997E-2</v>
      </c>
      <c r="D44" s="3" t="s">
        <v>40</v>
      </c>
      <c r="E44" s="30">
        <f>(19000*E43/$B$33)^0.8</f>
        <v>2.303769771226595E-2</v>
      </c>
      <c r="G44" s="3" t="s">
        <v>40</v>
      </c>
      <c r="H44" s="30">
        <f>(19000*H43/$B$33)^0.8</f>
        <v>2.3044763340269593E-2</v>
      </c>
    </row>
    <row r="45" spans="1:8" ht="18" x14ac:dyDescent="0.35">
      <c r="A45" s="3" t="s">
        <v>56</v>
      </c>
      <c r="B45" s="30">
        <f>(B43^4)/(1-(B43^4))</f>
        <v>0.13706726188556759</v>
      </c>
      <c r="D45" s="3" t="s">
        <v>56</v>
      </c>
      <c r="E45" s="30">
        <f>(E43^4)/(1-(E43^4))</f>
        <v>0.13543835823059636</v>
      </c>
      <c r="G45" s="3" t="s">
        <v>56</v>
      </c>
      <c r="H45" s="30">
        <f>(H43^4)/(1-(H43^4))</f>
        <v>0.13567437540133945</v>
      </c>
    </row>
    <row r="46" spans="1:8" ht="18" x14ac:dyDescent="0.35">
      <c r="A46" s="3" t="s">
        <v>60</v>
      </c>
      <c r="B46" s="30">
        <f>((10^6)/$B$33)^0.35</f>
        <v>0.92640896632419856</v>
      </c>
      <c r="D46" s="3" t="s">
        <v>60</v>
      </c>
      <c r="E46" s="30">
        <f>((10^6)/$B$33)^0.35</f>
        <v>0.92640896632419856</v>
      </c>
      <c r="G46" s="3" t="s">
        <v>60</v>
      </c>
      <c r="H46" s="30">
        <f>((10^6)/$B$33)^0.35</f>
        <v>0.92640896632419856</v>
      </c>
    </row>
    <row r="47" spans="1:8" ht="18" x14ac:dyDescent="0.35">
      <c r="A47" s="3" t="s">
        <v>58</v>
      </c>
      <c r="B47" s="30">
        <f>IF(2.8-($B$29)&gt;0,(2.8-$B$29),0)</f>
        <v>0</v>
      </c>
      <c r="D47" s="3" t="s">
        <v>58</v>
      </c>
      <c r="E47" s="30">
        <f>IF(2.8-($B$29)&gt;0,(2.8-$B$29),0)</f>
        <v>0</v>
      </c>
      <c r="G47" s="3" t="s">
        <v>58</v>
      </c>
      <c r="H47" s="30">
        <f>IF(2.8-($B$29)&gt;0,(2.8-$B$29),0)</f>
        <v>0</v>
      </c>
    </row>
    <row r="48" spans="1:8" ht="18" x14ac:dyDescent="0.35">
      <c r="A48" s="3" t="s">
        <v>57</v>
      </c>
      <c r="B48" s="30">
        <f>(2*($B$40))/(1-B43)</f>
        <v>1.2083889743913012</v>
      </c>
      <c r="D48" s="3" t="s">
        <v>57</v>
      </c>
      <c r="E48" s="30">
        <f>(2*($B$40))/(1-E43)</f>
        <v>1.20385254470349</v>
      </c>
      <c r="G48" s="3" t="s">
        <v>57</v>
      </c>
      <c r="H48" s="30">
        <f>(2*($B$40))/(1-H43)</f>
        <v>1.2045107544708138</v>
      </c>
    </row>
    <row r="49" spans="1:9" x14ac:dyDescent="0.25">
      <c r="A49" s="3" t="s">
        <v>62</v>
      </c>
      <c r="B49" s="30">
        <f>B50+B51</f>
        <v>0.60292438746260912</v>
      </c>
      <c r="D49" s="3" t="s">
        <v>62</v>
      </c>
      <c r="E49" s="30">
        <f>E50+E51</f>
        <v>0.60291685312283061</v>
      </c>
      <c r="G49" s="3" t="s">
        <v>62</v>
      </c>
      <c r="H49" s="30">
        <f>H50+H51</f>
        <v>0.60291799772786359</v>
      </c>
    </row>
    <row r="50" spans="1:9" x14ac:dyDescent="0.25">
      <c r="A50" s="3" t="s">
        <v>63</v>
      </c>
      <c r="B50" s="30">
        <f>0.5961+(0.0291*(B43^2))-(0.229*(B43^8))+(0.003*(1-B43)*B47)</f>
        <v>0.60287578574599165</v>
      </c>
      <c r="D50" s="3" t="s">
        <v>63</v>
      </c>
      <c r="E50" s="30">
        <f>0.5961+(0.0291*(E43^2))-(0.229*(E43^8))+(0.003*(1-E43)*E47)</f>
        <v>0.60289206506479465</v>
      </c>
      <c r="G50" s="3" t="s">
        <v>63</v>
      </c>
      <c r="H50" s="30">
        <f>0.5961+(0.0291*(H43^2))-(0.229*(H43^8))+(0.003*(1-H43)*H47)</f>
        <v>0.60288976594520671</v>
      </c>
    </row>
    <row r="51" spans="1:9" ht="18" customHeight="1" x14ac:dyDescent="0.25">
      <c r="A51" s="3" t="s">
        <v>64</v>
      </c>
      <c r="B51" s="30">
        <f>B52+B53</f>
        <v>4.8601716617447353E-5</v>
      </c>
      <c r="D51" s="3" t="s">
        <v>64</v>
      </c>
      <c r="E51" s="30">
        <f>E52+E53</f>
        <v>2.4788058035971842E-5</v>
      </c>
      <c r="G51" s="3" t="s">
        <v>64</v>
      </c>
      <c r="H51" s="30">
        <f>H52+H53</f>
        <v>2.8231782656874295E-5</v>
      </c>
    </row>
    <row r="52" spans="1:9" x14ac:dyDescent="0.25">
      <c r="A52" s="3" t="s">
        <v>65</v>
      </c>
      <c r="B52" s="30">
        <f>(0.0433+(0.0712*(2.71828^(-8.5*$B$39)))-(0.1145*(2.71828^(-6*$B$39))))*(1-(0.23*B44))*B45</f>
        <v>3.5594872347891561E-3</v>
      </c>
      <c r="D52" s="3" t="s">
        <v>65</v>
      </c>
      <c r="E52" s="30">
        <f>(0.0433+(0.0712*(2.71828^(-8.5*$B$39)))-(0.1145*(2.71828^(-6*$B$39))))*(1-(0.23*E44))*E45</f>
        <v>3.517225851938993E-3</v>
      </c>
      <c r="G52" s="3" t="s">
        <v>65</v>
      </c>
      <c r="H52" s="30">
        <f>(0.0433+(0.0712*(2.71828^(-8.5*$B$39)))-(0.1145*(2.71828^(-6*$B$39))))*(1-(0.23*H44))*H45</f>
        <v>3.5233492728327436E-3</v>
      </c>
    </row>
    <row r="53" spans="1:9" x14ac:dyDescent="0.25">
      <c r="A53" s="3" t="s">
        <v>66</v>
      </c>
      <c r="B53" s="30">
        <f>-0.0116*(B48-(0.52*(B48^1.3)))*(B43^1.1)*(1-(0.14*B44))</f>
        <v>-3.5108855181717087E-3</v>
      </c>
      <c r="D53" s="3" t="s">
        <v>66</v>
      </c>
      <c r="E53" s="30">
        <f>-0.0116*(E48-(0.52*(E48^1.3)))*(E43^1.1)*(1-(0.14*E44))</f>
        <v>-3.4924377939030212E-3</v>
      </c>
      <c r="G53" s="3" t="s">
        <v>66</v>
      </c>
      <c r="H53" s="30">
        <f>-0.0116*(H48-(0.52*(H48^1.3)))*(H43^1.1)*(1-(0.14*H44))</f>
        <v>-3.4951174901758694E-3</v>
      </c>
    </row>
    <row r="54" spans="1:9" x14ac:dyDescent="0.25">
      <c r="A54" s="31" t="s">
        <v>61</v>
      </c>
      <c r="B54" s="32">
        <f>B49+(0.000511*((((10^6)*B43)/$B$33)^0.7)+(0.021+(0.0049*B44))*(B43^4)*B46)</f>
        <v>0.60558501460986403</v>
      </c>
      <c r="D54" s="31" t="s">
        <v>61</v>
      </c>
      <c r="E54" s="32">
        <f>E49+(0.000511*((((10^6)*E43)/$B$33)^0.7)+(0.021+(0.0049*E44))*(E43^4)*E46)</f>
        <v>0.60555221939061765</v>
      </c>
      <c r="G54" s="31" t="s">
        <v>61</v>
      </c>
      <c r="H54" s="32">
        <f>H49+(0.000511*((((10^6)*H43)/$B$33)^0.7)+(0.021+(0.0049*H44))*(H43^4)*H46)</f>
        <v>0.60555702889594221</v>
      </c>
    </row>
    <row r="55" spans="1:9" s="33" customFormat="1" x14ac:dyDescent="0.25">
      <c r="A55" s="33" t="s">
        <v>67</v>
      </c>
      <c r="B55" s="34">
        <f>1/SQRT((1-B43^4))</f>
        <v>1.0663335603297721</v>
      </c>
      <c r="D55" s="33" t="s">
        <v>67</v>
      </c>
      <c r="E55" s="34">
        <f>1/SQRT((1-E43^4))</f>
        <v>1.0655694994840066</v>
      </c>
      <c r="G55" s="33" t="s">
        <v>67</v>
      </c>
      <c r="H55" s="34">
        <f>1/SQRT((1-H43^4))</f>
        <v>1.065680240691991</v>
      </c>
    </row>
    <row r="56" spans="1:9" s="33" customFormat="1" x14ac:dyDescent="0.25">
      <c r="A56" s="33" t="s">
        <v>71</v>
      </c>
      <c r="B56" s="34">
        <f>($B$25-$B$38)/$B$25</f>
        <v>1.3619957778130963E-2</v>
      </c>
      <c r="D56" s="33" t="s">
        <v>71</v>
      </c>
      <c r="E56" s="34">
        <f>($B$25-$B$38)/$B$25</f>
        <v>1.3619957778130963E-2</v>
      </c>
      <c r="G56" s="33" t="s">
        <v>71</v>
      </c>
      <c r="H56" s="34">
        <f>($B$25-$B$38)/$B$25</f>
        <v>1.3619957778130963E-2</v>
      </c>
    </row>
    <row r="57" spans="1:9" ht="18" x14ac:dyDescent="0.35">
      <c r="A57" s="3" t="s">
        <v>41</v>
      </c>
      <c r="B57" s="30">
        <f>1-(0.41+(0.35*(B43^4)))*(B56/Isentropic)</f>
        <v>0.99560084515747282</v>
      </c>
      <c r="D57" s="3" t="s">
        <v>41</v>
      </c>
      <c r="E57" s="30">
        <f>1-(0.41+(0.35*(E43^4)))*(E56/Isentropic)</f>
        <v>0.99560514112955401</v>
      </c>
      <c r="G57" s="3" t="s">
        <v>41</v>
      </c>
      <c r="H57" s="30">
        <f>1-(0.41+(0.35*(H43^4)))*(H56/Isentropic)</f>
        <v>0.99560451790869398</v>
      </c>
    </row>
    <row r="58" spans="1:9" x14ac:dyDescent="0.25">
      <c r="A58" s="3" t="s">
        <v>73</v>
      </c>
      <c r="B58" s="19">
        <f>SQRT((B27*3600)/(359.072*B54*B55*B57*SQRT(B28*B37)))</f>
        <v>2.3679470501829272</v>
      </c>
      <c r="C58" s="19" t="s">
        <v>54</v>
      </c>
      <c r="D58" s="3" t="s">
        <v>73</v>
      </c>
      <c r="E58" s="19">
        <f>SQRT(($B$27*3600)/(359.072*E54*E55*E57*SQRT($B$28*$B$37)))</f>
        <v>2.36885489232994</v>
      </c>
      <c r="F58" s="19" t="s">
        <v>54</v>
      </c>
      <c r="G58" s="3" t="s">
        <v>73</v>
      </c>
      <c r="H58" s="19">
        <f>SQRT(($B$27*3600)/(359.072*H54*H55*H57*SQRT($B$28*$B$37)))</f>
        <v>2.3687231429811666</v>
      </c>
      <c r="I58" s="19" t="s">
        <v>54</v>
      </c>
    </row>
    <row r="59" spans="1:9" x14ac:dyDescent="0.25">
      <c r="A59" s="3" t="s">
        <v>74</v>
      </c>
      <c r="B59" s="19">
        <f>B58/$B$29</f>
        <v>0.58768489680376035</v>
      </c>
      <c r="C59" s="19"/>
      <c r="D59" s="3" t="s">
        <v>76</v>
      </c>
      <c r="E59" s="19">
        <f>E58/$B$29</f>
        <v>0.58791020805742211</v>
      </c>
      <c r="G59" s="3" t="s">
        <v>76</v>
      </c>
      <c r="H59" s="19">
        <f>H58/$B$29</f>
        <v>0.58787751007017963</v>
      </c>
    </row>
    <row r="60" spans="1:9" x14ac:dyDescent="0.25">
      <c r="B60" s="19"/>
      <c r="C60" s="19"/>
    </row>
    <row r="61" spans="1:9" x14ac:dyDescent="0.25">
      <c r="A61" s="3" t="s">
        <v>77</v>
      </c>
      <c r="B61" s="19">
        <f>(B58)/(1+Input!$C$32*($B$26-527.67))</f>
        <v>2.3657682485990152</v>
      </c>
      <c r="C61" s="19"/>
      <c r="D61" s="3" t="s">
        <v>77</v>
      </c>
      <c r="E61" s="19">
        <f>(E58)/(1+Input!$C$32*($B$26-527.67))</f>
        <v>2.3666752554199562</v>
      </c>
      <c r="G61" s="35" t="s">
        <v>77</v>
      </c>
      <c r="H61" s="19">
        <f>(H58)/(1+Input!$C$32*($B$26-527.67))</f>
        <v>2.3665436272967355</v>
      </c>
    </row>
    <row r="62" spans="1:9" x14ac:dyDescent="0.25">
      <c r="B62" s="19"/>
      <c r="C62" s="19"/>
    </row>
    <row r="63" spans="1:9" x14ac:dyDescent="0.25">
      <c r="A63" s="3" t="s">
        <v>96</v>
      </c>
      <c r="B63" s="42">
        <f>359.072*B54*B55*B57*(B58^2)*SQRT(B28*B37)/3600</f>
        <v>2.2046244201999996</v>
      </c>
      <c r="C63" s="3" t="s">
        <v>68</v>
      </c>
      <c r="D63" s="3" t="s">
        <v>96</v>
      </c>
      <c r="E63" s="42">
        <f>359.072*E54*E55*E57*(E58^2)*SQRT($B$28*$B$37)/3600</f>
        <v>2.2046244202</v>
      </c>
      <c r="F63" s="3" t="s">
        <v>68</v>
      </c>
      <c r="G63" s="3" t="s">
        <v>96</v>
      </c>
      <c r="H63" s="42">
        <f>359.072*H54*H55*H57*(H58^2)*SQRT($B$28*$B$37)/3600</f>
        <v>2.2046244202000005</v>
      </c>
      <c r="I63" s="3" t="s">
        <v>68</v>
      </c>
    </row>
    <row r="64" spans="1:9" x14ac:dyDescent="0.25">
      <c r="B64" s="3" t="s">
        <v>97</v>
      </c>
      <c r="D64" s="16"/>
    </row>
    <row r="65" spans="1:4" x14ac:dyDescent="0.25">
      <c r="C65" s="15"/>
      <c r="D65" s="16"/>
    </row>
    <row r="66" spans="1:4" x14ac:dyDescent="0.25">
      <c r="C66" s="15"/>
      <c r="D66" s="16"/>
    </row>
    <row r="67" spans="1:4" x14ac:dyDescent="0.25">
      <c r="C67" s="15"/>
      <c r="D67" s="16"/>
    </row>
    <row r="68" spans="1:4" x14ac:dyDescent="0.25">
      <c r="A68" s="3" t="s">
        <v>78</v>
      </c>
      <c r="B68" s="17"/>
      <c r="C68" s="18"/>
      <c r="D68" s="15"/>
    </row>
    <row r="69" spans="1:4" x14ac:dyDescent="0.25">
      <c r="A69" s="17"/>
      <c r="B69" s="17"/>
      <c r="C69" s="17"/>
    </row>
    <row r="70" spans="1:4" x14ac:dyDescent="0.25">
      <c r="A70" s="3" t="s">
        <v>77</v>
      </c>
      <c r="B70" s="17">
        <f>Bore</f>
        <v>2.3657480314865995</v>
      </c>
      <c r="C70" s="17"/>
    </row>
    <row r="71" spans="1:4" x14ac:dyDescent="0.25">
      <c r="A71" s="3" t="s">
        <v>73</v>
      </c>
      <c r="B71" s="19">
        <f>(B70)*(1+Input!C32*(B26-527.67))</f>
        <v>2.3679268144511574</v>
      </c>
      <c r="C71" s="17"/>
    </row>
    <row r="72" spans="1:4" x14ac:dyDescent="0.25">
      <c r="A72" s="3" t="s">
        <v>81</v>
      </c>
      <c r="B72" s="17">
        <f>B71/$B$29</f>
        <v>0.58767987463321147</v>
      </c>
      <c r="C72" s="17"/>
    </row>
    <row r="73" spans="1:4" x14ac:dyDescent="0.25">
      <c r="A73" s="33" t="s">
        <v>67</v>
      </c>
      <c r="B73" s="34">
        <f>1/SQRT((1-$B$72^4))</f>
        <v>1.0655670329147766</v>
      </c>
      <c r="C73" s="17"/>
    </row>
    <row r="74" spans="1:4" ht="18" x14ac:dyDescent="0.35">
      <c r="A74" s="3" t="s">
        <v>79</v>
      </c>
      <c r="B74" s="30">
        <f>IF(2.8-($B$29)&gt;0,(2.8-$B$29),0)</f>
        <v>0</v>
      </c>
      <c r="C74" s="17"/>
    </row>
    <row r="75" spans="1:4" ht="18" x14ac:dyDescent="0.35">
      <c r="A75" s="3" t="s">
        <v>80</v>
      </c>
      <c r="B75" s="30">
        <f>(2*($B$40))/(1-B72)</f>
        <v>1.2038378814541766</v>
      </c>
    </row>
    <row r="76" spans="1:4" x14ac:dyDescent="0.25">
      <c r="A76" s="3" t="s">
        <v>82</v>
      </c>
      <c r="B76" s="30">
        <f>(19000*B72/$B$33)^0.8</f>
        <v>2.3037540213788149E-2</v>
      </c>
    </row>
    <row r="77" spans="1:4" x14ac:dyDescent="0.25">
      <c r="A77" s="3" t="s">
        <v>56</v>
      </c>
      <c r="B77" s="30">
        <f>(B72^4)/(1-(B72^4))</f>
        <v>0.13543310163480055</v>
      </c>
    </row>
    <row r="78" spans="1:4" x14ac:dyDescent="0.25">
      <c r="A78" s="3" t="s">
        <v>60</v>
      </c>
      <c r="B78" s="30">
        <f>((10^6)/$B$33)^0.35</f>
        <v>0.92640896632419856</v>
      </c>
    </row>
    <row r="79" spans="1:4" x14ac:dyDescent="0.25">
      <c r="A79" s="3" t="s">
        <v>62</v>
      </c>
      <c r="B79" s="30">
        <f>B80+B81</f>
        <v>0.60291682742499841</v>
      </c>
    </row>
    <row r="80" spans="1:4" x14ac:dyDescent="0.25">
      <c r="A80" s="3" t="s">
        <v>63</v>
      </c>
      <c r="B80" s="30">
        <f>0.5961+(0.0291*(B72^2))-(0.229*(B72^8))+(0.003*(1-B72)*B74)</f>
        <v>0.60289211603985793</v>
      </c>
    </row>
    <row r="81" spans="1:3" x14ac:dyDescent="0.25">
      <c r="A81" s="3" t="s">
        <v>64</v>
      </c>
      <c r="B81" s="30">
        <f>B82+B83</f>
        <v>2.4711385140478281E-5</v>
      </c>
    </row>
    <row r="82" spans="1:3" x14ac:dyDescent="0.25">
      <c r="A82" s="3" t="s">
        <v>65</v>
      </c>
      <c r="B82" s="30">
        <f>(0.0433+(0.0712*(2.71828^(-8.5*$B$39)))-(0.1145*(2.71828^(-6*$B$39))))*(1-(0.23*B76))*B77</f>
        <v>3.5170894704339289E-3</v>
      </c>
    </row>
    <row r="83" spans="1:3" x14ac:dyDescent="0.25">
      <c r="A83" s="3" t="s">
        <v>66</v>
      </c>
      <c r="B83" s="30">
        <f>-0.0116*(B75-(0.52*(B75^1.3)))*(B72^1.1)*(1-(0.14*B76))</f>
        <v>-3.4923780852934507E-3</v>
      </c>
    </row>
    <row r="84" spans="1:3" x14ac:dyDescent="0.25">
      <c r="A84" s="31" t="s">
        <v>61</v>
      </c>
      <c r="B84" s="32">
        <f>B79+(0.000511*((((10^6)*B72)/$B$33)^0.7)+(0.021+(0.0049*B76))*(B72^4)*B78)</f>
        <v>0.60555211204936077</v>
      </c>
    </row>
    <row r="85" spans="1:3" ht="18" x14ac:dyDescent="0.35">
      <c r="A85" s="3" t="s">
        <v>41</v>
      </c>
      <c r="B85" s="30">
        <v>1</v>
      </c>
    </row>
    <row r="86" spans="1:3" x14ac:dyDescent="0.25">
      <c r="A86" s="3" t="s">
        <v>83</v>
      </c>
      <c r="B86" s="3">
        <f>(($B$27*3600)/(359.072*$B$84*$B$73*B85*($B$71^2)*SQRT($B$28)))^2</f>
        <v>59.785246772911542</v>
      </c>
      <c r="C86" s="3" t="s">
        <v>84</v>
      </c>
    </row>
    <row r="87" spans="1:3" x14ac:dyDescent="0.25">
      <c r="A87" s="3" t="s">
        <v>33</v>
      </c>
      <c r="B87" s="3">
        <f>B86*0.036152</f>
        <v>2.1613562413342979</v>
      </c>
      <c r="C87" s="3" t="s">
        <v>50</v>
      </c>
    </row>
    <row r="88" spans="1:3" ht="18" x14ac:dyDescent="0.35">
      <c r="A88" s="3" t="s">
        <v>41</v>
      </c>
      <c r="B88" s="30">
        <f>1-(0.41+(0.35*($B$72^4)))*((B87/$B$25)/Isentropic)</f>
        <v>0.9956338601834166</v>
      </c>
    </row>
    <row r="89" spans="1:3" x14ac:dyDescent="0.25">
      <c r="A89" s="3" t="s">
        <v>83</v>
      </c>
      <c r="B89" s="3">
        <f>(($B$27*3600)/(359.072*$B$84*$B$73*B88*($B$71^2)*SQRT($B$28)))^2</f>
        <v>60.310747369380309</v>
      </c>
      <c r="C89" s="3" t="s">
        <v>84</v>
      </c>
    </row>
    <row r="90" spans="1:3" x14ac:dyDescent="0.25">
      <c r="A90" s="3" t="s">
        <v>33</v>
      </c>
      <c r="B90" s="3">
        <f>B89*0.036152</f>
        <v>2.1803541388978367</v>
      </c>
      <c r="C90" s="3" t="s">
        <v>50</v>
      </c>
    </row>
    <row r="91" spans="1:3" ht="18" x14ac:dyDescent="0.35">
      <c r="A91" s="3" t="s">
        <v>41</v>
      </c>
      <c r="B91" s="30">
        <f>1-(0.41+(0.35*($B$72^4)))*((B90/$B$25)/Isentropic)</f>
        <v>0.99559548267053966</v>
      </c>
    </row>
    <row r="92" spans="1:3" x14ac:dyDescent="0.25">
      <c r="A92" s="3" t="s">
        <v>83</v>
      </c>
      <c r="B92" s="3">
        <f>(($B$27*3600)/(359.072*$B$84*$B$73*B91*($B$71^2)*SQRT($B$28)))^2</f>
        <v>60.315397091349546</v>
      </c>
      <c r="C92" s="3" t="s">
        <v>84</v>
      </c>
    </row>
    <row r="93" spans="1:3" x14ac:dyDescent="0.25">
      <c r="A93" s="35" t="s">
        <v>33</v>
      </c>
      <c r="B93" s="35">
        <f>B92*0.036152</f>
        <v>2.1805222356464684</v>
      </c>
      <c r="C93" s="35" t="s">
        <v>50</v>
      </c>
    </row>
    <row r="95" spans="1:3" x14ac:dyDescent="0.25">
      <c r="A95" s="3" t="s">
        <v>96</v>
      </c>
      <c r="B95" s="42">
        <f>359.072*B84*B73*B91*(B71^2)*SQRT(B28*B92)/3600</f>
        <v>2.2046244202</v>
      </c>
      <c r="C95" s="3" t="s">
        <v>68</v>
      </c>
    </row>
    <row r="96" spans="1:3" x14ac:dyDescent="0.25">
      <c r="B96" s="3" t="s">
        <v>98</v>
      </c>
    </row>
  </sheetData>
  <conditionalFormatting sqref="A10:C10 A8:C8">
    <cfRule type="expression" dxfId="0" priority="1">
      <formula>$B$4="Liquid"</formula>
    </cfRule>
  </conditionalFormatting>
  <dataValidations count="1">
    <dataValidation type="list" allowBlank="1" showInputMessage="1" showErrorMessage="1" sqref="B4">
      <formula1>Fluid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Sheet1</vt:lpstr>
      <vt:lpstr>Input</vt:lpstr>
      <vt:lpstr>Concentric - Flange</vt:lpstr>
      <vt:lpstr>Bore</vt:lpstr>
      <vt:lpstr>Calc</vt:lpstr>
      <vt:lpstr>Comp</vt:lpstr>
      <vt:lpstr>DP</vt:lpstr>
      <vt:lpstr>Element</vt:lpstr>
      <vt:lpstr>Flow</vt:lpstr>
      <vt:lpstr>Fluid</vt:lpstr>
      <vt:lpstr>Fluid_in</vt:lpstr>
      <vt:lpstr>ID</vt:lpstr>
      <vt:lpstr>Isentropic</vt:lpstr>
      <vt:lpstr>Materials</vt:lpstr>
      <vt:lpstr>OpDens</vt:lpstr>
      <vt:lpstr>OpPress</vt:lpstr>
      <vt:lpstr>OpTemp</vt:lpstr>
      <vt:lpstr>Orifice1</vt:lpstr>
      <vt:lpstr>Pipemat</vt:lpstr>
      <vt:lpstr>Visc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Jen Wilson</cp:lastModifiedBy>
  <cp:lastPrinted>2013-06-11T09:24:13Z</cp:lastPrinted>
  <dcterms:created xsi:type="dcterms:W3CDTF">2013-05-07T11:01:21Z</dcterms:created>
  <dcterms:modified xsi:type="dcterms:W3CDTF">2013-07-15T15:55:06Z</dcterms:modified>
</cp:coreProperties>
</file>