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IL REASEARCH\"/>
    </mc:Choice>
  </mc:AlternateContent>
  <xr:revisionPtr revIDLastSave="0" documentId="13_ncr:1_{A5CDDBEB-B250-4648-8D3A-06AE1C4F19B5}" xr6:coauthVersionLast="47" xr6:coauthVersionMax="47" xr10:uidLastSave="{00000000-0000-0000-0000-000000000000}"/>
  <bookViews>
    <workbookView xWindow="-110" yWindow="-110" windowWidth="19420" windowHeight="10420" xr2:uid="{B96B107E-9FF6-4756-AF7A-6A19765B9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8" i="1" l="1"/>
  <c r="T147" i="1"/>
  <c r="V147" i="1" s="1"/>
  <c r="R147" i="1"/>
  <c r="M147" i="1"/>
  <c r="V146" i="1"/>
  <c r="T146" i="1"/>
  <c r="R146" i="1"/>
  <c r="M146" i="1"/>
  <c r="T145" i="1"/>
  <c r="V145" i="1" s="1"/>
  <c r="R145" i="1"/>
  <c r="M145" i="1"/>
  <c r="V144" i="1"/>
  <c r="T144" i="1"/>
  <c r="R144" i="1"/>
  <c r="M144" i="1"/>
  <c r="T143" i="1"/>
  <c r="V143" i="1" s="1"/>
  <c r="R143" i="1"/>
  <c r="M143" i="1"/>
  <c r="V142" i="1"/>
  <c r="T142" i="1"/>
  <c r="R142" i="1"/>
  <c r="M142" i="1"/>
  <c r="T141" i="1"/>
  <c r="V141" i="1" s="1"/>
  <c r="R141" i="1"/>
  <c r="M141" i="1"/>
  <c r="V140" i="1"/>
  <c r="T140" i="1"/>
  <c r="R140" i="1"/>
  <c r="M140" i="1"/>
  <c r="T139" i="1"/>
  <c r="V139" i="1" s="1"/>
  <c r="M139" i="1"/>
  <c r="V138" i="1"/>
  <c r="T138" i="1"/>
  <c r="O138" i="1"/>
  <c r="N138" i="1"/>
  <c r="P138" i="1" s="1"/>
  <c r="M138" i="1"/>
  <c r="V137" i="1"/>
  <c r="M137" i="1"/>
  <c r="V136" i="1"/>
  <c r="T136" i="1"/>
  <c r="R136" i="1"/>
  <c r="M136" i="1"/>
  <c r="R135" i="1"/>
  <c r="M135" i="1"/>
  <c r="T135" i="1" s="1"/>
  <c r="V135" i="1" s="1"/>
  <c r="V134" i="1"/>
  <c r="T134" i="1"/>
  <c r="R134" i="1"/>
  <c r="M134" i="1"/>
  <c r="R133" i="1"/>
  <c r="R114" i="1" s="1"/>
  <c r="M133" i="1"/>
  <c r="T133" i="1" s="1"/>
  <c r="V133" i="1" s="1"/>
  <c r="V132" i="1"/>
  <c r="T132" i="1"/>
  <c r="R132" i="1"/>
  <c r="M132" i="1"/>
  <c r="M131" i="1"/>
  <c r="T131" i="1" s="1"/>
  <c r="V131" i="1" s="1"/>
  <c r="O130" i="1"/>
  <c r="P130" i="1" s="1"/>
  <c r="N130" i="1"/>
  <c r="M130" i="1"/>
  <c r="T130" i="1" s="1"/>
  <c r="M129" i="1"/>
  <c r="M128" i="1"/>
  <c r="R127" i="1"/>
  <c r="M127" i="1"/>
  <c r="T127" i="1" s="1"/>
  <c r="V127" i="1" s="1"/>
  <c r="V126" i="1"/>
  <c r="T126" i="1"/>
  <c r="R126" i="1"/>
  <c r="M126" i="1"/>
  <c r="R125" i="1"/>
  <c r="M125" i="1"/>
  <c r="T125" i="1" s="1"/>
  <c r="V125" i="1" s="1"/>
  <c r="V124" i="1"/>
  <c r="T124" i="1"/>
  <c r="R124" i="1"/>
  <c r="M124" i="1"/>
  <c r="R123" i="1"/>
  <c r="M123" i="1"/>
  <c r="T123" i="1" s="1"/>
  <c r="V123" i="1" s="1"/>
  <c r="V122" i="1"/>
  <c r="T122" i="1"/>
  <c r="R122" i="1"/>
  <c r="M122" i="1"/>
  <c r="M121" i="1"/>
  <c r="T121" i="1" s="1"/>
  <c r="V121" i="1" s="1"/>
  <c r="O120" i="1"/>
  <c r="P120" i="1" s="1"/>
  <c r="N120" i="1"/>
  <c r="M120" i="1"/>
  <c r="T120" i="1" s="1"/>
  <c r="V119" i="1"/>
  <c r="M119" i="1"/>
  <c r="V118" i="1"/>
  <c r="T118" i="1"/>
  <c r="M118" i="1"/>
  <c r="M117" i="1"/>
  <c r="M116" i="1"/>
  <c r="M115" i="1"/>
  <c r="M114" i="1"/>
  <c r="R113" i="1"/>
  <c r="M113" i="1"/>
  <c r="T113" i="1" s="1"/>
  <c r="V113" i="1" s="1"/>
  <c r="V112" i="1"/>
  <c r="T112" i="1"/>
  <c r="M112" i="1"/>
  <c r="T111" i="1"/>
  <c r="V111" i="1" s="1"/>
  <c r="P111" i="1"/>
  <c r="O111" i="1"/>
  <c r="N111" i="1"/>
  <c r="M111" i="1"/>
  <c r="M110" i="1"/>
  <c r="R109" i="1"/>
  <c r="R128" i="1" s="1"/>
  <c r="T128" i="1" s="1"/>
  <c r="V128" i="1" s="1"/>
  <c r="M109" i="1"/>
  <c r="T109" i="1" s="1"/>
  <c r="V109" i="1" s="1"/>
  <c r="V108" i="1"/>
  <c r="T108" i="1"/>
  <c r="R108" i="1"/>
  <c r="M108" i="1"/>
  <c r="R107" i="1"/>
  <c r="M107" i="1"/>
  <c r="T107" i="1" s="1"/>
  <c r="V107" i="1" s="1"/>
  <c r="V106" i="1"/>
  <c r="T106" i="1"/>
  <c r="R106" i="1"/>
  <c r="M106" i="1"/>
  <c r="R105" i="1"/>
  <c r="M105" i="1"/>
  <c r="T105" i="1" s="1"/>
  <c r="V105" i="1" s="1"/>
  <c r="V104" i="1"/>
  <c r="T104" i="1"/>
  <c r="R104" i="1"/>
  <c r="M104" i="1"/>
  <c r="R103" i="1"/>
  <c r="M103" i="1"/>
  <c r="T103" i="1" s="1"/>
  <c r="V103" i="1" s="1"/>
  <c r="V102" i="1"/>
  <c r="T102" i="1"/>
  <c r="M102" i="1"/>
  <c r="T101" i="1"/>
  <c r="V101" i="1" s="1"/>
  <c r="P101" i="1"/>
  <c r="O101" i="1"/>
  <c r="N101" i="1"/>
  <c r="M101" i="1"/>
  <c r="M100" i="1"/>
  <c r="V99" i="1"/>
  <c r="R99" i="1"/>
  <c r="R80" i="1" s="1"/>
  <c r="T80" i="1" s="1"/>
  <c r="V80" i="1" s="1"/>
  <c r="M99" i="1"/>
  <c r="T99" i="1" s="1"/>
  <c r="V98" i="1"/>
  <c r="T98" i="1"/>
  <c r="R98" i="1"/>
  <c r="M98" i="1"/>
  <c r="R97" i="1"/>
  <c r="M97" i="1"/>
  <c r="T97" i="1" s="1"/>
  <c r="V97" i="1" s="1"/>
  <c r="V96" i="1"/>
  <c r="T96" i="1"/>
  <c r="R96" i="1"/>
  <c r="M96" i="1"/>
  <c r="R95" i="1"/>
  <c r="M95" i="1"/>
  <c r="T95" i="1" s="1"/>
  <c r="V95" i="1" s="1"/>
  <c r="V94" i="1"/>
  <c r="T94" i="1"/>
  <c r="R94" i="1"/>
  <c r="M94" i="1"/>
  <c r="M93" i="1"/>
  <c r="T93" i="1" s="1"/>
  <c r="V93" i="1" s="1"/>
  <c r="O92" i="1"/>
  <c r="P92" i="1" s="1"/>
  <c r="N92" i="1"/>
  <c r="M92" i="1"/>
  <c r="T92" i="1" s="1"/>
  <c r="M91" i="1"/>
  <c r="V90" i="1"/>
  <c r="T90" i="1"/>
  <c r="R90" i="1"/>
  <c r="M90" i="1"/>
  <c r="R89" i="1"/>
  <c r="M89" i="1"/>
  <c r="T89" i="1" s="1"/>
  <c r="V89" i="1" s="1"/>
  <c r="V88" i="1"/>
  <c r="T88" i="1"/>
  <c r="R88" i="1"/>
  <c r="M88" i="1"/>
  <c r="R87" i="1"/>
  <c r="M87" i="1"/>
  <c r="T87" i="1" s="1"/>
  <c r="V87" i="1" s="1"/>
  <c r="V86" i="1"/>
  <c r="T86" i="1"/>
  <c r="R86" i="1"/>
  <c r="M86" i="1"/>
  <c r="R85" i="1"/>
  <c r="M85" i="1"/>
  <c r="T85" i="1" s="1"/>
  <c r="V85" i="1" s="1"/>
  <c r="V84" i="1"/>
  <c r="T84" i="1"/>
  <c r="R84" i="1"/>
  <c r="M84" i="1"/>
  <c r="M83" i="1"/>
  <c r="T83" i="1" s="1"/>
  <c r="V83" i="1" s="1"/>
  <c r="O82" i="1"/>
  <c r="P82" i="1" s="1"/>
  <c r="N82" i="1"/>
  <c r="M82" i="1"/>
  <c r="T82" i="1" s="1"/>
  <c r="M80" i="1"/>
  <c r="R79" i="1"/>
  <c r="M79" i="1"/>
  <c r="T79" i="1" s="1"/>
  <c r="V79" i="1" s="1"/>
  <c r="V78" i="1"/>
  <c r="T78" i="1"/>
  <c r="R78" i="1"/>
  <c r="M78" i="1"/>
  <c r="R77" i="1"/>
  <c r="M77" i="1"/>
  <c r="T77" i="1" s="1"/>
  <c r="V77" i="1" s="1"/>
  <c r="V76" i="1"/>
  <c r="T76" i="1"/>
  <c r="R76" i="1"/>
  <c r="M76" i="1"/>
  <c r="R75" i="1"/>
  <c r="M75" i="1"/>
  <c r="T75" i="1" s="1"/>
  <c r="V75" i="1" s="1"/>
  <c r="V74" i="1"/>
  <c r="T74" i="1"/>
  <c r="R74" i="1"/>
  <c r="M74" i="1"/>
  <c r="T73" i="1"/>
  <c r="V73" i="1" s="1"/>
  <c r="M73" i="1"/>
  <c r="V72" i="1"/>
  <c r="T72" i="1"/>
  <c r="O72" i="1"/>
  <c r="N72" i="1"/>
  <c r="P72" i="1" s="1"/>
  <c r="M72" i="1"/>
  <c r="V71" i="1"/>
  <c r="T71" i="1"/>
  <c r="M71" i="1"/>
  <c r="V70" i="1"/>
  <c r="T70" i="1"/>
  <c r="M70" i="1"/>
  <c r="V69" i="1"/>
  <c r="M69" i="1"/>
  <c r="T69" i="1" s="1"/>
  <c r="V68" i="1"/>
  <c r="T68" i="1"/>
  <c r="M68" i="1"/>
  <c r="M67" i="1"/>
  <c r="T67" i="1" s="1"/>
  <c r="V67" i="1" s="1"/>
  <c r="T66" i="1"/>
  <c r="V66" i="1" s="1"/>
  <c r="M66" i="1"/>
  <c r="V65" i="1"/>
  <c r="T65" i="1"/>
  <c r="M65" i="1"/>
  <c r="T64" i="1"/>
  <c r="V64" i="1" s="1"/>
  <c r="M64" i="1"/>
  <c r="V63" i="1"/>
  <c r="T63" i="1"/>
  <c r="O63" i="1"/>
  <c r="N63" i="1"/>
  <c r="P63" i="1" s="1"/>
  <c r="M63" i="1"/>
  <c r="V62" i="1"/>
  <c r="T62" i="1"/>
  <c r="M62" i="1"/>
  <c r="V61" i="1"/>
  <c r="T61" i="1"/>
  <c r="M61" i="1"/>
  <c r="M60" i="1"/>
  <c r="T60" i="1" s="1"/>
  <c r="V60" i="1" s="1"/>
  <c r="V59" i="1"/>
  <c r="T59" i="1"/>
  <c r="M59" i="1"/>
  <c r="M58" i="1"/>
  <c r="T58" i="1" s="1"/>
  <c r="V58" i="1" s="1"/>
  <c r="T57" i="1"/>
  <c r="V57" i="1" s="1"/>
  <c r="M57" i="1"/>
  <c r="V56" i="1"/>
  <c r="T56" i="1"/>
  <c r="M56" i="1"/>
  <c r="T55" i="1"/>
  <c r="V55" i="1" s="1"/>
  <c r="P55" i="1"/>
  <c r="O55" i="1"/>
  <c r="N55" i="1"/>
  <c r="M55" i="1"/>
  <c r="T54" i="1"/>
  <c r="V54" i="1" s="1"/>
  <c r="M54" i="1"/>
  <c r="V53" i="1"/>
  <c r="T53" i="1"/>
  <c r="M53" i="1"/>
  <c r="V52" i="1"/>
  <c r="T52" i="1"/>
  <c r="M52" i="1"/>
  <c r="M51" i="1"/>
  <c r="T51" i="1" s="1"/>
  <c r="V51" i="1" s="1"/>
  <c r="V50" i="1"/>
  <c r="T50" i="1"/>
  <c r="M50" i="1"/>
  <c r="M49" i="1"/>
  <c r="T49" i="1" s="1"/>
  <c r="V49" i="1" s="1"/>
  <c r="P48" i="1"/>
  <c r="O48" i="1"/>
  <c r="N48" i="1"/>
  <c r="M48" i="1"/>
  <c r="T48" i="1" s="1"/>
  <c r="U47" i="1"/>
  <c r="V46" i="1"/>
  <c r="T46" i="1"/>
  <c r="M46" i="1"/>
  <c r="V45" i="1"/>
  <c r="T45" i="1"/>
  <c r="M45" i="1"/>
  <c r="M44" i="1"/>
  <c r="T44" i="1" s="1"/>
  <c r="V44" i="1" s="1"/>
  <c r="V43" i="1"/>
  <c r="T43" i="1"/>
  <c r="M43" i="1"/>
  <c r="M42" i="1"/>
  <c r="T42" i="1" s="1"/>
  <c r="V42" i="1" s="1"/>
  <c r="T41" i="1"/>
  <c r="V41" i="1" s="1"/>
  <c r="M41" i="1"/>
  <c r="V40" i="1"/>
  <c r="T40" i="1"/>
  <c r="M40" i="1"/>
  <c r="T39" i="1"/>
  <c r="V39" i="1" s="1"/>
  <c r="M39" i="1"/>
  <c r="V38" i="1"/>
  <c r="T38" i="1"/>
  <c r="M38" i="1"/>
  <c r="V37" i="1"/>
  <c r="T37" i="1"/>
  <c r="M37" i="1"/>
  <c r="M36" i="1"/>
  <c r="T36" i="1" s="1"/>
  <c r="V36" i="1" s="1"/>
  <c r="O35" i="1"/>
  <c r="P35" i="1" s="1"/>
  <c r="N35" i="1"/>
  <c r="M35" i="1"/>
  <c r="T35" i="1" s="1"/>
  <c r="V34" i="1"/>
  <c r="T34" i="1"/>
  <c r="M34" i="1"/>
  <c r="M33" i="1"/>
  <c r="T33" i="1" s="1"/>
  <c r="T32" i="1"/>
  <c r="V32" i="1" s="1"/>
  <c r="M32" i="1"/>
  <c r="V31" i="1"/>
  <c r="T31" i="1"/>
  <c r="M31" i="1"/>
  <c r="T30" i="1"/>
  <c r="V30" i="1" s="1"/>
  <c r="M30" i="1"/>
  <c r="V29" i="1"/>
  <c r="T29" i="1"/>
  <c r="M29" i="1"/>
  <c r="V28" i="1"/>
  <c r="T28" i="1"/>
  <c r="M28" i="1"/>
  <c r="T27" i="1"/>
  <c r="V27" i="1" s="1"/>
  <c r="P27" i="1"/>
  <c r="O27" i="1"/>
  <c r="N27" i="1"/>
  <c r="M27" i="1"/>
  <c r="M26" i="1"/>
  <c r="T26" i="1" s="1"/>
  <c r="V26" i="1" s="1"/>
  <c r="V25" i="1"/>
  <c r="T25" i="1"/>
  <c r="M25" i="1"/>
  <c r="M24" i="1"/>
  <c r="T24" i="1" s="1"/>
  <c r="V24" i="1" s="1"/>
  <c r="T23" i="1"/>
  <c r="V23" i="1" s="1"/>
  <c r="M23" i="1"/>
  <c r="V22" i="1"/>
  <c r="T22" i="1"/>
  <c r="M22" i="1"/>
  <c r="T21" i="1"/>
  <c r="V21" i="1" s="1"/>
  <c r="M21" i="1"/>
  <c r="T20" i="1"/>
  <c r="V20" i="1" s="1"/>
  <c r="M20" i="1"/>
  <c r="V19" i="1"/>
  <c r="T19" i="1"/>
  <c r="M19" i="1"/>
  <c r="M18" i="1"/>
  <c r="T18" i="1" s="1"/>
  <c r="V18" i="1" s="1"/>
  <c r="O17" i="1"/>
  <c r="P17" i="1" s="1"/>
  <c r="N17" i="1"/>
  <c r="M17" i="1"/>
  <c r="T17" i="1" s="1"/>
  <c r="V16" i="1"/>
  <c r="T16" i="1"/>
  <c r="M16" i="1"/>
  <c r="M15" i="1"/>
  <c r="T15" i="1" s="1"/>
  <c r="V15" i="1" s="1"/>
  <c r="M14" i="1"/>
  <c r="T14" i="1" s="1"/>
  <c r="V14" i="1" s="1"/>
  <c r="V13" i="1"/>
  <c r="T13" i="1"/>
  <c r="M13" i="1"/>
  <c r="T12" i="1"/>
  <c r="V12" i="1" s="1"/>
  <c r="M12" i="1"/>
  <c r="T11" i="1"/>
  <c r="V11" i="1" s="1"/>
  <c r="M11" i="1"/>
  <c r="V10" i="1"/>
  <c r="T10" i="1"/>
  <c r="M10" i="1"/>
  <c r="T9" i="1"/>
  <c r="V9" i="1" s="1"/>
  <c r="P9" i="1"/>
  <c r="O9" i="1"/>
  <c r="N9" i="1"/>
  <c r="M9" i="1"/>
  <c r="Q8" i="1"/>
  <c r="T8" i="1" s="1"/>
  <c r="V8" i="1" s="1"/>
  <c r="M8" i="1"/>
  <c r="V7" i="1"/>
  <c r="T7" i="1"/>
  <c r="M7" i="1"/>
  <c r="T6" i="1"/>
  <c r="V6" i="1" s="1"/>
  <c r="M6" i="1"/>
  <c r="T5" i="1"/>
  <c r="V5" i="1" s="1"/>
  <c r="M5" i="1"/>
  <c r="V4" i="1"/>
  <c r="T4" i="1"/>
  <c r="M4" i="1"/>
  <c r="M3" i="1"/>
  <c r="T3" i="1" s="1"/>
  <c r="V3" i="1" s="1"/>
  <c r="O2" i="1"/>
  <c r="P2" i="1" s="1"/>
  <c r="N2" i="1"/>
  <c r="M2" i="1"/>
  <c r="T2" i="1" s="1"/>
  <c r="W72" i="1" l="1"/>
  <c r="W55" i="1"/>
  <c r="V33" i="1"/>
  <c r="W27" i="1" s="1"/>
  <c r="U27" i="1"/>
  <c r="W101" i="1"/>
  <c r="W138" i="1"/>
  <c r="W9" i="1"/>
  <c r="V17" i="1"/>
  <c r="W17" i="1" s="1"/>
  <c r="U17" i="1"/>
  <c r="V48" i="1"/>
  <c r="W48" i="1" s="1"/>
  <c r="U48" i="1"/>
  <c r="V82" i="1"/>
  <c r="W82" i="1" s="1"/>
  <c r="U82" i="1"/>
  <c r="V35" i="1"/>
  <c r="W35" i="1" s="1"/>
  <c r="U35" i="1"/>
  <c r="V92" i="1"/>
  <c r="W92" i="1" s="1"/>
  <c r="U92" i="1"/>
  <c r="V120" i="1"/>
  <c r="W120" i="1" s="1"/>
  <c r="U120" i="1"/>
  <c r="V130" i="1"/>
  <c r="W130" i="1" s="1"/>
  <c r="U130" i="1"/>
  <c r="V2" i="1"/>
  <c r="W2" i="1" s="1"/>
  <c r="U2" i="1"/>
  <c r="W63" i="1"/>
  <c r="R116" i="1"/>
  <c r="T116" i="1" s="1"/>
  <c r="V116" i="1" s="1"/>
  <c r="R115" i="1"/>
  <c r="T115" i="1" s="1"/>
  <c r="T114" i="1"/>
  <c r="V114" i="1" s="1"/>
  <c r="U9" i="1"/>
  <c r="U63" i="1"/>
  <c r="U72" i="1"/>
  <c r="U138" i="1"/>
  <c r="R117" i="1"/>
  <c r="T117" i="1" s="1"/>
  <c r="V117" i="1" s="1"/>
  <c r="U55" i="1"/>
  <c r="U101" i="1"/>
  <c r="W111" i="1" l="1"/>
  <c r="V115" i="1"/>
  <c r="U1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Gavin McNicol</author>
  </authors>
  <commentList>
    <comment ref="R2" authorId="0" shapeId="0" xr:uid="{7C3A8115-564F-4E2D-9286-77589BA3726C}">
      <text>
        <r>
          <rPr>
            <b/>
            <sz val="9"/>
            <color indexed="81"/>
            <rFont val="Tahoma"/>
            <family val="2"/>
          </rPr>
          <t>Gavin McNicol:</t>
        </r>
        <r>
          <rPr>
            <sz val="9"/>
            <color indexed="81"/>
            <rFont val="Tahoma"/>
            <family val="2"/>
          </rPr>
          <t xml:space="preserve">
Sanborn &amp; Massicotte - soils are formed in dune sand, so 0% CF is reasonable for all mineral horizons</t>
        </r>
      </text>
    </comment>
    <comment ref="G48" authorId="0" shapeId="0" xr:uid="{975B5016-C1C2-408C-ADF5-751935D7F88A}">
      <text>
        <r>
          <rPr>
            <b/>
            <sz val="9"/>
            <color indexed="81"/>
            <rFont val="Tahoma"/>
            <family val="2"/>
          </rPr>
          <t>Gavin McNicol:</t>
        </r>
        <r>
          <rPr>
            <sz val="9"/>
            <color indexed="81"/>
            <rFont val="Tahoma"/>
            <family val="2"/>
          </rPr>
          <t xml:space="preserve">
Mean slope for range provided in citation. NE aspect inferred from map location.</t>
        </r>
      </text>
    </comment>
    <comment ref="R72" authorId="0" shapeId="0" xr:uid="{DE8DB4F8-F287-4B74-92C4-DDD797110AFA}">
      <text>
        <r>
          <rPr>
            <b/>
            <sz val="9"/>
            <color indexed="81"/>
            <rFont val="Tahoma"/>
            <family val="2"/>
          </rPr>
          <t>Gavin McNicol:</t>
        </r>
        <r>
          <rPr>
            <sz val="9"/>
            <color indexed="81"/>
            <rFont val="Tahoma"/>
            <family val="2"/>
          </rPr>
          <t xml:space="preserve">
Appendix 1-1 (Lewis, 1976): CF = Gravel+Stones content. Where data are missing, mean of equivalent horizon observations is used.</t>
        </r>
      </text>
    </comment>
  </commentList>
</comments>
</file>

<file path=xl/sharedStrings.xml><?xml version="1.0" encoding="utf-8"?>
<sst xmlns="http://schemas.openxmlformats.org/spreadsheetml/2006/main" count="1031" uniqueCount="120">
  <si>
    <t>SANBORN &amp; MASSICOTTE 2010</t>
  </si>
  <si>
    <t>BC09-04</t>
  </si>
  <si>
    <t>Gleyed Dystric Brunisol</t>
  </si>
  <si>
    <t>HIGH</t>
  </si>
  <si>
    <t>NA</t>
  </si>
  <si>
    <t>Lv/S</t>
  </si>
  <si>
    <t>Fm</t>
  </si>
  <si>
    <t>Hh</t>
  </si>
  <si>
    <t>Aeg</t>
  </si>
  <si>
    <t>Bmg</t>
  </si>
  <si>
    <t>BC</t>
  </si>
  <si>
    <t>Cg</t>
  </si>
  <si>
    <t>BC09-01</t>
  </si>
  <si>
    <t>Lv</t>
  </si>
  <si>
    <t>Ae</t>
  </si>
  <si>
    <t>Bm1</t>
  </si>
  <si>
    <t>Bm2</t>
  </si>
  <si>
    <t>BC09-02</t>
  </si>
  <si>
    <t>Placic Humic Podzol</t>
  </si>
  <si>
    <t>Bhcj</t>
  </si>
  <si>
    <t>Bhg</t>
  </si>
  <si>
    <t>Bg</t>
  </si>
  <si>
    <t>Bfc</t>
  </si>
  <si>
    <t>BC09-03</t>
  </si>
  <si>
    <t>Bhc</t>
  </si>
  <si>
    <t>BC09-06</t>
  </si>
  <si>
    <t>Hh1</t>
  </si>
  <si>
    <t>Hh2</t>
  </si>
  <si>
    <t>Hh3</t>
  </si>
  <si>
    <t>Hh4</t>
  </si>
  <si>
    <t>Bhc1</t>
  </si>
  <si>
    <t>Bhc2</t>
  </si>
  <si>
    <t>BC09-07</t>
  </si>
  <si>
    <t>SANBORN &amp; LAVKULICH 1989</t>
  </si>
  <si>
    <t>BANFIELD</t>
  </si>
  <si>
    <t>Ferro-Humic Podzol</t>
  </si>
  <si>
    <t>LOW</t>
  </si>
  <si>
    <t>NE</t>
  </si>
  <si>
    <t>Oi</t>
  </si>
  <si>
    <t>Oe</t>
  </si>
  <si>
    <t>Oa</t>
  </si>
  <si>
    <t>E</t>
  </si>
  <si>
    <t>Bhs1</t>
  </si>
  <si>
    <t>Bhs2</t>
  </si>
  <si>
    <t>Bhs3</t>
  </si>
  <si>
    <t>CARNATIONCREEK1</t>
  </si>
  <si>
    <t>N</t>
  </si>
  <si>
    <t>Bhs4</t>
  </si>
  <si>
    <t>Bms</t>
  </si>
  <si>
    <t>CARNATIONCREEK2</t>
  </si>
  <si>
    <t>Bhs5</t>
  </si>
  <si>
    <t>Bhs6</t>
  </si>
  <si>
    <t>LEWIS 1976</t>
  </si>
  <si>
    <t>AD</t>
  </si>
  <si>
    <t>Duric Humo-Ferric Podzol</t>
  </si>
  <si>
    <t>LF</t>
  </si>
  <si>
    <t>H</t>
  </si>
  <si>
    <t>Bfh</t>
  </si>
  <si>
    <t>Bf1</t>
  </si>
  <si>
    <t>Bf2</t>
  </si>
  <si>
    <t>Bf3</t>
  </si>
  <si>
    <t>Bfgj1</t>
  </si>
  <si>
    <t>Bfgj2</t>
  </si>
  <si>
    <t>BCd</t>
  </si>
  <si>
    <t>C</t>
  </si>
  <si>
    <t>AW</t>
  </si>
  <si>
    <t>Duric Ferro-Humic Podzol</t>
  </si>
  <si>
    <t>Bhf</t>
  </si>
  <si>
    <t>Bfh1</t>
  </si>
  <si>
    <t>Bfh2</t>
  </si>
  <si>
    <t>Bfh3</t>
  </si>
  <si>
    <t>Bfh4</t>
  </si>
  <si>
    <t>Bfhgj</t>
  </si>
  <si>
    <t>BD</t>
  </si>
  <si>
    <t>W</t>
  </si>
  <si>
    <t>Bfgh2</t>
  </si>
  <si>
    <t>BW</t>
  </si>
  <si>
    <t>FLAT</t>
  </si>
  <si>
    <t>GD</t>
  </si>
  <si>
    <t>Duric Dystric Brunisol</t>
  </si>
  <si>
    <t>S</t>
  </si>
  <si>
    <t>Bm3</t>
  </si>
  <si>
    <t>Bmgj</t>
  </si>
  <si>
    <t>GW</t>
  </si>
  <si>
    <t>SE</t>
  </si>
  <si>
    <t>Bhf1</t>
  </si>
  <si>
    <t>Bhf2</t>
  </si>
  <si>
    <t>Bhf3</t>
  </si>
  <si>
    <t>Bhf4</t>
  </si>
  <si>
    <t>Bhfgj1</t>
  </si>
  <si>
    <t>Bhfgj2</t>
  </si>
  <si>
    <t>LW</t>
  </si>
  <si>
    <t>Bfhgj1</t>
  </si>
  <si>
    <t>Bfhgj2</t>
  </si>
  <si>
    <t>SW</t>
  </si>
  <si>
    <t>Orthic Humo-Ferric Podzol</t>
  </si>
  <si>
    <t>Bf4</t>
  </si>
  <si>
    <t>SOURCE</t>
  </si>
  <si>
    <t>ID</t>
  </si>
  <si>
    <t>ORDER</t>
  </si>
  <si>
    <t xml:space="preserve">LAT </t>
  </si>
  <si>
    <t>LON</t>
  </si>
  <si>
    <t>LATLON_Q</t>
  </si>
  <si>
    <t>Elevation</t>
  </si>
  <si>
    <t>Slope</t>
  </si>
  <si>
    <t>Aspect</t>
  </si>
  <si>
    <t>HORIZON</t>
  </si>
  <si>
    <t>DEPTH2</t>
  </si>
  <si>
    <t>DEPTH1</t>
  </si>
  <si>
    <t>DEPTH</t>
  </si>
  <si>
    <t>MINERAL_D</t>
  </si>
  <si>
    <t>FF_D</t>
  </si>
  <si>
    <t>TOTAL_D</t>
  </si>
  <si>
    <t>BULK DENSITY</t>
  </si>
  <si>
    <t>CF</t>
  </si>
  <si>
    <t>CCONC</t>
  </si>
  <si>
    <t>CCONTENT</t>
  </si>
  <si>
    <t>TOTAL_C</t>
  </si>
  <si>
    <t>CCONTENT_1M</t>
  </si>
  <si>
    <t>TOTAL_C_1M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</si>
</sst>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9BD-CD19-41E6-97DE-C8708E1779D4}">
  <dimension ref="A1:W148"/>
  <sheetViews>
    <sheetView tabSelected="1" workbookViewId="0">
      <selection activeCell="E6" sqref="E6"/>
    </sheetView>
  </sheetViews>
  <sheetFormatPr defaultRowHeight="14.5" x14ac:dyDescent="0.35"/>
  <sheetData>
    <row r="1" spans="1:23" x14ac:dyDescent="0.35">
      <c r="A1" s="20" t="s">
        <v>97</v>
      </c>
      <c r="B1" s="20" t="s">
        <v>98</v>
      </c>
      <c r="C1" s="20" t="s">
        <v>99</v>
      </c>
      <c r="D1" s="20" t="s">
        <v>100</v>
      </c>
      <c r="E1" s="20" t="s">
        <v>101</v>
      </c>
      <c r="F1" s="20" t="s">
        <v>102</v>
      </c>
      <c r="G1" s="20" t="s">
        <v>103</v>
      </c>
      <c r="H1" s="20" t="s">
        <v>104</v>
      </c>
      <c r="I1" s="20" t="s">
        <v>105</v>
      </c>
      <c r="J1" s="7" t="s">
        <v>106</v>
      </c>
      <c r="K1" s="7" t="s">
        <v>107</v>
      </c>
      <c r="L1" s="7" t="s">
        <v>108</v>
      </c>
      <c r="M1" s="7" t="s">
        <v>109</v>
      </c>
      <c r="N1" s="20" t="s">
        <v>110</v>
      </c>
      <c r="O1" s="20" t="s">
        <v>111</v>
      </c>
      <c r="P1" s="20" t="s">
        <v>112</v>
      </c>
      <c r="Q1" s="21" t="s">
        <v>113</v>
      </c>
      <c r="R1" s="7" t="s">
        <v>114</v>
      </c>
      <c r="S1" s="7" t="s">
        <v>115</v>
      </c>
      <c r="T1" s="7" t="s">
        <v>116</v>
      </c>
      <c r="U1" s="22" t="s">
        <v>117</v>
      </c>
      <c r="V1" s="7" t="s">
        <v>118</v>
      </c>
      <c r="W1" s="20" t="s">
        <v>119</v>
      </c>
    </row>
    <row r="2" spans="1:23" x14ac:dyDescent="0.35">
      <c r="A2" s="1" t="s">
        <v>0</v>
      </c>
      <c r="B2" s="1" t="s">
        <v>1</v>
      </c>
      <c r="C2" s="1" t="s">
        <v>2</v>
      </c>
      <c r="D2" s="1">
        <v>54.075722220000003</v>
      </c>
      <c r="E2" s="1">
        <v>-131.68611111000001</v>
      </c>
      <c r="F2" s="1" t="s">
        <v>3</v>
      </c>
      <c r="G2" s="1" t="s">
        <v>4</v>
      </c>
      <c r="H2" s="1" t="s">
        <v>4</v>
      </c>
      <c r="I2" s="1" t="s">
        <v>4</v>
      </c>
      <c r="J2" s="1" t="s">
        <v>5</v>
      </c>
      <c r="K2" s="2">
        <v>7</v>
      </c>
      <c r="L2" s="2">
        <v>6</v>
      </c>
      <c r="M2" s="2">
        <f t="shared" ref="M2:M80" si="0">K2-L2</f>
        <v>1</v>
      </c>
      <c r="N2" s="2">
        <f>IF(ABS(MIN(L2:L8))&gt;100,100,ABS(MIN(L2:L8)))</f>
        <v>100</v>
      </c>
      <c r="O2" s="2">
        <f>K2</f>
        <v>7</v>
      </c>
      <c r="P2" s="2">
        <f>O2+N2</f>
        <v>107</v>
      </c>
      <c r="Q2" s="3">
        <v>0</v>
      </c>
      <c r="R2" s="4"/>
      <c r="S2" s="5">
        <v>53.95</v>
      </c>
      <c r="T2" s="2">
        <f>S2/100*Q2*(100*100*M2)*((100-R2)/100)</f>
        <v>0</v>
      </c>
      <c r="U2" s="2">
        <f>SUM(T2:T8)</f>
        <v>3233.527</v>
      </c>
      <c r="V2" s="2">
        <f t="shared" ref="V2:V7" si="1">T2</f>
        <v>0</v>
      </c>
      <c r="W2" s="6">
        <f>SUM(V2:V8)/10^6*10^4</f>
        <v>29.682969999999994</v>
      </c>
    </row>
    <row r="3" spans="1:23" x14ac:dyDescent="0.35">
      <c r="A3" s="1" t="s">
        <v>0</v>
      </c>
      <c r="B3" s="1" t="s">
        <v>1</v>
      </c>
      <c r="C3" s="1" t="s">
        <v>2</v>
      </c>
      <c r="D3" s="1">
        <v>54.075722220000003</v>
      </c>
      <c r="E3" s="1">
        <v>-131.68611111000001</v>
      </c>
      <c r="F3" s="1" t="s">
        <v>3</v>
      </c>
      <c r="G3" s="1" t="s">
        <v>4</v>
      </c>
      <c r="H3" s="1" t="s">
        <v>4</v>
      </c>
      <c r="I3" s="1" t="s">
        <v>4</v>
      </c>
      <c r="J3" s="1" t="s">
        <v>6</v>
      </c>
      <c r="K3" s="2">
        <v>6</v>
      </c>
      <c r="L3" s="2">
        <v>2</v>
      </c>
      <c r="M3" s="2">
        <f t="shared" si="0"/>
        <v>4</v>
      </c>
      <c r="N3" s="2"/>
      <c r="O3" s="2"/>
      <c r="P3" s="2"/>
      <c r="Q3" s="3">
        <v>0</v>
      </c>
      <c r="R3" s="5"/>
      <c r="S3" s="5">
        <v>21.77</v>
      </c>
      <c r="T3" s="2">
        <f>S3/100*Q3*(100*100*M3)*((100-R3)/100)</f>
        <v>0</v>
      </c>
      <c r="U3" s="1"/>
      <c r="V3" s="2">
        <f t="shared" si="1"/>
        <v>0</v>
      </c>
      <c r="W3" s="1"/>
    </row>
    <row r="4" spans="1:23" x14ac:dyDescent="0.35">
      <c r="A4" s="1" t="s">
        <v>0</v>
      </c>
      <c r="B4" s="1" t="s">
        <v>1</v>
      </c>
      <c r="C4" s="1" t="s">
        <v>2</v>
      </c>
      <c r="D4" s="1">
        <v>54.075722220000003</v>
      </c>
      <c r="E4" s="1">
        <v>-131.68611111000001</v>
      </c>
      <c r="F4" s="1" t="s">
        <v>3</v>
      </c>
      <c r="G4" s="1" t="s">
        <v>4</v>
      </c>
      <c r="H4" s="1" t="s">
        <v>4</v>
      </c>
      <c r="I4" s="1" t="s">
        <v>4</v>
      </c>
      <c r="J4" s="1" t="s">
        <v>7</v>
      </c>
      <c r="K4" s="2">
        <v>2</v>
      </c>
      <c r="L4" s="2">
        <v>0</v>
      </c>
      <c r="M4" s="2">
        <f t="shared" si="0"/>
        <v>2</v>
      </c>
      <c r="N4" s="2"/>
      <c r="O4" s="2"/>
      <c r="P4" s="2"/>
      <c r="Q4" s="3">
        <v>0</v>
      </c>
      <c r="R4" s="5"/>
      <c r="S4" s="5">
        <v>41.5</v>
      </c>
      <c r="T4" s="2">
        <f t="shared" ref="T4:T8" si="2">S4/100*Q4*(100*100*M4)*((100-R4)/100)</f>
        <v>0</v>
      </c>
      <c r="U4" s="1"/>
      <c r="V4" s="2">
        <f t="shared" si="1"/>
        <v>0</v>
      </c>
      <c r="W4" s="1"/>
    </row>
    <row r="5" spans="1:23" x14ac:dyDescent="0.35">
      <c r="A5" s="1" t="s">
        <v>0</v>
      </c>
      <c r="B5" s="1" t="s">
        <v>1</v>
      </c>
      <c r="C5" s="1" t="s">
        <v>2</v>
      </c>
      <c r="D5" s="1">
        <v>54.075722220000003</v>
      </c>
      <c r="E5" s="1">
        <v>-131.68611111000001</v>
      </c>
      <c r="F5" s="1" t="s">
        <v>3</v>
      </c>
      <c r="G5" s="1" t="s">
        <v>4</v>
      </c>
      <c r="H5" s="1" t="s">
        <v>4</v>
      </c>
      <c r="I5" s="1" t="s">
        <v>4</v>
      </c>
      <c r="J5" s="1" t="s">
        <v>8</v>
      </c>
      <c r="K5" s="2">
        <v>0</v>
      </c>
      <c r="L5" s="2">
        <v>-3</v>
      </c>
      <c r="M5" s="2">
        <f t="shared" si="0"/>
        <v>3</v>
      </c>
      <c r="N5" s="2"/>
      <c r="O5" s="2"/>
      <c r="P5" s="2"/>
      <c r="Q5" s="5">
        <v>1.4770000000000001</v>
      </c>
      <c r="R5" s="5"/>
      <c r="S5" s="5">
        <v>0.47</v>
      </c>
      <c r="T5" s="2">
        <f t="shared" si="2"/>
        <v>208.25699999999998</v>
      </c>
      <c r="U5" s="1"/>
      <c r="V5" s="2">
        <f t="shared" si="1"/>
        <v>208.25699999999998</v>
      </c>
      <c r="W5" s="1"/>
    </row>
    <row r="6" spans="1:23" x14ac:dyDescent="0.35">
      <c r="A6" s="1" t="s">
        <v>0</v>
      </c>
      <c r="B6" s="1" t="s">
        <v>1</v>
      </c>
      <c r="C6" s="1" t="s">
        <v>2</v>
      </c>
      <c r="D6" s="1">
        <v>54.075722220000003</v>
      </c>
      <c r="E6" s="1">
        <v>-131.68611111000001</v>
      </c>
      <c r="F6" s="1" t="s">
        <v>3</v>
      </c>
      <c r="G6" s="1" t="s">
        <v>4</v>
      </c>
      <c r="H6" s="1" t="s">
        <v>4</v>
      </c>
      <c r="I6" s="1" t="s">
        <v>4</v>
      </c>
      <c r="J6" s="1" t="s">
        <v>9</v>
      </c>
      <c r="K6" s="2">
        <v>-3</v>
      </c>
      <c r="L6" s="2">
        <v>-35</v>
      </c>
      <c r="M6" s="2">
        <f t="shared" si="0"/>
        <v>32</v>
      </c>
      <c r="N6" s="2"/>
      <c r="O6" s="2"/>
      <c r="P6" s="2"/>
      <c r="Q6" s="5">
        <v>1.585</v>
      </c>
      <c r="R6" s="5"/>
      <c r="S6" s="5">
        <v>0.21</v>
      </c>
      <c r="T6" s="2">
        <f>S6/100*Q6*(100*100*M6)*((100-R6)/100)</f>
        <v>1065.1199999999999</v>
      </c>
      <c r="U6" s="1"/>
      <c r="V6" s="2">
        <f t="shared" si="1"/>
        <v>1065.1199999999999</v>
      </c>
      <c r="W6" s="1"/>
    </row>
    <row r="7" spans="1:23" x14ac:dyDescent="0.35">
      <c r="A7" s="1" t="s">
        <v>0</v>
      </c>
      <c r="B7" s="1" t="s">
        <v>1</v>
      </c>
      <c r="C7" s="1" t="s">
        <v>2</v>
      </c>
      <c r="D7" s="1">
        <v>54.075722220000003</v>
      </c>
      <c r="E7" s="1">
        <v>-131.68611111000001</v>
      </c>
      <c r="F7" s="1" t="s">
        <v>3</v>
      </c>
      <c r="G7" s="1" t="s">
        <v>4</v>
      </c>
      <c r="H7" s="1" t="s">
        <v>4</v>
      </c>
      <c r="I7" s="1" t="s">
        <v>4</v>
      </c>
      <c r="J7" s="1" t="s">
        <v>10</v>
      </c>
      <c r="K7" s="2">
        <v>-35</v>
      </c>
      <c r="L7" s="2">
        <v>-60</v>
      </c>
      <c r="M7" s="2">
        <f t="shared" si="0"/>
        <v>25</v>
      </c>
      <c r="N7" s="2"/>
      <c r="O7" s="2"/>
      <c r="P7" s="2"/>
      <c r="Q7" s="5">
        <v>1.585</v>
      </c>
      <c r="R7" s="5"/>
      <c r="S7" s="5">
        <v>0.16</v>
      </c>
      <c r="T7" s="2">
        <f t="shared" si="2"/>
        <v>634</v>
      </c>
      <c r="U7" s="1"/>
      <c r="V7" s="2">
        <f t="shared" si="1"/>
        <v>634</v>
      </c>
      <c r="W7" s="1"/>
    </row>
    <row r="8" spans="1:23" x14ac:dyDescent="0.35">
      <c r="A8" s="7" t="s">
        <v>0</v>
      </c>
      <c r="B8" s="7" t="s">
        <v>1</v>
      </c>
      <c r="C8" s="7" t="s">
        <v>2</v>
      </c>
      <c r="D8" s="7">
        <v>54.075722220000003</v>
      </c>
      <c r="E8" s="7">
        <v>-131.68611111000001</v>
      </c>
      <c r="F8" s="7" t="s">
        <v>3</v>
      </c>
      <c r="G8" s="7" t="s">
        <v>4</v>
      </c>
      <c r="H8" s="7" t="s">
        <v>4</v>
      </c>
      <c r="I8" s="7" t="s">
        <v>4</v>
      </c>
      <c r="J8" s="7" t="s">
        <v>11</v>
      </c>
      <c r="K8" s="8">
        <v>-60</v>
      </c>
      <c r="L8" s="8">
        <v>-110</v>
      </c>
      <c r="M8" s="8">
        <f t="shared" si="0"/>
        <v>50</v>
      </c>
      <c r="N8" s="8"/>
      <c r="O8" s="8"/>
      <c r="P8" s="8"/>
      <c r="Q8" s="9">
        <f>AVERAGE(1.518,1.429)</f>
        <v>1.4735</v>
      </c>
      <c r="R8" s="9"/>
      <c r="S8" s="9">
        <v>0.18</v>
      </c>
      <c r="T8" s="8">
        <f t="shared" si="2"/>
        <v>1326.1499999999999</v>
      </c>
      <c r="U8" s="7"/>
      <c r="V8" s="8">
        <f>IF(K8&gt;-100,T8-T8*(ABS(L8)-100)/(ABS(L8)-ABS(K8)),0)</f>
        <v>1060.9199999999998</v>
      </c>
      <c r="W8" s="7"/>
    </row>
    <row r="9" spans="1:23" x14ac:dyDescent="0.35">
      <c r="A9" s="1" t="s">
        <v>0</v>
      </c>
      <c r="B9" s="1" t="s">
        <v>12</v>
      </c>
      <c r="C9" s="1" t="s">
        <v>2</v>
      </c>
      <c r="D9" s="1">
        <v>54.026305559999997</v>
      </c>
      <c r="E9" s="1">
        <v>-131.98222222000001</v>
      </c>
      <c r="F9" s="1" t="s">
        <v>3</v>
      </c>
      <c r="G9" s="1" t="s">
        <v>4</v>
      </c>
      <c r="H9" s="1" t="s">
        <v>4</v>
      </c>
      <c r="I9" s="1" t="s">
        <v>4</v>
      </c>
      <c r="J9" s="1" t="s">
        <v>13</v>
      </c>
      <c r="K9" s="2">
        <v>13</v>
      </c>
      <c r="L9" s="2">
        <v>12</v>
      </c>
      <c r="M9" s="2">
        <f t="shared" si="0"/>
        <v>1</v>
      </c>
      <c r="N9" s="2">
        <f>IF(ABS(MIN(L9:L16))&gt;100,100,ABS(MIN(L9:L16)))</f>
        <v>100</v>
      </c>
      <c r="O9" s="2">
        <f>K9</f>
        <v>13</v>
      </c>
      <c r="P9" s="2">
        <f>O9+N9</f>
        <v>113</v>
      </c>
      <c r="Q9" s="3">
        <v>0</v>
      </c>
      <c r="R9" s="5"/>
      <c r="S9" s="5">
        <v>53.33</v>
      </c>
      <c r="T9" s="2">
        <f>S9/100*Q9*(100*100*M9)*((100-R9)/100)</f>
        <v>0</v>
      </c>
      <c r="U9" s="2">
        <f>SUM(T9:T16)</f>
        <v>3530.201</v>
      </c>
      <c r="V9" s="2">
        <f>T9</f>
        <v>0</v>
      </c>
      <c r="W9" s="6">
        <f>SUM(V9:V16)/10^6*10^4</f>
        <v>33.675559999999997</v>
      </c>
    </row>
    <row r="10" spans="1:23" x14ac:dyDescent="0.35">
      <c r="A10" s="1" t="s">
        <v>0</v>
      </c>
      <c r="B10" s="1" t="s">
        <v>12</v>
      </c>
      <c r="C10" s="1" t="s">
        <v>2</v>
      </c>
      <c r="D10" s="1">
        <v>54.026305559999997</v>
      </c>
      <c r="E10" s="1">
        <v>-131.98222222000001</v>
      </c>
      <c r="F10" s="1" t="s">
        <v>3</v>
      </c>
      <c r="G10" s="1" t="s">
        <v>4</v>
      </c>
      <c r="H10" s="1" t="s">
        <v>4</v>
      </c>
      <c r="I10" s="1" t="s">
        <v>4</v>
      </c>
      <c r="J10" s="1" t="s">
        <v>6</v>
      </c>
      <c r="K10" s="2">
        <v>12</v>
      </c>
      <c r="L10" s="2">
        <v>11</v>
      </c>
      <c r="M10" s="2">
        <f t="shared" si="0"/>
        <v>1</v>
      </c>
      <c r="N10" s="2"/>
      <c r="O10" s="2"/>
      <c r="P10" s="2"/>
      <c r="Q10" s="3">
        <v>0</v>
      </c>
      <c r="R10" s="5"/>
      <c r="S10" s="5">
        <v>50.78</v>
      </c>
      <c r="T10" s="2">
        <f>S10/100*Q10*(100*100*M10)*((100-R10)/100)</f>
        <v>0</v>
      </c>
      <c r="U10" s="1"/>
      <c r="V10" s="2">
        <f t="shared" ref="V10:V15" si="3">T10</f>
        <v>0</v>
      </c>
      <c r="W10" s="1"/>
    </row>
    <row r="11" spans="1:23" x14ac:dyDescent="0.35">
      <c r="A11" s="1" t="s">
        <v>0</v>
      </c>
      <c r="B11" s="1" t="s">
        <v>12</v>
      </c>
      <c r="C11" s="1" t="s">
        <v>2</v>
      </c>
      <c r="D11" s="1">
        <v>54.026305559999997</v>
      </c>
      <c r="E11" s="1">
        <v>-131.98222222000001</v>
      </c>
      <c r="F11" s="1" t="s">
        <v>3</v>
      </c>
      <c r="G11" s="1" t="s">
        <v>4</v>
      </c>
      <c r="H11" s="1" t="s">
        <v>4</v>
      </c>
      <c r="I11" s="1" t="s">
        <v>4</v>
      </c>
      <c r="J11" s="1" t="s">
        <v>7</v>
      </c>
      <c r="K11" s="2">
        <v>11</v>
      </c>
      <c r="L11" s="2">
        <v>0</v>
      </c>
      <c r="M11" s="2">
        <f t="shared" si="0"/>
        <v>11</v>
      </c>
      <c r="N11" s="2"/>
      <c r="O11" s="2"/>
      <c r="P11" s="2"/>
      <c r="Q11" s="3">
        <v>0</v>
      </c>
      <c r="R11" s="5"/>
      <c r="S11" s="5">
        <v>49.88</v>
      </c>
      <c r="T11" s="2">
        <f t="shared" ref="T11:T73" si="4">S11/100*Q11*(100*100*M11)*((100-R11)/100)</f>
        <v>0</v>
      </c>
      <c r="U11" s="1"/>
      <c r="V11" s="2">
        <f t="shared" si="3"/>
        <v>0</v>
      </c>
      <c r="W11" s="1"/>
    </row>
    <row r="12" spans="1:23" x14ac:dyDescent="0.35">
      <c r="A12" s="1" t="s">
        <v>0</v>
      </c>
      <c r="B12" s="1" t="s">
        <v>12</v>
      </c>
      <c r="C12" s="1" t="s">
        <v>2</v>
      </c>
      <c r="D12" s="1">
        <v>54.026305559999997</v>
      </c>
      <c r="E12" s="1">
        <v>-131.98222222000001</v>
      </c>
      <c r="F12" s="1" t="s">
        <v>3</v>
      </c>
      <c r="G12" s="1" t="s">
        <v>4</v>
      </c>
      <c r="H12" s="1" t="s">
        <v>4</v>
      </c>
      <c r="I12" s="1" t="s">
        <v>4</v>
      </c>
      <c r="J12" s="1" t="s">
        <v>14</v>
      </c>
      <c r="K12" s="2">
        <v>0</v>
      </c>
      <c r="L12" s="2">
        <v>-7</v>
      </c>
      <c r="M12" s="2">
        <f t="shared" si="0"/>
        <v>7</v>
      </c>
      <c r="N12" s="2"/>
      <c r="O12" s="2"/>
      <c r="P12" s="2"/>
      <c r="Q12" s="5">
        <v>1.321</v>
      </c>
      <c r="R12" s="5"/>
      <c r="S12" s="5">
        <v>0.35</v>
      </c>
      <c r="T12" s="2">
        <f t="shared" si="4"/>
        <v>323.64499999999992</v>
      </c>
      <c r="U12" s="1"/>
      <c r="V12" s="2">
        <f t="shared" si="3"/>
        <v>323.64499999999992</v>
      </c>
      <c r="W12" s="1"/>
    </row>
    <row r="13" spans="1:23" x14ac:dyDescent="0.35">
      <c r="A13" s="1" t="s">
        <v>0</v>
      </c>
      <c r="B13" s="1" t="s">
        <v>12</v>
      </c>
      <c r="C13" s="1" t="s">
        <v>2</v>
      </c>
      <c r="D13" s="1">
        <v>54.026305559999997</v>
      </c>
      <c r="E13" s="1">
        <v>-131.98222222000001</v>
      </c>
      <c r="F13" s="1" t="s">
        <v>3</v>
      </c>
      <c r="G13" s="1" t="s">
        <v>4</v>
      </c>
      <c r="H13" s="1" t="s">
        <v>4</v>
      </c>
      <c r="I13" s="1" t="s">
        <v>4</v>
      </c>
      <c r="J13" s="1" t="s">
        <v>15</v>
      </c>
      <c r="K13" s="2">
        <v>-7</v>
      </c>
      <c r="L13" s="2">
        <v>-25</v>
      </c>
      <c r="M13" s="2">
        <f t="shared" si="0"/>
        <v>18</v>
      </c>
      <c r="N13" s="2"/>
      <c r="O13" s="2"/>
      <c r="P13" s="2"/>
      <c r="Q13" s="5">
        <v>1.349</v>
      </c>
      <c r="R13" s="5"/>
      <c r="S13" s="5">
        <v>0.57999999999999996</v>
      </c>
      <c r="T13" s="2">
        <f t="shared" si="4"/>
        <v>1408.356</v>
      </c>
      <c r="U13" s="1"/>
      <c r="V13" s="2">
        <f t="shared" si="3"/>
        <v>1408.356</v>
      </c>
      <c r="W13" s="1"/>
    </row>
    <row r="14" spans="1:23" x14ac:dyDescent="0.35">
      <c r="A14" s="1" t="s">
        <v>0</v>
      </c>
      <c r="B14" s="1" t="s">
        <v>12</v>
      </c>
      <c r="C14" s="1" t="s">
        <v>2</v>
      </c>
      <c r="D14" s="1">
        <v>54.026305559999997</v>
      </c>
      <c r="E14" s="1">
        <v>-131.98222222000001</v>
      </c>
      <c r="F14" s="1" t="s">
        <v>3</v>
      </c>
      <c r="G14" s="1" t="s">
        <v>4</v>
      </c>
      <c r="H14" s="1" t="s">
        <v>4</v>
      </c>
      <c r="I14" s="1" t="s">
        <v>4</v>
      </c>
      <c r="J14" s="1" t="s">
        <v>16</v>
      </c>
      <c r="K14" s="2">
        <v>-25</v>
      </c>
      <c r="L14" s="2">
        <v>-55</v>
      </c>
      <c r="M14" s="2">
        <f t="shared" si="0"/>
        <v>30</v>
      </c>
      <c r="N14" s="2"/>
      <c r="O14" s="2"/>
      <c r="P14" s="2"/>
      <c r="Q14" s="5">
        <v>1.546</v>
      </c>
      <c r="R14" s="5"/>
      <c r="S14" s="5">
        <v>0.25</v>
      </c>
      <c r="T14" s="2">
        <f t="shared" si="4"/>
        <v>1159.5000000000002</v>
      </c>
      <c r="U14" s="1"/>
      <c r="V14" s="2">
        <f t="shared" si="3"/>
        <v>1159.5000000000002</v>
      </c>
      <c r="W14" s="1"/>
    </row>
    <row r="15" spans="1:23" x14ac:dyDescent="0.35">
      <c r="A15" s="1" t="s">
        <v>0</v>
      </c>
      <c r="B15" s="1" t="s">
        <v>12</v>
      </c>
      <c r="C15" s="1" t="s">
        <v>2</v>
      </c>
      <c r="D15" s="1">
        <v>54.026305559999997</v>
      </c>
      <c r="E15" s="1">
        <v>-131.98222222000001</v>
      </c>
      <c r="F15" s="1" t="s">
        <v>3</v>
      </c>
      <c r="G15" s="1" t="s">
        <v>4</v>
      </c>
      <c r="H15" s="1" t="s">
        <v>4</v>
      </c>
      <c r="I15" s="1" t="s">
        <v>4</v>
      </c>
      <c r="J15" s="1" t="s">
        <v>10</v>
      </c>
      <c r="K15" s="2">
        <v>-55</v>
      </c>
      <c r="L15" s="2">
        <v>-85</v>
      </c>
      <c r="M15" s="2">
        <f t="shared" si="0"/>
        <v>30</v>
      </c>
      <c r="N15" s="2"/>
      <c r="O15" s="2"/>
      <c r="P15" s="2"/>
      <c r="Q15" s="5">
        <v>1.5049999999999999</v>
      </c>
      <c r="R15" s="5"/>
      <c r="S15" s="5">
        <v>0.09</v>
      </c>
      <c r="T15" s="2">
        <f t="shared" si="4"/>
        <v>406.34999999999997</v>
      </c>
      <c r="U15" s="1"/>
      <c r="V15" s="2">
        <f t="shared" si="3"/>
        <v>406.34999999999997</v>
      </c>
      <c r="W15" s="1"/>
    </row>
    <row r="16" spans="1:23" x14ac:dyDescent="0.35">
      <c r="A16" s="7" t="s">
        <v>0</v>
      </c>
      <c r="B16" s="7" t="s">
        <v>12</v>
      </c>
      <c r="C16" s="7" t="s">
        <v>2</v>
      </c>
      <c r="D16" s="7">
        <v>54.026305559999997</v>
      </c>
      <c r="E16" s="7">
        <v>-131.98222222000001</v>
      </c>
      <c r="F16" s="7" t="s">
        <v>3</v>
      </c>
      <c r="G16" s="7" t="s">
        <v>4</v>
      </c>
      <c r="H16" s="7" t="s">
        <v>4</v>
      </c>
      <c r="I16" s="7" t="s">
        <v>4</v>
      </c>
      <c r="J16" s="7" t="s">
        <v>11</v>
      </c>
      <c r="K16" s="8">
        <v>-85</v>
      </c>
      <c r="L16" s="8">
        <v>-135</v>
      </c>
      <c r="M16" s="8">
        <f t="shared" si="0"/>
        <v>50</v>
      </c>
      <c r="N16" s="8"/>
      <c r="O16" s="8"/>
      <c r="P16" s="8"/>
      <c r="Q16" s="9">
        <v>1.5489999999999999</v>
      </c>
      <c r="R16" s="9"/>
      <c r="S16" s="9">
        <v>0.03</v>
      </c>
      <c r="T16" s="8">
        <f t="shared" si="4"/>
        <v>232.35</v>
      </c>
      <c r="U16" s="7"/>
      <c r="V16" s="8">
        <f>IF(K16&gt;-100,T16-T16*(ABS(L16)-100)/(ABS(L16)-ABS(K16)),0)</f>
        <v>69.704999999999984</v>
      </c>
      <c r="W16" s="7"/>
    </row>
    <row r="17" spans="1:23" x14ac:dyDescent="0.35">
      <c r="A17" s="1" t="s">
        <v>0</v>
      </c>
      <c r="B17" s="1" t="s">
        <v>17</v>
      </c>
      <c r="C17" s="1" t="s">
        <v>18</v>
      </c>
      <c r="D17" s="1">
        <v>54.022527779999997</v>
      </c>
      <c r="E17" s="1">
        <v>-131.97555556</v>
      </c>
      <c r="F17" s="1" t="s">
        <v>3</v>
      </c>
      <c r="G17" s="1" t="s">
        <v>4</v>
      </c>
      <c r="H17" s="1" t="s">
        <v>4</v>
      </c>
      <c r="I17" s="1" t="s">
        <v>4</v>
      </c>
      <c r="J17" s="1" t="s">
        <v>13</v>
      </c>
      <c r="K17" s="2">
        <v>20</v>
      </c>
      <c r="L17" s="2">
        <v>19</v>
      </c>
      <c r="M17" s="2">
        <f t="shared" si="0"/>
        <v>1</v>
      </c>
      <c r="N17" s="2">
        <f>IF(ABS(MIN(L17:L26))&gt;100,100,ABS(MIN(L17:L26)))</f>
        <v>100</v>
      </c>
      <c r="O17" s="2">
        <f>K17</f>
        <v>20</v>
      </c>
      <c r="P17" s="2">
        <f>O17+N17</f>
        <v>120</v>
      </c>
      <c r="Q17" s="3">
        <v>0</v>
      </c>
      <c r="R17" s="5"/>
      <c r="S17" s="5">
        <v>55.39</v>
      </c>
      <c r="T17" s="2">
        <f t="shared" si="4"/>
        <v>0</v>
      </c>
      <c r="U17" s="2">
        <f>SUM(T17:T26)</f>
        <v>0</v>
      </c>
      <c r="V17" s="2">
        <f>T17</f>
        <v>0</v>
      </c>
      <c r="W17" s="6">
        <f>SUM(V17:V26)/10^6*10^4</f>
        <v>0</v>
      </c>
    </row>
    <row r="18" spans="1:23" x14ac:dyDescent="0.35">
      <c r="A18" s="1" t="s">
        <v>0</v>
      </c>
      <c r="B18" s="1" t="s">
        <v>17</v>
      </c>
      <c r="C18" s="1" t="s">
        <v>18</v>
      </c>
      <c r="D18" s="1">
        <v>54.022527779999997</v>
      </c>
      <c r="E18" s="1">
        <v>-131.97555556</v>
      </c>
      <c r="F18" s="1" t="s">
        <v>3</v>
      </c>
      <c r="G18" s="1" t="s">
        <v>4</v>
      </c>
      <c r="H18" s="1" t="s">
        <v>4</v>
      </c>
      <c r="I18" s="1" t="s">
        <v>4</v>
      </c>
      <c r="J18" s="1" t="s">
        <v>6</v>
      </c>
      <c r="K18" s="2">
        <v>19</v>
      </c>
      <c r="L18" s="2">
        <v>15</v>
      </c>
      <c r="M18" s="2">
        <f t="shared" si="0"/>
        <v>4</v>
      </c>
      <c r="N18" s="2"/>
      <c r="O18" s="2"/>
      <c r="P18" s="2"/>
      <c r="Q18" s="3">
        <v>0</v>
      </c>
      <c r="R18" s="5"/>
      <c r="S18" s="5">
        <v>54.29</v>
      </c>
      <c r="T18" s="2">
        <f t="shared" si="4"/>
        <v>0</v>
      </c>
      <c r="U18" s="1"/>
      <c r="V18" s="2">
        <f t="shared" ref="V18:V25" si="5">T18</f>
        <v>0</v>
      </c>
      <c r="W18" s="1"/>
    </row>
    <row r="19" spans="1:23" x14ac:dyDescent="0.35">
      <c r="A19" s="1" t="s">
        <v>0</v>
      </c>
      <c r="B19" s="1" t="s">
        <v>17</v>
      </c>
      <c r="C19" s="1" t="s">
        <v>18</v>
      </c>
      <c r="D19" s="1">
        <v>54.022527779999997</v>
      </c>
      <c r="E19" s="1">
        <v>-131.97555556</v>
      </c>
      <c r="F19" s="1" t="s">
        <v>3</v>
      </c>
      <c r="G19" s="1" t="s">
        <v>4</v>
      </c>
      <c r="H19" s="1" t="s">
        <v>4</v>
      </c>
      <c r="I19" s="1" t="s">
        <v>4</v>
      </c>
      <c r="J19" s="1" t="s">
        <v>7</v>
      </c>
      <c r="K19" s="2">
        <v>15</v>
      </c>
      <c r="L19" s="2">
        <v>0</v>
      </c>
      <c r="M19" s="2">
        <f t="shared" si="0"/>
        <v>15</v>
      </c>
      <c r="N19" s="2"/>
      <c r="O19" s="2"/>
      <c r="P19" s="2"/>
      <c r="Q19" s="3">
        <v>0</v>
      </c>
      <c r="R19" s="5"/>
      <c r="S19" s="5">
        <v>57.66</v>
      </c>
      <c r="T19" s="2">
        <f t="shared" si="4"/>
        <v>0</v>
      </c>
      <c r="U19" s="1"/>
      <c r="V19" s="2">
        <f t="shared" si="5"/>
        <v>0</v>
      </c>
      <c r="W19" s="1"/>
    </row>
    <row r="20" spans="1:23" x14ac:dyDescent="0.35">
      <c r="A20" s="1" t="s">
        <v>0</v>
      </c>
      <c r="B20" s="1" t="s">
        <v>17</v>
      </c>
      <c r="C20" s="1" t="s">
        <v>18</v>
      </c>
      <c r="D20" s="1">
        <v>54.022527779999997</v>
      </c>
      <c r="E20" s="1">
        <v>-131.97555556</v>
      </c>
      <c r="F20" s="1" t="s">
        <v>3</v>
      </c>
      <c r="G20" s="1" t="s">
        <v>4</v>
      </c>
      <c r="H20" s="1" t="s">
        <v>4</v>
      </c>
      <c r="I20" s="1" t="s">
        <v>4</v>
      </c>
      <c r="J20" s="1" t="s">
        <v>8</v>
      </c>
      <c r="K20" s="2">
        <v>0</v>
      </c>
      <c r="L20" s="2">
        <v>-9</v>
      </c>
      <c r="M20" s="2">
        <f t="shared" si="0"/>
        <v>9</v>
      </c>
      <c r="N20" s="2"/>
      <c r="O20" s="2"/>
      <c r="P20" s="2"/>
      <c r="Q20" s="3">
        <v>0</v>
      </c>
      <c r="R20" s="5"/>
      <c r="S20" s="5">
        <v>3.74</v>
      </c>
      <c r="T20" s="2">
        <f t="shared" si="4"/>
        <v>0</v>
      </c>
      <c r="U20" s="1"/>
      <c r="V20" s="2">
        <f t="shared" si="5"/>
        <v>0</v>
      </c>
      <c r="W20" s="1"/>
    </row>
    <row r="21" spans="1:23" x14ac:dyDescent="0.35">
      <c r="A21" s="1" t="s">
        <v>0</v>
      </c>
      <c r="B21" s="1" t="s">
        <v>17</v>
      </c>
      <c r="C21" s="1" t="s">
        <v>18</v>
      </c>
      <c r="D21" s="1">
        <v>54.022527779999997</v>
      </c>
      <c r="E21" s="1">
        <v>-131.97555556</v>
      </c>
      <c r="F21" s="1" t="s">
        <v>3</v>
      </c>
      <c r="G21" s="1" t="s">
        <v>4</v>
      </c>
      <c r="H21" s="1" t="s">
        <v>4</v>
      </c>
      <c r="I21" s="1" t="s">
        <v>4</v>
      </c>
      <c r="J21" s="1" t="s">
        <v>19</v>
      </c>
      <c r="K21" s="2">
        <v>-9</v>
      </c>
      <c r="L21" s="2">
        <v>-20</v>
      </c>
      <c r="M21" s="2">
        <f t="shared" si="0"/>
        <v>11</v>
      </c>
      <c r="N21" s="2"/>
      <c r="O21" s="2"/>
      <c r="P21" s="2"/>
      <c r="Q21" s="3">
        <v>0</v>
      </c>
      <c r="R21" s="5"/>
      <c r="S21" s="5">
        <v>2.73</v>
      </c>
      <c r="T21" s="2">
        <f t="shared" si="4"/>
        <v>0</v>
      </c>
      <c r="U21" s="1"/>
      <c r="V21" s="2">
        <f t="shared" si="5"/>
        <v>0</v>
      </c>
      <c r="W21" s="1"/>
    </row>
    <row r="22" spans="1:23" x14ac:dyDescent="0.35">
      <c r="A22" s="1" t="s">
        <v>0</v>
      </c>
      <c r="B22" s="1" t="s">
        <v>17</v>
      </c>
      <c r="C22" s="1" t="s">
        <v>18</v>
      </c>
      <c r="D22" s="1">
        <v>54.022527779999997</v>
      </c>
      <c r="E22" s="1">
        <v>-131.97555556</v>
      </c>
      <c r="F22" s="1" t="s">
        <v>3</v>
      </c>
      <c r="G22" s="1" t="s">
        <v>4</v>
      </c>
      <c r="H22" s="1" t="s">
        <v>4</v>
      </c>
      <c r="I22" s="1" t="s">
        <v>4</v>
      </c>
      <c r="J22" s="1" t="s">
        <v>20</v>
      </c>
      <c r="K22" s="2">
        <v>-20</v>
      </c>
      <c r="L22" s="2">
        <v>-59</v>
      </c>
      <c r="M22" s="2">
        <f t="shared" si="0"/>
        <v>39</v>
      </c>
      <c r="N22" s="2"/>
      <c r="O22" s="2"/>
      <c r="P22" s="2"/>
      <c r="Q22" s="3">
        <v>0</v>
      </c>
      <c r="R22" s="5"/>
      <c r="S22" s="5">
        <v>3.8</v>
      </c>
      <c r="T22" s="2">
        <f t="shared" si="4"/>
        <v>0</v>
      </c>
      <c r="U22" s="1"/>
      <c r="V22" s="2">
        <f t="shared" si="5"/>
        <v>0</v>
      </c>
      <c r="W22" s="1"/>
    </row>
    <row r="23" spans="1:23" x14ac:dyDescent="0.35">
      <c r="A23" s="1" t="s">
        <v>0</v>
      </c>
      <c r="B23" s="1" t="s">
        <v>17</v>
      </c>
      <c r="C23" s="1" t="s">
        <v>18</v>
      </c>
      <c r="D23" s="1">
        <v>54.022527779999997</v>
      </c>
      <c r="E23" s="1">
        <v>-131.97555556</v>
      </c>
      <c r="F23" s="1" t="s">
        <v>3</v>
      </c>
      <c r="G23" s="1" t="s">
        <v>4</v>
      </c>
      <c r="H23" s="1" t="s">
        <v>4</v>
      </c>
      <c r="I23" s="1" t="s">
        <v>4</v>
      </c>
      <c r="J23" s="1" t="s">
        <v>21</v>
      </c>
      <c r="K23" s="2">
        <v>-59</v>
      </c>
      <c r="L23" s="2">
        <v>-62</v>
      </c>
      <c r="M23" s="2">
        <f t="shared" si="0"/>
        <v>3</v>
      </c>
      <c r="N23" s="2"/>
      <c r="O23" s="2"/>
      <c r="P23" s="2"/>
      <c r="Q23" s="3">
        <v>0</v>
      </c>
      <c r="R23" s="5"/>
      <c r="S23" s="5">
        <v>3.36</v>
      </c>
      <c r="T23" s="2">
        <f t="shared" si="4"/>
        <v>0</v>
      </c>
      <c r="U23" s="1"/>
      <c r="V23" s="2">
        <f t="shared" si="5"/>
        <v>0</v>
      </c>
      <c r="W23" s="1"/>
    </row>
    <row r="24" spans="1:23" x14ac:dyDescent="0.35">
      <c r="A24" s="1" t="s">
        <v>0</v>
      </c>
      <c r="B24" s="1" t="s">
        <v>17</v>
      </c>
      <c r="C24" s="1" t="s">
        <v>18</v>
      </c>
      <c r="D24" s="1">
        <v>54.022527779999997</v>
      </c>
      <c r="E24" s="1">
        <v>-131.97555556</v>
      </c>
      <c r="F24" s="1" t="s">
        <v>3</v>
      </c>
      <c r="G24" s="1" t="s">
        <v>4</v>
      </c>
      <c r="H24" s="1" t="s">
        <v>4</v>
      </c>
      <c r="I24" s="1" t="s">
        <v>4</v>
      </c>
      <c r="J24" s="1" t="s">
        <v>22</v>
      </c>
      <c r="K24" s="2">
        <v>-62</v>
      </c>
      <c r="L24" s="2">
        <v>-65</v>
      </c>
      <c r="M24" s="2">
        <f t="shared" si="0"/>
        <v>3</v>
      </c>
      <c r="N24" s="2"/>
      <c r="O24" s="2"/>
      <c r="P24" s="2"/>
      <c r="Q24" s="3">
        <v>0</v>
      </c>
      <c r="R24" s="5"/>
      <c r="S24" s="5">
        <v>1.57</v>
      </c>
      <c r="T24" s="2">
        <f t="shared" si="4"/>
        <v>0</v>
      </c>
      <c r="U24" s="1"/>
      <c r="V24" s="2">
        <f>T24</f>
        <v>0</v>
      </c>
      <c r="W24" s="1"/>
    </row>
    <row r="25" spans="1:23" x14ac:dyDescent="0.35">
      <c r="A25" s="1" t="s">
        <v>0</v>
      </c>
      <c r="B25" s="1" t="s">
        <v>17</v>
      </c>
      <c r="C25" s="1" t="s">
        <v>18</v>
      </c>
      <c r="D25" s="1">
        <v>54.022527779999997</v>
      </c>
      <c r="E25" s="1">
        <v>-131.97555556</v>
      </c>
      <c r="F25" s="1" t="s">
        <v>3</v>
      </c>
      <c r="G25" s="1" t="s">
        <v>4</v>
      </c>
      <c r="H25" s="1" t="s">
        <v>4</v>
      </c>
      <c r="I25" s="1" t="s">
        <v>4</v>
      </c>
      <c r="J25" s="1" t="s">
        <v>10</v>
      </c>
      <c r="K25" s="2">
        <v>-65</v>
      </c>
      <c r="L25" s="2">
        <v>-90</v>
      </c>
      <c r="M25" s="2">
        <f t="shared" si="0"/>
        <v>25</v>
      </c>
      <c r="N25" s="2"/>
      <c r="O25" s="2"/>
      <c r="P25" s="2"/>
      <c r="Q25" s="3">
        <v>0</v>
      </c>
      <c r="R25" s="5"/>
      <c r="S25" s="5">
        <v>0.41</v>
      </c>
      <c r="T25" s="2">
        <f t="shared" si="4"/>
        <v>0</v>
      </c>
      <c r="U25" s="1"/>
      <c r="V25" s="2">
        <f t="shared" si="5"/>
        <v>0</v>
      </c>
      <c r="W25" s="1"/>
    </row>
    <row r="26" spans="1:23" x14ac:dyDescent="0.35">
      <c r="A26" s="7" t="s">
        <v>0</v>
      </c>
      <c r="B26" s="7" t="s">
        <v>17</v>
      </c>
      <c r="C26" s="7" t="s">
        <v>18</v>
      </c>
      <c r="D26" s="7">
        <v>54.022527779999997</v>
      </c>
      <c r="E26" s="7">
        <v>-131.97555556</v>
      </c>
      <c r="F26" s="7" t="s">
        <v>3</v>
      </c>
      <c r="G26" s="7" t="s">
        <v>4</v>
      </c>
      <c r="H26" s="7" t="s">
        <v>4</v>
      </c>
      <c r="I26" s="7" t="s">
        <v>4</v>
      </c>
      <c r="J26" s="7" t="s">
        <v>11</v>
      </c>
      <c r="K26" s="8">
        <v>-90</v>
      </c>
      <c r="L26" s="8">
        <v>-135</v>
      </c>
      <c r="M26" s="8">
        <f t="shared" si="0"/>
        <v>45</v>
      </c>
      <c r="N26" s="8"/>
      <c r="O26" s="8"/>
      <c r="P26" s="8"/>
      <c r="Q26" s="3">
        <v>0</v>
      </c>
      <c r="R26" s="9"/>
      <c r="S26" s="9">
        <v>0.43</v>
      </c>
      <c r="T26" s="8">
        <f t="shared" si="4"/>
        <v>0</v>
      </c>
      <c r="U26" s="7"/>
      <c r="V26" s="8">
        <f>IF(K26&gt;-100,T26-T26*(ABS(L26)-100)/(ABS(L26)-ABS(K26)),0)</f>
        <v>0</v>
      </c>
      <c r="W26" s="7"/>
    </row>
    <row r="27" spans="1:23" x14ac:dyDescent="0.35">
      <c r="A27" s="1" t="s">
        <v>0</v>
      </c>
      <c r="B27" s="1" t="s">
        <v>23</v>
      </c>
      <c r="C27" s="1" t="s">
        <v>18</v>
      </c>
      <c r="D27" s="1">
        <v>54.072749999999999</v>
      </c>
      <c r="E27" s="1">
        <v>-131.68861111000001</v>
      </c>
      <c r="F27" s="1" t="s">
        <v>3</v>
      </c>
      <c r="G27" s="1" t="s">
        <v>4</v>
      </c>
      <c r="H27" s="1" t="s">
        <v>4</v>
      </c>
      <c r="I27" s="1" t="s">
        <v>4</v>
      </c>
      <c r="J27" s="1" t="s">
        <v>5</v>
      </c>
      <c r="K27" s="2">
        <v>20</v>
      </c>
      <c r="L27" s="2">
        <v>19</v>
      </c>
      <c r="M27" s="2">
        <f t="shared" si="0"/>
        <v>1</v>
      </c>
      <c r="N27" s="2">
        <f>IF(ABS(MIN(L27:L33))&gt;100,100,ABS(MIN(L27:L34)))</f>
        <v>100</v>
      </c>
      <c r="O27" s="2">
        <f>K27</f>
        <v>20</v>
      </c>
      <c r="P27" s="2">
        <f>O27+N27</f>
        <v>120</v>
      </c>
      <c r="Q27" s="3">
        <v>0</v>
      </c>
      <c r="R27" s="5"/>
      <c r="S27" s="5">
        <v>55.72</v>
      </c>
      <c r="T27" s="2">
        <f t="shared" si="4"/>
        <v>0</v>
      </c>
      <c r="U27" s="2">
        <f>SUM(T27:T34)</f>
        <v>24419.829999999998</v>
      </c>
      <c r="V27" s="2">
        <f t="shared" ref="V27:V32" si="6">T27</f>
        <v>0</v>
      </c>
      <c r="W27" s="6">
        <f>SUM(V27:V34)/10^6*10^4</f>
        <v>220.60129999999998</v>
      </c>
    </row>
    <row r="28" spans="1:23" x14ac:dyDescent="0.35">
      <c r="A28" s="1" t="s">
        <v>0</v>
      </c>
      <c r="B28" s="1" t="s">
        <v>23</v>
      </c>
      <c r="C28" s="1" t="s">
        <v>18</v>
      </c>
      <c r="D28" s="1">
        <v>54.072749999999999</v>
      </c>
      <c r="E28" s="1">
        <v>-131.68861111000001</v>
      </c>
      <c r="F28" s="1" t="s">
        <v>3</v>
      </c>
      <c r="G28" s="1" t="s">
        <v>4</v>
      </c>
      <c r="H28" s="1" t="s">
        <v>4</v>
      </c>
      <c r="I28" s="1" t="s">
        <v>4</v>
      </c>
      <c r="J28" s="1" t="s">
        <v>6</v>
      </c>
      <c r="K28" s="2">
        <v>19</v>
      </c>
      <c r="L28" s="2">
        <v>15</v>
      </c>
      <c r="M28" s="2">
        <f t="shared" si="0"/>
        <v>4</v>
      </c>
      <c r="N28" s="2"/>
      <c r="O28" s="2"/>
      <c r="P28" s="2"/>
      <c r="Q28" s="3">
        <v>0</v>
      </c>
      <c r="R28" s="5"/>
      <c r="S28" s="5">
        <v>53.76</v>
      </c>
      <c r="T28" s="2">
        <f t="shared" si="4"/>
        <v>0</v>
      </c>
      <c r="U28" s="1"/>
      <c r="V28" s="2">
        <f t="shared" si="6"/>
        <v>0</v>
      </c>
      <c r="W28" s="1"/>
    </row>
    <row r="29" spans="1:23" x14ac:dyDescent="0.35">
      <c r="A29" s="1" t="s">
        <v>0</v>
      </c>
      <c r="B29" s="1" t="s">
        <v>23</v>
      </c>
      <c r="C29" s="1" t="s">
        <v>18</v>
      </c>
      <c r="D29" s="1">
        <v>54.072749999999999</v>
      </c>
      <c r="E29" s="1">
        <v>-131.68861111000001</v>
      </c>
      <c r="F29" s="1" t="s">
        <v>3</v>
      </c>
      <c r="G29" s="1" t="s">
        <v>4</v>
      </c>
      <c r="H29" s="1" t="s">
        <v>4</v>
      </c>
      <c r="I29" s="1" t="s">
        <v>4</v>
      </c>
      <c r="J29" s="1" t="s">
        <v>7</v>
      </c>
      <c r="K29" s="2">
        <v>15</v>
      </c>
      <c r="L29" s="2">
        <v>0</v>
      </c>
      <c r="M29" s="2">
        <f t="shared" si="0"/>
        <v>15</v>
      </c>
      <c r="N29" s="2"/>
      <c r="O29" s="2"/>
      <c r="P29" s="2"/>
      <c r="Q29" s="3">
        <v>0</v>
      </c>
      <c r="R29" s="5"/>
      <c r="S29" s="5">
        <v>52.2</v>
      </c>
      <c r="T29" s="2">
        <f t="shared" si="4"/>
        <v>0</v>
      </c>
      <c r="U29" s="1"/>
      <c r="V29" s="2">
        <f t="shared" si="6"/>
        <v>0</v>
      </c>
      <c r="W29" s="1"/>
    </row>
    <row r="30" spans="1:23" x14ac:dyDescent="0.35">
      <c r="A30" s="1" t="s">
        <v>0</v>
      </c>
      <c r="B30" s="1" t="s">
        <v>23</v>
      </c>
      <c r="C30" s="1" t="s">
        <v>18</v>
      </c>
      <c r="D30" s="1">
        <v>54.072749999999999</v>
      </c>
      <c r="E30" s="1">
        <v>-131.68861111000001</v>
      </c>
      <c r="F30" s="1" t="s">
        <v>3</v>
      </c>
      <c r="G30" s="1" t="s">
        <v>4</v>
      </c>
      <c r="H30" s="1" t="s">
        <v>4</v>
      </c>
      <c r="I30" s="1" t="s">
        <v>4</v>
      </c>
      <c r="J30" s="1" t="s">
        <v>8</v>
      </c>
      <c r="K30" s="2">
        <v>0</v>
      </c>
      <c r="L30" s="2">
        <v>-12</v>
      </c>
      <c r="M30" s="2">
        <f t="shared" si="0"/>
        <v>12</v>
      </c>
      <c r="N30" s="2"/>
      <c r="O30" s="2"/>
      <c r="P30" s="2"/>
      <c r="Q30" s="5">
        <v>0.60699999999999998</v>
      </c>
      <c r="R30" s="5"/>
      <c r="S30" s="5">
        <v>7.24</v>
      </c>
      <c r="T30" s="2">
        <f t="shared" si="4"/>
        <v>5273.616</v>
      </c>
      <c r="U30" s="1"/>
      <c r="V30" s="2">
        <f t="shared" si="6"/>
        <v>5273.616</v>
      </c>
      <c r="W30" s="1"/>
    </row>
    <row r="31" spans="1:23" x14ac:dyDescent="0.35">
      <c r="A31" s="1" t="s">
        <v>0</v>
      </c>
      <c r="B31" s="1" t="s">
        <v>23</v>
      </c>
      <c r="C31" s="1" t="s">
        <v>18</v>
      </c>
      <c r="D31" s="1">
        <v>54.072749999999999</v>
      </c>
      <c r="E31" s="1">
        <v>-131.68861111000001</v>
      </c>
      <c r="F31" s="1" t="s">
        <v>3</v>
      </c>
      <c r="G31" s="1" t="s">
        <v>4</v>
      </c>
      <c r="H31" s="1" t="s">
        <v>4</v>
      </c>
      <c r="I31" s="1" t="s">
        <v>4</v>
      </c>
      <c r="J31" s="1" t="s">
        <v>24</v>
      </c>
      <c r="K31" s="2">
        <v>-12</v>
      </c>
      <c r="L31" s="2">
        <v>-72</v>
      </c>
      <c r="M31" s="2">
        <f t="shared" si="0"/>
        <v>60</v>
      </c>
      <c r="N31" s="2"/>
      <c r="O31" s="2"/>
      <c r="P31" s="2"/>
      <c r="Q31" s="5">
        <v>1.403</v>
      </c>
      <c r="R31" s="5"/>
      <c r="S31" s="5">
        <v>1.7</v>
      </c>
      <c r="T31" s="2">
        <f t="shared" si="4"/>
        <v>14310.6</v>
      </c>
      <c r="U31" s="1"/>
      <c r="V31" s="2">
        <f t="shared" si="6"/>
        <v>14310.6</v>
      </c>
      <c r="W31" s="1"/>
    </row>
    <row r="32" spans="1:23" x14ac:dyDescent="0.35">
      <c r="A32" s="1" t="s">
        <v>0</v>
      </c>
      <c r="B32" s="1" t="s">
        <v>23</v>
      </c>
      <c r="C32" s="1" t="s">
        <v>18</v>
      </c>
      <c r="D32" s="1">
        <v>54.072749999999999</v>
      </c>
      <c r="E32" s="1">
        <v>-131.68861111000001</v>
      </c>
      <c r="F32" s="1" t="s">
        <v>3</v>
      </c>
      <c r="G32" s="1" t="s">
        <v>4</v>
      </c>
      <c r="H32" s="1" t="s">
        <v>4</v>
      </c>
      <c r="I32" s="1" t="s">
        <v>4</v>
      </c>
      <c r="J32" s="1" t="s">
        <v>22</v>
      </c>
      <c r="K32" s="2">
        <v>-72</v>
      </c>
      <c r="L32" s="2">
        <v>-75</v>
      </c>
      <c r="M32" s="2">
        <f t="shared" si="0"/>
        <v>3</v>
      </c>
      <c r="N32" s="2"/>
      <c r="O32" s="2"/>
      <c r="P32" s="2"/>
      <c r="Q32" s="5">
        <v>1.4419999999999999</v>
      </c>
      <c r="R32" s="5"/>
      <c r="S32" s="5">
        <v>2.14</v>
      </c>
      <c r="T32" s="2">
        <f t="shared" si="4"/>
        <v>925.76400000000001</v>
      </c>
      <c r="U32" s="1"/>
      <c r="V32" s="2">
        <f t="shared" si="6"/>
        <v>925.76400000000001</v>
      </c>
      <c r="W32" s="1"/>
    </row>
    <row r="33" spans="1:23" x14ac:dyDescent="0.35">
      <c r="A33" s="1" t="s">
        <v>0</v>
      </c>
      <c r="B33" s="1" t="s">
        <v>23</v>
      </c>
      <c r="C33" s="1" t="s">
        <v>18</v>
      </c>
      <c r="D33" s="1">
        <v>54.072749999999999</v>
      </c>
      <c r="E33" s="1">
        <v>-131.68861111000001</v>
      </c>
      <c r="F33" s="1" t="s">
        <v>3</v>
      </c>
      <c r="G33" s="1" t="s">
        <v>4</v>
      </c>
      <c r="H33" s="1" t="s">
        <v>4</v>
      </c>
      <c r="I33" s="1" t="s">
        <v>4</v>
      </c>
      <c r="J33" s="1" t="s">
        <v>10</v>
      </c>
      <c r="K33" s="2">
        <v>-75</v>
      </c>
      <c r="L33" s="2">
        <v>-125</v>
      </c>
      <c r="M33" s="2">
        <f t="shared" si="0"/>
        <v>50</v>
      </c>
      <c r="N33" s="2"/>
      <c r="O33" s="2"/>
      <c r="P33" s="2"/>
      <c r="Q33" s="5">
        <v>1.4419999999999999</v>
      </c>
      <c r="R33" s="5"/>
      <c r="S33" s="5">
        <v>0.43</v>
      </c>
      <c r="T33" s="2">
        <f t="shared" si="4"/>
        <v>3100.2999999999997</v>
      </c>
      <c r="U33" s="1"/>
      <c r="V33" s="2">
        <f>IF(K33&gt;-100,T33-T33*(ABS(L33)-100)/(ABS(L33)-ABS(K33)),0)</f>
        <v>1550.1499999999996</v>
      </c>
      <c r="W33" s="1"/>
    </row>
    <row r="34" spans="1:23" x14ac:dyDescent="0.35">
      <c r="A34" s="7" t="s">
        <v>0</v>
      </c>
      <c r="B34" s="7" t="s">
        <v>23</v>
      </c>
      <c r="C34" s="7" t="s">
        <v>18</v>
      </c>
      <c r="D34" s="7">
        <v>54.072749999999999</v>
      </c>
      <c r="E34" s="7">
        <v>-131.68861111000001</v>
      </c>
      <c r="F34" s="7" t="s">
        <v>3</v>
      </c>
      <c r="G34" s="7" t="s">
        <v>4</v>
      </c>
      <c r="H34" s="7" t="s">
        <v>4</v>
      </c>
      <c r="I34" s="7" t="s">
        <v>4</v>
      </c>
      <c r="J34" s="7" t="s">
        <v>11</v>
      </c>
      <c r="K34" s="8">
        <v>-125</v>
      </c>
      <c r="L34" s="8">
        <v>-150</v>
      </c>
      <c r="M34" s="8">
        <f t="shared" si="0"/>
        <v>25</v>
      </c>
      <c r="N34" s="8"/>
      <c r="O34" s="8"/>
      <c r="P34" s="8"/>
      <c r="Q34" s="9">
        <v>1.542</v>
      </c>
      <c r="R34" s="9"/>
      <c r="S34" s="9">
        <v>0.21</v>
      </c>
      <c r="T34" s="8">
        <f t="shared" si="4"/>
        <v>809.55</v>
      </c>
      <c r="U34" s="7"/>
      <c r="V34" s="8">
        <f>IF(K34&gt;-100,T34-T34*(ABS(L34)-100)/(ABS(L34)-ABS(K34)),0)</f>
        <v>0</v>
      </c>
      <c r="W34" s="7"/>
    </row>
    <row r="35" spans="1:23" x14ac:dyDescent="0.35">
      <c r="A35" s="1" t="s">
        <v>0</v>
      </c>
      <c r="B35" s="1" t="s">
        <v>25</v>
      </c>
      <c r="C35" s="1" t="s">
        <v>18</v>
      </c>
      <c r="D35" s="1">
        <v>54.021999999999998</v>
      </c>
      <c r="E35" s="1">
        <v>-131.70916667</v>
      </c>
      <c r="F35" s="1" t="s">
        <v>3</v>
      </c>
      <c r="G35" s="1" t="s">
        <v>4</v>
      </c>
      <c r="H35" s="1" t="s">
        <v>4</v>
      </c>
      <c r="I35" s="1" t="s">
        <v>4</v>
      </c>
      <c r="J35" s="1" t="s">
        <v>5</v>
      </c>
      <c r="K35" s="2">
        <v>40</v>
      </c>
      <c r="L35" s="2">
        <v>39</v>
      </c>
      <c r="M35" s="2">
        <f t="shared" si="0"/>
        <v>1</v>
      </c>
      <c r="N35" s="2">
        <f>IF(ABS(MIN(L35:L46))&gt;100,100,ABS(MIN(L35:L46)))</f>
        <v>100</v>
      </c>
      <c r="O35" s="2">
        <f>K35</f>
        <v>40</v>
      </c>
      <c r="P35" s="2">
        <f>O35+N35</f>
        <v>140</v>
      </c>
      <c r="Q35" s="3">
        <v>0</v>
      </c>
      <c r="R35" s="5"/>
      <c r="S35" s="5">
        <v>56.2</v>
      </c>
      <c r="T35" s="2">
        <f t="shared" si="4"/>
        <v>0</v>
      </c>
      <c r="U35" s="2">
        <f>SUM(T35:T46)</f>
        <v>25981.621000000003</v>
      </c>
      <c r="V35" s="2">
        <f>T35</f>
        <v>0</v>
      </c>
      <c r="W35" s="6">
        <f>SUM(V35:V46)/10^6*10^4</f>
        <v>245.14675000000003</v>
      </c>
    </row>
    <row r="36" spans="1:23" x14ac:dyDescent="0.35">
      <c r="A36" s="1" t="s">
        <v>0</v>
      </c>
      <c r="B36" s="1" t="s">
        <v>25</v>
      </c>
      <c r="C36" s="1" t="s">
        <v>18</v>
      </c>
      <c r="D36" s="1">
        <v>54.021999999999998</v>
      </c>
      <c r="E36" s="1">
        <v>-131.70916667</v>
      </c>
      <c r="F36" s="1" t="s">
        <v>3</v>
      </c>
      <c r="G36" s="1" t="s">
        <v>4</v>
      </c>
      <c r="H36" s="1" t="s">
        <v>4</v>
      </c>
      <c r="I36" s="1" t="s">
        <v>4</v>
      </c>
      <c r="J36" s="1" t="s">
        <v>6</v>
      </c>
      <c r="K36" s="2">
        <v>39</v>
      </c>
      <c r="L36" s="2">
        <v>35</v>
      </c>
      <c r="M36" s="2">
        <f t="shared" si="0"/>
        <v>4</v>
      </c>
      <c r="N36" s="2"/>
      <c r="O36" s="2"/>
      <c r="P36" s="2"/>
      <c r="Q36" s="3">
        <v>0</v>
      </c>
      <c r="R36" s="5"/>
      <c r="S36" s="5">
        <v>50.51</v>
      </c>
      <c r="T36" s="2">
        <f t="shared" si="4"/>
        <v>0</v>
      </c>
      <c r="U36" s="1"/>
      <c r="V36" s="2">
        <f t="shared" ref="V36:V44" si="7">T36</f>
        <v>0</v>
      </c>
      <c r="W36" s="1"/>
    </row>
    <row r="37" spans="1:23" x14ac:dyDescent="0.35">
      <c r="A37" s="1" t="s">
        <v>0</v>
      </c>
      <c r="B37" s="1" t="s">
        <v>25</v>
      </c>
      <c r="C37" s="1" t="s">
        <v>18</v>
      </c>
      <c r="D37" s="1">
        <v>54.021999999999998</v>
      </c>
      <c r="E37" s="1">
        <v>-131.70916667</v>
      </c>
      <c r="F37" s="1" t="s">
        <v>3</v>
      </c>
      <c r="G37" s="1" t="s">
        <v>4</v>
      </c>
      <c r="H37" s="1" t="s">
        <v>4</v>
      </c>
      <c r="I37" s="1" t="s">
        <v>4</v>
      </c>
      <c r="J37" s="1" t="s">
        <v>26</v>
      </c>
      <c r="K37" s="2">
        <v>35</v>
      </c>
      <c r="L37" s="2">
        <v>23</v>
      </c>
      <c r="M37" s="2">
        <f t="shared" si="0"/>
        <v>12</v>
      </c>
      <c r="N37" s="2"/>
      <c r="O37" s="2"/>
      <c r="P37" s="2"/>
      <c r="Q37" s="3">
        <v>0</v>
      </c>
      <c r="R37" s="5"/>
      <c r="S37" s="5">
        <v>53.21</v>
      </c>
      <c r="T37" s="2">
        <f t="shared" si="4"/>
        <v>0</v>
      </c>
      <c r="U37" s="1"/>
      <c r="V37" s="2">
        <f t="shared" si="7"/>
        <v>0</v>
      </c>
      <c r="W37" s="1"/>
    </row>
    <row r="38" spans="1:23" x14ac:dyDescent="0.35">
      <c r="A38" s="1" t="s">
        <v>0</v>
      </c>
      <c r="B38" s="1" t="s">
        <v>25</v>
      </c>
      <c r="C38" s="1" t="s">
        <v>18</v>
      </c>
      <c r="D38" s="1">
        <v>54.021999999999998</v>
      </c>
      <c r="E38" s="1">
        <v>-131.70916667</v>
      </c>
      <c r="F38" s="1" t="s">
        <v>3</v>
      </c>
      <c r="G38" s="1" t="s">
        <v>4</v>
      </c>
      <c r="H38" s="1" t="s">
        <v>4</v>
      </c>
      <c r="I38" s="1" t="s">
        <v>4</v>
      </c>
      <c r="J38" s="1" t="s">
        <v>27</v>
      </c>
      <c r="K38" s="2">
        <v>23</v>
      </c>
      <c r="L38" s="2">
        <v>20</v>
      </c>
      <c r="M38" s="2">
        <f t="shared" si="0"/>
        <v>3</v>
      </c>
      <c r="N38" s="2"/>
      <c r="O38" s="2"/>
      <c r="P38" s="2"/>
      <c r="Q38" s="3">
        <v>0</v>
      </c>
      <c r="R38" s="5"/>
      <c r="S38" s="5">
        <v>50.9</v>
      </c>
      <c r="T38" s="2">
        <f t="shared" si="4"/>
        <v>0</v>
      </c>
      <c r="U38" s="1"/>
      <c r="V38" s="2">
        <f t="shared" si="7"/>
        <v>0</v>
      </c>
      <c r="W38" s="1"/>
    </row>
    <row r="39" spans="1:23" x14ac:dyDescent="0.35">
      <c r="A39" s="1" t="s">
        <v>0</v>
      </c>
      <c r="B39" s="1" t="s">
        <v>25</v>
      </c>
      <c r="C39" s="1" t="s">
        <v>18</v>
      </c>
      <c r="D39" s="1">
        <v>54.021999999999998</v>
      </c>
      <c r="E39" s="1">
        <v>-131.70916667</v>
      </c>
      <c r="F39" s="1" t="s">
        <v>3</v>
      </c>
      <c r="G39" s="1" t="s">
        <v>4</v>
      </c>
      <c r="H39" s="1" t="s">
        <v>4</v>
      </c>
      <c r="I39" s="1" t="s">
        <v>4</v>
      </c>
      <c r="J39" s="1" t="s">
        <v>28</v>
      </c>
      <c r="K39" s="2">
        <v>20</v>
      </c>
      <c r="L39" s="2">
        <v>10</v>
      </c>
      <c r="M39" s="2">
        <f t="shared" si="0"/>
        <v>10</v>
      </c>
      <c r="N39" s="2"/>
      <c r="O39" s="2"/>
      <c r="P39" s="2"/>
      <c r="Q39" s="3">
        <v>0</v>
      </c>
      <c r="R39" s="5"/>
      <c r="S39" s="5">
        <v>55.46</v>
      </c>
      <c r="T39" s="2">
        <f t="shared" si="4"/>
        <v>0</v>
      </c>
      <c r="U39" s="1"/>
      <c r="V39" s="2">
        <f t="shared" si="7"/>
        <v>0</v>
      </c>
      <c r="W39" s="1"/>
    </row>
    <row r="40" spans="1:23" x14ac:dyDescent="0.35">
      <c r="A40" s="1" t="s">
        <v>0</v>
      </c>
      <c r="B40" s="1" t="s">
        <v>25</v>
      </c>
      <c r="C40" s="1" t="s">
        <v>18</v>
      </c>
      <c r="D40" s="1">
        <v>54.021999999999998</v>
      </c>
      <c r="E40" s="1">
        <v>-131.70916667</v>
      </c>
      <c r="F40" s="1" t="s">
        <v>3</v>
      </c>
      <c r="G40" s="1" t="s">
        <v>4</v>
      </c>
      <c r="H40" s="1" t="s">
        <v>4</v>
      </c>
      <c r="I40" s="1" t="s">
        <v>4</v>
      </c>
      <c r="J40" s="1" t="s">
        <v>29</v>
      </c>
      <c r="K40" s="2">
        <v>10</v>
      </c>
      <c r="L40" s="2">
        <v>0</v>
      </c>
      <c r="M40" s="2">
        <f t="shared" si="0"/>
        <v>10</v>
      </c>
      <c r="N40" s="2"/>
      <c r="O40" s="2"/>
      <c r="P40" s="2"/>
      <c r="Q40" s="3">
        <v>0</v>
      </c>
      <c r="R40" s="5"/>
      <c r="S40" s="5">
        <v>47.58</v>
      </c>
      <c r="T40" s="2">
        <f t="shared" si="4"/>
        <v>0</v>
      </c>
      <c r="U40" s="1"/>
      <c r="V40" s="2">
        <f t="shared" si="7"/>
        <v>0</v>
      </c>
      <c r="W40" s="1"/>
    </row>
    <row r="41" spans="1:23" x14ac:dyDescent="0.35">
      <c r="A41" s="1" t="s">
        <v>0</v>
      </c>
      <c r="B41" s="1" t="s">
        <v>25</v>
      </c>
      <c r="C41" s="1" t="s">
        <v>18</v>
      </c>
      <c r="D41" s="1">
        <v>54.021999999999998</v>
      </c>
      <c r="E41" s="1">
        <v>-131.70916667</v>
      </c>
      <c r="F41" s="1" t="s">
        <v>3</v>
      </c>
      <c r="G41" s="1" t="s">
        <v>4</v>
      </c>
      <c r="H41" s="1" t="s">
        <v>4</v>
      </c>
      <c r="I41" s="1" t="s">
        <v>4</v>
      </c>
      <c r="J41" s="1" t="s">
        <v>14</v>
      </c>
      <c r="K41" s="2">
        <v>0</v>
      </c>
      <c r="L41" s="2">
        <v>-10</v>
      </c>
      <c r="M41" s="2">
        <f t="shared" si="0"/>
        <v>10</v>
      </c>
      <c r="N41" s="2"/>
      <c r="O41" s="2"/>
      <c r="P41" s="2"/>
      <c r="Q41" s="5">
        <v>1.385</v>
      </c>
      <c r="R41" s="5"/>
      <c r="S41" s="5">
        <v>4.42</v>
      </c>
      <c r="T41" s="2">
        <f t="shared" si="4"/>
        <v>6121.7</v>
      </c>
      <c r="U41" s="1"/>
      <c r="V41" s="2">
        <f t="shared" si="7"/>
        <v>6121.7</v>
      </c>
      <c r="W41" s="1"/>
    </row>
    <row r="42" spans="1:23" x14ac:dyDescent="0.35">
      <c r="A42" s="1" t="s">
        <v>0</v>
      </c>
      <c r="B42" s="1" t="s">
        <v>25</v>
      </c>
      <c r="C42" s="1" t="s">
        <v>18</v>
      </c>
      <c r="D42" s="1">
        <v>54.021999999999998</v>
      </c>
      <c r="E42" s="1">
        <v>-131.70916667</v>
      </c>
      <c r="F42" s="1" t="s">
        <v>3</v>
      </c>
      <c r="G42" s="1" t="s">
        <v>4</v>
      </c>
      <c r="H42" s="1" t="s">
        <v>4</v>
      </c>
      <c r="I42" s="1" t="s">
        <v>4</v>
      </c>
      <c r="J42" s="1" t="s">
        <v>30</v>
      </c>
      <c r="K42" s="2">
        <v>-10</v>
      </c>
      <c r="L42" s="2">
        <v>-35</v>
      </c>
      <c r="M42" s="2">
        <f t="shared" si="0"/>
        <v>25</v>
      </c>
      <c r="N42" s="2"/>
      <c r="O42" s="2"/>
      <c r="P42" s="2"/>
      <c r="Q42" s="5">
        <v>1.385</v>
      </c>
      <c r="R42" s="5"/>
      <c r="S42" s="5">
        <v>1.96</v>
      </c>
      <c r="T42" s="2">
        <f t="shared" si="4"/>
        <v>6786.5</v>
      </c>
      <c r="U42" s="1"/>
      <c r="V42" s="2">
        <f t="shared" si="7"/>
        <v>6786.5</v>
      </c>
      <c r="W42" s="1"/>
    </row>
    <row r="43" spans="1:23" x14ac:dyDescent="0.35">
      <c r="A43" s="1" t="s">
        <v>0</v>
      </c>
      <c r="B43" s="1" t="s">
        <v>25</v>
      </c>
      <c r="C43" s="1" t="s">
        <v>18</v>
      </c>
      <c r="D43" s="1">
        <v>54.021999999999998</v>
      </c>
      <c r="E43" s="1">
        <v>-131.70916667</v>
      </c>
      <c r="F43" s="1" t="s">
        <v>3</v>
      </c>
      <c r="G43" s="1" t="s">
        <v>4</v>
      </c>
      <c r="H43" s="1" t="s">
        <v>4</v>
      </c>
      <c r="I43" s="1" t="s">
        <v>4</v>
      </c>
      <c r="J43" s="1" t="s">
        <v>31</v>
      </c>
      <c r="K43" s="2">
        <v>-35</v>
      </c>
      <c r="L43" s="2">
        <v>-82</v>
      </c>
      <c r="M43" s="2">
        <f t="shared" si="0"/>
        <v>47</v>
      </c>
      <c r="N43" s="2"/>
      <c r="O43" s="2"/>
      <c r="P43" s="2"/>
      <c r="Q43" s="5">
        <v>1.542</v>
      </c>
      <c r="R43" s="5"/>
      <c r="S43" s="5">
        <v>1.42</v>
      </c>
      <c r="T43" s="2">
        <f t="shared" si="4"/>
        <v>10291.307999999999</v>
      </c>
      <c r="U43" s="1"/>
      <c r="V43" s="2">
        <f t="shared" si="7"/>
        <v>10291.307999999999</v>
      </c>
      <c r="W43" s="1"/>
    </row>
    <row r="44" spans="1:23" x14ac:dyDescent="0.35">
      <c r="A44" s="1" t="s">
        <v>0</v>
      </c>
      <c r="B44" s="1" t="s">
        <v>25</v>
      </c>
      <c r="C44" s="1" t="s">
        <v>18</v>
      </c>
      <c r="D44" s="1">
        <v>54.021999999999998</v>
      </c>
      <c r="E44" s="1">
        <v>-131.70916667</v>
      </c>
      <c r="F44" s="1" t="s">
        <v>3</v>
      </c>
      <c r="G44" s="1" t="s">
        <v>4</v>
      </c>
      <c r="H44" s="1" t="s">
        <v>4</v>
      </c>
      <c r="I44" s="1" t="s">
        <v>4</v>
      </c>
      <c r="J44" s="1" t="s">
        <v>22</v>
      </c>
      <c r="K44" s="2">
        <v>-82</v>
      </c>
      <c r="L44" s="2">
        <v>-85</v>
      </c>
      <c r="M44" s="2">
        <f t="shared" si="0"/>
        <v>3</v>
      </c>
      <c r="N44" s="2"/>
      <c r="O44" s="2"/>
      <c r="P44" s="2"/>
      <c r="Q44" s="5">
        <v>1.542</v>
      </c>
      <c r="R44" s="5"/>
      <c r="S44" s="5">
        <v>1.67</v>
      </c>
      <c r="T44" s="2">
        <f t="shared" si="4"/>
        <v>772.54200000000003</v>
      </c>
      <c r="U44" s="1"/>
      <c r="V44" s="2">
        <f t="shared" si="7"/>
        <v>772.54200000000003</v>
      </c>
      <c r="W44" s="1"/>
    </row>
    <row r="45" spans="1:23" x14ac:dyDescent="0.35">
      <c r="A45" s="1" t="s">
        <v>0</v>
      </c>
      <c r="B45" s="1" t="s">
        <v>25</v>
      </c>
      <c r="C45" s="1" t="s">
        <v>18</v>
      </c>
      <c r="D45" s="1">
        <v>54.021999999999998</v>
      </c>
      <c r="E45" s="1">
        <v>-131.70916667</v>
      </c>
      <c r="F45" s="1" t="s">
        <v>3</v>
      </c>
      <c r="G45" s="1" t="s">
        <v>4</v>
      </c>
      <c r="H45" s="1" t="s">
        <v>4</v>
      </c>
      <c r="I45" s="1" t="s">
        <v>4</v>
      </c>
      <c r="J45" s="1" t="s">
        <v>10</v>
      </c>
      <c r="K45" s="2">
        <v>-85</v>
      </c>
      <c r="L45" s="2">
        <v>-130</v>
      </c>
      <c r="M45" s="2">
        <f t="shared" si="0"/>
        <v>45</v>
      </c>
      <c r="N45" s="2"/>
      <c r="O45" s="2"/>
      <c r="P45" s="2"/>
      <c r="Q45" s="5">
        <v>1.4470000000000001</v>
      </c>
      <c r="R45" s="5"/>
      <c r="S45" s="5">
        <v>0.25</v>
      </c>
      <c r="T45" s="2">
        <f t="shared" si="4"/>
        <v>1627.875</v>
      </c>
      <c r="U45" s="1"/>
      <c r="V45" s="2">
        <f>IF(K45&gt;-100,T45-T45*(ABS(L45)-100)/(ABS(L45)-ABS(K45)),0)</f>
        <v>542.625</v>
      </c>
      <c r="W45" s="1"/>
    </row>
    <row r="46" spans="1:23" x14ac:dyDescent="0.35">
      <c r="A46" s="7" t="s">
        <v>0</v>
      </c>
      <c r="B46" s="7" t="s">
        <v>25</v>
      </c>
      <c r="C46" s="7" t="s">
        <v>18</v>
      </c>
      <c r="D46" s="7">
        <v>54.021999999999998</v>
      </c>
      <c r="E46" s="7">
        <v>-131.70916667</v>
      </c>
      <c r="F46" s="7" t="s">
        <v>3</v>
      </c>
      <c r="G46" s="7" t="s">
        <v>4</v>
      </c>
      <c r="H46" s="7" t="s">
        <v>4</v>
      </c>
      <c r="I46" s="7" t="s">
        <v>4</v>
      </c>
      <c r="J46" s="7" t="s">
        <v>11</v>
      </c>
      <c r="K46" s="8">
        <v>-130</v>
      </c>
      <c r="L46" s="8">
        <v>-162</v>
      </c>
      <c r="M46" s="8">
        <f t="shared" si="0"/>
        <v>32</v>
      </c>
      <c r="N46" s="8"/>
      <c r="O46" s="8"/>
      <c r="P46" s="8"/>
      <c r="Q46" s="9">
        <v>1.4910000000000001</v>
      </c>
      <c r="R46" s="9"/>
      <c r="S46" s="9">
        <v>0.08</v>
      </c>
      <c r="T46" s="8">
        <f t="shared" si="4"/>
        <v>381.69600000000003</v>
      </c>
      <c r="U46" s="7"/>
      <c r="V46" s="8">
        <f>IF(K46&gt;-100,T46-T46*(ABS(L46)-100)/(ABS(L46)-ABS(K46)),0)</f>
        <v>0</v>
      </c>
      <c r="W46" s="7"/>
    </row>
    <row r="47" spans="1:23" x14ac:dyDescent="0.35">
      <c r="A47" s="7" t="s">
        <v>0</v>
      </c>
      <c r="B47" s="7" t="s">
        <v>32</v>
      </c>
      <c r="C47" s="7" t="s">
        <v>4</v>
      </c>
      <c r="D47" s="7">
        <v>54.069083329999998</v>
      </c>
      <c r="E47" s="7">
        <v>-131.67722222</v>
      </c>
      <c r="F47" s="7" t="s">
        <v>3</v>
      </c>
      <c r="G47" s="7" t="s">
        <v>4</v>
      </c>
      <c r="H47" s="7" t="s">
        <v>4</v>
      </c>
      <c r="I47" s="7" t="s">
        <v>4</v>
      </c>
      <c r="J47" s="7" t="s">
        <v>4</v>
      </c>
      <c r="K47" s="8" t="s">
        <v>4</v>
      </c>
      <c r="L47" s="8" t="s">
        <v>4</v>
      </c>
      <c r="M47" s="8" t="s">
        <v>4</v>
      </c>
      <c r="N47" s="8" t="s">
        <v>4</v>
      </c>
      <c r="O47" s="8" t="s">
        <v>4</v>
      </c>
      <c r="P47" s="8" t="s">
        <v>4</v>
      </c>
      <c r="Q47" s="10" t="s">
        <v>4</v>
      </c>
      <c r="R47" s="9"/>
      <c r="S47" s="9" t="s">
        <v>4</v>
      </c>
      <c r="T47" s="9" t="s">
        <v>4</v>
      </c>
      <c r="U47" s="8">
        <f>SUM(T47)</f>
        <v>0</v>
      </c>
      <c r="V47" s="8" t="s">
        <v>4</v>
      </c>
      <c r="W47" s="8"/>
    </row>
    <row r="48" spans="1:23" x14ac:dyDescent="0.35">
      <c r="A48" s="1" t="s">
        <v>33</v>
      </c>
      <c r="B48" s="1" t="s">
        <v>34</v>
      </c>
      <c r="C48" s="1" t="s">
        <v>35</v>
      </c>
      <c r="D48" s="1">
        <v>48.833333330000002</v>
      </c>
      <c r="E48" s="1">
        <v>-125.13333333</v>
      </c>
      <c r="F48" s="1" t="s">
        <v>36</v>
      </c>
      <c r="G48" s="11">
        <v>30</v>
      </c>
      <c r="H48" s="11">
        <v>12.5</v>
      </c>
      <c r="I48" s="11" t="s">
        <v>37</v>
      </c>
      <c r="J48" s="1" t="s">
        <v>38</v>
      </c>
      <c r="K48" s="1">
        <v>14</v>
      </c>
      <c r="L48" s="1">
        <v>13</v>
      </c>
      <c r="M48" s="2">
        <f t="shared" si="0"/>
        <v>1</v>
      </c>
      <c r="N48" s="2">
        <f>IF(ABS(MIN(L48:L54))&gt;100,100,ABS(MIN(L48:L54)))</f>
        <v>51</v>
      </c>
      <c r="O48" s="2">
        <f>K48</f>
        <v>14</v>
      </c>
      <c r="P48" s="2">
        <f>O48+N48</f>
        <v>65</v>
      </c>
      <c r="Q48" s="3">
        <v>0</v>
      </c>
      <c r="R48" s="5"/>
      <c r="S48" s="5">
        <v>49.5</v>
      </c>
      <c r="T48" s="2">
        <f t="shared" si="4"/>
        <v>0</v>
      </c>
      <c r="U48" s="2">
        <f>SUM(T48:T54)</f>
        <v>0</v>
      </c>
      <c r="V48" s="2">
        <f>T48</f>
        <v>0</v>
      </c>
      <c r="W48" s="6">
        <f>SUM(V48:V54)/10^6*10^4</f>
        <v>0</v>
      </c>
    </row>
    <row r="49" spans="1:23" x14ac:dyDescent="0.35">
      <c r="A49" s="1" t="s">
        <v>33</v>
      </c>
      <c r="B49" s="1" t="s">
        <v>34</v>
      </c>
      <c r="C49" s="1" t="s">
        <v>35</v>
      </c>
      <c r="D49" s="1">
        <v>48.833333330000002</v>
      </c>
      <c r="E49" s="1">
        <v>-125.13333333</v>
      </c>
      <c r="F49" s="1" t="s">
        <v>36</v>
      </c>
      <c r="G49" s="11">
        <v>30</v>
      </c>
      <c r="H49" s="11">
        <v>12.5</v>
      </c>
      <c r="I49" s="11" t="s">
        <v>37</v>
      </c>
      <c r="J49" s="1" t="s">
        <v>39</v>
      </c>
      <c r="K49" s="1">
        <v>13</v>
      </c>
      <c r="L49" s="1">
        <v>8</v>
      </c>
      <c r="M49" s="2">
        <f t="shared" si="0"/>
        <v>5</v>
      </c>
      <c r="N49" s="2"/>
      <c r="O49" s="2"/>
      <c r="P49" s="2"/>
      <c r="Q49" s="3">
        <v>0</v>
      </c>
      <c r="R49" s="5"/>
      <c r="S49" s="5">
        <v>48.3</v>
      </c>
      <c r="T49" s="2">
        <f t="shared" si="4"/>
        <v>0</v>
      </c>
      <c r="U49" s="1"/>
      <c r="V49" s="2">
        <f t="shared" ref="V49:V67" si="8">T49</f>
        <v>0</v>
      </c>
      <c r="W49" s="1"/>
    </row>
    <row r="50" spans="1:23" x14ac:dyDescent="0.35">
      <c r="A50" s="1" t="s">
        <v>33</v>
      </c>
      <c r="B50" s="1" t="s">
        <v>34</v>
      </c>
      <c r="C50" s="1" t="s">
        <v>35</v>
      </c>
      <c r="D50" s="1">
        <v>48.833333330000002</v>
      </c>
      <c r="E50" s="1">
        <v>-125.13333333</v>
      </c>
      <c r="F50" s="1" t="s">
        <v>36</v>
      </c>
      <c r="G50" s="11">
        <v>30</v>
      </c>
      <c r="H50" s="11">
        <v>12.5</v>
      </c>
      <c r="I50" s="11" t="s">
        <v>37</v>
      </c>
      <c r="J50" s="1" t="s">
        <v>40</v>
      </c>
      <c r="K50" s="1">
        <v>8</v>
      </c>
      <c r="L50" s="1">
        <v>0</v>
      </c>
      <c r="M50" s="2">
        <f t="shared" si="0"/>
        <v>8</v>
      </c>
      <c r="N50" s="2"/>
      <c r="O50" s="2"/>
      <c r="P50" s="2"/>
      <c r="Q50" s="3">
        <v>0</v>
      </c>
      <c r="R50" s="5"/>
      <c r="S50" s="5">
        <v>47.3</v>
      </c>
      <c r="T50" s="2">
        <f t="shared" si="4"/>
        <v>0</v>
      </c>
      <c r="U50" s="1"/>
      <c r="V50" s="2">
        <f t="shared" si="8"/>
        <v>0</v>
      </c>
      <c r="W50" s="1"/>
    </row>
    <row r="51" spans="1:23" x14ac:dyDescent="0.35">
      <c r="A51" s="1" t="s">
        <v>33</v>
      </c>
      <c r="B51" s="1" t="s">
        <v>34</v>
      </c>
      <c r="C51" s="1" t="s">
        <v>35</v>
      </c>
      <c r="D51" s="1">
        <v>48.833333330000002</v>
      </c>
      <c r="E51" s="1">
        <v>-125.13333333</v>
      </c>
      <c r="F51" s="1" t="s">
        <v>36</v>
      </c>
      <c r="G51" s="11">
        <v>30</v>
      </c>
      <c r="H51" s="11">
        <v>12.5</v>
      </c>
      <c r="I51" s="11" t="s">
        <v>37</v>
      </c>
      <c r="J51" s="1" t="s">
        <v>41</v>
      </c>
      <c r="K51" s="1">
        <v>0</v>
      </c>
      <c r="L51" s="1">
        <v>-3</v>
      </c>
      <c r="M51" s="2">
        <f t="shared" si="0"/>
        <v>3</v>
      </c>
      <c r="N51" s="2"/>
      <c r="O51" s="2"/>
      <c r="P51" s="2"/>
      <c r="Q51" s="3">
        <v>0</v>
      </c>
      <c r="R51" s="5"/>
      <c r="S51" s="5">
        <v>4.7</v>
      </c>
      <c r="T51" s="2">
        <f t="shared" si="4"/>
        <v>0</v>
      </c>
      <c r="U51" s="1"/>
      <c r="V51" s="2">
        <f t="shared" si="8"/>
        <v>0</v>
      </c>
      <c r="W51" s="1"/>
    </row>
    <row r="52" spans="1:23" x14ac:dyDescent="0.35">
      <c r="A52" s="1" t="s">
        <v>33</v>
      </c>
      <c r="B52" s="1" t="s">
        <v>34</v>
      </c>
      <c r="C52" s="1" t="s">
        <v>35</v>
      </c>
      <c r="D52" s="1">
        <v>48.833333330000002</v>
      </c>
      <c r="E52" s="1">
        <v>-125.13333333</v>
      </c>
      <c r="F52" s="1" t="s">
        <v>36</v>
      </c>
      <c r="G52" s="11">
        <v>30</v>
      </c>
      <c r="H52" s="11">
        <v>12.5</v>
      </c>
      <c r="I52" s="11" t="s">
        <v>37</v>
      </c>
      <c r="J52" s="1" t="s">
        <v>42</v>
      </c>
      <c r="K52" s="1">
        <v>-3</v>
      </c>
      <c r="L52" s="1">
        <v>-10</v>
      </c>
      <c r="M52" s="2">
        <f t="shared" si="0"/>
        <v>7</v>
      </c>
      <c r="N52" s="2"/>
      <c r="O52" s="2"/>
      <c r="P52" s="2"/>
      <c r="Q52" s="3">
        <v>0</v>
      </c>
      <c r="R52" s="5"/>
      <c r="S52" s="5">
        <v>12.4</v>
      </c>
      <c r="T52" s="2">
        <f t="shared" si="4"/>
        <v>0</v>
      </c>
      <c r="U52" s="1"/>
      <c r="V52" s="2">
        <f t="shared" si="8"/>
        <v>0</v>
      </c>
      <c r="W52" s="1"/>
    </row>
    <row r="53" spans="1:23" x14ac:dyDescent="0.35">
      <c r="A53" s="1" t="s">
        <v>33</v>
      </c>
      <c r="B53" s="1" t="s">
        <v>34</v>
      </c>
      <c r="C53" s="1" t="s">
        <v>35</v>
      </c>
      <c r="D53" s="1">
        <v>48.833333330000002</v>
      </c>
      <c r="E53" s="1">
        <v>-125.13333333</v>
      </c>
      <c r="F53" s="1" t="s">
        <v>36</v>
      </c>
      <c r="G53" s="11">
        <v>30</v>
      </c>
      <c r="H53" s="11">
        <v>12.5</v>
      </c>
      <c r="I53" s="11" t="s">
        <v>37</v>
      </c>
      <c r="J53" s="1" t="s">
        <v>43</v>
      </c>
      <c r="K53" s="1">
        <v>-10</v>
      </c>
      <c r="L53" s="1">
        <v>-35</v>
      </c>
      <c r="M53" s="2">
        <f t="shared" si="0"/>
        <v>25</v>
      </c>
      <c r="N53" s="2"/>
      <c r="O53" s="2"/>
      <c r="P53" s="2"/>
      <c r="Q53" s="3">
        <v>0</v>
      </c>
      <c r="R53" s="5"/>
      <c r="S53" s="5">
        <v>8.5</v>
      </c>
      <c r="T53" s="2">
        <f t="shared" si="4"/>
        <v>0</v>
      </c>
      <c r="U53" s="1"/>
      <c r="V53" s="2">
        <f t="shared" si="8"/>
        <v>0</v>
      </c>
      <c r="W53" s="1"/>
    </row>
    <row r="54" spans="1:23" x14ac:dyDescent="0.35">
      <c r="A54" s="7" t="s">
        <v>33</v>
      </c>
      <c r="B54" s="7" t="s">
        <v>34</v>
      </c>
      <c r="C54" s="7" t="s">
        <v>35</v>
      </c>
      <c r="D54" s="7">
        <v>48.833333330000002</v>
      </c>
      <c r="E54" s="7">
        <v>-125.13333333</v>
      </c>
      <c r="F54" s="7" t="s">
        <v>36</v>
      </c>
      <c r="G54" s="12">
        <v>30</v>
      </c>
      <c r="H54" s="12">
        <v>12.5</v>
      </c>
      <c r="I54" s="12" t="s">
        <v>37</v>
      </c>
      <c r="J54" s="7" t="s">
        <v>44</v>
      </c>
      <c r="K54" s="7">
        <v>-35</v>
      </c>
      <c r="L54" s="7">
        <v>-51</v>
      </c>
      <c r="M54" s="8">
        <f t="shared" si="0"/>
        <v>16</v>
      </c>
      <c r="N54" s="8"/>
      <c r="O54" s="8"/>
      <c r="P54" s="8"/>
      <c r="Q54" s="3">
        <v>0</v>
      </c>
      <c r="R54" s="9"/>
      <c r="S54" s="9">
        <v>13.9</v>
      </c>
      <c r="T54" s="8">
        <f t="shared" si="4"/>
        <v>0</v>
      </c>
      <c r="U54" s="7"/>
      <c r="V54" s="8">
        <f t="shared" si="8"/>
        <v>0</v>
      </c>
      <c r="W54" s="7"/>
    </row>
    <row r="55" spans="1:23" x14ac:dyDescent="0.35">
      <c r="A55" s="1" t="s">
        <v>33</v>
      </c>
      <c r="B55" s="1" t="s">
        <v>45</v>
      </c>
      <c r="C55" s="1" t="s">
        <v>35</v>
      </c>
      <c r="D55" s="1">
        <v>48.916666669999998</v>
      </c>
      <c r="E55" s="1">
        <v>-124.98333332999999</v>
      </c>
      <c r="F55" s="1" t="s">
        <v>36</v>
      </c>
      <c r="G55" s="11">
        <v>170</v>
      </c>
      <c r="H55" s="11">
        <v>27.5</v>
      </c>
      <c r="I55" s="11" t="s">
        <v>46</v>
      </c>
      <c r="J55" s="1" t="s">
        <v>40</v>
      </c>
      <c r="K55" s="1">
        <v>11</v>
      </c>
      <c r="L55" s="1">
        <v>6</v>
      </c>
      <c r="M55" s="2">
        <f t="shared" si="0"/>
        <v>5</v>
      </c>
      <c r="N55" s="2">
        <f>IF(ABS(MIN(L55:L62))&gt;100,100,ABS(MIN(L55:L62)))</f>
        <v>68</v>
      </c>
      <c r="O55" s="2">
        <f>K55</f>
        <v>11</v>
      </c>
      <c r="P55" s="2">
        <f>O55+N55</f>
        <v>79</v>
      </c>
      <c r="Q55" s="3">
        <v>0</v>
      </c>
      <c r="R55" s="5"/>
      <c r="S55" s="5">
        <v>49.8</v>
      </c>
      <c r="T55" s="2">
        <f t="shared" si="4"/>
        <v>0</v>
      </c>
      <c r="U55" s="2">
        <f>SUM(T55:T62)</f>
        <v>0</v>
      </c>
      <c r="V55" s="2">
        <f t="shared" si="8"/>
        <v>0</v>
      </c>
      <c r="W55" s="6">
        <f>SUM(V55:V62)/10^6*10^4</f>
        <v>0</v>
      </c>
    </row>
    <row r="56" spans="1:23" x14ac:dyDescent="0.35">
      <c r="A56" s="1" t="s">
        <v>33</v>
      </c>
      <c r="B56" s="1" t="s">
        <v>45</v>
      </c>
      <c r="C56" s="1" t="s">
        <v>35</v>
      </c>
      <c r="D56" s="1">
        <v>48.916666669999998</v>
      </c>
      <c r="E56" s="1">
        <v>-124.98333332999999</v>
      </c>
      <c r="F56" s="1" t="s">
        <v>36</v>
      </c>
      <c r="G56" s="11">
        <v>170</v>
      </c>
      <c r="H56" s="11">
        <v>27.5</v>
      </c>
      <c r="I56" s="11" t="s">
        <v>46</v>
      </c>
      <c r="J56" s="1" t="s">
        <v>40</v>
      </c>
      <c r="K56" s="1">
        <v>6</v>
      </c>
      <c r="L56" s="1">
        <v>0</v>
      </c>
      <c r="M56" s="2">
        <f t="shared" si="0"/>
        <v>6</v>
      </c>
      <c r="N56" s="2"/>
      <c r="O56" s="2"/>
      <c r="P56" s="2"/>
      <c r="Q56" s="3">
        <v>0</v>
      </c>
      <c r="R56" s="5"/>
      <c r="S56" s="5">
        <v>46.7</v>
      </c>
      <c r="T56" s="2">
        <f t="shared" si="4"/>
        <v>0</v>
      </c>
      <c r="U56" s="1"/>
      <c r="V56" s="2">
        <f t="shared" si="8"/>
        <v>0</v>
      </c>
      <c r="W56" s="1"/>
    </row>
    <row r="57" spans="1:23" x14ac:dyDescent="0.35">
      <c r="A57" s="1" t="s">
        <v>33</v>
      </c>
      <c r="B57" s="1" t="s">
        <v>45</v>
      </c>
      <c r="C57" s="1" t="s">
        <v>35</v>
      </c>
      <c r="D57" s="1">
        <v>48.916666669999998</v>
      </c>
      <c r="E57" s="1">
        <v>-124.98333332999999</v>
      </c>
      <c r="F57" s="1" t="s">
        <v>36</v>
      </c>
      <c r="G57" s="11">
        <v>170</v>
      </c>
      <c r="H57" s="11">
        <v>27.5</v>
      </c>
      <c r="I57" s="11" t="s">
        <v>46</v>
      </c>
      <c r="J57" s="1" t="s">
        <v>41</v>
      </c>
      <c r="K57" s="1">
        <v>0</v>
      </c>
      <c r="L57" s="1">
        <v>-2</v>
      </c>
      <c r="M57" s="2">
        <f t="shared" si="0"/>
        <v>2</v>
      </c>
      <c r="N57" s="2"/>
      <c r="O57" s="2"/>
      <c r="P57" s="2"/>
      <c r="Q57" s="3">
        <v>0</v>
      </c>
      <c r="R57" s="5"/>
      <c r="S57" s="5">
        <v>5.5</v>
      </c>
      <c r="T57" s="2">
        <f t="shared" si="4"/>
        <v>0</v>
      </c>
      <c r="U57" s="1"/>
      <c r="V57" s="2">
        <f t="shared" si="8"/>
        <v>0</v>
      </c>
      <c r="W57" s="1"/>
    </row>
    <row r="58" spans="1:23" x14ac:dyDescent="0.35">
      <c r="A58" s="1" t="s">
        <v>33</v>
      </c>
      <c r="B58" s="1" t="s">
        <v>45</v>
      </c>
      <c r="C58" s="1" t="s">
        <v>35</v>
      </c>
      <c r="D58" s="1">
        <v>48.916666669999998</v>
      </c>
      <c r="E58" s="1">
        <v>-124.98333332999999</v>
      </c>
      <c r="F58" s="1" t="s">
        <v>36</v>
      </c>
      <c r="G58" s="11">
        <v>170</v>
      </c>
      <c r="H58" s="11">
        <v>27.5</v>
      </c>
      <c r="I58" s="11" t="s">
        <v>46</v>
      </c>
      <c r="J58" s="1" t="s">
        <v>43</v>
      </c>
      <c r="K58" s="1">
        <v>-2</v>
      </c>
      <c r="L58" s="1">
        <v>-20</v>
      </c>
      <c r="M58" s="2">
        <f t="shared" si="0"/>
        <v>18</v>
      </c>
      <c r="N58" s="2"/>
      <c r="O58" s="2"/>
      <c r="P58" s="2"/>
      <c r="Q58" s="3">
        <v>0</v>
      </c>
      <c r="R58" s="5"/>
      <c r="S58" s="5">
        <v>7.1</v>
      </c>
      <c r="T58" s="2">
        <f t="shared" si="4"/>
        <v>0</v>
      </c>
      <c r="U58" s="1"/>
      <c r="V58" s="2">
        <f t="shared" si="8"/>
        <v>0</v>
      </c>
      <c r="W58" s="1"/>
    </row>
    <row r="59" spans="1:23" x14ac:dyDescent="0.35">
      <c r="A59" s="1" t="s">
        <v>33</v>
      </c>
      <c r="B59" s="1" t="s">
        <v>45</v>
      </c>
      <c r="C59" s="1" t="s">
        <v>35</v>
      </c>
      <c r="D59" s="1">
        <v>48.916666669999998</v>
      </c>
      <c r="E59" s="1">
        <v>-124.98333332999999</v>
      </c>
      <c r="F59" s="1" t="s">
        <v>36</v>
      </c>
      <c r="G59" s="11">
        <v>170</v>
      </c>
      <c r="H59" s="11">
        <v>27.5</v>
      </c>
      <c r="I59" s="11" t="s">
        <v>46</v>
      </c>
      <c r="J59" s="1" t="s">
        <v>43</v>
      </c>
      <c r="K59" s="1">
        <v>-20</v>
      </c>
      <c r="L59" s="1">
        <v>-35</v>
      </c>
      <c r="M59" s="2">
        <f t="shared" si="0"/>
        <v>15</v>
      </c>
      <c r="N59" s="2"/>
      <c r="O59" s="2"/>
      <c r="P59" s="2"/>
      <c r="Q59" s="3">
        <v>0</v>
      </c>
      <c r="R59" s="5"/>
      <c r="S59" s="5">
        <v>9</v>
      </c>
      <c r="T59" s="2">
        <f t="shared" si="4"/>
        <v>0</v>
      </c>
      <c r="U59" s="1"/>
      <c r="V59" s="2">
        <f t="shared" si="8"/>
        <v>0</v>
      </c>
      <c r="W59" s="1"/>
    </row>
    <row r="60" spans="1:23" x14ac:dyDescent="0.35">
      <c r="A60" s="1" t="s">
        <v>33</v>
      </c>
      <c r="B60" s="1" t="s">
        <v>45</v>
      </c>
      <c r="C60" s="1" t="s">
        <v>35</v>
      </c>
      <c r="D60" s="1">
        <v>48.916666669999998</v>
      </c>
      <c r="E60" s="1">
        <v>-124.98333332999999</v>
      </c>
      <c r="F60" s="1" t="s">
        <v>36</v>
      </c>
      <c r="G60" s="11">
        <v>170</v>
      </c>
      <c r="H60" s="11">
        <v>27.5</v>
      </c>
      <c r="I60" s="11" t="s">
        <v>46</v>
      </c>
      <c r="J60" s="1" t="s">
        <v>44</v>
      </c>
      <c r="K60" s="1">
        <v>-35</v>
      </c>
      <c r="L60" s="1">
        <v>-45</v>
      </c>
      <c r="M60" s="2">
        <f t="shared" si="0"/>
        <v>10</v>
      </c>
      <c r="N60" s="2"/>
      <c r="O60" s="2"/>
      <c r="P60" s="2"/>
      <c r="Q60" s="3">
        <v>0</v>
      </c>
      <c r="R60" s="5"/>
      <c r="S60" s="5">
        <v>7</v>
      </c>
      <c r="T60" s="2">
        <f t="shared" si="4"/>
        <v>0</v>
      </c>
      <c r="U60" s="1"/>
      <c r="V60" s="2">
        <f t="shared" si="8"/>
        <v>0</v>
      </c>
      <c r="W60" s="1"/>
    </row>
    <row r="61" spans="1:23" x14ac:dyDescent="0.35">
      <c r="A61" s="1" t="s">
        <v>33</v>
      </c>
      <c r="B61" s="1" t="s">
        <v>45</v>
      </c>
      <c r="C61" s="1" t="s">
        <v>35</v>
      </c>
      <c r="D61" s="1">
        <v>48.916666669999998</v>
      </c>
      <c r="E61" s="1">
        <v>-124.98333332999999</v>
      </c>
      <c r="F61" s="1" t="s">
        <v>36</v>
      </c>
      <c r="G61" s="11">
        <v>170</v>
      </c>
      <c r="H61" s="11">
        <v>27.5</v>
      </c>
      <c r="I61" s="11" t="s">
        <v>46</v>
      </c>
      <c r="J61" s="1" t="s">
        <v>47</v>
      </c>
      <c r="K61" s="1">
        <v>-45</v>
      </c>
      <c r="L61" s="1">
        <v>-55</v>
      </c>
      <c r="M61" s="2">
        <f t="shared" si="0"/>
        <v>10</v>
      </c>
      <c r="N61" s="2"/>
      <c r="O61" s="2"/>
      <c r="P61" s="2"/>
      <c r="Q61" s="3">
        <v>0</v>
      </c>
      <c r="R61" s="5"/>
      <c r="S61" s="5">
        <v>11.9</v>
      </c>
      <c r="T61" s="2">
        <f t="shared" si="4"/>
        <v>0</v>
      </c>
      <c r="U61" s="1"/>
      <c r="V61" s="2">
        <f t="shared" si="8"/>
        <v>0</v>
      </c>
      <c r="W61" s="1"/>
    </row>
    <row r="62" spans="1:23" x14ac:dyDescent="0.35">
      <c r="A62" s="7" t="s">
        <v>33</v>
      </c>
      <c r="B62" s="7" t="s">
        <v>45</v>
      </c>
      <c r="C62" s="7" t="s">
        <v>35</v>
      </c>
      <c r="D62" s="7">
        <v>48.916666669999998</v>
      </c>
      <c r="E62" s="7">
        <v>-124.98333332999999</v>
      </c>
      <c r="F62" s="7" t="s">
        <v>36</v>
      </c>
      <c r="G62" s="12">
        <v>170</v>
      </c>
      <c r="H62" s="12">
        <v>27.5</v>
      </c>
      <c r="I62" s="12" t="s">
        <v>46</v>
      </c>
      <c r="J62" s="7" t="s">
        <v>48</v>
      </c>
      <c r="K62" s="7">
        <v>-55</v>
      </c>
      <c r="L62" s="7">
        <v>-68</v>
      </c>
      <c r="M62" s="8">
        <f t="shared" si="0"/>
        <v>13</v>
      </c>
      <c r="N62" s="8"/>
      <c r="O62" s="8"/>
      <c r="P62" s="8"/>
      <c r="Q62" s="3">
        <v>0</v>
      </c>
      <c r="R62" s="9"/>
      <c r="S62" s="9">
        <v>1.3</v>
      </c>
      <c r="T62" s="8">
        <f t="shared" si="4"/>
        <v>0</v>
      </c>
      <c r="U62" s="7"/>
      <c r="V62" s="8">
        <f t="shared" si="8"/>
        <v>0</v>
      </c>
      <c r="W62" s="7"/>
    </row>
    <row r="63" spans="1:23" x14ac:dyDescent="0.35">
      <c r="A63" s="1" t="s">
        <v>33</v>
      </c>
      <c r="B63" s="1" t="s">
        <v>49</v>
      </c>
      <c r="C63" s="1" t="s">
        <v>35</v>
      </c>
      <c r="D63" s="1">
        <v>48.916666669999998</v>
      </c>
      <c r="E63" s="1">
        <v>-124.98333332999999</v>
      </c>
      <c r="F63" s="1" t="s">
        <v>36</v>
      </c>
      <c r="G63" s="11">
        <v>240</v>
      </c>
      <c r="H63" s="11">
        <v>27.5</v>
      </c>
      <c r="I63" s="11" t="s">
        <v>46</v>
      </c>
      <c r="J63" s="1" t="s">
        <v>38</v>
      </c>
      <c r="K63" s="1">
        <v>11</v>
      </c>
      <c r="L63" s="1">
        <v>9</v>
      </c>
      <c r="M63" s="2">
        <f t="shared" si="0"/>
        <v>2</v>
      </c>
      <c r="N63" s="2">
        <f>IF(ABS(MIN(L63:L71))&gt;100,100,ABS(MIN(L63:L71)))</f>
        <v>100</v>
      </c>
      <c r="O63" s="2">
        <f>K63</f>
        <v>11</v>
      </c>
      <c r="P63" s="2">
        <f>O63+N63</f>
        <v>111</v>
      </c>
      <c r="Q63" s="3">
        <v>0</v>
      </c>
      <c r="R63" s="5"/>
      <c r="S63" s="5">
        <v>47</v>
      </c>
      <c r="T63" s="2">
        <f t="shared" si="4"/>
        <v>0</v>
      </c>
      <c r="U63" s="2">
        <f>SUM(T63:T71)</f>
        <v>0</v>
      </c>
      <c r="V63" s="2">
        <f t="shared" si="8"/>
        <v>0</v>
      </c>
      <c r="W63" s="6">
        <f>SUM(V63:V71)/10^6*10^4</f>
        <v>0</v>
      </c>
    </row>
    <row r="64" spans="1:23" x14ac:dyDescent="0.35">
      <c r="A64" s="1" t="s">
        <v>33</v>
      </c>
      <c r="B64" s="1" t="s">
        <v>49</v>
      </c>
      <c r="C64" s="1" t="s">
        <v>35</v>
      </c>
      <c r="D64" s="1">
        <v>48.916666669999998</v>
      </c>
      <c r="E64" s="1">
        <v>-124.98333332999999</v>
      </c>
      <c r="F64" s="1" t="s">
        <v>36</v>
      </c>
      <c r="G64" s="11">
        <v>240</v>
      </c>
      <c r="H64" s="11">
        <v>27.5</v>
      </c>
      <c r="I64" s="11" t="s">
        <v>46</v>
      </c>
      <c r="J64" s="1" t="s">
        <v>39</v>
      </c>
      <c r="K64" s="1">
        <v>9</v>
      </c>
      <c r="L64" s="1">
        <v>6</v>
      </c>
      <c r="M64" s="2">
        <f t="shared" si="0"/>
        <v>3</v>
      </c>
      <c r="N64" s="2"/>
      <c r="O64" s="2"/>
      <c r="P64" s="2"/>
      <c r="Q64" s="3">
        <v>0</v>
      </c>
      <c r="R64" s="5"/>
      <c r="S64" s="5">
        <v>51.7</v>
      </c>
      <c r="T64" s="2">
        <f t="shared" si="4"/>
        <v>0</v>
      </c>
      <c r="U64" s="1"/>
      <c r="V64" s="2">
        <f t="shared" si="8"/>
        <v>0</v>
      </c>
      <c r="W64" s="1"/>
    </row>
    <row r="65" spans="1:23" x14ac:dyDescent="0.35">
      <c r="A65" s="1" t="s">
        <v>33</v>
      </c>
      <c r="B65" s="1" t="s">
        <v>49</v>
      </c>
      <c r="C65" s="1" t="s">
        <v>35</v>
      </c>
      <c r="D65" s="1">
        <v>48.916666669999998</v>
      </c>
      <c r="E65" s="1">
        <v>-124.98333332999999</v>
      </c>
      <c r="F65" s="1" t="s">
        <v>36</v>
      </c>
      <c r="G65" s="11">
        <v>240</v>
      </c>
      <c r="H65" s="11">
        <v>27.5</v>
      </c>
      <c r="I65" s="11" t="s">
        <v>46</v>
      </c>
      <c r="J65" s="1" t="s">
        <v>40</v>
      </c>
      <c r="K65" s="1">
        <v>6</v>
      </c>
      <c r="L65" s="1">
        <v>0</v>
      </c>
      <c r="M65" s="2">
        <f t="shared" si="0"/>
        <v>6</v>
      </c>
      <c r="N65" s="2"/>
      <c r="O65" s="2"/>
      <c r="P65" s="2"/>
      <c r="Q65" s="3">
        <v>0</v>
      </c>
      <c r="R65" s="5"/>
      <c r="S65" s="5">
        <v>50.2</v>
      </c>
      <c r="T65" s="2">
        <f t="shared" si="4"/>
        <v>0</v>
      </c>
      <c r="U65" s="1"/>
      <c r="V65" s="2">
        <f t="shared" si="8"/>
        <v>0</v>
      </c>
      <c r="W65" s="1"/>
    </row>
    <row r="66" spans="1:23" x14ac:dyDescent="0.35">
      <c r="A66" s="1" t="s">
        <v>33</v>
      </c>
      <c r="B66" s="1" t="s">
        <v>49</v>
      </c>
      <c r="C66" s="1" t="s">
        <v>35</v>
      </c>
      <c r="D66" s="1">
        <v>48.916666669999998</v>
      </c>
      <c r="E66" s="1">
        <v>-124.98333332999999</v>
      </c>
      <c r="F66" s="1" t="s">
        <v>36</v>
      </c>
      <c r="G66" s="11">
        <v>240</v>
      </c>
      <c r="H66" s="11">
        <v>27.5</v>
      </c>
      <c r="I66" s="11" t="s">
        <v>46</v>
      </c>
      <c r="J66" s="1" t="s">
        <v>42</v>
      </c>
      <c r="K66" s="1">
        <v>0</v>
      </c>
      <c r="L66" s="1">
        <v>-20</v>
      </c>
      <c r="M66" s="2">
        <f t="shared" si="0"/>
        <v>20</v>
      </c>
      <c r="N66" s="2"/>
      <c r="O66" s="2"/>
      <c r="P66" s="2"/>
      <c r="Q66" s="3">
        <v>0</v>
      </c>
      <c r="R66" s="5"/>
      <c r="S66" s="5">
        <v>14.6</v>
      </c>
      <c r="T66" s="2">
        <f t="shared" si="4"/>
        <v>0</v>
      </c>
      <c r="U66" s="1"/>
      <c r="V66" s="2">
        <f t="shared" si="8"/>
        <v>0</v>
      </c>
      <c r="W66" s="1"/>
    </row>
    <row r="67" spans="1:23" x14ac:dyDescent="0.35">
      <c r="A67" s="1" t="s">
        <v>33</v>
      </c>
      <c r="B67" s="1" t="s">
        <v>49</v>
      </c>
      <c r="C67" s="1" t="s">
        <v>35</v>
      </c>
      <c r="D67" s="1">
        <v>48.916666669999998</v>
      </c>
      <c r="E67" s="1">
        <v>-124.98333332999999</v>
      </c>
      <c r="F67" s="1" t="s">
        <v>36</v>
      </c>
      <c r="G67" s="11">
        <v>240</v>
      </c>
      <c r="H67" s="11">
        <v>27.5</v>
      </c>
      <c r="I67" s="11" t="s">
        <v>46</v>
      </c>
      <c r="J67" s="1" t="s">
        <v>43</v>
      </c>
      <c r="K67" s="1">
        <v>-20</v>
      </c>
      <c r="L67" s="1">
        <v>-77</v>
      </c>
      <c r="M67" s="2">
        <f t="shared" si="0"/>
        <v>57</v>
      </c>
      <c r="N67" s="2"/>
      <c r="O67" s="2"/>
      <c r="P67" s="2"/>
      <c r="Q67" s="3">
        <v>0</v>
      </c>
      <c r="R67" s="5"/>
      <c r="S67" s="5">
        <v>5.9</v>
      </c>
      <c r="T67" s="2">
        <f t="shared" si="4"/>
        <v>0</v>
      </c>
      <c r="U67" s="1"/>
      <c r="V67" s="2">
        <f t="shared" si="8"/>
        <v>0</v>
      </c>
      <c r="W67" s="1"/>
    </row>
    <row r="68" spans="1:23" x14ac:dyDescent="0.35">
      <c r="A68" s="1" t="s">
        <v>33</v>
      </c>
      <c r="B68" s="1" t="s">
        <v>49</v>
      </c>
      <c r="C68" s="1" t="s">
        <v>35</v>
      </c>
      <c r="D68" s="1">
        <v>48.916666669999998</v>
      </c>
      <c r="E68" s="1">
        <v>-124.98333332999999</v>
      </c>
      <c r="F68" s="1" t="s">
        <v>36</v>
      </c>
      <c r="G68" s="11">
        <v>240</v>
      </c>
      <c r="H68" s="11">
        <v>27.5</v>
      </c>
      <c r="I68" s="11" t="s">
        <v>46</v>
      </c>
      <c r="J68" s="1" t="s">
        <v>44</v>
      </c>
      <c r="K68" s="1">
        <v>-77</v>
      </c>
      <c r="L68" s="1">
        <v>-123</v>
      </c>
      <c r="M68" s="2">
        <f t="shared" si="0"/>
        <v>46</v>
      </c>
      <c r="N68" s="2"/>
      <c r="O68" s="2"/>
      <c r="P68" s="2"/>
      <c r="Q68" s="3">
        <v>0</v>
      </c>
      <c r="R68" s="5"/>
      <c r="S68" s="5">
        <v>9.6999999999999993</v>
      </c>
      <c r="T68" s="2">
        <f t="shared" si="4"/>
        <v>0</v>
      </c>
      <c r="U68" s="1"/>
      <c r="V68" s="2">
        <f>IF(K68&gt;-100,T68-T68*(ABS(L68)-100)/(ABS(L68)-ABS(K68)),0)</f>
        <v>0</v>
      </c>
      <c r="W68" s="1"/>
    </row>
    <row r="69" spans="1:23" x14ac:dyDescent="0.35">
      <c r="A69" s="1" t="s">
        <v>33</v>
      </c>
      <c r="B69" s="1" t="s">
        <v>49</v>
      </c>
      <c r="C69" s="1" t="s">
        <v>35</v>
      </c>
      <c r="D69" s="1">
        <v>48.916666669999998</v>
      </c>
      <c r="E69" s="1">
        <v>-124.98333332999999</v>
      </c>
      <c r="F69" s="1" t="s">
        <v>36</v>
      </c>
      <c r="G69" s="11">
        <v>240</v>
      </c>
      <c r="H69" s="11">
        <v>27.5</v>
      </c>
      <c r="I69" s="11" t="s">
        <v>46</v>
      </c>
      <c r="J69" s="1" t="s">
        <v>47</v>
      </c>
      <c r="K69" s="1">
        <v>-123</v>
      </c>
      <c r="L69" s="1">
        <v>-133</v>
      </c>
      <c r="M69" s="2">
        <f t="shared" si="0"/>
        <v>10</v>
      </c>
      <c r="N69" s="2"/>
      <c r="O69" s="2"/>
      <c r="P69" s="2"/>
      <c r="Q69" s="3">
        <v>0</v>
      </c>
      <c r="R69" s="5"/>
      <c r="S69" s="5">
        <v>15.7</v>
      </c>
      <c r="T69" s="2">
        <f t="shared" si="4"/>
        <v>0</v>
      </c>
      <c r="U69" s="1"/>
      <c r="V69" s="2">
        <f>IF(K69&gt;-100,T69-T69*(ABS(L69)-100)/(ABS(L69)-ABS(K69)),0)</f>
        <v>0</v>
      </c>
      <c r="W69" s="1"/>
    </row>
    <row r="70" spans="1:23" x14ac:dyDescent="0.35">
      <c r="A70" s="1" t="s">
        <v>33</v>
      </c>
      <c r="B70" s="1" t="s">
        <v>49</v>
      </c>
      <c r="C70" s="1" t="s">
        <v>35</v>
      </c>
      <c r="D70" s="1">
        <v>48.916666669999998</v>
      </c>
      <c r="E70" s="1">
        <v>-124.98333332999999</v>
      </c>
      <c r="F70" s="1" t="s">
        <v>36</v>
      </c>
      <c r="G70" s="11">
        <v>240</v>
      </c>
      <c r="H70" s="11">
        <v>27.5</v>
      </c>
      <c r="I70" s="11" t="s">
        <v>46</v>
      </c>
      <c r="J70" s="1" t="s">
        <v>50</v>
      </c>
      <c r="K70" s="1">
        <v>-133</v>
      </c>
      <c r="L70" s="1">
        <v>-170</v>
      </c>
      <c r="M70" s="2">
        <f t="shared" si="0"/>
        <v>37</v>
      </c>
      <c r="N70" s="2"/>
      <c r="O70" s="2"/>
      <c r="P70" s="2"/>
      <c r="Q70" s="3">
        <v>0</v>
      </c>
      <c r="R70" s="5"/>
      <c r="S70" s="5">
        <v>11.3</v>
      </c>
      <c r="T70" s="2">
        <f t="shared" si="4"/>
        <v>0</v>
      </c>
      <c r="U70" s="1"/>
      <c r="V70" s="2">
        <f>IF(K70&gt;-100,T70-T70*(ABS(L70)-100)/(ABS(L70)-ABS(K70)),0)</f>
        <v>0</v>
      </c>
      <c r="W70" s="1"/>
    </row>
    <row r="71" spans="1:23" x14ac:dyDescent="0.35">
      <c r="A71" s="7" t="s">
        <v>33</v>
      </c>
      <c r="B71" s="7" t="s">
        <v>49</v>
      </c>
      <c r="C71" s="7" t="s">
        <v>35</v>
      </c>
      <c r="D71" s="7">
        <v>48.916666669999998</v>
      </c>
      <c r="E71" s="7">
        <v>-124.98333332999999</v>
      </c>
      <c r="F71" s="7" t="s">
        <v>36</v>
      </c>
      <c r="G71" s="12">
        <v>240</v>
      </c>
      <c r="H71" s="12">
        <v>27.5</v>
      </c>
      <c r="I71" s="12" t="s">
        <v>46</v>
      </c>
      <c r="J71" s="7" t="s">
        <v>51</v>
      </c>
      <c r="K71" s="7">
        <v>-170</v>
      </c>
      <c r="L71" s="7">
        <v>-210</v>
      </c>
      <c r="M71" s="8">
        <f t="shared" si="0"/>
        <v>40</v>
      </c>
      <c r="N71" s="8"/>
      <c r="O71" s="8"/>
      <c r="P71" s="8"/>
      <c r="Q71" s="3">
        <v>0</v>
      </c>
      <c r="R71" s="9"/>
      <c r="S71" s="9">
        <v>9.9</v>
      </c>
      <c r="T71" s="8">
        <f t="shared" si="4"/>
        <v>0</v>
      </c>
      <c r="U71" s="7"/>
      <c r="V71" s="8">
        <f>IF(K71&gt;-100,T71-T71*(ABS(L71)-100)/(ABS(L71)-ABS(K71)),0)</f>
        <v>0</v>
      </c>
      <c r="W71" s="7"/>
    </row>
    <row r="72" spans="1:23" x14ac:dyDescent="0.35">
      <c r="A72" s="1" t="s">
        <v>52</v>
      </c>
      <c r="B72" s="1" t="s">
        <v>53</v>
      </c>
      <c r="C72" s="1" t="s">
        <v>54</v>
      </c>
      <c r="D72" s="1">
        <v>48.85</v>
      </c>
      <c r="E72" s="1">
        <v>-124.25</v>
      </c>
      <c r="F72" s="1" t="s">
        <v>36</v>
      </c>
      <c r="G72" s="1">
        <v>229</v>
      </c>
      <c r="H72" s="1">
        <v>25</v>
      </c>
      <c r="I72" s="1" t="s">
        <v>41</v>
      </c>
      <c r="J72" s="1" t="s">
        <v>55</v>
      </c>
      <c r="K72" s="1">
        <v>5</v>
      </c>
      <c r="L72" s="1">
        <v>2.5</v>
      </c>
      <c r="M72" s="1">
        <f t="shared" si="0"/>
        <v>2.5</v>
      </c>
      <c r="N72" s="2">
        <f>IF(ABS(MIN(L72:L81))&gt;100,100,ABS(MIN(L72:L81)))</f>
        <v>100</v>
      </c>
      <c r="O72" s="2">
        <f>K72</f>
        <v>5</v>
      </c>
      <c r="P72" s="2">
        <f>O72+N72</f>
        <v>105</v>
      </c>
      <c r="Q72" s="3">
        <v>0</v>
      </c>
      <c r="R72" s="13"/>
      <c r="S72" s="5">
        <v>45.94</v>
      </c>
      <c r="T72" s="2">
        <f t="shared" si="4"/>
        <v>0</v>
      </c>
      <c r="U72" s="2">
        <f>SUM(T72:T81)</f>
        <v>0</v>
      </c>
      <c r="V72" s="2">
        <f t="shared" ref="V72:V79" si="9">T72</f>
        <v>0</v>
      </c>
      <c r="W72" s="6">
        <f>SUM(V72:V81)/10^6*10^4</f>
        <v>0</v>
      </c>
    </row>
    <row r="73" spans="1:23" x14ac:dyDescent="0.35">
      <c r="A73" s="1" t="s">
        <v>52</v>
      </c>
      <c r="B73" s="1" t="s">
        <v>53</v>
      </c>
      <c r="C73" s="1" t="s">
        <v>54</v>
      </c>
      <c r="D73" s="1">
        <v>48.85</v>
      </c>
      <c r="E73" s="1">
        <v>-124.25</v>
      </c>
      <c r="F73" s="1" t="s">
        <v>36</v>
      </c>
      <c r="G73" s="1">
        <v>229</v>
      </c>
      <c r="H73" s="1">
        <v>25</v>
      </c>
      <c r="I73" s="1" t="s">
        <v>41</v>
      </c>
      <c r="J73" s="1" t="s">
        <v>56</v>
      </c>
      <c r="K73" s="1">
        <v>2.5</v>
      </c>
      <c r="L73" s="1">
        <v>0</v>
      </c>
      <c r="M73" s="1">
        <f t="shared" si="0"/>
        <v>2.5</v>
      </c>
      <c r="N73" s="1"/>
      <c r="O73" s="1"/>
      <c r="P73" s="1"/>
      <c r="Q73" s="3">
        <v>0</v>
      </c>
      <c r="R73" s="13"/>
      <c r="S73" s="5">
        <v>36.94</v>
      </c>
      <c r="T73" s="2">
        <f t="shared" si="4"/>
        <v>0</v>
      </c>
      <c r="U73" s="1"/>
      <c r="V73" s="2">
        <f t="shared" si="9"/>
        <v>0</v>
      </c>
      <c r="W73" s="1"/>
    </row>
    <row r="74" spans="1:23" x14ac:dyDescent="0.35">
      <c r="A74" s="1" t="s">
        <v>52</v>
      </c>
      <c r="B74" s="1" t="s">
        <v>53</v>
      </c>
      <c r="C74" s="1" t="s">
        <v>54</v>
      </c>
      <c r="D74" s="1">
        <v>48.85</v>
      </c>
      <c r="E74" s="1">
        <v>-124.25</v>
      </c>
      <c r="F74" s="1" t="s">
        <v>36</v>
      </c>
      <c r="G74" s="1">
        <v>229</v>
      </c>
      <c r="H74" s="1">
        <v>25</v>
      </c>
      <c r="I74" s="1" t="s">
        <v>41</v>
      </c>
      <c r="J74" s="1" t="s">
        <v>57</v>
      </c>
      <c r="K74" s="1">
        <v>0</v>
      </c>
      <c r="L74" s="1">
        <v>-15</v>
      </c>
      <c r="M74" s="1">
        <f t="shared" si="0"/>
        <v>15</v>
      </c>
      <c r="N74" s="1"/>
      <c r="O74" s="1"/>
      <c r="P74" s="1"/>
      <c r="Q74" s="3">
        <v>0</v>
      </c>
      <c r="R74" s="14">
        <f>49+28</f>
        <v>77</v>
      </c>
      <c r="S74" s="5">
        <v>3.8</v>
      </c>
      <c r="T74" s="2">
        <f>S74/100*Q74*(100*100*M74)*((100-R74)/100)</f>
        <v>0</v>
      </c>
      <c r="U74" s="1"/>
      <c r="V74" s="2">
        <f t="shared" si="9"/>
        <v>0</v>
      </c>
      <c r="W74" s="1"/>
    </row>
    <row r="75" spans="1:23" x14ac:dyDescent="0.35">
      <c r="A75" s="1" t="s">
        <v>52</v>
      </c>
      <c r="B75" s="1" t="s">
        <v>53</v>
      </c>
      <c r="C75" s="1" t="s">
        <v>54</v>
      </c>
      <c r="D75" s="1">
        <v>48.85</v>
      </c>
      <c r="E75" s="1">
        <v>-124.25</v>
      </c>
      <c r="F75" s="1" t="s">
        <v>36</v>
      </c>
      <c r="G75" s="1">
        <v>229</v>
      </c>
      <c r="H75" s="1">
        <v>25</v>
      </c>
      <c r="I75" s="1" t="s">
        <v>41</v>
      </c>
      <c r="J75" s="1" t="s">
        <v>58</v>
      </c>
      <c r="K75" s="1">
        <v>-15</v>
      </c>
      <c r="L75" s="1">
        <v>-30</v>
      </c>
      <c r="M75" s="1">
        <f t="shared" si="0"/>
        <v>15</v>
      </c>
      <c r="N75" s="1"/>
      <c r="O75" s="1"/>
      <c r="P75" s="1"/>
      <c r="Q75" s="3">
        <v>0</v>
      </c>
      <c r="R75" s="14">
        <f>41+32</f>
        <v>73</v>
      </c>
      <c r="S75" s="5">
        <v>2.23</v>
      </c>
      <c r="T75" s="2">
        <f t="shared" ref="T75:T138" si="10">S75/100*Q75*(100*100*M75)*((100-R75)/100)</f>
        <v>0</v>
      </c>
      <c r="U75" s="1"/>
      <c r="V75" s="2">
        <f t="shared" si="9"/>
        <v>0</v>
      </c>
      <c r="W75" s="1"/>
    </row>
    <row r="76" spans="1:23" x14ac:dyDescent="0.35">
      <c r="A76" s="1" t="s">
        <v>52</v>
      </c>
      <c r="B76" s="1" t="s">
        <v>53</v>
      </c>
      <c r="C76" s="1" t="s">
        <v>54</v>
      </c>
      <c r="D76" s="1">
        <v>48.85</v>
      </c>
      <c r="E76" s="1">
        <v>-124.25</v>
      </c>
      <c r="F76" s="1" t="s">
        <v>36</v>
      </c>
      <c r="G76" s="1">
        <v>229</v>
      </c>
      <c r="H76" s="1">
        <v>25</v>
      </c>
      <c r="I76" s="1" t="s">
        <v>41</v>
      </c>
      <c r="J76" s="1" t="s">
        <v>59</v>
      </c>
      <c r="K76" s="1">
        <v>-30</v>
      </c>
      <c r="L76" s="1">
        <v>-45</v>
      </c>
      <c r="M76" s="1">
        <f t="shared" si="0"/>
        <v>15</v>
      </c>
      <c r="N76" s="1"/>
      <c r="O76" s="1"/>
      <c r="P76" s="1"/>
      <c r="Q76" s="3">
        <v>0</v>
      </c>
      <c r="R76" s="14">
        <f>39+34</f>
        <v>73</v>
      </c>
      <c r="S76" s="5">
        <v>2.1</v>
      </c>
      <c r="T76" s="2">
        <f t="shared" si="10"/>
        <v>0</v>
      </c>
      <c r="U76" s="1"/>
      <c r="V76" s="2">
        <f t="shared" si="9"/>
        <v>0</v>
      </c>
      <c r="W76" s="1"/>
    </row>
    <row r="77" spans="1:23" x14ac:dyDescent="0.35">
      <c r="A77" s="1" t="s">
        <v>52</v>
      </c>
      <c r="B77" s="1" t="s">
        <v>53</v>
      </c>
      <c r="C77" s="1" t="s">
        <v>54</v>
      </c>
      <c r="D77" s="1">
        <v>48.85</v>
      </c>
      <c r="E77" s="1">
        <v>-124.25</v>
      </c>
      <c r="F77" s="1" t="s">
        <v>36</v>
      </c>
      <c r="G77" s="1">
        <v>229</v>
      </c>
      <c r="H77" s="1">
        <v>25</v>
      </c>
      <c r="I77" s="1" t="s">
        <v>41</v>
      </c>
      <c r="J77" s="1" t="s">
        <v>60</v>
      </c>
      <c r="K77" s="1">
        <v>-45</v>
      </c>
      <c r="L77" s="1">
        <v>-60</v>
      </c>
      <c r="M77" s="1">
        <f t="shared" si="0"/>
        <v>15</v>
      </c>
      <c r="N77" s="1"/>
      <c r="O77" s="1"/>
      <c r="P77" s="1"/>
      <c r="Q77" s="3">
        <v>0</v>
      </c>
      <c r="R77" s="14">
        <f>35+41</f>
        <v>76</v>
      </c>
      <c r="S77" s="5">
        <v>2.06</v>
      </c>
      <c r="T77" s="2">
        <f t="shared" si="10"/>
        <v>0</v>
      </c>
      <c r="U77" s="1"/>
      <c r="V77" s="2">
        <f t="shared" si="9"/>
        <v>0</v>
      </c>
      <c r="W77" s="1"/>
    </row>
    <row r="78" spans="1:23" x14ac:dyDescent="0.35">
      <c r="A78" s="1" t="s">
        <v>52</v>
      </c>
      <c r="B78" s="1" t="s">
        <v>53</v>
      </c>
      <c r="C78" s="1" t="s">
        <v>54</v>
      </c>
      <c r="D78" s="1">
        <v>48.85</v>
      </c>
      <c r="E78" s="1">
        <v>-124.25</v>
      </c>
      <c r="F78" s="1" t="s">
        <v>36</v>
      </c>
      <c r="G78" s="1">
        <v>229</v>
      </c>
      <c r="H78" s="1">
        <v>25</v>
      </c>
      <c r="I78" s="1" t="s">
        <v>41</v>
      </c>
      <c r="J78" s="1" t="s">
        <v>61</v>
      </c>
      <c r="K78" s="1">
        <v>-60</v>
      </c>
      <c r="L78" s="1">
        <v>-75</v>
      </c>
      <c r="M78" s="1">
        <f t="shared" si="0"/>
        <v>15</v>
      </c>
      <c r="N78" s="1"/>
      <c r="O78" s="1"/>
      <c r="P78" s="1"/>
      <c r="Q78" s="3">
        <v>0</v>
      </c>
      <c r="R78" s="14">
        <f>45+31</f>
        <v>76</v>
      </c>
      <c r="S78" s="5">
        <v>1.8</v>
      </c>
      <c r="T78" s="2">
        <f t="shared" si="10"/>
        <v>0</v>
      </c>
      <c r="U78" s="1"/>
      <c r="V78" s="2">
        <f t="shared" si="9"/>
        <v>0</v>
      </c>
      <c r="W78" s="1"/>
    </row>
    <row r="79" spans="1:23" x14ac:dyDescent="0.35">
      <c r="A79" s="1" t="s">
        <v>52</v>
      </c>
      <c r="B79" s="1" t="s">
        <v>53</v>
      </c>
      <c r="C79" s="1" t="s">
        <v>54</v>
      </c>
      <c r="D79" s="1">
        <v>48.85</v>
      </c>
      <c r="E79" s="1">
        <v>-124.25</v>
      </c>
      <c r="F79" s="1" t="s">
        <v>36</v>
      </c>
      <c r="G79" s="1">
        <v>229</v>
      </c>
      <c r="H79" s="1">
        <v>25</v>
      </c>
      <c r="I79" s="1" t="s">
        <v>41</v>
      </c>
      <c r="J79" s="1" t="s">
        <v>62</v>
      </c>
      <c r="K79" s="1">
        <v>-75</v>
      </c>
      <c r="L79" s="1">
        <v>-90</v>
      </c>
      <c r="M79" s="1">
        <f t="shared" si="0"/>
        <v>15</v>
      </c>
      <c r="N79" s="1"/>
      <c r="O79" s="1"/>
      <c r="P79" s="1"/>
      <c r="Q79" s="3">
        <v>0</v>
      </c>
      <c r="R79" s="14">
        <f>57+27</f>
        <v>84</v>
      </c>
      <c r="S79" s="5">
        <v>1.36</v>
      </c>
      <c r="T79" s="2">
        <f t="shared" si="10"/>
        <v>0</v>
      </c>
      <c r="U79" s="1"/>
      <c r="V79" s="2">
        <f t="shared" si="9"/>
        <v>0</v>
      </c>
      <c r="W79" s="1"/>
    </row>
    <row r="80" spans="1:23" x14ac:dyDescent="0.35">
      <c r="A80" s="1" t="s">
        <v>52</v>
      </c>
      <c r="B80" s="1" t="s">
        <v>53</v>
      </c>
      <c r="C80" s="1" t="s">
        <v>54</v>
      </c>
      <c r="D80" s="1">
        <v>48.85</v>
      </c>
      <c r="E80" s="1">
        <v>-124.25</v>
      </c>
      <c r="F80" s="1" t="s">
        <v>36</v>
      </c>
      <c r="G80" s="1">
        <v>229</v>
      </c>
      <c r="H80" s="1">
        <v>25</v>
      </c>
      <c r="I80" s="1" t="s">
        <v>41</v>
      </c>
      <c r="J80" s="1" t="s">
        <v>63</v>
      </c>
      <c r="K80" s="1">
        <v>-90</v>
      </c>
      <c r="L80" s="1">
        <v>-105</v>
      </c>
      <c r="M80" s="1">
        <f t="shared" si="0"/>
        <v>15</v>
      </c>
      <c r="N80" s="1"/>
      <c r="O80" s="1"/>
      <c r="P80" s="1"/>
      <c r="Q80" s="3">
        <v>0</v>
      </c>
      <c r="R80" s="15">
        <f>AVERAGE(R90,R99,R109)</f>
        <v>53.666666666666664</v>
      </c>
      <c r="S80" s="5">
        <v>0.43</v>
      </c>
      <c r="T80" s="2">
        <f t="shared" si="10"/>
        <v>0</v>
      </c>
      <c r="U80" s="1"/>
      <c r="V80" s="2">
        <f>IF(K80&gt;-100,T80-T80*(ABS(L80)-100)/(ABS(L80)-ABS(K80)),0)</f>
        <v>0</v>
      </c>
      <c r="W80" s="1"/>
    </row>
    <row r="81" spans="1:23" x14ac:dyDescent="0.35">
      <c r="A81" s="7" t="s">
        <v>52</v>
      </c>
      <c r="B81" s="7" t="s">
        <v>53</v>
      </c>
      <c r="C81" s="7" t="s">
        <v>54</v>
      </c>
      <c r="D81" s="7">
        <v>48.85</v>
      </c>
      <c r="E81" s="7">
        <v>-124.25</v>
      </c>
      <c r="F81" s="7" t="s">
        <v>36</v>
      </c>
      <c r="G81" s="7">
        <v>229</v>
      </c>
      <c r="H81" s="7">
        <v>25</v>
      </c>
      <c r="I81" s="7" t="s">
        <v>41</v>
      </c>
      <c r="J81" s="7" t="s">
        <v>64</v>
      </c>
      <c r="K81" s="7">
        <v>105</v>
      </c>
      <c r="L81" s="7">
        <v>105</v>
      </c>
      <c r="M81" s="7" t="s">
        <v>4</v>
      </c>
      <c r="N81" s="7"/>
      <c r="O81" s="7"/>
      <c r="P81" s="7"/>
      <c r="Q81" s="10" t="s">
        <v>4</v>
      </c>
      <c r="R81" s="16"/>
      <c r="S81" s="9" t="s">
        <v>4</v>
      </c>
      <c r="T81" s="9" t="s">
        <v>4</v>
      </c>
      <c r="U81" s="7"/>
      <c r="V81" s="8" t="s">
        <v>4</v>
      </c>
      <c r="W81" s="7"/>
    </row>
    <row r="82" spans="1:23" x14ac:dyDescent="0.35">
      <c r="A82" s="1" t="s">
        <v>52</v>
      </c>
      <c r="B82" s="1" t="s">
        <v>65</v>
      </c>
      <c r="C82" s="1" t="s">
        <v>66</v>
      </c>
      <c r="D82" s="1">
        <v>50.7</v>
      </c>
      <c r="E82" s="1">
        <v>-128.03333333</v>
      </c>
      <c r="F82" s="1" t="s">
        <v>36</v>
      </c>
      <c r="G82" s="1">
        <v>168</v>
      </c>
      <c r="H82" s="1">
        <v>20</v>
      </c>
      <c r="I82" s="1" t="s">
        <v>41</v>
      </c>
      <c r="J82" s="1" t="s">
        <v>55</v>
      </c>
      <c r="K82" s="1">
        <v>10</v>
      </c>
      <c r="L82" s="1">
        <v>7.5</v>
      </c>
      <c r="M82" s="1">
        <f t="shared" ref="M82:M116" si="11">K82-L82</f>
        <v>2.5</v>
      </c>
      <c r="N82" s="2">
        <f>IF(ABS(MIN(L82:L91))&gt;100,100,ABS(MIN(L82:L91)))</f>
        <v>100</v>
      </c>
      <c r="O82" s="2">
        <f>K82</f>
        <v>10</v>
      </c>
      <c r="P82" s="2">
        <f>O82+N82</f>
        <v>110</v>
      </c>
      <c r="Q82" s="3">
        <v>0</v>
      </c>
      <c r="R82" s="14"/>
      <c r="S82" s="5">
        <v>43.07</v>
      </c>
      <c r="T82" s="2">
        <f t="shared" si="10"/>
        <v>0</v>
      </c>
      <c r="U82" s="2">
        <f>SUM(T82:T91)</f>
        <v>0</v>
      </c>
      <c r="V82" s="2">
        <f t="shared" ref="V82:V89" si="12">T82</f>
        <v>0</v>
      </c>
      <c r="W82" s="6">
        <f>SUM(V82:V91)/10^6*10^4</f>
        <v>0</v>
      </c>
    </row>
    <row r="83" spans="1:23" x14ac:dyDescent="0.35">
      <c r="A83" s="1" t="s">
        <v>52</v>
      </c>
      <c r="B83" s="1" t="s">
        <v>65</v>
      </c>
      <c r="C83" s="1" t="s">
        <v>66</v>
      </c>
      <c r="D83" s="1">
        <v>50.7</v>
      </c>
      <c r="E83" s="1">
        <v>-128.03333333</v>
      </c>
      <c r="F83" s="1" t="s">
        <v>36</v>
      </c>
      <c r="G83" s="1">
        <v>168</v>
      </c>
      <c r="H83" s="1">
        <v>20</v>
      </c>
      <c r="I83" s="1" t="s">
        <v>41</v>
      </c>
      <c r="J83" s="1" t="s">
        <v>56</v>
      </c>
      <c r="K83" s="1">
        <v>7.5</v>
      </c>
      <c r="L83" s="1">
        <v>0</v>
      </c>
      <c r="M83" s="1">
        <f t="shared" si="11"/>
        <v>7.5</v>
      </c>
      <c r="N83" s="1"/>
      <c r="O83" s="1"/>
      <c r="P83" s="1"/>
      <c r="Q83" s="3">
        <v>0</v>
      </c>
      <c r="R83" s="14"/>
      <c r="S83" s="5">
        <v>43.07</v>
      </c>
      <c r="T83" s="2">
        <f t="shared" si="10"/>
        <v>0</v>
      </c>
      <c r="U83" s="1"/>
      <c r="V83" s="2">
        <f t="shared" si="12"/>
        <v>0</v>
      </c>
      <c r="W83" s="1"/>
    </row>
    <row r="84" spans="1:23" x14ac:dyDescent="0.35">
      <c r="A84" s="1" t="s">
        <v>52</v>
      </c>
      <c r="B84" s="1" t="s">
        <v>65</v>
      </c>
      <c r="C84" s="1" t="s">
        <v>66</v>
      </c>
      <c r="D84" s="1">
        <v>50.7</v>
      </c>
      <c r="E84" s="1">
        <v>-128.03333333</v>
      </c>
      <c r="F84" s="1" t="s">
        <v>36</v>
      </c>
      <c r="G84" s="1">
        <v>168</v>
      </c>
      <c r="H84" s="1">
        <v>20</v>
      </c>
      <c r="I84" s="1" t="s">
        <v>41</v>
      </c>
      <c r="J84" s="1" t="s">
        <v>67</v>
      </c>
      <c r="K84" s="1">
        <v>0</v>
      </c>
      <c r="L84" s="1">
        <v>-15</v>
      </c>
      <c r="M84" s="1">
        <f t="shared" si="11"/>
        <v>15</v>
      </c>
      <c r="N84" s="1"/>
      <c r="O84" s="1"/>
      <c r="P84" s="1"/>
      <c r="Q84" s="3">
        <v>0</v>
      </c>
      <c r="R84" s="14">
        <f>29+17</f>
        <v>46</v>
      </c>
      <c r="S84" s="5">
        <v>7.1</v>
      </c>
      <c r="T84" s="2">
        <f t="shared" si="10"/>
        <v>0</v>
      </c>
      <c r="U84" s="1"/>
      <c r="V84" s="2">
        <f t="shared" si="12"/>
        <v>0</v>
      </c>
      <c r="W84" s="1"/>
    </row>
    <row r="85" spans="1:23" x14ac:dyDescent="0.35">
      <c r="A85" s="1" t="s">
        <v>52</v>
      </c>
      <c r="B85" s="1" t="s">
        <v>65</v>
      </c>
      <c r="C85" s="1" t="s">
        <v>66</v>
      </c>
      <c r="D85" s="1">
        <v>50.7</v>
      </c>
      <c r="E85" s="1">
        <v>-128.03333333</v>
      </c>
      <c r="F85" s="1" t="s">
        <v>36</v>
      </c>
      <c r="G85" s="1">
        <v>168</v>
      </c>
      <c r="H85" s="1">
        <v>20</v>
      </c>
      <c r="I85" s="1" t="s">
        <v>41</v>
      </c>
      <c r="J85" s="1" t="s">
        <v>68</v>
      </c>
      <c r="K85" s="1">
        <v>-15</v>
      </c>
      <c r="L85" s="1">
        <v>-30</v>
      </c>
      <c r="M85" s="1">
        <f t="shared" si="11"/>
        <v>15</v>
      </c>
      <c r="N85" s="1"/>
      <c r="O85" s="1"/>
      <c r="P85" s="1"/>
      <c r="Q85" s="3">
        <v>0</v>
      </c>
      <c r="R85" s="14">
        <f>28+16</f>
        <v>44</v>
      </c>
      <c r="S85" s="5">
        <v>4.42</v>
      </c>
      <c r="T85" s="2">
        <f t="shared" si="10"/>
        <v>0</v>
      </c>
      <c r="U85" s="1"/>
      <c r="V85" s="2">
        <f t="shared" si="12"/>
        <v>0</v>
      </c>
      <c r="W85" s="1"/>
    </row>
    <row r="86" spans="1:23" x14ac:dyDescent="0.35">
      <c r="A86" s="1" t="s">
        <v>52</v>
      </c>
      <c r="B86" s="1" t="s">
        <v>65</v>
      </c>
      <c r="C86" s="1" t="s">
        <v>66</v>
      </c>
      <c r="D86" s="1">
        <v>50.7</v>
      </c>
      <c r="E86" s="1">
        <v>-128.03333333</v>
      </c>
      <c r="F86" s="1" t="s">
        <v>36</v>
      </c>
      <c r="G86" s="1">
        <v>168</v>
      </c>
      <c r="H86" s="1">
        <v>20</v>
      </c>
      <c r="I86" s="1" t="s">
        <v>41</v>
      </c>
      <c r="J86" s="1" t="s">
        <v>69</v>
      </c>
      <c r="K86" s="1">
        <v>-30</v>
      </c>
      <c r="L86" s="1">
        <v>-45</v>
      </c>
      <c r="M86" s="1">
        <f t="shared" si="11"/>
        <v>15</v>
      </c>
      <c r="N86" s="1"/>
      <c r="O86" s="1"/>
      <c r="P86" s="1"/>
      <c r="Q86" s="3">
        <v>0</v>
      </c>
      <c r="R86" s="14">
        <f>26+16</f>
        <v>42</v>
      </c>
      <c r="S86" s="5">
        <v>3.88</v>
      </c>
      <c r="T86" s="2">
        <f t="shared" si="10"/>
        <v>0</v>
      </c>
      <c r="U86" s="1"/>
      <c r="V86" s="2">
        <f t="shared" si="12"/>
        <v>0</v>
      </c>
      <c r="W86" s="1"/>
    </row>
    <row r="87" spans="1:23" x14ac:dyDescent="0.35">
      <c r="A87" s="1" t="s">
        <v>52</v>
      </c>
      <c r="B87" s="1" t="s">
        <v>65</v>
      </c>
      <c r="C87" s="1" t="s">
        <v>66</v>
      </c>
      <c r="D87" s="1">
        <v>50.7</v>
      </c>
      <c r="E87" s="1">
        <v>-128.03333333</v>
      </c>
      <c r="F87" s="1" t="s">
        <v>36</v>
      </c>
      <c r="G87" s="1">
        <v>168</v>
      </c>
      <c r="H87" s="1">
        <v>20</v>
      </c>
      <c r="I87" s="1" t="s">
        <v>41</v>
      </c>
      <c r="J87" s="1" t="s">
        <v>70</v>
      </c>
      <c r="K87" s="1">
        <v>-45</v>
      </c>
      <c r="L87" s="1">
        <v>-60</v>
      </c>
      <c r="M87" s="1">
        <f t="shared" si="11"/>
        <v>15</v>
      </c>
      <c r="N87" s="1"/>
      <c r="O87" s="1"/>
      <c r="P87" s="1"/>
      <c r="Q87" s="3">
        <v>0</v>
      </c>
      <c r="R87" s="14">
        <f>32+11</f>
        <v>43</v>
      </c>
      <c r="S87" s="5">
        <v>3.86</v>
      </c>
      <c r="T87" s="2">
        <f t="shared" si="10"/>
        <v>0</v>
      </c>
      <c r="U87" s="1"/>
      <c r="V87" s="2">
        <f t="shared" si="12"/>
        <v>0</v>
      </c>
      <c r="W87" s="1"/>
    </row>
    <row r="88" spans="1:23" x14ac:dyDescent="0.35">
      <c r="A88" s="1" t="s">
        <v>52</v>
      </c>
      <c r="B88" s="1" t="s">
        <v>65</v>
      </c>
      <c r="C88" s="1" t="s">
        <v>66</v>
      </c>
      <c r="D88" s="1">
        <v>50.7</v>
      </c>
      <c r="E88" s="1">
        <v>-128.03333333</v>
      </c>
      <c r="F88" s="1" t="s">
        <v>36</v>
      </c>
      <c r="G88" s="1">
        <v>168</v>
      </c>
      <c r="H88" s="1">
        <v>20</v>
      </c>
      <c r="I88" s="1" t="s">
        <v>41</v>
      </c>
      <c r="J88" s="1" t="s">
        <v>71</v>
      </c>
      <c r="K88" s="1">
        <v>-60</v>
      </c>
      <c r="L88" s="1">
        <v>-75</v>
      </c>
      <c r="M88" s="1">
        <f t="shared" si="11"/>
        <v>15</v>
      </c>
      <c r="N88" s="1"/>
      <c r="O88" s="1"/>
      <c r="P88" s="1"/>
      <c r="Q88" s="3">
        <v>0</v>
      </c>
      <c r="R88" s="14">
        <f>29+25</f>
        <v>54</v>
      </c>
      <c r="S88" s="5">
        <v>4.92</v>
      </c>
      <c r="T88" s="2">
        <f t="shared" si="10"/>
        <v>0</v>
      </c>
      <c r="U88" s="1"/>
      <c r="V88" s="2">
        <f t="shared" si="12"/>
        <v>0</v>
      </c>
      <c r="W88" s="1"/>
    </row>
    <row r="89" spans="1:23" x14ac:dyDescent="0.35">
      <c r="A89" s="1" t="s">
        <v>52</v>
      </c>
      <c r="B89" s="1" t="s">
        <v>65</v>
      </c>
      <c r="C89" s="1" t="s">
        <v>66</v>
      </c>
      <c r="D89" s="1">
        <v>50.7</v>
      </c>
      <c r="E89" s="1">
        <v>-128.03333333</v>
      </c>
      <c r="F89" s="1" t="s">
        <v>36</v>
      </c>
      <c r="G89" s="1">
        <v>168</v>
      </c>
      <c r="H89" s="1">
        <v>20</v>
      </c>
      <c r="I89" s="1" t="s">
        <v>41</v>
      </c>
      <c r="J89" s="1" t="s">
        <v>72</v>
      </c>
      <c r="K89" s="1">
        <v>-75</v>
      </c>
      <c r="L89" s="1">
        <v>-90</v>
      </c>
      <c r="M89" s="1">
        <f t="shared" si="11"/>
        <v>15</v>
      </c>
      <c r="N89" s="1"/>
      <c r="O89" s="1"/>
      <c r="P89" s="1"/>
      <c r="Q89" s="3">
        <v>0</v>
      </c>
      <c r="R89" s="14">
        <f>24+26</f>
        <v>50</v>
      </c>
      <c r="S89" s="5">
        <v>5.74</v>
      </c>
      <c r="T89" s="2">
        <f t="shared" si="10"/>
        <v>0</v>
      </c>
      <c r="U89" s="1"/>
      <c r="V89" s="2">
        <f t="shared" si="12"/>
        <v>0</v>
      </c>
      <c r="W89" s="1"/>
    </row>
    <row r="90" spans="1:23" x14ac:dyDescent="0.35">
      <c r="A90" s="1" t="s">
        <v>52</v>
      </c>
      <c r="B90" s="1" t="s">
        <v>65</v>
      </c>
      <c r="C90" s="1" t="s">
        <v>66</v>
      </c>
      <c r="D90" s="1">
        <v>50.7</v>
      </c>
      <c r="E90" s="1">
        <v>-128.03333333</v>
      </c>
      <c r="F90" s="1" t="s">
        <v>36</v>
      </c>
      <c r="G90" s="1">
        <v>168</v>
      </c>
      <c r="H90" s="1">
        <v>20</v>
      </c>
      <c r="I90" s="1" t="s">
        <v>41</v>
      </c>
      <c r="J90" s="1" t="s">
        <v>63</v>
      </c>
      <c r="K90" s="1">
        <v>-90</v>
      </c>
      <c r="L90" s="1">
        <v>-105</v>
      </c>
      <c r="M90" s="1">
        <f t="shared" si="11"/>
        <v>15</v>
      </c>
      <c r="N90" s="1"/>
      <c r="O90" s="1"/>
      <c r="P90" s="1"/>
      <c r="Q90" s="3">
        <v>0</v>
      </c>
      <c r="R90" s="14">
        <f>35+31</f>
        <v>66</v>
      </c>
      <c r="S90" s="5">
        <v>0.77</v>
      </c>
      <c r="T90" s="2">
        <f t="shared" si="10"/>
        <v>0</v>
      </c>
      <c r="U90" s="1"/>
      <c r="V90" s="2">
        <f>IF(K90&gt;-100,T90-T90*(ABS(L90)-100)/(ABS(L90)-ABS(K90)),0)</f>
        <v>0</v>
      </c>
      <c r="W90" s="1"/>
    </row>
    <row r="91" spans="1:23" x14ac:dyDescent="0.35">
      <c r="A91" s="7" t="s">
        <v>52</v>
      </c>
      <c r="B91" s="7" t="s">
        <v>65</v>
      </c>
      <c r="C91" s="7" t="s">
        <v>66</v>
      </c>
      <c r="D91" s="7">
        <v>50.7</v>
      </c>
      <c r="E91" s="7">
        <v>-128.03333333</v>
      </c>
      <c r="F91" s="7" t="s">
        <v>36</v>
      </c>
      <c r="G91" s="7">
        <v>168</v>
      </c>
      <c r="H91" s="7">
        <v>20</v>
      </c>
      <c r="I91" s="7" t="s">
        <v>41</v>
      </c>
      <c r="J91" s="7" t="s">
        <v>64</v>
      </c>
      <c r="K91" s="7">
        <v>105</v>
      </c>
      <c r="L91" s="7">
        <v>105</v>
      </c>
      <c r="M91" s="7">
        <f t="shared" si="11"/>
        <v>0</v>
      </c>
      <c r="N91" s="7"/>
      <c r="O91" s="7"/>
      <c r="P91" s="7"/>
      <c r="Q91" s="10" t="s">
        <v>4</v>
      </c>
      <c r="R91" s="16"/>
      <c r="S91" s="9">
        <v>0.31</v>
      </c>
      <c r="T91" s="9" t="s">
        <v>4</v>
      </c>
      <c r="U91" s="7"/>
      <c r="V91" s="8" t="s">
        <v>4</v>
      </c>
      <c r="W91" s="7"/>
    </row>
    <row r="92" spans="1:23" x14ac:dyDescent="0.35">
      <c r="A92" s="1" t="s">
        <v>52</v>
      </c>
      <c r="B92" s="1" t="s">
        <v>73</v>
      </c>
      <c r="C92" s="1" t="s">
        <v>54</v>
      </c>
      <c r="D92" s="1">
        <v>50.2</v>
      </c>
      <c r="E92" s="1">
        <v>-125.51666667000001</v>
      </c>
      <c r="F92" s="1" t="s">
        <v>36</v>
      </c>
      <c r="G92" s="1">
        <v>244</v>
      </c>
      <c r="H92" s="1">
        <v>10</v>
      </c>
      <c r="I92" s="1" t="s">
        <v>74</v>
      </c>
      <c r="J92" s="1" t="s">
        <v>55</v>
      </c>
      <c r="K92" s="1">
        <v>7.5</v>
      </c>
      <c r="L92" s="1">
        <v>4</v>
      </c>
      <c r="M92" s="1">
        <f t="shared" si="11"/>
        <v>3.5</v>
      </c>
      <c r="N92" s="2">
        <f>IF(ABS(MIN(L92:L100))&gt;100,100,ABS(MIN(L92:L100)))</f>
        <v>100</v>
      </c>
      <c r="O92" s="2">
        <f>K92</f>
        <v>7.5</v>
      </c>
      <c r="P92" s="2">
        <f>O92+N92</f>
        <v>107.5</v>
      </c>
      <c r="Q92" s="3">
        <v>0</v>
      </c>
      <c r="R92" s="14"/>
      <c r="S92" s="5">
        <v>44.6</v>
      </c>
      <c r="T92" s="2">
        <f t="shared" si="10"/>
        <v>0</v>
      </c>
      <c r="U92" s="2">
        <f>SUM(T92:T100)</f>
        <v>0</v>
      </c>
      <c r="V92" s="2">
        <f t="shared" ref="V92:V97" si="13">T92</f>
        <v>0</v>
      </c>
      <c r="W92" s="6">
        <f>SUM(V92:V100)/10^6*10^4</f>
        <v>0</v>
      </c>
    </row>
    <row r="93" spans="1:23" x14ac:dyDescent="0.35">
      <c r="A93" s="1" t="s">
        <v>52</v>
      </c>
      <c r="B93" s="1" t="s">
        <v>73</v>
      </c>
      <c r="C93" s="1" t="s">
        <v>54</v>
      </c>
      <c r="D93" s="1">
        <v>50.2</v>
      </c>
      <c r="E93" s="1">
        <v>-125.51666667000001</v>
      </c>
      <c r="F93" s="1" t="s">
        <v>36</v>
      </c>
      <c r="G93" s="1">
        <v>244</v>
      </c>
      <c r="H93" s="1">
        <v>10</v>
      </c>
      <c r="I93" s="1" t="s">
        <v>74</v>
      </c>
      <c r="J93" s="1" t="s">
        <v>56</v>
      </c>
      <c r="K93" s="1">
        <v>4</v>
      </c>
      <c r="L93" s="1">
        <v>0</v>
      </c>
      <c r="M93" s="1">
        <f t="shared" si="11"/>
        <v>4</v>
      </c>
      <c r="N93" s="1"/>
      <c r="O93" s="1"/>
      <c r="P93" s="1"/>
      <c r="Q93" s="3">
        <v>0</v>
      </c>
      <c r="R93" s="14"/>
      <c r="S93" s="5">
        <v>32.92</v>
      </c>
      <c r="T93" s="2">
        <f t="shared" si="10"/>
        <v>0</v>
      </c>
      <c r="U93" s="1"/>
      <c r="V93" s="2">
        <f t="shared" si="13"/>
        <v>0</v>
      </c>
      <c r="W93" s="1"/>
    </row>
    <row r="94" spans="1:23" x14ac:dyDescent="0.35">
      <c r="A94" s="1" t="s">
        <v>52</v>
      </c>
      <c r="B94" s="1" t="s">
        <v>73</v>
      </c>
      <c r="C94" s="1" t="s">
        <v>54</v>
      </c>
      <c r="D94" s="1">
        <v>50.2</v>
      </c>
      <c r="E94" s="1">
        <v>-125.51666667000001</v>
      </c>
      <c r="F94" s="1" t="s">
        <v>36</v>
      </c>
      <c r="G94" s="1">
        <v>244</v>
      </c>
      <c r="H94" s="1">
        <v>10</v>
      </c>
      <c r="I94" s="1" t="s">
        <v>74</v>
      </c>
      <c r="J94" s="1" t="s">
        <v>58</v>
      </c>
      <c r="K94" s="1">
        <v>0</v>
      </c>
      <c r="L94" s="1">
        <v>-20</v>
      </c>
      <c r="M94" s="1">
        <f t="shared" si="11"/>
        <v>20</v>
      </c>
      <c r="N94" s="1"/>
      <c r="O94" s="1"/>
      <c r="P94" s="1"/>
      <c r="Q94" s="3">
        <v>0</v>
      </c>
      <c r="R94" s="14">
        <f>34+6</f>
        <v>40</v>
      </c>
      <c r="S94" s="5">
        <v>1.69</v>
      </c>
      <c r="T94" s="2">
        <f t="shared" si="10"/>
        <v>0</v>
      </c>
      <c r="U94" s="1"/>
      <c r="V94" s="2">
        <f t="shared" si="13"/>
        <v>0</v>
      </c>
      <c r="W94" s="1"/>
    </row>
    <row r="95" spans="1:23" x14ac:dyDescent="0.35">
      <c r="A95" s="1" t="s">
        <v>52</v>
      </c>
      <c r="B95" s="1" t="s">
        <v>73</v>
      </c>
      <c r="C95" s="1" t="s">
        <v>54</v>
      </c>
      <c r="D95" s="1">
        <v>50.2</v>
      </c>
      <c r="E95" s="1">
        <v>-125.51666667000001</v>
      </c>
      <c r="F95" s="1" t="s">
        <v>36</v>
      </c>
      <c r="G95" s="1">
        <v>244</v>
      </c>
      <c r="H95" s="1">
        <v>10</v>
      </c>
      <c r="I95" s="1" t="s">
        <v>74</v>
      </c>
      <c r="J95" s="1" t="s">
        <v>59</v>
      </c>
      <c r="K95" s="1">
        <v>-20</v>
      </c>
      <c r="L95" s="1">
        <v>-40</v>
      </c>
      <c r="M95" s="1">
        <f t="shared" si="11"/>
        <v>20</v>
      </c>
      <c r="N95" s="1"/>
      <c r="O95" s="1"/>
      <c r="P95" s="1"/>
      <c r="Q95" s="3">
        <v>0</v>
      </c>
      <c r="R95" s="14">
        <f>36+19</f>
        <v>55</v>
      </c>
      <c r="S95" s="5">
        <v>1.55</v>
      </c>
      <c r="T95" s="2">
        <f t="shared" si="10"/>
        <v>0</v>
      </c>
      <c r="U95" s="1"/>
      <c r="V95" s="2">
        <f t="shared" si="13"/>
        <v>0</v>
      </c>
      <c r="W95" s="1"/>
    </row>
    <row r="96" spans="1:23" x14ac:dyDescent="0.35">
      <c r="A96" s="1" t="s">
        <v>52</v>
      </c>
      <c r="B96" s="1" t="s">
        <v>73</v>
      </c>
      <c r="C96" s="1" t="s">
        <v>54</v>
      </c>
      <c r="D96" s="1">
        <v>50.2</v>
      </c>
      <c r="E96" s="1">
        <v>-125.51666667000001</v>
      </c>
      <c r="F96" s="1" t="s">
        <v>36</v>
      </c>
      <c r="G96" s="1">
        <v>244</v>
      </c>
      <c r="H96" s="1">
        <v>10</v>
      </c>
      <c r="I96" s="1" t="s">
        <v>74</v>
      </c>
      <c r="J96" s="1" t="s">
        <v>60</v>
      </c>
      <c r="K96" s="1">
        <v>-40</v>
      </c>
      <c r="L96" s="1">
        <v>-60</v>
      </c>
      <c r="M96" s="1">
        <f t="shared" si="11"/>
        <v>20</v>
      </c>
      <c r="N96" s="1"/>
      <c r="O96" s="1"/>
      <c r="P96" s="1"/>
      <c r="Q96" s="3">
        <v>0</v>
      </c>
      <c r="R96" s="14">
        <f>54+6</f>
        <v>60</v>
      </c>
      <c r="S96" s="5">
        <v>1.71</v>
      </c>
      <c r="T96" s="2">
        <f t="shared" si="10"/>
        <v>0</v>
      </c>
      <c r="U96" s="1"/>
      <c r="V96" s="2">
        <f t="shared" si="13"/>
        <v>0</v>
      </c>
      <c r="W96" s="1"/>
    </row>
    <row r="97" spans="1:23" x14ac:dyDescent="0.35">
      <c r="A97" s="1" t="s">
        <v>52</v>
      </c>
      <c r="B97" s="1" t="s">
        <v>73</v>
      </c>
      <c r="C97" s="1" t="s">
        <v>54</v>
      </c>
      <c r="D97" s="1">
        <v>50.2</v>
      </c>
      <c r="E97" s="1">
        <v>-125.51666667000001</v>
      </c>
      <c r="F97" s="1" t="s">
        <v>36</v>
      </c>
      <c r="G97" s="1">
        <v>244</v>
      </c>
      <c r="H97" s="1">
        <v>10</v>
      </c>
      <c r="I97" s="1" t="s">
        <v>74</v>
      </c>
      <c r="J97" s="1" t="s">
        <v>61</v>
      </c>
      <c r="K97" s="1">
        <v>-60</v>
      </c>
      <c r="L97" s="1">
        <v>-80</v>
      </c>
      <c r="M97" s="1">
        <f t="shared" si="11"/>
        <v>20</v>
      </c>
      <c r="N97" s="1"/>
      <c r="O97" s="1"/>
      <c r="P97" s="1"/>
      <c r="Q97" s="3">
        <v>0</v>
      </c>
      <c r="R97" s="14">
        <f>41+22</f>
        <v>63</v>
      </c>
      <c r="S97" s="5">
        <v>2.1</v>
      </c>
      <c r="T97" s="2">
        <f t="shared" si="10"/>
        <v>0</v>
      </c>
      <c r="U97" s="1"/>
      <c r="V97" s="2">
        <f t="shared" si="13"/>
        <v>0</v>
      </c>
      <c r="W97" s="1"/>
    </row>
    <row r="98" spans="1:23" x14ac:dyDescent="0.35">
      <c r="A98" s="1" t="s">
        <v>52</v>
      </c>
      <c r="B98" s="1" t="s">
        <v>73</v>
      </c>
      <c r="C98" s="1" t="s">
        <v>54</v>
      </c>
      <c r="D98" s="1">
        <v>50.2</v>
      </c>
      <c r="E98" s="1">
        <v>-125.51666667000001</v>
      </c>
      <c r="F98" s="1" t="s">
        <v>36</v>
      </c>
      <c r="G98" s="1">
        <v>244</v>
      </c>
      <c r="H98" s="1">
        <v>10</v>
      </c>
      <c r="I98" s="1" t="s">
        <v>74</v>
      </c>
      <c r="J98" s="1" t="s">
        <v>75</v>
      </c>
      <c r="K98" s="1">
        <v>-80</v>
      </c>
      <c r="L98" s="1">
        <v>-112</v>
      </c>
      <c r="M98" s="1">
        <f t="shared" si="11"/>
        <v>32</v>
      </c>
      <c r="N98" s="1"/>
      <c r="O98" s="1"/>
      <c r="P98" s="1"/>
      <c r="Q98" s="3">
        <v>0</v>
      </c>
      <c r="R98" s="14">
        <f>43+12</f>
        <v>55</v>
      </c>
      <c r="S98" s="5">
        <v>3.41</v>
      </c>
      <c r="T98" s="2">
        <f t="shared" si="10"/>
        <v>0</v>
      </c>
      <c r="U98" s="1"/>
      <c r="V98" s="2">
        <f>IF(K98&gt;-100,T98-T98*(ABS(L98)-100)/(ABS(L98)-ABS(K98)),0)</f>
        <v>0</v>
      </c>
      <c r="W98" s="1"/>
    </row>
    <row r="99" spans="1:23" x14ac:dyDescent="0.35">
      <c r="A99" s="1" t="s">
        <v>52</v>
      </c>
      <c r="B99" s="1" t="s">
        <v>73</v>
      </c>
      <c r="C99" s="1" t="s">
        <v>54</v>
      </c>
      <c r="D99" s="1">
        <v>50.2</v>
      </c>
      <c r="E99" s="1">
        <v>-125.51666667000001</v>
      </c>
      <c r="F99" s="1" t="s">
        <v>36</v>
      </c>
      <c r="G99" s="1">
        <v>244</v>
      </c>
      <c r="H99" s="1">
        <v>10</v>
      </c>
      <c r="I99" s="1" t="s">
        <v>74</v>
      </c>
      <c r="J99" s="1" t="s">
        <v>63</v>
      </c>
      <c r="K99" s="1">
        <v>-112</v>
      </c>
      <c r="L99" s="1">
        <v>-127</v>
      </c>
      <c r="M99" s="1">
        <f t="shared" si="11"/>
        <v>15</v>
      </c>
      <c r="N99" s="1"/>
      <c r="O99" s="1"/>
      <c r="P99" s="1"/>
      <c r="Q99" s="3">
        <v>0</v>
      </c>
      <c r="R99" s="14">
        <f>28+11</f>
        <v>39</v>
      </c>
      <c r="S99" s="5">
        <v>0.27</v>
      </c>
      <c r="T99" s="2">
        <f t="shared" si="10"/>
        <v>0</v>
      </c>
      <c r="U99" s="1"/>
      <c r="V99" s="2">
        <f>IF(K99&gt;-100,T99-T99*(ABS(L99)-100)/(ABS(L99)-ABS(K99)),0)</f>
        <v>0</v>
      </c>
      <c r="W99" s="1"/>
    </row>
    <row r="100" spans="1:23" x14ac:dyDescent="0.35">
      <c r="A100" s="7" t="s">
        <v>52</v>
      </c>
      <c r="B100" s="7" t="s">
        <v>73</v>
      </c>
      <c r="C100" s="7" t="s">
        <v>54</v>
      </c>
      <c r="D100" s="7">
        <v>50.2</v>
      </c>
      <c r="E100" s="7">
        <v>-125.51666667000001</v>
      </c>
      <c r="F100" s="7" t="s">
        <v>36</v>
      </c>
      <c r="G100" s="7">
        <v>244</v>
      </c>
      <c r="H100" s="7">
        <v>10</v>
      </c>
      <c r="I100" s="7" t="s">
        <v>74</v>
      </c>
      <c r="J100" s="7" t="s">
        <v>64</v>
      </c>
      <c r="K100" s="7">
        <v>127</v>
      </c>
      <c r="L100" s="7">
        <v>127</v>
      </c>
      <c r="M100" s="7">
        <f t="shared" si="11"/>
        <v>0</v>
      </c>
      <c r="N100" s="7"/>
      <c r="O100" s="7"/>
      <c r="P100" s="7"/>
      <c r="Q100" s="10" t="s">
        <v>4</v>
      </c>
      <c r="R100" s="16"/>
      <c r="S100" s="9">
        <v>0.12</v>
      </c>
      <c r="T100" s="9" t="s">
        <v>4</v>
      </c>
      <c r="U100" s="7"/>
      <c r="V100" s="8" t="s">
        <v>4</v>
      </c>
      <c r="W100" s="7"/>
    </row>
    <row r="101" spans="1:23" x14ac:dyDescent="0.35">
      <c r="A101" s="1" t="s">
        <v>52</v>
      </c>
      <c r="B101" s="1" t="s">
        <v>76</v>
      </c>
      <c r="C101" s="1" t="s">
        <v>54</v>
      </c>
      <c r="D101" s="6">
        <v>50.533333329999998</v>
      </c>
      <c r="E101" s="17">
        <v>-127.33333333</v>
      </c>
      <c r="F101" s="1" t="s">
        <v>36</v>
      </c>
      <c r="G101" s="2">
        <v>168</v>
      </c>
      <c r="H101" s="2">
        <v>5</v>
      </c>
      <c r="I101" s="17" t="s">
        <v>77</v>
      </c>
      <c r="J101" s="1" t="s">
        <v>55</v>
      </c>
      <c r="K101" s="1">
        <v>10</v>
      </c>
      <c r="L101" s="1">
        <v>7.5</v>
      </c>
      <c r="M101" s="1">
        <f t="shared" si="11"/>
        <v>2.5</v>
      </c>
      <c r="N101" s="2">
        <f>IF(ABS(MIN(L101:L110))&gt;100,100,ABS(MIN(L101:L110)))</f>
        <v>100</v>
      </c>
      <c r="O101" s="2">
        <f>K101</f>
        <v>10</v>
      </c>
      <c r="P101" s="2">
        <f>O101+N101</f>
        <v>110</v>
      </c>
      <c r="Q101" s="3">
        <v>0</v>
      </c>
      <c r="R101" s="14"/>
      <c r="S101" s="5">
        <v>48.23</v>
      </c>
      <c r="T101" s="2">
        <f t="shared" si="10"/>
        <v>0</v>
      </c>
      <c r="U101" s="2">
        <f>SUM(T101:T110)</f>
        <v>0</v>
      </c>
      <c r="V101" s="2">
        <f t="shared" ref="V101:V108" si="14">T101</f>
        <v>0</v>
      </c>
      <c r="W101" s="6">
        <f>SUM(V101:V110)/10^6*10^4</f>
        <v>0</v>
      </c>
    </row>
    <row r="102" spans="1:23" x14ac:dyDescent="0.35">
      <c r="A102" s="1" t="s">
        <v>52</v>
      </c>
      <c r="B102" s="1" t="s">
        <v>76</v>
      </c>
      <c r="C102" s="1" t="s">
        <v>54</v>
      </c>
      <c r="D102" s="6">
        <v>50.533333329999998</v>
      </c>
      <c r="E102" s="17">
        <v>-127.33333333</v>
      </c>
      <c r="F102" s="1" t="s">
        <v>36</v>
      </c>
      <c r="G102" s="2">
        <v>168</v>
      </c>
      <c r="H102" s="2">
        <v>5</v>
      </c>
      <c r="I102" s="17" t="s">
        <v>77</v>
      </c>
      <c r="J102" s="1" t="s">
        <v>56</v>
      </c>
      <c r="K102" s="1">
        <v>7.5</v>
      </c>
      <c r="L102" s="1">
        <v>0</v>
      </c>
      <c r="M102" s="1">
        <f t="shared" si="11"/>
        <v>7.5</v>
      </c>
      <c r="N102" s="1"/>
      <c r="O102" s="1"/>
      <c r="P102" s="1"/>
      <c r="Q102" s="3">
        <v>0</v>
      </c>
      <c r="R102" s="14"/>
      <c r="S102" s="5">
        <v>48.81</v>
      </c>
      <c r="T102" s="2">
        <f t="shared" si="10"/>
        <v>0</v>
      </c>
      <c r="U102" s="1"/>
      <c r="V102" s="2">
        <f t="shared" si="14"/>
        <v>0</v>
      </c>
      <c r="W102" s="1"/>
    </row>
    <row r="103" spans="1:23" x14ac:dyDescent="0.35">
      <c r="A103" s="1" t="s">
        <v>52</v>
      </c>
      <c r="B103" s="1" t="s">
        <v>76</v>
      </c>
      <c r="C103" s="1" t="s">
        <v>54</v>
      </c>
      <c r="D103" s="6">
        <v>50.533333329999998</v>
      </c>
      <c r="E103" s="17">
        <v>-127.33333333</v>
      </c>
      <c r="F103" s="1" t="s">
        <v>36</v>
      </c>
      <c r="G103" s="2">
        <v>168</v>
      </c>
      <c r="H103" s="2">
        <v>5</v>
      </c>
      <c r="I103" s="17" t="s">
        <v>77</v>
      </c>
      <c r="J103" s="1" t="s">
        <v>68</v>
      </c>
      <c r="K103" s="1">
        <v>0</v>
      </c>
      <c r="L103" s="1">
        <v>-15</v>
      </c>
      <c r="M103" s="1">
        <f t="shared" si="11"/>
        <v>15</v>
      </c>
      <c r="N103" s="1"/>
      <c r="O103" s="1"/>
      <c r="P103" s="1"/>
      <c r="Q103" s="3">
        <v>0</v>
      </c>
      <c r="R103" s="14">
        <f>47+5</f>
        <v>52</v>
      </c>
      <c r="S103" s="5">
        <v>4.24</v>
      </c>
      <c r="T103" s="2">
        <f t="shared" si="10"/>
        <v>0</v>
      </c>
      <c r="U103" s="1"/>
      <c r="V103" s="2">
        <f t="shared" si="14"/>
        <v>0</v>
      </c>
      <c r="W103" s="1"/>
    </row>
    <row r="104" spans="1:23" x14ac:dyDescent="0.35">
      <c r="A104" s="1" t="s">
        <v>52</v>
      </c>
      <c r="B104" s="1" t="s">
        <v>76</v>
      </c>
      <c r="C104" s="1" t="s">
        <v>54</v>
      </c>
      <c r="D104" s="6">
        <v>50.533333329999998</v>
      </c>
      <c r="E104" s="17">
        <v>-127.33333333</v>
      </c>
      <c r="F104" s="1" t="s">
        <v>36</v>
      </c>
      <c r="G104" s="2">
        <v>168</v>
      </c>
      <c r="H104" s="2">
        <v>5</v>
      </c>
      <c r="I104" s="17" t="s">
        <v>77</v>
      </c>
      <c r="J104" s="1" t="s">
        <v>69</v>
      </c>
      <c r="K104" s="1">
        <v>-15</v>
      </c>
      <c r="L104" s="1">
        <v>-30</v>
      </c>
      <c r="M104" s="1">
        <f t="shared" si="11"/>
        <v>15</v>
      </c>
      <c r="N104" s="1"/>
      <c r="O104" s="1"/>
      <c r="P104" s="1"/>
      <c r="Q104" s="3">
        <v>0</v>
      </c>
      <c r="R104" s="14">
        <f>46+6</f>
        <v>52</v>
      </c>
      <c r="S104" s="5">
        <v>3.23</v>
      </c>
      <c r="T104" s="2">
        <f t="shared" si="10"/>
        <v>0</v>
      </c>
      <c r="U104" s="1"/>
      <c r="V104" s="2">
        <f t="shared" si="14"/>
        <v>0</v>
      </c>
      <c r="W104" s="1"/>
    </row>
    <row r="105" spans="1:23" x14ac:dyDescent="0.35">
      <c r="A105" s="1" t="s">
        <v>52</v>
      </c>
      <c r="B105" s="1" t="s">
        <v>76</v>
      </c>
      <c r="C105" s="1" t="s">
        <v>54</v>
      </c>
      <c r="D105" s="6">
        <v>50.533333329999998</v>
      </c>
      <c r="E105" s="17">
        <v>-127.33333333</v>
      </c>
      <c r="F105" s="1" t="s">
        <v>36</v>
      </c>
      <c r="G105" s="2">
        <v>168</v>
      </c>
      <c r="H105" s="2">
        <v>5</v>
      </c>
      <c r="I105" s="17" t="s">
        <v>77</v>
      </c>
      <c r="J105" s="1" t="s">
        <v>58</v>
      </c>
      <c r="K105" s="1">
        <v>-30</v>
      </c>
      <c r="L105" s="1">
        <v>-45</v>
      </c>
      <c r="M105" s="1">
        <f t="shared" si="11"/>
        <v>15</v>
      </c>
      <c r="N105" s="1"/>
      <c r="O105" s="1"/>
      <c r="P105" s="1"/>
      <c r="Q105" s="3">
        <v>0</v>
      </c>
      <c r="R105" s="14">
        <f>42+4</f>
        <v>46</v>
      </c>
      <c r="S105" s="5">
        <v>2.11</v>
      </c>
      <c r="T105" s="2">
        <f t="shared" si="10"/>
        <v>0</v>
      </c>
      <c r="U105" s="1"/>
      <c r="V105" s="2">
        <f t="shared" si="14"/>
        <v>0</v>
      </c>
      <c r="W105" s="1"/>
    </row>
    <row r="106" spans="1:23" x14ac:dyDescent="0.35">
      <c r="A106" s="1" t="s">
        <v>52</v>
      </c>
      <c r="B106" s="1" t="s">
        <v>76</v>
      </c>
      <c r="C106" s="1" t="s">
        <v>54</v>
      </c>
      <c r="D106" s="6">
        <v>50.533333329999998</v>
      </c>
      <c r="E106" s="17">
        <v>-127.33333333</v>
      </c>
      <c r="F106" s="1" t="s">
        <v>36</v>
      </c>
      <c r="G106" s="2">
        <v>168</v>
      </c>
      <c r="H106" s="2">
        <v>5</v>
      </c>
      <c r="I106" s="17" t="s">
        <v>77</v>
      </c>
      <c r="J106" s="1" t="s">
        <v>59</v>
      </c>
      <c r="K106" s="1">
        <v>-45</v>
      </c>
      <c r="L106" s="1">
        <v>-60</v>
      </c>
      <c r="M106" s="1">
        <f t="shared" si="11"/>
        <v>15</v>
      </c>
      <c r="N106" s="1"/>
      <c r="O106" s="1"/>
      <c r="P106" s="1"/>
      <c r="Q106" s="3">
        <v>0</v>
      </c>
      <c r="R106" s="14">
        <f>39+20</f>
        <v>59</v>
      </c>
      <c r="S106" s="5">
        <v>1.22</v>
      </c>
      <c r="T106" s="2">
        <f t="shared" si="10"/>
        <v>0</v>
      </c>
      <c r="U106" s="1"/>
      <c r="V106" s="2">
        <f t="shared" si="14"/>
        <v>0</v>
      </c>
      <c r="W106" s="1"/>
    </row>
    <row r="107" spans="1:23" x14ac:dyDescent="0.35">
      <c r="A107" s="1" t="s">
        <v>52</v>
      </c>
      <c r="B107" s="1" t="s">
        <v>76</v>
      </c>
      <c r="C107" s="1" t="s">
        <v>54</v>
      </c>
      <c r="D107" s="6">
        <v>50.533333329999998</v>
      </c>
      <c r="E107" s="17">
        <v>-127.33333333</v>
      </c>
      <c r="F107" s="1" t="s">
        <v>36</v>
      </c>
      <c r="G107" s="2">
        <v>168</v>
      </c>
      <c r="H107" s="2">
        <v>5</v>
      </c>
      <c r="I107" s="17" t="s">
        <v>77</v>
      </c>
      <c r="J107" s="1" t="s">
        <v>61</v>
      </c>
      <c r="K107" s="1">
        <v>-60</v>
      </c>
      <c r="L107" s="1">
        <v>-75</v>
      </c>
      <c r="M107" s="1">
        <f t="shared" si="11"/>
        <v>15</v>
      </c>
      <c r="N107" s="1"/>
      <c r="O107" s="1"/>
      <c r="P107" s="1"/>
      <c r="Q107" s="3">
        <v>0</v>
      </c>
      <c r="R107" s="14">
        <f>45+11</f>
        <v>56</v>
      </c>
      <c r="S107" s="5">
        <v>1.1200000000000001</v>
      </c>
      <c r="T107" s="2">
        <f t="shared" si="10"/>
        <v>0</v>
      </c>
      <c r="U107" s="1"/>
      <c r="V107" s="2">
        <f t="shared" si="14"/>
        <v>0</v>
      </c>
      <c r="W107" s="1"/>
    </row>
    <row r="108" spans="1:23" x14ac:dyDescent="0.35">
      <c r="A108" s="1" t="s">
        <v>52</v>
      </c>
      <c r="B108" s="1" t="s">
        <v>76</v>
      </c>
      <c r="C108" s="1" t="s">
        <v>54</v>
      </c>
      <c r="D108" s="6">
        <v>50.533333329999998</v>
      </c>
      <c r="E108" s="17">
        <v>-127.33333333</v>
      </c>
      <c r="F108" s="1" t="s">
        <v>36</v>
      </c>
      <c r="G108" s="2">
        <v>168</v>
      </c>
      <c r="H108" s="2">
        <v>5</v>
      </c>
      <c r="I108" s="17" t="s">
        <v>77</v>
      </c>
      <c r="J108" s="1" t="s">
        <v>75</v>
      </c>
      <c r="K108" s="1">
        <v>-75</v>
      </c>
      <c r="L108" s="1">
        <v>-90</v>
      </c>
      <c r="M108" s="1">
        <f t="shared" si="11"/>
        <v>15</v>
      </c>
      <c r="N108" s="1"/>
      <c r="O108" s="1"/>
      <c r="P108" s="1"/>
      <c r="Q108" s="3">
        <v>0</v>
      </c>
      <c r="R108" s="14">
        <f>40+16</f>
        <v>56</v>
      </c>
      <c r="S108" s="5">
        <v>2.11</v>
      </c>
      <c r="T108" s="2">
        <f t="shared" si="10"/>
        <v>0</v>
      </c>
      <c r="U108" s="1"/>
      <c r="V108" s="2">
        <f t="shared" si="14"/>
        <v>0</v>
      </c>
      <c r="W108" s="1"/>
    </row>
    <row r="109" spans="1:23" x14ac:dyDescent="0.35">
      <c r="A109" s="1" t="s">
        <v>52</v>
      </c>
      <c r="B109" s="1" t="s">
        <v>76</v>
      </c>
      <c r="C109" s="1" t="s">
        <v>54</v>
      </c>
      <c r="D109" s="6">
        <v>50.533333329999998</v>
      </c>
      <c r="E109" s="17">
        <v>-127.33333333</v>
      </c>
      <c r="F109" s="1" t="s">
        <v>36</v>
      </c>
      <c r="G109" s="2">
        <v>168</v>
      </c>
      <c r="H109" s="2">
        <v>5</v>
      </c>
      <c r="I109" s="17" t="s">
        <v>77</v>
      </c>
      <c r="J109" s="1" t="s">
        <v>63</v>
      </c>
      <c r="K109" s="1">
        <v>-90</v>
      </c>
      <c r="L109" s="1">
        <v>-105</v>
      </c>
      <c r="M109" s="1">
        <f t="shared" si="11"/>
        <v>15</v>
      </c>
      <c r="N109" s="1"/>
      <c r="O109" s="1"/>
      <c r="P109" s="1"/>
      <c r="Q109" s="3">
        <v>0</v>
      </c>
      <c r="R109" s="14">
        <f>42+14</f>
        <v>56</v>
      </c>
      <c r="S109" s="5">
        <v>0.41</v>
      </c>
      <c r="T109" s="2">
        <f>S109/100*Q109*(100*100*M109)*((100-R109)/100)</f>
        <v>0</v>
      </c>
      <c r="U109" s="1"/>
      <c r="V109" s="2">
        <f>IF(K109&gt;-100,T109-T109*(ABS(L109)-100)/(ABS(L109)-ABS(K109)),0)</f>
        <v>0</v>
      </c>
      <c r="W109" s="1"/>
    </row>
    <row r="110" spans="1:23" x14ac:dyDescent="0.35">
      <c r="A110" s="7" t="s">
        <v>52</v>
      </c>
      <c r="B110" s="7" t="s">
        <v>76</v>
      </c>
      <c r="C110" s="7" t="s">
        <v>54</v>
      </c>
      <c r="D110" s="18">
        <v>50.533333329999998</v>
      </c>
      <c r="E110" s="19">
        <v>-127.33333333</v>
      </c>
      <c r="F110" s="7" t="s">
        <v>36</v>
      </c>
      <c r="G110" s="8">
        <v>168</v>
      </c>
      <c r="H110" s="8">
        <v>5</v>
      </c>
      <c r="I110" s="19" t="s">
        <v>77</v>
      </c>
      <c r="J110" s="7" t="s">
        <v>64</v>
      </c>
      <c r="K110" s="7">
        <v>105</v>
      </c>
      <c r="L110" s="7">
        <v>105</v>
      </c>
      <c r="M110" s="7">
        <f t="shared" si="11"/>
        <v>0</v>
      </c>
      <c r="N110" s="7"/>
      <c r="O110" s="7"/>
      <c r="P110" s="7"/>
      <c r="Q110" s="10" t="s">
        <v>4</v>
      </c>
      <c r="R110" s="16"/>
      <c r="S110" s="9">
        <v>0.17</v>
      </c>
      <c r="T110" s="9" t="s">
        <v>4</v>
      </c>
      <c r="U110" s="7"/>
      <c r="V110" s="8" t="s">
        <v>4</v>
      </c>
      <c r="W110" s="7"/>
    </row>
    <row r="111" spans="1:23" x14ac:dyDescent="0.35">
      <c r="A111" s="1" t="s">
        <v>52</v>
      </c>
      <c r="B111" s="1" t="s">
        <v>78</v>
      </c>
      <c r="C111" s="1" t="s">
        <v>79</v>
      </c>
      <c r="D111" s="1">
        <v>49.05</v>
      </c>
      <c r="E111" s="1">
        <v>-124.16666667</v>
      </c>
      <c r="F111" s="1" t="s">
        <v>36</v>
      </c>
      <c r="G111" s="1">
        <v>366</v>
      </c>
      <c r="H111" s="1">
        <v>10</v>
      </c>
      <c r="I111" s="1" t="s">
        <v>80</v>
      </c>
      <c r="J111" s="1" t="s">
        <v>55</v>
      </c>
      <c r="K111" s="1">
        <v>7.5</v>
      </c>
      <c r="L111" s="1">
        <v>5</v>
      </c>
      <c r="M111" s="1">
        <f t="shared" si="11"/>
        <v>2.5</v>
      </c>
      <c r="N111" s="2">
        <f>IF(ABS(MIN(L111:L119))&gt;100,100,ABS(MIN(L111:L119)))</f>
        <v>77.5</v>
      </c>
      <c r="O111" s="2">
        <f>K111</f>
        <v>7.5</v>
      </c>
      <c r="P111" s="2">
        <f>O111+N111</f>
        <v>85</v>
      </c>
      <c r="Q111" s="3">
        <v>0</v>
      </c>
      <c r="R111" s="14"/>
      <c r="S111" s="5">
        <v>42.02</v>
      </c>
      <c r="T111" s="2">
        <f t="shared" si="10"/>
        <v>0</v>
      </c>
      <c r="U111" s="2">
        <f>SUM(T111:T119)</f>
        <v>0</v>
      </c>
      <c r="V111" s="2">
        <f t="shared" ref="V111:V127" si="15">T111</f>
        <v>0</v>
      </c>
      <c r="W111" s="6">
        <f>SUM(V111:V119)/10^6*10^4</f>
        <v>0</v>
      </c>
    </row>
    <row r="112" spans="1:23" x14ac:dyDescent="0.35">
      <c r="A112" s="1" t="s">
        <v>52</v>
      </c>
      <c r="B112" s="1" t="s">
        <v>78</v>
      </c>
      <c r="C112" s="1" t="s">
        <v>79</v>
      </c>
      <c r="D112" s="1">
        <v>49.05</v>
      </c>
      <c r="E112" s="1">
        <v>-124.16666667</v>
      </c>
      <c r="F112" s="1" t="s">
        <v>36</v>
      </c>
      <c r="G112" s="1">
        <v>366</v>
      </c>
      <c r="H112" s="1">
        <v>10</v>
      </c>
      <c r="I112" s="1" t="s">
        <v>80</v>
      </c>
      <c r="J112" s="1" t="s">
        <v>56</v>
      </c>
      <c r="K112" s="1">
        <v>5</v>
      </c>
      <c r="L112" s="1">
        <v>0</v>
      </c>
      <c r="M112" s="1">
        <f t="shared" si="11"/>
        <v>5</v>
      </c>
      <c r="N112" s="1"/>
      <c r="O112" s="1"/>
      <c r="P112" s="1"/>
      <c r="Q112" s="3">
        <v>0</v>
      </c>
      <c r="R112" s="14"/>
      <c r="S112" s="5">
        <v>31.9</v>
      </c>
      <c r="T112" s="2">
        <f t="shared" si="10"/>
        <v>0</v>
      </c>
      <c r="U112" s="1"/>
      <c r="V112" s="2">
        <f t="shared" si="15"/>
        <v>0</v>
      </c>
      <c r="W112" s="1"/>
    </row>
    <row r="113" spans="1:23" x14ac:dyDescent="0.35">
      <c r="A113" s="1" t="s">
        <v>52</v>
      </c>
      <c r="B113" s="1" t="s">
        <v>78</v>
      </c>
      <c r="C113" s="1" t="s">
        <v>79</v>
      </c>
      <c r="D113" s="1">
        <v>49.05</v>
      </c>
      <c r="E113" s="1">
        <v>-124.16666667</v>
      </c>
      <c r="F113" s="1" t="s">
        <v>36</v>
      </c>
      <c r="G113" s="1">
        <v>366</v>
      </c>
      <c r="H113" s="1">
        <v>10</v>
      </c>
      <c r="I113" s="1" t="s">
        <v>80</v>
      </c>
      <c r="J113" s="1" t="s">
        <v>14</v>
      </c>
      <c r="K113" s="1">
        <v>0</v>
      </c>
      <c r="L113" s="1">
        <v>-2.5</v>
      </c>
      <c r="M113" s="1">
        <f t="shared" si="11"/>
        <v>2.5</v>
      </c>
      <c r="N113" s="1"/>
      <c r="O113" s="1"/>
      <c r="P113" s="1"/>
      <c r="Q113" s="3">
        <v>0</v>
      </c>
      <c r="R113" s="14">
        <f>AVERAGE(R140)</f>
        <v>22</v>
      </c>
      <c r="S113" s="5">
        <v>1.89</v>
      </c>
      <c r="T113" s="2">
        <f t="shared" si="10"/>
        <v>0</v>
      </c>
      <c r="U113" s="1"/>
      <c r="V113" s="2">
        <f t="shared" si="15"/>
        <v>0</v>
      </c>
      <c r="W113" s="1"/>
    </row>
    <row r="114" spans="1:23" x14ac:dyDescent="0.35">
      <c r="A114" s="1" t="s">
        <v>52</v>
      </c>
      <c r="B114" s="1" t="s">
        <v>78</v>
      </c>
      <c r="C114" s="1" t="s">
        <v>79</v>
      </c>
      <c r="D114" s="1">
        <v>49.05</v>
      </c>
      <c r="E114" s="1">
        <v>-124.16666667</v>
      </c>
      <c r="F114" s="1" t="s">
        <v>36</v>
      </c>
      <c r="G114" s="1">
        <v>366</v>
      </c>
      <c r="H114" s="1">
        <v>10</v>
      </c>
      <c r="I114" s="1" t="s">
        <v>80</v>
      </c>
      <c r="J114" s="1" t="s">
        <v>15</v>
      </c>
      <c r="K114" s="1">
        <v>-2.5</v>
      </c>
      <c r="L114" s="1">
        <v>-17.5</v>
      </c>
      <c r="M114" s="1">
        <f t="shared" si="11"/>
        <v>15</v>
      </c>
      <c r="N114" s="1"/>
      <c r="O114" s="1"/>
      <c r="P114" s="1"/>
      <c r="Q114" s="3">
        <v>0</v>
      </c>
      <c r="R114" s="14">
        <f>AVERAGE(R141:R147,R132:R135,R122:R127,R103:R108,R94:R98,R84:R89)</f>
        <v>44.470588235294116</v>
      </c>
      <c r="S114" s="5">
        <v>1.31</v>
      </c>
      <c r="T114" s="2">
        <f t="shared" si="10"/>
        <v>0</v>
      </c>
      <c r="U114" s="1"/>
      <c r="V114" s="2">
        <f t="shared" si="15"/>
        <v>0</v>
      </c>
      <c r="W114" s="1"/>
    </row>
    <row r="115" spans="1:23" x14ac:dyDescent="0.35">
      <c r="A115" s="1" t="s">
        <v>52</v>
      </c>
      <c r="B115" s="1" t="s">
        <v>78</v>
      </c>
      <c r="C115" s="1" t="s">
        <v>79</v>
      </c>
      <c r="D115" s="1">
        <v>49.05</v>
      </c>
      <c r="E115" s="1">
        <v>-124.16666667</v>
      </c>
      <c r="F115" s="1" t="s">
        <v>36</v>
      </c>
      <c r="G115" s="1">
        <v>366</v>
      </c>
      <c r="H115" s="1">
        <v>10</v>
      </c>
      <c r="I115" s="1" t="s">
        <v>80</v>
      </c>
      <c r="J115" s="1" t="s">
        <v>16</v>
      </c>
      <c r="K115" s="1">
        <v>-17.5</v>
      </c>
      <c r="L115" s="1">
        <v>-32.5</v>
      </c>
      <c r="M115" s="1">
        <f t="shared" si="11"/>
        <v>15</v>
      </c>
      <c r="N115" s="1"/>
      <c r="O115" s="1"/>
      <c r="P115" s="1"/>
      <c r="Q115" s="3">
        <v>0</v>
      </c>
      <c r="R115" s="14">
        <f>R114</f>
        <v>44.470588235294116</v>
      </c>
      <c r="S115" s="5">
        <v>1.25</v>
      </c>
      <c r="T115" s="2">
        <f t="shared" si="10"/>
        <v>0</v>
      </c>
      <c r="U115" s="1"/>
      <c r="V115" s="2">
        <f t="shared" si="15"/>
        <v>0</v>
      </c>
      <c r="W115" s="1"/>
    </row>
    <row r="116" spans="1:23" x14ac:dyDescent="0.35">
      <c r="A116" s="1" t="s">
        <v>52</v>
      </c>
      <c r="B116" s="1" t="s">
        <v>78</v>
      </c>
      <c r="C116" s="1" t="s">
        <v>79</v>
      </c>
      <c r="D116" s="1">
        <v>49.05</v>
      </c>
      <c r="E116" s="1">
        <v>-124.16666667</v>
      </c>
      <c r="F116" s="1" t="s">
        <v>36</v>
      </c>
      <c r="G116" s="1">
        <v>366</v>
      </c>
      <c r="H116" s="1">
        <v>10</v>
      </c>
      <c r="I116" s="1" t="s">
        <v>80</v>
      </c>
      <c r="J116" s="1" t="s">
        <v>81</v>
      </c>
      <c r="K116" s="1">
        <v>-32.5</v>
      </c>
      <c r="L116" s="1">
        <v>-47.5</v>
      </c>
      <c r="M116" s="1">
        <f t="shared" si="11"/>
        <v>15</v>
      </c>
      <c r="N116" s="1"/>
      <c r="O116" s="1"/>
      <c r="P116" s="1"/>
      <c r="Q116" s="3">
        <v>0</v>
      </c>
      <c r="R116" s="14">
        <f>R114</f>
        <v>44.470588235294116</v>
      </c>
      <c r="S116" s="5">
        <v>0.89</v>
      </c>
      <c r="T116" s="2">
        <f t="shared" si="10"/>
        <v>0</v>
      </c>
      <c r="U116" s="1"/>
      <c r="V116" s="2">
        <f t="shared" si="15"/>
        <v>0</v>
      </c>
      <c r="W116" s="1"/>
    </row>
    <row r="117" spans="1:23" x14ac:dyDescent="0.35">
      <c r="A117" s="1" t="s">
        <v>52</v>
      </c>
      <c r="B117" s="1" t="s">
        <v>78</v>
      </c>
      <c r="C117" s="1" t="s">
        <v>79</v>
      </c>
      <c r="D117" s="1">
        <v>49.05</v>
      </c>
      <c r="E117" s="1">
        <v>-124.16666667</v>
      </c>
      <c r="F117" s="1" t="s">
        <v>36</v>
      </c>
      <c r="G117" s="1">
        <v>366</v>
      </c>
      <c r="H117" s="1">
        <v>10</v>
      </c>
      <c r="I117" s="1" t="s">
        <v>80</v>
      </c>
      <c r="J117" s="1" t="s">
        <v>82</v>
      </c>
      <c r="K117" s="1">
        <v>-47.5</v>
      </c>
      <c r="L117" s="1">
        <v>-62.5</v>
      </c>
      <c r="M117" s="1">
        <f>K117-L117</f>
        <v>15</v>
      </c>
      <c r="N117" s="1"/>
      <c r="O117" s="1"/>
      <c r="P117" s="1"/>
      <c r="Q117" s="3">
        <v>0</v>
      </c>
      <c r="R117" s="15">
        <f>R109</f>
        <v>56</v>
      </c>
      <c r="S117" s="5">
        <v>1.04</v>
      </c>
      <c r="T117" s="2">
        <f t="shared" si="10"/>
        <v>0</v>
      </c>
      <c r="U117" s="1"/>
      <c r="V117" s="2">
        <f t="shared" si="15"/>
        <v>0</v>
      </c>
      <c r="W117" s="1"/>
    </row>
    <row r="118" spans="1:23" x14ac:dyDescent="0.35">
      <c r="A118" s="1" t="s">
        <v>52</v>
      </c>
      <c r="B118" s="1" t="s">
        <v>78</v>
      </c>
      <c r="C118" s="1" t="s">
        <v>79</v>
      </c>
      <c r="D118" s="1">
        <v>49.05</v>
      </c>
      <c r="E118" s="1">
        <v>-124.16666667</v>
      </c>
      <c r="F118" s="1" t="s">
        <v>36</v>
      </c>
      <c r="G118" s="1">
        <v>366</v>
      </c>
      <c r="H118" s="1">
        <v>10</v>
      </c>
      <c r="I118" s="1" t="s">
        <v>80</v>
      </c>
      <c r="J118" s="1" t="s">
        <v>63</v>
      </c>
      <c r="K118" s="1">
        <v>-62.5</v>
      </c>
      <c r="L118" s="1">
        <v>-77.5</v>
      </c>
      <c r="M118" s="1">
        <f>K118-L118</f>
        <v>15</v>
      </c>
      <c r="N118" s="1"/>
      <c r="O118" s="1"/>
      <c r="P118" s="1"/>
      <c r="Q118" s="3">
        <v>0</v>
      </c>
      <c r="R118" s="14"/>
      <c r="S118" s="5">
        <v>0.35</v>
      </c>
      <c r="T118" s="2">
        <f t="shared" si="10"/>
        <v>0</v>
      </c>
      <c r="U118" s="1"/>
      <c r="V118" s="2">
        <f t="shared" si="15"/>
        <v>0</v>
      </c>
      <c r="W118" s="1"/>
    </row>
    <row r="119" spans="1:23" x14ac:dyDescent="0.35">
      <c r="A119" s="7" t="s">
        <v>52</v>
      </c>
      <c r="B119" s="7" t="s">
        <v>78</v>
      </c>
      <c r="C119" s="7" t="s">
        <v>79</v>
      </c>
      <c r="D119" s="7">
        <v>49.05</v>
      </c>
      <c r="E119" s="7">
        <v>-124.16666667</v>
      </c>
      <c r="F119" s="7" t="s">
        <v>36</v>
      </c>
      <c r="G119" s="7">
        <v>366</v>
      </c>
      <c r="H119" s="7">
        <v>10</v>
      </c>
      <c r="I119" s="7" t="s">
        <v>80</v>
      </c>
      <c r="J119" s="7" t="s">
        <v>64</v>
      </c>
      <c r="K119" s="7">
        <v>-77.5</v>
      </c>
      <c r="L119" s="7">
        <v>-77.5</v>
      </c>
      <c r="M119" s="7">
        <f>K119-L119</f>
        <v>0</v>
      </c>
      <c r="N119" s="7"/>
      <c r="O119" s="7"/>
      <c r="P119" s="7"/>
      <c r="Q119" s="10" t="s">
        <v>4</v>
      </c>
      <c r="R119" s="16"/>
      <c r="S119" s="9">
        <v>0.12</v>
      </c>
      <c r="T119" s="9" t="s">
        <v>4</v>
      </c>
      <c r="U119" s="7"/>
      <c r="V119" s="8" t="str">
        <f t="shared" si="15"/>
        <v>NA</v>
      </c>
      <c r="W119" s="7"/>
    </row>
    <row r="120" spans="1:23" x14ac:dyDescent="0.35">
      <c r="A120" s="1" t="s">
        <v>52</v>
      </c>
      <c r="B120" s="1" t="s">
        <v>83</v>
      </c>
      <c r="C120" s="1" t="s">
        <v>66</v>
      </c>
      <c r="D120" s="1">
        <v>48.6</v>
      </c>
      <c r="E120" s="1">
        <v>-124.36666667</v>
      </c>
      <c r="F120" s="1" t="s">
        <v>36</v>
      </c>
      <c r="G120" s="1">
        <v>533</v>
      </c>
      <c r="H120" s="1">
        <v>40</v>
      </c>
      <c r="I120" s="1" t="s">
        <v>84</v>
      </c>
      <c r="J120" s="1" t="s">
        <v>55</v>
      </c>
      <c r="K120" s="1">
        <v>22.5</v>
      </c>
      <c r="L120" s="1">
        <v>7.5</v>
      </c>
      <c r="M120" s="1">
        <f>K120-L120</f>
        <v>15</v>
      </c>
      <c r="N120" s="2">
        <f>IF(ABS(MIN(L120:L129))&gt;100,100,ABS(MIN(L120:L129)))</f>
        <v>100</v>
      </c>
      <c r="O120" s="2">
        <f>K120</f>
        <v>22.5</v>
      </c>
      <c r="P120" s="2">
        <f>O120+N120</f>
        <v>122.5</v>
      </c>
      <c r="Q120" s="3">
        <v>0</v>
      </c>
      <c r="R120" s="14"/>
      <c r="S120" s="5">
        <v>25.07</v>
      </c>
      <c r="T120" s="2">
        <f t="shared" si="10"/>
        <v>0</v>
      </c>
      <c r="U120" s="2">
        <f>SUM(T120:T129)</f>
        <v>0</v>
      </c>
      <c r="V120" s="2">
        <f t="shared" si="15"/>
        <v>0</v>
      </c>
      <c r="W120" s="6">
        <f>SUM(V120:V129)/10^6*10^4</f>
        <v>0</v>
      </c>
    </row>
    <row r="121" spans="1:23" x14ac:dyDescent="0.35">
      <c r="A121" s="1" t="s">
        <v>52</v>
      </c>
      <c r="B121" s="1" t="s">
        <v>83</v>
      </c>
      <c r="C121" s="1" t="s">
        <v>66</v>
      </c>
      <c r="D121" s="1">
        <v>48.6</v>
      </c>
      <c r="E121" s="1">
        <v>-124.36666667</v>
      </c>
      <c r="F121" s="1" t="s">
        <v>36</v>
      </c>
      <c r="G121" s="1">
        <v>533</v>
      </c>
      <c r="H121" s="1">
        <v>40</v>
      </c>
      <c r="I121" s="1" t="s">
        <v>84</v>
      </c>
      <c r="J121" s="1" t="s">
        <v>56</v>
      </c>
      <c r="K121" s="1">
        <v>7.5</v>
      </c>
      <c r="L121" s="1">
        <v>0</v>
      </c>
      <c r="M121" s="1">
        <f>K121-L121</f>
        <v>7.5</v>
      </c>
      <c r="N121" s="1"/>
      <c r="O121" s="1"/>
      <c r="P121" s="1"/>
      <c r="Q121" s="3">
        <v>0</v>
      </c>
      <c r="R121" s="14"/>
      <c r="S121" s="5">
        <v>50.34</v>
      </c>
      <c r="T121" s="2">
        <f t="shared" si="10"/>
        <v>0</v>
      </c>
      <c r="U121" s="1"/>
      <c r="V121" s="2">
        <f t="shared" si="15"/>
        <v>0</v>
      </c>
      <c r="W121" s="1"/>
    </row>
    <row r="122" spans="1:23" x14ac:dyDescent="0.35">
      <c r="A122" s="1" t="s">
        <v>52</v>
      </c>
      <c r="B122" s="1" t="s">
        <v>83</v>
      </c>
      <c r="C122" s="1" t="s">
        <v>66</v>
      </c>
      <c r="D122" s="1">
        <v>48.6</v>
      </c>
      <c r="E122" s="1">
        <v>-124.36666667</v>
      </c>
      <c r="F122" s="1" t="s">
        <v>36</v>
      </c>
      <c r="G122" s="1">
        <v>533</v>
      </c>
      <c r="H122" s="1">
        <v>40</v>
      </c>
      <c r="I122" s="1" t="s">
        <v>84</v>
      </c>
      <c r="J122" s="1" t="s">
        <v>85</v>
      </c>
      <c r="K122" s="1">
        <v>0</v>
      </c>
      <c r="L122" s="1">
        <v>-15</v>
      </c>
      <c r="M122" s="1">
        <f t="shared" ref="M122:M148" si="16">K122-L122</f>
        <v>15</v>
      </c>
      <c r="N122" s="1"/>
      <c r="O122" s="1"/>
      <c r="P122" s="1"/>
      <c r="Q122" s="3">
        <v>0</v>
      </c>
      <c r="R122" s="14">
        <f>20+29</f>
        <v>49</v>
      </c>
      <c r="S122" s="5">
        <v>10.98</v>
      </c>
      <c r="T122" s="2">
        <f t="shared" si="10"/>
        <v>0</v>
      </c>
      <c r="U122" s="1"/>
      <c r="V122" s="2">
        <f t="shared" si="15"/>
        <v>0</v>
      </c>
      <c r="W122" s="1"/>
    </row>
    <row r="123" spans="1:23" x14ac:dyDescent="0.35">
      <c r="A123" s="1" t="s">
        <v>52</v>
      </c>
      <c r="B123" s="1" t="s">
        <v>83</v>
      </c>
      <c r="C123" s="1" t="s">
        <v>66</v>
      </c>
      <c r="D123" s="1">
        <v>48.6</v>
      </c>
      <c r="E123" s="1">
        <v>-124.36666667</v>
      </c>
      <c r="F123" s="1" t="s">
        <v>36</v>
      </c>
      <c r="G123" s="1">
        <v>533</v>
      </c>
      <c r="H123" s="1">
        <v>40</v>
      </c>
      <c r="I123" s="1" t="s">
        <v>84</v>
      </c>
      <c r="J123" s="1" t="s">
        <v>86</v>
      </c>
      <c r="K123" s="1">
        <v>-15</v>
      </c>
      <c r="L123" s="1">
        <v>-30</v>
      </c>
      <c r="M123" s="1">
        <f t="shared" si="16"/>
        <v>15</v>
      </c>
      <c r="N123" s="1"/>
      <c r="O123" s="1"/>
      <c r="P123" s="1"/>
      <c r="Q123" s="3">
        <v>0</v>
      </c>
      <c r="R123" s="14">
        <f>26+7</f>
        <v>33</v>
      </c>
      <c r="S123" s="5">
        <v>8.56</v>
      </c>
      <c r="T123" s="2">
        <f t="shared" si="10"/>
        <v>0</v>
      </c>
      <c r="U123" s="1"/>
      <c r="V123" s="2">
        <f t="shared" si="15"/>
        <v>0</v>
      </c>
      <c r="W123" s="1"/>
    </row>
    <row r="124" spans="1:23" x14ac:dyDescent="0.35">
      <c r="A124" s="1" t="s">
        <v>52</v>
      </c>
      <c r="B124" s="1" t="s">
        <v>83</v>
      </c>
      <c r="C124" s="1" t="s">
        <v>66</v>
      </c>
      <c r="D124" s="1">
        <v>48.6</v>
      </c>
      <c r="E124" s="1">
        <v>-124.36666667</v>
      </c>
      <c r="F124" s="1" t="s">
        <v>36</v>
      </c>
      <c r="G124" s="1">
        <v>533</v>
      </c>
      <c r="H124" s="1">
        <v>40</v>
      </c>
      <c r="I124" s="1" t="s">
        <v>84</v>
      </c>
      <c r="J124" s="1" t="s">
        <v>87</v>
      </c>
      <c r="K124" s="1">
        <v>-30</v>
      </c>
      <c r="L124" s="1">
        <v>-45</v>
      </c>
      <c r="M124" s="1">
        <f t="shared" si="16"/>
        <v>15</v>
      </c>
      <c r="N124" s="1"/>
      <c r="O124" s="1"/>
      <c r="P124" s="1"/>
      <c r="Q124" s="3">
        <v>0</v>
      </c>
      <c r="R124" s="14">
        <f>18+11</f>
        <v>29</v>
      </c>
      <c r="S124" s="5">
        <v>7.93</v>
      </c>
      <c r="T124" s="2">
        <f t="shared" si="10"/>
        <v>0</v>
      </c>
      <c r="U124" s="1"/>
      <c r="V124" s="2">
        <f t="shared" si="15"/>
        <v>0</v>
      </c>
      <c r="W124" s="1"/>
    </row>
    <row r="125" spans="1:23" x14ac:dyDescent="0.35">
      <c r="A125" s="1" t="s">
        <v>52</v>
      </c>
      <c r="B125" s="1" t="s">
        <v>83</v>
      </c>
      <c r="C125" s="1" t="s">
        <v>66</v>
      </c>
      <c r="D125" s="1">
        <v>48.6</v>
      </c>
      <c r="E125" s="1">
        <v>-124.36666667</v>
      </c>
      <c r="F125" s="1" t="s">
        <v>36</v>
      </c>
      <c r="G125" s="1">
        <v>533</v>
      </c>
      <c r="H125" s="1">
        <v>40</v>
      </c>
      <c r="I125" s="1" t="s">
        <v>84</v>
      </c>
      <c r="J125" s="1" t="s">
        <v>88</v>
      </c>
      <c r="K125" s="1">
        <v>-45</v>
      </c>
      <c r="L125" s="1">
        <v>-60</v>
      </c>
      <c r="M125" s="1">
        <f t="shared" si="16"/>
        <v>15</v>
      </c>
      <c r="N125" s="1"/>
      <c r="O125" s="1"/>
      <c r="P125" s="1"/>
      <c r="Q125" s="3">
        <v>0</v>
      </c>
      <c r="R125" s="14">
        <f>20+13</f>
        <v>33</v>
      </c>
      <c r="S125" s="5">
        <v>11.01</v>
      </c>
      <c r="T125" s="2">
        <f t="shared" si="10"/>
        <v>0</v>
      </c>
      <c r="U125" s="1"/>
      <c r="V125" s="2">
        <f t="shared" si="15"/>
        <v>0</v>
      </c>
      <c r="W125" s="1"/>
    </row>
    <row r="126" spans="1:23" x14ac:dyDescent="0.35">
      <c r="A126" s="1" t="s">
        <v>52</v>
      </c>
      <c r="B126" s="1" t="s">
        <v>83</v>
      </c>
      <c r="C126" s="1" t="s">
        <v>66</v>
      </c>
      <c r="D126" s="1">
        <v>48.6</v>
      </c>
      <c r="E126" s="1">
        <v>-124.36666667</v>
      </c>
      <c r="F126" s="1" t="s">
        <v>36</v>
      </c>
      <c r="G126" s="1">
        <v>533</v>
      </c>
      <c r="H126" s="1">
        <v>40</v>
      </c>
      <c r="I126" s="1" t="s">
        <v>84</v>
      </c>
      <c r="J126" s="1" t="s">
        <v>89</v>
      </c>
      <c r="K126" s="1">
        <v>-60</v>
      </c>
      <c r="L126" s="1">
        <v>-75</v>
      </c>
      <c r="M126" s="1">
        <f t="shared" si="16"/>
        <v>15</v>
      </c>
      <c r="N126" s="1"/>
      <c r="O126" s="1"/>
      <c r="P126" s="1"/>
      <c r="Q126" s="3">
        <v>0</v>
      </c>
      <c r="R126" s="14">
        <f>21+27</f>
        <v>48</v>
      </c>
      <c r="S126" s="5">
        <v>9.58</v>
      </c>
      <c r="T126" s="2">
        <f t="shared" si="10"/>
        <v>0</v>
      </c>
      <c r="U126" s="1"/>
      <c r="V126" s="2">
        <f t="shared" si="15"/>
        <v>0</v>
      </c>
      <c r="W126" s="1"/>
    </row>
    <row r="127" spans="1:23" x14ac:dyDescent="0.35">
      <c r="A127" s="1" t="s">
        <v>52</v>
      </c>
      <c r="B127" s="1" t="s">
        <v>83</v>
      </c>
      <c r="C127" s="1" t="s">
        <v>66</v>
      </c>
      <c r="D127" s="1">
        <v>48.6</v>
      </c>
      <c r="E127" s="1">
        <v>-124.36666667</v>
      </c>
      <c r="F127" s="1" t="s">
        <v>36</v>
      </c>
      <c r="G127" s="1">
        <v>533</v>
      </c>
      <c r="H127" s="1">
        <v>40</v>
      </c>
      <c r="I127" s="1" t="s">
        <v>84</v>
      </c>
      <c r="J127" s="1" t="s">
        <v>90</v>
      </c>
      <c r="K127" s="1">
        <v>-75</v>
      </c>
      <c r="L127" s="1">
        <v>-90</v>
      </c>
      <c r="M127" s="1">
        <f t="shared" si="16"/>
        <v>15</v>
      </c>
      <c r="N127" s="1"/>
      <c r="O127" s="1"/>
      <c r="P127" s="1"/>
      <c r="Q127" s="3">
        <v>0</v>
      </c>
      <c r="R127" s="14">
        <f>24+17</f>
        <v>41</v>
      </c>
      <c r="S127" s="5">
        <v>9.35</v>
      </c>
      <c r="T127" s="2">
        <f t="shared" si="10"/>
        <v>0</v>
      </c>
      <c r="U127" s="1"/>
      <c r="V127" s="2">
        <f t="shared" si="15"/>
        <v>0</v>
      </c>
      <c r="W127" s="1"/>
    </row>
    <row r="128" spans="1:23" x14ac:dyDescent="0.35">
      <c r="A128" s="1" t="s">
        <v>52</v>
      </c>
      <c r="B128" s="1" t="s">
        <v>83</v>
      </c>
      <c r="C128" s="1" t="s">
        <v>66</v>
      </c>
      <c r="D128" s="1">
        <v>48.6</v>
      </c>
      <c r="E128" s="1">
        <v>-124.36666667</v>
      </c>
      <c r="F128" s="1" t="s">
        <v>36</v>
      </c>
      <c r="G128" s="1">
        <v>533</v>
      </c>
      <c r="H128" s="1">
        <v>40</v>
      </c>
      <c r="I128" s="1" t="s">
        <v>84</v>
      </c>
      <c r="J128" s="1" t="s">
        <v>63</v>
      </c>
      <c r="K128" s="1">
        <v>-90</v>
      </c>
      <c r="L128" s="1">
        <v>-105</v>
      </c>
      <c r="M128" s="1">
        <f t="shared" si="16"/>
        <v>15</v>
      </c>
      <c r="N128" s="1"/>
      <c r="O128" s="1"/>
      <c r="P128" s="1"/>
      <c r="Q128" s="3">
        <v>0</v>
      </c>
      <c r="R128" s="15">
        <f>AVERAGE(R109,R99,R90)</f>
        <v>53.666666666666664</v>
      </c>
      <c r="S128" s="5">
        <v>1.51</v>
      </c>
      <c r="T128" s="2">
        <f t="shared" si="10"/>
        <v>0</v>
      </c>
      <c r="U128" s="1"/>
      <c r="V128" s="2">
        <f>IF(K128&gt;-100,T128-T128*(ABS(L128)-100)/(ABS(L128)-ABS(K128)),0)</f>
        <v>0</v>
      </c>
      <c r="W128" s="1"/>
    </row>
    <row r="129" spans="1:23" x14ac:dyDescent="0.35">
      <c r="A129" s="7" t="s">
        <v>52</v>
      </c>
      <c r="B129" s="7" t="s">
        <v>83</v>
      </c>
      <c r="C129" s="7" t="s">
        <v>66</v>
      </c>
      <c r="D129" s="7">
        <v>48.6</v>
      </c>
      <c r="E129" s="7">
        <v>-124.36666667</v>
      </c>
      <c r="F129" s="7" t="s">
        <v>36</v>
      </c>
      <c r="G129" s="7">
        <v>533</v>
      </c>
      <c r="H129" s="7">
        <v>40</v>
      </c>
      <c r="I129" s="7" t="s">
        <v>84</v>
      </c>
      <c r="J129" s="7" t="s">
        <v>64</v>
      </c>
      <c r="K129" s="7">
        <v>105</v>
      </c>
      <c r="L129" s="7">
        <v>105</v>
      </c>
      <c r="M129" s="7">
        <f t="shared" si="16"/>
        <v>0</v>
      </c>
      <c r="N129" s="7"/>
      <c r="O129" s="7"/>
      <c r="P129" s="7"/>
      <c r="Q129" s="10" t="s">
        <v>4</v>
      </c>
      <c r="R129" s="16"/>
      <c r="S129" s="9">
        <v>1.43</v>
      </c>
      <c r="T129" s="9" t="s">
        <v>4</v>
      </c>
      <c r="U129" s="7"/>
      <c r="V129" s="8" t="s">
        <v>4</v>
      </c>
      <c r="W129" s="7"/>
    </row>
    <row r="130" spans="1:23" x14ac:dyDescent="0.35">
      <c r="A130" s="1" t="s">
        <v>52</v>
      </c>
      <c r="B130" s="1" t="s">
        <v>91</v>
      </c>
      <c r="C130" s="1" t="s">
        <v>66</v>
      </c>
      <c r="D130" s="1">
        <v>50.616666670000001</v>
      </c>
      <c r="E130" s="1">
        <v>-128.05000000000001</v>
      </c>
      <c r="F130" s="1" t="s">
        <v>36</v>
      </c>
      <c r="G130" s="1">
        <v>274</v>
      </c>
      <c r="H130" s="1">
        <v>20</v>
      </c>
      <c r="I130" s="1" t="s">
        <v>84</v>
      </c>
      <c r="J130" s="1" t="s">
        <v>55</v>
      </c>
      <c r="K130" s="1">
        <v>12.5</v>
      </c>
      <c r="L130" s="1">
        <v>10</v>
      </c>
      <c r="M130" s="1">
        <f t="shared" si="16"/>
        <v>2.5</v>
      </c>
      <c r="N130" s="2">
        <f>IF(ABS(MIN(L130:L137))&gt;100,100,ABS(MIN(L130:L137)))</f>
        <v>70</v>
      </c>
      <c r="O130" s="2">
        <f>K130</f>
        <v>12.5</v>
      </c>
      <c r="P130" s="2">
        <f>O130+N130</f>
        <v>82.5</v>
      </c>
      <c r="Q130" s="3">
        <v>0</v>
      </c>
      <c r="R130" s="14"/>
      <c r="S130" s="5">
        <v>33.409999999999997</v>
      </c>
      <c r="T130" s="2">
        <f t="shared" si="10"/>
        <v>0</v>
      </c>
      <c r="U130" s="2">
        <f>SUM(T130:T137)</f>
        <v>0</v>
      </c>
      <c r="V130" s="2">
        <f t="shared" ref="V130:V146" si="17">T130</f>
        <v>0</v>
      </c>
      <c r="W130" s="6">
        <f>SUM(V130:V137)/10^6*10^4</f>
        <v>0</v>
      </c>
    </row>
    <row r="131" spans="1:23" x14ac:dyDescent="0.35">
      <c r="A131" s="1" t="s">
        <v>52</v>
      </c>
      <c r="B131" s="1" t="s">
        <v>91</v>
      </c>
      <c r="C131" s="1" t="s">
        <v>66</v>
      </c>
      <c r="D131" s="1">
        <v>50.616666670000001</v>
      </c>
      <c r="E131" s="1">
        <v>-128.05000000000001</v>
      </c>
      <c r="F131" s="1" t="s">
        <v>36</v>
      </c>
      <c r="G131" s="1">
        <v>274</v>
      </c>
      <c r="H131" s="1">
        <v>20</v>
      </c>
      <c r="I131" s="1" t="s">
        <v>84</v>
      </c>
      <c r="J131" s="1" t="s">
        <v>56</v>
      </c>
      <c r="K131" s="1">
        <v>10</v>
      </c>
      <c r="L131" s="1">
        <v>0</v>
      </c>
      <c r="M131" s="1">
        <f t="shared" si="16"/>
        <v>10</v>
      </c>
      <c r="N131" s="1"/>
      <c r="O131" s="1"/>
      <c r="P131" s="1"/>
      <c r="Q131" s="3">
        <v>0</v>
      </c>
      <c r="R131" s="14"/>
      <c r="S131" s="5">
        <v>44.35</v>
      </c>
      <c r="T131" s="2">
        <f t="shared" si="10"/>
        <v>0</v>
      </c>
      <c r="U131" s="1"/>
      <c r="V131" s="2">
        <f t="shared" si="17"/>
        <v>0</v>
      </c>
      <c r="W131" s="1"/>
    </row>
    <row r="132" spans="1:23" x14ac:dyDescent="0.35">
      <c r="A132" s="1" t="s">
        <v>52</v>
      </c>
      <c r="B132" s="1" t="s">
        <v>91</v>
      </c>
      <c r="C132" s="1" t="s">
        <v>66</v>
      </c>
      <c r="D132" s="1">
        <v>50.616666670000001</v>
      </c>
      <c r="E132" s="1">
        <v>-128.05000000000001</v>
      </c>
      <c r="F132" s="1" t="s">
        <v>36</v>
      </c>
      <c r="G132" s="1">
        <v>274</v>
      </c>
      <c r="H132" s="1">
        <v>20</v>
      </c>
      <c r="I132" s="1" t="s">
        <v>84</v>
      </c>
      <c r="J132" s="1" t="s">
        <v>67</v>
      </c>
      <c r="K132" s="1">
        <v>0</v>
      </c>
      <c r="L132" s="1">
        <v>-15</v>
      </c>
      <c r="M132" s="1">
        <f t="shared" si="16"/>
        <v>15</v>
      </c>
      <c r="N132" s="1"/>
      <c r="O132" s="1"/>
      <c r="P132" s="1"/>
      <c r="Q132" s="3">
        <v>0</v>
      </c>
      <c r="R132" s="14">
        <f>26+9</f>
        <v>35</v>
      </c>
      <c r="S132" s="5">
        <v>6.13</v>
      </c>
      <c r="T132" s="2">
        <f t="shared" si="10"/>
        <v>0</v>
      </c>
      <c r="U132" s="1"/>
      <c r="V132" s="2">
        <f t="shared" si="17"/>
        <v>0</v>
      </c>
      <c r="W132" s="1"/>
    </row>
    <row r="133" spans="1:23" x14ac:dyDescent="0.35">
      <c r="A133" s="1" t="s">
        <v>52</v>
      </c>
      <c r="B133" s="1" t="s">
        <v>91</v>
      </c>
      <c r="C133" s="1" t="s">
        <v>66</v>
      </c>
      <c r="D133" s="1">
        <v>50.616666670000001</v>
      </c>
      <c r="E133" s="1">
        <v>-128.05000000000001</v>
      </c>
      <c r="F133" s="1" t="s">
        <v>36</v>
      </c>
      <c r="G133" s="1">
        <v>274</v>
      </c>
      <c r="H133" s="1">
        <v>20</v>
      </c>
      <c r="I133" s="1" t="s">
        <v>84</v>
      </c>
      <c r="J133" s="1" t="s">
        <v>67</v>
      </c>
      <c r="K133" s="1">
        <v>-15</v>
      </c>
      <c r="L133" s="1">
        <v>-30</v>
      </c>
      <c r="M133" s="1">
        <f t="shared" si="16"/>
        <v>15</v>
      </c>
      <c r="N133" s="1"/>
      <c r="O133" s="1"/>
      <c r="P133" s="1"/>
      <c r="Q133" s="3">
        <v>0</v>
      </c>
      <c r="R133" s="14">
        <f>30+9</f>
        <v>39</v>
      </c>
      <c r="S133" s="5">
        <v>5.38</v>
      </c>
      <c r="T133" s="2">
        <f t="shared" si="10"/>
        <v>0</v>
      </c>
      <c r="U133" s="1"/>
      <c r="V133" s="2">
        <f t="shared" si="17"/>
        <v>0</v>
      </c>
      <c r="W133" s="1"/>
    </row>
    <row r="134" spans="1:23" x14ac:dyDescent="0.35">
      <c r="A134" s="1" t="s">
        <v>52</v>
      </c>
      <c r="B134" s="1" t="s">
        <v>91</v>
      </c>
      <c r="C134" s="1" t="s">
        <v>66</v>
      </c>
      <c r="D134" s="1">
        <v>50.616666670000001</v>
      </c>
      <c r="E134" s="1">
        <v>-128.05000000000001</v>
      </c>
      <c r="F134" s="1" t="s">
        <v>36</v>
      </c>
      <c r="G134" s="1">
        <v>274</v>
      </c>
      <c r="H134" s="1">
        <v>20</v>
      </c>
      <c r="I134" s="1" t="s">
        <v>84</v>
      </c>
      <c r="J134" s="1" t="s">
        <v>92</v>
      </c>
      <c r="K134" s="1">
        <v>-30</v>
      </c>
      <c r="L134" s="1">
        <v>-45</v>
      </c>
      <c r="M134" s="1">
        <f t="shared" si="16"/>
        <v>15</v>
      </c>
      <c r="N134" s="1"/>
      <c r="O134" s="1"/>
      <c r="P134" s="1"/>
      <c r="Q134" s="3">
        <v>0</v>
      </c>
      <c r="R134" s="14">
        <f>31+10</f>
        <v>41</v>
      </c>
      <c r="S134" s="5">
        <v>3.67</v>
      </c>
      <c r="T134" s="2">
        <f t="shared" si="10"/>
        <v>0</v>
      </c>
      <c r="U134" s="1"/>
      <c r="V134" s="2">
        <f t="shared" si="17"/>
        <v>0</v>
      </c>
      <c r="W134" s="1"/>
    </row>
    <row r="135" spans="1:23" x14ac:dyDescent="0.35">
      <c r="A135" s="1" t="s">
        <v>52</v>
      </c>
      <c r="B135" s="1" t="s">
        <v>91</v>
      </c>
      <c r="C135" s="1" t="s">
        <v>66</v>
      </c>
      <c r="D135" s="1">
        <v>50.616666670000001</v>
      </c>
      <c r="E135" s="1">
        <v>-128.05000000000001</v>
      </c>
      <c r="F135" s="1" t="s">
        <v>36</v>
      </c>
      <c r="G135" s="1">
        <v>274</v>
      </c>
      <c r="H135" s="1">
        <v>20</v>
      </c>
      <c r="I135" s="1" t="s">
        <v>84</v>
      </c>
      <c r="J135" s="1" t="s">
        <v>93</v>
      </c>
      <c r="K135" s="1">
        <v>-45</v>
      </c>
      <c r="L135" s="1">
        <v>-55</v>
      </c>
      <c r="M135" s="1">
        <f t="shared" si="16"/>
        <v>10</v>
      </c>
      <c r="N135" s="1"/>
      <c r="O135" s="1"/>
      <c r="P135" s="1"/>
      <c r="Q135" s="3">
        <v>0</v>
      </c>
      <c r="R135" s="14">
        <f>34+11</f>
        <v>45</v>
      </c>
      <c r="S135" s="5">
        <v>3.3</v>
      </c>
      <c r="T135" s="2">
        <f t="shared" si="10"/>
        <v>0</v>
      </c>
      <c r="U135" s="1"/>
      <c r="V135" s="2">
        <f t="shared" si="17"/>
        <v>0</v>
      </c>
      <c r="W135" s="1"/>
    </row>
    <row r="136" spans="1:23" x14ac:dyDescent="0.35">
      <c r="A136" s="1" t="s">
        <v>52</v>
      </c>
      <c r="B136" s="1" t="s">
        <v>91</v>
      </c>
      <c r="C136" s="1" t="s">
        <v>66</v>
      </c>
      <c r="D136" s="1">
        <v>50.616666670000001</v>
      </c>
      <c r="E136" s="1">
        <v>-128.05000000000001</v>
      </c>
      <c r="F136" s="1" t="s">
        <v>36</v>
      </c>
      <c r="G136" s="1">
        <v>274</v>
      </c>
      <c r="H136" s="1">
        <v>20</v>
      </c>
      <c r="I136" s="1" t="s">
        <v>84</v>
      </c>
      <c r="J136" s="1" t="s">
        <v>63</v>
      </c>
      <c r="K136" s="1">
        <v>-55</v>
      </c>
      <c r="L136" s="1">
        <v>-70</v>
      </c>
      <c r="M136" s="1">
        <f t="shared" si="16"/>
        <v>15</v>
      </c>
      <c r="N136" s="1"/>
      <c r="O136" s="1"/>
      <c r="P136" s="1"/>
      <c r="Q136" s="3">
        <v>0</v>
      </c>
      <c r="R136" s="14">
        <f>31+13</f>
        <v>44</v>
      </c>
      <c r="S136" s="5">
        <v>0.93</v>
      </c>
      <c r="T136" s="2">
        <f t="shared" si="10"/>
        <v>0</v>
      </c>
      <c r="U136" s="1"/>
      <c r="V136" s="2">
        <f t="shared" si="17"/>
        <v>0</v>
      </c>
      <c r="W136" s="1"/>
    </row>
    <row r="137" spans="1:23" x14ac:dyDescent="0.35">
      <c r="A137" s="7" t="s">
        <v>52</v>
      </c>
      <c r="B137" s="7" t="s">
        <v>91</v>
      </c>
      <c r="C137" s="7" t="s">
        <v>66</v>
      </c>
      <c r="D137" s="7">
        <v>50.616666670000001</v>
      </c>
      <c r="E137" s="7">
        <v>-128.05000000000001</v>
      </c>
      <c r="F137" s="7" t="s">
        <v>36</v>
      </c>
      <c r="G137" s="7">
        <v>274</v>
      </c>
      <c r="H137" s="7">
        <v>20</v>
      </c>
      <c r="I137" s="7" t="s">
        <v>84</v>
      </c>
      <c r="J137" s="7" t="s">
        <v>64</v>
      </c>
      <c r="K137" s="7">
        <v>-70</v>
      </c>
      <c r="L137" s="7">
        <v>-70</v>
      </c>
      <c r="M137" s="7">
        <f t="shared" si="16"/>
        <v>0</v>
      </c>
      <c r="N137" s="7"/>
      <c r="O137" s="7"/>
      <c r="P137" s="7"/>
      <c r="Q137" s="10" t="s">
        <v>4</v>
      </c>
      <c r="R137" s="16"/>
      <c r="S137" s="9">
        <v>0.39</v>
      </c>
      <c r="T137" s="9" t="s">
        <v>4</v>
      </c>
      <c r="U137" s="7"/>
      <c r="V137" s="8" t="str">
        <f t="shared" si="17"/>
        <v>NA</v>
      </c>
      <c r="W137" s="7"/>
    </row>
    <row r="138" spans="1:23" x14ac:dyDescent="0.35">
      <c r="A138" s="1" t="s">
        <v>52</v>
      </c>
      <c r="B138" s="1" t="s">
        <v>94</v>
      </c>
      <c r="C138" s="1" t="s">
        <v>95</v>
      </c>
      <c r="D138" s="1">
        <v>48.566666669999996</v>
      </c>
      <c r="E138" s="1">
        <v>-124.33333333</v>
      </c>
      <c r="F138" s="1" t="s">
        <v>36</v>
      </c>
      <c r="G138" s="1">
        <v>229</v>
      </c>
      <c r="H138" s="1">
        <v>25</v>
      </c>
      <c r="I138" s="1" t="s">
        <v>46</v>
      </c>
      <c r="J138" s="1" t="s">
        <v>55</v>
      </c>
      <c r="K138" s="1">
        <v>10</v>
      </c>
      <c r="L138" s="1">
        <v>7.5</v>
      </c>
      <c r="M138" s="1">
        <f t="shared" si="16"/>
        <v>2.5</v>
      </c>
      <c r="N138" s="2">
        <f>IF(ABS(MIN(L138:L148))&gt;100,100,ABS(MIN(L138:L148)))</f>
        <v>100</v>
      </c>
      <c r="O138" s="2">
        <f>K138</f>
        <v>10</v>
      </c>
      <c r="P138" s="2">
        <f>O138+N138</f>
        <v>110</v>
      </c>
      <c r="Q138" s="3">
        <v>0</v>
      </c>
      <c r="R138" s="14"/>
      <c r="S138" s="5">
        <v>46.61</v>
      </c>
      <c r="T138" s="2">
        <f t="shared" si="10"/>
        <v>0</v>
      </c>
      <c r="U138" s="2">
        <f>SUM(T138:T148)</f>
        <v>0</v>
      </c>
      <c r="V138" s="2">
        <f t="shared" si="17"/>
        <v>0</v>
      </c>
      <c r="W138" s="6">
        <f>SUM(V138:V148)/10^6*10^4</f>
        <v>0</v>
      </c>
    </row>
    <row r="139" spans="1:23" x14ac:dyDescent="0.35">
      <c r="A139" s="1" t="s">
        <v>52</v>
      </c>
      <c r="B139" s="1" t="s">
        <v>94</v>
      </c>
      <c r="C139" s="1" t="s">
        <v>95</v>
      </c>
      <c r="D139" s="1">
        <v>48.566666669999996</v>
      </c>
      <c r="E139" s="1">
        <v>-124.33333333</v>
      </c>
      <c r="F139" s="1" t="s">
        <v>36</v>
      </c>
      <c r="G139" s="1">
        <v>229</v>
      </c>
      <c r="H139" s="1">
        <v>25</v>
      </c>
      <c r="I139" s="1" t="s">
        <v>46</v>
      </c>
      <c r="J139" s="1" t="s">
        <v>56</v>
      </c>
      <c r="K139" s="1">
        <v>7.5</v>
      </c>
      <c r="L139" s="1">
        <v>0</v>
      </c>
      <c r="M139" s="1">
        <f t="shared" si="16"/>
        <v>7.5</v>
      </c>
      <c r="N139" s="1"/>
      <c r="O139" s="1"/>
      <c r="P139" s="1"/>
      <c r="Q139" s="3">
        <v>0</v>
      </c>
      <c r="R139" s="14"/>
      <c r="S139" s="5">
        <v>43.16</v>
      </c>
      <c r="T139" s="2">
        <f t="shared" ref="T139:T147" si="18">S139/100*Q139*(100*100*M139)*((100-R139)/100)</f>
        <v>0</v>
      </c>
      <c r="U139" s="1"/>
      <c r="V139" s="2">
        <f t="shared" si="17"/>
        <v>0</v>
      </c>
      <c r="W139" s="1"/>
    </row>
    <row r="140" spans="1:23" x14ac:dyDescent="0.35">
      <c r="A140" s="1" t="s">
        <v>52</v>
      </c>
      <c r="B140" s="1" t="s">
        <v>94</v>
      </c>
      <c r="C140" s="1" t="s">
        <v>95</v>
      </c>
      <c r="D140" s="1">
        <v>48.566666669999996</v>
      </c>
      <c r="E140" s="1">
        <v>-124.33333333</v>
      </c>
      <c r="F140" s="1" t="s">
        <v>36</v>
      </c>
      <c r="G140" s="1">
        <v>229</v>
      </c>
      <c r="H140" s="1">
        <v>25</v>
      </c>
      <c r="I140" s="1" t="s">
        <v>46</v>
      </c>
      <c r="J140" s="1" t="s">
        <v>14</v>
      </c>
      <c r="K140" s="1">
        <v>0</v>
      </c>
      <c r="L140" s="1">
        <v>-5</v>
      </c>
      <c r="M140" s="1">
        <f t="shared" si="16"/>
        <v>5</v>
      </c>
      <c r="N140" s="1"/>
      <c r="O140" s="1"/>
      <c r="P140" s="1"/>
      <c r="Q140" s="3">
        <v>0</v>
      </c>
      <c r="R140" s="14">
        <f>18+4</f>
        <v>22</v>
      </c>
      <c r="S140" s="5">
        <v>1.1599999999999999</v>
      </c>
      <c r="T140" s="2">
        <f t="shared" si="18"/>
        <v>0</v>
      </c>
      <c r="U140" s="1"/>
      <c r="V140" s="2">
        <f t="shared" si="17"/>
        <v>0</v>
      </c>
      <c r="W140" s="1"/>
    </row>
    <row r="141" spans="1:23" x14ac:dyDescent="0.35">
      <c r="A141" s="1" t="s">
        <v>52</v>
      </c>
      <c r="B141" s="1" t="s">
        <v>94</v>
      </c>
      <c r="C141" s="1" t="s">
        <v>95</v>
      </c>
      <c r="D141" s="1">
        <v>48.566666669999996</v>
      </c>
      <c r="E141" s="1">
        <v>-124.33333333</v>
      </c>
      <c r="F141" s="1" t="s">
        <v>36</v>
      </c>
      <c r="G141" s="1">
        <v>229</v>
      </c>
      <c r="H141" s="1">
        <v>25</v>
      </c>
      <c r="I141" s="1" t="s">
        <v>46</v>
      </c>
      <c r="J141" s="1" t="s">
        <v>57</v>
      </c>
      <c r="K141" s="1">
        <v>-5</v>
      </c>
      <c r="L141" s="1">
        <v>-20</v>
      </c>
      <c r="M141" s="1">
        <f t="shared" si="16"/>
        <v>15</v>
      </c>
      <c r="N141" s="1"/>
      <c r="O141" s="1"/>
      <c r="P141" s="1"/>
      <c r="Q141" s="3">
        <v>0</v>
      </c>
      <c r="R141" s="14">
        <f>25+7</f>
        <v>32</v>
      </c>
      <c r="S141" s="5">
        <v>2.98</v>
      </c>
      <c r="T141" s="2">
        <f t="shared" si="18"/>
        <v>0</v>
      </c>
      <c r="U141" s="1"/>
      <c r="V141" s="2">
        <f t="shared" si="17"/>
        <v>0</v>
      </c>
      <c r="W141" s="1"/>
    </row>
    <row r="142" spans="1:23" x14ac:dyDescent="0.35">
      <c r="A142" s="1" t="s">
        <v>52</v>
      </c>
      <c r="B142" s="1" t="s">
        <v>94</v>
      </c>
      <c r="C142" s="1" t="s">
        <v>95</v>
      </c>
      <c r="D142" s="1">
        <v>48.566666669999996</v>
      </c>
      <c r="E142" s="1">
        <v>-124.33333333</v>
      </c>
      <c r="F142" s="1" t="s">
        <v>36</v>
      </c>
      <c r="G142" s="1">
        <v>229</v>
      </c>
      <c r="H142" s="1">
        <v>25</v>
      </c>
      <c r="I142" s="1" t="s">
        <v>46</v>
      </c>
      <c r="J142" s="1" t="s">
        <v>58</v>
      </c>
      <c r="K142" s="1">
        <v>-20</v>
      </c>
      <c r="L142" s="1">
        <v>-35</v>
      </c>
      <c r="M142" s="1">
        <f t="shared" si="16"/>
        <v>15</v>
      </c>
      <c r="N142" s="1"/>
      <c r="O142" s="1"/>
      <c r="P142" s="1"/>
      <c r="Q142" s="3">
        <v>0</v>
      </c>
      <c r="R142" s="14">
        <f>27+9</f>
        <v>36</v>
      </c>
      <c r="S142" s="5">
        <v>2.59</v>
      </c>
      <c r="T142" s="2">
        <f t="shared" si="18"/>
        <v>0</v>
      </c>
      <c r="U142" s="1"/>
      <c r="V142" s="2">
        <f t="shared" si="17"/>
        <v>0</v>
      </c>
      <c r="W142" s="1"/>
    </row>
    <row r="143" spans="1:23" x14ac:dyDescent="0.35">
      <c r="A143" s="1" t="s">
        <v>52</v>
      </c>
      <c r="B143" s="1" t="s">
        <v>94</v>
      </c>
      <c r="C143" s="1" t="s">
        <v>95</v>
      </c>
      <c r="D143" s="1">
        <v>48.566666669999996</v>
      </c>
      <c r="E143" s="1">
        <v>-124.33333333</v>
      </c>
      <c r="F143" s="1" t="s">
        <v>36</v>
      </c>
      <c r="G143" s="1">
        <v>229</v>
      </c>
      <c r="H143" s="1">
        <v>25</v>
      </c>
      <c r="I143" s="1" t="s">
        <v>46</v>
      </c>
      <c r="J143" s="1" t="s">
        <v>59</v>
      </c>
      <c r="K143" s="1">
        <v>-35</v>
      </c>
      <c r="L143" s="1">
        <v>-50</v>
      </c>
      <c r="M143" s="1">
        <f t="shared" si="16"/>
        <v>15</v>
      </c>
      <c r="N143" s="1"/>
      <c r="O143" s="1"/>
      <c r="P143" s="1"/>
      <c r="Q143" s="3">
        <v>0</v>
      </c>
      <c r="R143" s="14">
        <f>30+5</f>
        <v>35</v>
      </c>
      <c r="S143" s="5">
        <v>1.63</v>
      </c>
      <c r="T143" s="2">
        <f t="shared" si="18"/>
        <v>0</v>
      </c>
      <c r="U143" s="1"/>
      <c r="V143" s="2">
        <f t="shared" si="17"/>
        <v>0</v>
      </c>
      <c r="W143" s="1"/>
    </row>
    <row r="144" spans="1:23" x14ac:dyDescent="0.35">
      <c r="A144" s="1" t="s">
        <v>52</v>
      </c>
      <c r="B144" s="1" t="s">
        <v>94</v>
      </c>
      <c r="C144" s="1" t="s">
        <v>95</v>
      </c>
      <c r="D144" s="1">
        <v>48.566666669999996</v>
      </c>
      <c r="E144" s="1">
        <v>-124.33333333</v>
      </c>
      <c r="F144" s="1" t="s">
        <v>36</v>
      </c>
      <c r="G144" s="1">
        <v>229</v>
      </c>
      <c r="H144" s="1">
        <v>25</v>
      </c>
      <c r="I144" s="1" t="s">
        <v>46</v>
      </c>
      <c r="J144" s="1" t="s">
        <v>60</v>
      </c>
      <c r="K144" s="1">
        <v>-50</v>
      </c>
      <c r="L144" s="1">
        <v>-65</v>
      </c>
      <c r="M144" s="1">
        <f t="shared" si="16"/>
        <v>15</v>
      </c>
      <c r="N144" s="1"/>
      <c r="O144" s="1"/>
      <c r="P144" s="1"/>
      <c r="Q144" s="3">
        <v>0</v>
      </c>
      <c r="R144" s="14">
        <f>31+3</f>
        <v>34</v>
      </c>
      <c r="S144" s="5">
        <v>0.85</v>
      </c>
      <c r="T144" s="2">
        <f t="shared" si="18"/>
        <v>0</v>
      </c>
      <c r="U144" s="1"/>
      <c r="V144" s="2">
        <f t="shared" si="17"/>
        <v>0</v>
      </c>
      <c r="W144" s="1"/>
    </row>
    <row r="145" spans="1:23" x14ac:dyDescent="0.35">
      <c r="A145" s="1" t="s">
        <v>52</v>
      </c>
      <c r="B145" s="1" t="s">
        <v>94</v>
      </c>
      <c r="C145" s="1" t="s">
        <v>95</v>
      </c>
      <c r="D145" s="1">
        <v>48.566666669999996</v>
      </c>
      <c r="E145" s="1">
        <v>-124.33333333</v>
      </c>
      <c r="F145" s="1" t="s">
        <v>36</v>
      </c>
      <c r="G145" s="1">
        <v>229</v>
      </c>
      <c r="H145" s="1">
        <v>25</v>
      </c>
      <c r="I145" s="1" t="s">
        <v>46</v>
      </c>
      <c r="J145" s="1" t="s">
        <v>96</v>
      </c>
      <c r="K145" s="1">
        <v>-65</v>
      </c>
      <c r="L145" s="1">
        <v>-80</v>
      </c>
      <c r="M145" s="1">
        <f t="shared" si="16"/>
        <v>15</v>
      </c>
      <c r="N145" s="1"/>
      <c r="O145" s="1"/>
      <c r="P145" s="1"/>
      <c r="Q145" s="3">
        <v>0</v>
      </c>
      <c r="R145" s="14">
        <f>35+8</f>
        <v>43</v>
      </c>
      <c r="S145" s="5">
        <v>1.96</v>
      </c>
      <c r="T145" s="2">
        <f t="shared" si="18"/>
        <v>0</v>
      </c>
      <c r="U145" s="1"/>
      <c r="V145" s="2">
        <f t="shared" si="17"/>
        <v>0</v>
      </c>
      <c r="W145" s="1"/>
    </row>
    <row r="146" spans="1:23" x14ac:dyDescent="0.35">
      <c r="A146" s="1" t="s">
        <v>52</v>
      </c>
      <c r="B146" s="1" t="s">
        <v>94</v>
      </c>
      <c r="C146" s="1" t="s">
        <v>95</v>
      </c>
      <c r="D146" s="1">
        <v>48.566666669999996</v>
      </c>
      <c r="E146" s="1">
        <v>-124.33333333</v>
      </c>
      <c r="F146" s="1" t="s">
        <v>36</v>
      </c>
      <c r="G146" s="1">
        <v>229</v>
      </c>
      <c r="H146" s="1">
        <v>25</v>
      </c>
      <c r="I146" s="1" t="s">
        <v>46</v>
      </c>
      <c r="J146" s="1" t="s">
        <v>61</v>
      </c>
      <c r="K146" s="1">
        <v>-80</v>
      </c>
      <c r="L146" s="1">
        <v>-95</v>
      </c>
      <c r="M146" s="1">
        <f t="shared" si="16"/>
        <v>15</v>
      </c>
      <c r="N146" s="1"/>
      <c r="O146" s="1"/>
      <c r="P146" s="1"/>
      <c r="Q146" s="3">
        <v>0</v>
      </c>
      <c r="R146" s="14">
        <f>25+8</f>
        <v>33</v>
      </c>
      <c r="S146" s="5">
        <v>2.77</v>
      </c>
      <c r="T146" s="2">
        <f t="shared" si="18"/>
        <v>0</v>
      </c>
      <c r="U146" s="1"/>
      <c r="V146" s="2">
        <f t="shared" si="17"/>
        <v>0</v>
      </c>
      <c r="W146" s="1"/>
    </row>
    <row r="147" spans="1:23" x14ac:dyDescent="0.35">
      <c r="A147" s="1" t="s">
        <v>52</v>
      </c>
      <c r="B147" s="1" t="s">
        <v>94</v>
      </c>
      <c r="C147" s="1" t="s">
        <v>95</v>
      </c>
      <c r="D147" s="1">
        <v>48.566666669999996</v>
      </c>
      <c r="E147" s="1">
        <v>-124.33333333</v>
      </c>
      <c r="F147" s="1" t="s">
        <v>36</v>
      </c>
      <c r="G147" s="1">
        <v>229</v>
      </c>
      <c r="H147" s="1">
        <v>25</v>
      </c>
      <c r="I147" s="1" t="s">
        <v>46</v>
      </c>
      <c r="J147" s="1" t="s">
        <v>62</v>
      </c>
      <c r="K147" s="1">
        <v>-95</v>
      </c>
      <c r="L147" s="1">
        <v>-110</v>
      </c>
      <c r="M147" s="1">
        <f t="shared" si="16"/>
        <v>15</v>
      </c>
      <c r="N147" s="1"/>
      <c r="O147" s="1"/>
      <c r="P147" s="1"/>
      <c r="Q147" s="3">
        <v>0</v>
      </c>
      <c r="R147" s="14">
        <f>23+10</f>
        <v>33</v>
      </c>
      <c r="S147" s="5">
        <v>3.92</v>
      </c>
      <c r="T147" s="2">
        <f t="shared" si="18"/>
        <v>0</v>
      </c>
      <c r="U147" s="1"/>
      <c r="V147" s="2">
        <f>IF(K147&gt;-100,T147-T147*(ABS(L147)-100)/(ABS(L147)-ABS(K147)),0)</f>
        <v>0</v>
      </c>
      <c r="W147" s="1"/>
    </row>
    <row r="148" spans="1:23" x14ac:dyDescent="0.35">
      <c r="A148" s="7" t="s">
        <v>52</v>
      </c>
      <c r="B148" s="7" t="s">
        <v>94</v>
      </c>
      <c r="C148" s="7" t="s">
        <v>95</v>
      </c>
      <c r="D148" s="7">
        <v>48.566666669999996</v>
      </c>
      <c r="E148" s="7">
        <v>-124.33333333</v>
      </c>
      <c r="F148" s="7" t="s">
        <v>36</v>
      </c>
      <c r="G148" s="7">
        <v>229</v>
      </c>
      <c r="H148" s="7">
        <v>25</v>
      </c>
      <c r="I148" s="7" t="s">
        <v>46</v>
      </c>
      <c r="J148" s="7" t="s">
        <v>64</v>
      </c>
      <c r="K148" s="7">
        <v>-110</v>
      </c>
      <c r="L148" s="7">
        <v>-110</v>
      </c>
      <c r="M148" s="7">
        <f t="shared" si="16"/>
        <v>0</v>
      </c>
      <c r="N148" s="7"/>
      <c r="O148" s="7"/>
      <c r="P148" s="7"/>
      <c r="Q148" s="10" t="s">
        <v>4</v>
      </c>
      <c r="R148" s="16"/>
      <c r="S148" s="9">
        <v>0.43</v>
      </c>
      <c r="T148" s="9" t="s">
        <v>4</v>
      </c>
      <c r="U148" s="7"/>
      <c r="V148" s="8" t="s">
        <v>4</v>
      </c>
      <c r="W148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2022-02-08T23:54:05Z</dcterms:created>
  <dcterms:modified xsi:type="dcterms:W3CDTF">2022-02-09T00:01:40Z</dcterms:modified>
</cp:coreProperties>
</file>