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E14A5EC3-09EC-4156-A374-B2484F509DFB}" xr6:coauthVersionLast="47" xr6:coauthVersionMax="47" xr10:uidLastSave="{00000000-0000-0000-0000-000000000000}"/>
  <bookViews>
    <workbookView xWindow="-110" yWindow="-110" windowWidth="19420" windowHeight="10420" xr2:uid="{86E6640A-68D2-40A7-8A79-FB8C777EAE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3" i="1" l="1"/>
  <c r="T73" i="1" s="1"/>
  <c r="V73" i="1" s="1"/>
  <c r="M72" i="1"/>
  <c r="T72" i="1" s="1"/>
  <c r="V72" i="1" s="1"/>
  <c r="T71" i="1"/>
  <c r="V71" i="1" s="1"/>
  <c r="M71" i="1"/>
  <c r="M70" i="1"/>
  <c r="T70" i="1" s="1"/>
  <c r="V70" i="1" s="1"/>
  <c r="V69" i="1"/>
  <c r="W69" i="1" s="1"/>
  <c r="T69" i="1"/>
  <c r="O69" i="1"/>
  <c r="N69" i="1"/>
  <c r="P69" i="1" s="1"/>
  <c r="M69" i="1"/>
  <c r="AA68" i="1"/>
  <c r="X68" i="1"/>
  <c r="S68" i="1" s="1"/>
  <c r="M68" i="1"/>
  <c r="Y67" i="1"/>
  <c r="Z67" i="1" s="1"/>
  <c r="T67" i="1"/>
  <c r="V67" i="1" s="1"/>
  <c r="S67" i="1"/>
  <c r="M67" i="1"/>
  <c r="M66" i="1"/>
  <c r="T66" i="1" s="1"/>
  <c r="V66" i="1" s="1"/>
  <c r="M65" i="1"/>
  <c r="T65" i="1" s="1"/>
  <c r="V65" i="1" s="1"/>
  <c r="M64" i="1"/>
  <c r="T64" i="1" s="1"/>
  <c r="V64" i="1" s="1"/>
  <c r="M63" i="1"/>
  <c r="T63" i="1" s="1"/>
  <c r="V63" i="1" s="1"/>
  <c r="T62" i="1"/>
  <c r="V62" i="1" s="1"/>
  <c r="M62" i="1"/>
  <c r="T61" i="1"/>
  <c r="V61" i="1" s="1"/>
  <c r="M61" i="1"/>
  <c r="V60" i="1"/>
  <c r="T60" i="1"/>
  <c r="O60" i="1"/>
  <c r="N60" i="1"/>
  <c r="P60" i="1" s="1"/>
  <c r="M60" i="1"/>
  <c r="T59" i="1"/>
  <c r="V59" i="1" s="1"/>
  <c r="M59" i="1"/>
  <c r="V58" i="1"/>
  <c r="T58" i="1"/>
  <c r="M58" i="1"/>
  <c r="T57" i="1"/>
  <c r="V57" i="1" s="1"/>
  <c r="O57" i="1"/>
  <c r="P57" i="1" s="1"/>
  <c r="N57" i="1"/>
  <c r="M57" i="1"/>
  <c r="AA56" i="1"/>
  <c r="X56" i="1"/>
  <c r="S56" i="1" s="1"/>
  <c r="M56" i="1"/>
  <c r="M55" i="1"/>
  <c r="T55" i="1" s="1"/>
  <c r="V55" i="1" s="1"/>
  <c r="M54" i="1"/>
  <c r="T54" i="1" s="1"/>
  <c r="V54" i="1" s="1"/>
  <c r="M53" i="1"/>
  <c r="T53" i="1" s="1"/>
  <c r="V53" i="1" s="1"/>
  <c r="P52" i="1"/>
  <c r="O52" i="1"/>
  <c r="N52" i="1"/>
  <c r="M52" i="1"/>
  <c r="T52" i="1" s="1"/>
  <c r="AA51" i="1"/>
  <c r="X51" i="1"/>
  <c r="M51" i="1"/>
  <c r="S51" i="1" s="1"/>
  <c r="M50" i="1"/>
  <c r="T50" i="1" s="1"/>
  <c r="V50" i="1" s="1"/>
  <c r="T49" i="1"/>
  <c r="V49" i="1" s="1"/>
  <c r="M49" i="1"/>
  <c r="T48" i="1"/>
  <c r="V48" i="1" s="1"/>
  <c r="M48" i="1"/>
  <c r="V47" i="1"/>
  <c r="T47" i="1"/>
  <c r="O47" i="1"/>
  <c r="N47" i="1"/>
  <c r="P47" i="1" s="1"/>
  <c r="M47" i="1"/>
  <c r="AA46" i="1"/>
  <c r="X46" i="1"/>
  <c r="S46" i="1" s="1"/>
  <c r="M46" i="1"/>
  <c r="T45" i="1"/>
  <c r="V45" i="1" s="1"/>
  <c r="M45" i="1"/>
  <c r="V44" i="1"/>
  <c r="T44" i="1"/>
  <c r="M44" i="1"/>
  <c r="M43" i="1"/>
  <c r="T43" i="1" s="1"/>
  <c r="V43" i="1" s="1"/>
  <c r="O42" i="1"/>
  <c r="P42" i="1" s="1"/>
  <c r="N42" i="1"/>
  <c r="M42" i="1"/>
  <c r="T42" i="1" s="1"/>
  <c r="AA41" i="1"/>
  <c r="X41" i="1"/>
  <c r="M41" i="1"/>
  <c r="S41" i="1" s="1"/>
  <c r="M40" i="1"/>
  <c r="T40" i="1" s="1"/>
  <c r="V40" i="1" s="1"/>
  <c r="M39" i="1"/>
  <c r="T39" i="1" s="1"/>
  <c r="V39" i="1" s="1"/>
  <c r="M38" i="1"/>
  <c r="T38" i="1" s="1"/>
  <c r="V38" i="1" s="1"/>
  <c r="O37" i="1"/>
  <c r="N37" i="1"/>
  <c r="P37" i="1" s="1"/>
  <c r="M37" i="1"/>
  <c r="T37" i="1" s="1"/>
  <c r="T36" i="1"/>
  <c r="V36" i="1" s="1"/>
  <c r="M36" i="1"/>
  <c r="T35" i="1"/>
  <c r="V35" i="1" s="1"/>
  <c r="M35" i="1"/>
  <c r="V34" i="1"/>
  <c r="W34" i="1" s="1"/>
  <c r="T34" i="1"/>
  <c r="U34" i="1" s="1"/>
  <c r="O34" i="1"/>
  <c r="N34" i="1"/>
  <c r="P34" i="1" s="1"/>
  <c r="M34" i="1"/>
  <c r="AA33" i="1"/>
  <c r="X33" i="1"/>
  <c r="S33" i="1" s="1"/>
  <c r="M33" i="1"/>
  <c r="T32" i="1"/>
  <c r="V32" i="1" s="1"/>
  <c r="M32" i="1"/>
  <c r="V31" i="1"/>
  <c r="T31" i="1"/>
  <c r="M31" i="1"/>
  <c r="M30" i="1"/>
  <c r="T30" i="1" s="1"/>
  <c r="V30" i="1" s="1"/>
  <c r="M29" i="1"/>
  <c r="T29" i="1" s="1"/>
  <c r="V29" i="1" s="1"/>
  <c r="O28" i="1"/>
  <c r="P28" i="1" s="1"/>
  <c r="N28" i="1"/>
  <c r="M28" i="1"/>
  <c r="T28" i="1" s="1"/>
  <c r="AA27" i="1"/>
  <c r="X27" i="1"/>
  <c r="M27" i="1"/>
  <c r="S27" i="1" s="1"/>
  <c r="M26" i="1"/>
  <c r="S26" i="1" s="1"/>
  <c r="T25" i="1"/>
  <c r="V25" i="1" s="1"/>
  <c r="M25" i="1"/>
  <c r="T24" i="1"/>
  <c r="V24" i="1" s="1"/>
  <c r="M24" i="1"/>
  <c r="T23" i="1"/>
  <c r="V23" i="1" s="1"/>
  <c r="M23" i="1"/>
  <c r="V22" i="1"/>
  <c r="T22" i="1"/>
  <c r="M22" i="1"/>
  <c r="T21" i="1"/>
  <c r="O21" i="1"/>
  <c r="P21" i="1" s="1"/>
  <c r="N21" i="1"/>
  <c r="M21" i="1"/>
  <c r="AA20" i="1"/>
  <c r="X20" i="1"/>
  <c r="S20" i="1" s="1"/>
  <c r="M20" i="1"/>
  <c r="M19" i="1"/>
  <c r="T19" i="1" s="1"/>
  <c r="V19" i="1" s="1"/>
  <c r="M18" i="1"/>
  <c r="T18" i="1" s="1"/>
  <c r="V18" i="1" s="1"/>
  <c r="M17" i="1"/>
  <c r="T17" i="1" s="1"/>
  <c r="V17" i="1" s="1"/>
  <c r="M16" i="1"/>
  <c r="T16" i="1" s="1"/>
  <c r="V16" i="1" s="1"/>
  <c r="O15" i="1"/>
  <c r="N15" i="1"/>
  <c r="P15" i="1" s="1"/>
  <c r="M15" i="1"/>
  <c r="T15" i="1" s="1"/>
  <c r="AA14" i="1"/>
  <c r="X14" i="1"/>
  <c r="M14" i="1"/>
  <c r="S14" i="1" s="1"/>
  <c r="Y13" i="1"/>
  <c r="Z13" i="1" s="1"/>
  <c r="S13" i="1"/>
  <c r="T13" i="1" s="1"/>
  <c r="V13" i="1" s="1"/>
  <c r="M13" i="1"/>
  <c r="T12" i="1"/>
  <c r="V12" i="1" s="1"/>
  <c r="M12" i="1"/>
  <c r="V11" i="1"/>
  <c r="T11" i="1"/>
  <c r="M11" i="1"/>
  <c r="M10" i="1"/>
  <c r="T10" i="1" s="1"/>
  <c r="V10" i="1" s="1"/>
  <c r="M9" i="1"/>
  <c r="T9" i="1" s="1"/>
  <c r="V9" i="1" s="1"/>
  <c r="O8" i="1"/>
  <c r="P8" i="1" s="1"/>
  <c r="N8" i="1"/>
  <c r="M8" i="1"/>
  <c r="T8" i="1" s="1"/>
  <c r="AA7" i="1"/>
  <c r="X7" i="1"/>
  <c r="S7" i="1" s="1"/>
  <c r="M7" i="1"/>
  <c r="M6" i="1"/>
  <c r="T6" i="1" s="1"/>
  <c r="V6" i="1" s="1"/>
  <c r="M5" i="1"/>
  <c r="T5" i="1" s="1"/>
  <c r="V5" i="1" s="1"/>
  <c r="T4" i="1"/>
  <c r="V4" i="1" s="1"/>
  <c r="M4" i="1"/>
  <c r="T3" i="1"/>
  <c r="V3" i="1" s="1"/>
  <c r="M3" i="1"/>
  <c r="T2" i="1"/>
  <c r="V2" i="1" s="1"/>
  <c r="O2" i="1"/>
  <c r="N2" i="1"/>
  <c r="P2" i="1" s="1"/>
  <c r="M2" i="1"/>
  <c r="T46" i="1" l="1"/>
  <c r="V46" i="1" s="1"/>
  <c r="Y46" i="1"/>
  <c r="Z46" i="1" s="1"/>
  <c r="Y14" i="1"/>
  <c r="Z14" i="1" s="1"/>
  <c r="T14" i="1"/>
  <c r="V14" i="1" s="1"/>
  <c r="U69" i="1"/>
  <c r="T33" i="1"/>
  <c r="V33" i="1" s="1"/>
  <c r="Y33" i="1"/>
  <c r="Z33" i="1" s="1"/>
  <c r="V8" i="1"/>
  <c r="T27" i="1"/>
  <c r="V27" i="1" s="1"/>
  <c r="Y27" i="1"/>
  <c r="Z27" i="1" s="1"/>
  <c r="T51" i="1"/>
  <c r="V51" i="1" s="1"/>
  <c r="W47" i="1" s="1"/>
  <c r="Y51" i="1"/>
  <c r="Z51" i="1" s="1"/>
  <c r="W57" i="1"/>
  <c r="T68" i="1"/>
  <c r="V68" i="1" s="1"/>
  <c r="Y68" i="1"/>
  <c r="Z68" i="1" s="1"/>
  <c r="Y7" i="1"/>
  <c r="Z7" i="1" s="1"/>
  <c r="T7" i="1"/>
  <c r="V7" i="1" s="1"/>
  <c r="W2" i="1" s="1"/>
  <c r="T41" i="1"/>
  <c r="V41" i="1" s="1"/>
  <c r="Y41" i="1"/>
  <c r="Z41" i="1" s="1"/>
  <c r="V15" i="1"/>
  <c r="V37" i="1"/>
  <c r="U60" i="1"/>
  <c r="Y26" i="1"/>
  <c r="Z26" i="1" s="1"/>
  <c r="T26" i="1"/>
  <c r="V26" i="1" s="1"/>
  <c r="Y20" i="1"/>
  <c r="Z20" i="1" s="1"/>
  <c r="T20" i="1"/>
  <c r="V20" i="1" s="1"/>
  <c r="V42" i="1"/>
  <c r="W42" i="1" s="1"/>
  <c r="U42" i="1"/>
  <c r="W60" i="1"/>
  <c r="V28" i="1"/>
  <c r="U52" i="1"/>
  <c r="V52" i="1"/>
  <c r="W52" i="1" s="1"/>
  <c r="Y56" i="1"/>
  <c r="Z56" i="1" s="1"/>
  <c r="T56" i="1"/>
  <c r="V56" i="1" s="1"/>
  <c r="U2" i="1"/>
  <c r="U57" i="1"/>
  <c r="V21" i="1"/>
  <c r="W15" i="1" l="1"/>
  <c r="U15" i="1"/>
  <c r="W21" i="1"/>
  <c r="W28" i="1"/>
  <c r="U21" i="1"/>
  <c r="U47" i="1"/>
  <c r="W8" i="1"/>
  <c r="W37" i="1"/>
  <c r="U8" i="1"/>
  <c r="U28" i="1"/>
  <c r="U3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Gavin McNicol</author>
  </authors>
  <commentList>
    <comment ref="AA7" authorId="0" shapeId="0" xr:uid="{477C6537-4E16-42F5-B0DB-BBBA059878A5}">
      <text>
        <r>
          <rPr>
            <b/>
            <sz val="9"/>
            <color indexed="81"/>
            <rFont val="Tahoma"/>
            <family val="2"/>
          </rPr>
          <t>Gavin McNicol:</t>
        </r>
        <r>
          <rPr>
            <sz val="9"/>
            <color indexed="81"/>
            <rFont val="Tahoma"/>
            <family val="2"/>
          </rPr>
          <t xml:space="preserve">
Should match X7</t>
        </r>
      </text>
    </comment>
  </commentList>
</comments>
</file>

<file path=xl/sharedStrings.xml><?xml version="1.0" encoding="utf-8"?>
<sst xmlns="http://schemas.openxmlformats.org/spreadsheetml/2006/main" count="547" uniqueCount="68">
  <si>
    <t>SOURCE</t>
  </si>
  <si>
    <t>ID</t>
  </si>
  <si>
    <t>ORDER</t>
  </si>
  <si>
    <t xml:space="preserve">LAT </t>
  </si>
  <si>
    <t>LON</t>
  </si>
  <si>
    <t>LATLON_Q</t>
  </si>
  <si>
    <t>Elevation</t>
  </si>
  <si>
    <t>Slope</t>
  </si>
  <si>
    <t>Aspect</t>
  </si>
  <si>
    <t>HORIZON</t>
  </si>
  <si>
    <t>DEPTH2</t>
  </si>
  <si>
    <t>DEPTH1</t>
  </si>
  <si>
    <t>DEPTH</t>
  </si>
  <si>
    <t>MINERAL_D</t>
  </si>
  <si>
    <t>FF_D</t>
  </si>
  <si>
    <t>TOTAL_D</t>
  </si>
  <si>
    <t>BULK DENSITY</t>
  </si>
  <si>
    <t>CF</t>
  </si>
  <si>
    <t>CCONC</t>
  </si>
  <si>
    <t>CCONTENT</t>
  </si>
  <si>
    <t>TOTAL_C</t>
  </si>
  <si>
    <t>CCONTENT_1M</t>
  </si>
  <si>
    <t>TOTAL_C_1M</t>
  </si>
  <si>
    <t>CCONC_SLOPE</t>
  </si>
  <si>
    <t>Depth of Mean</t>
  </si>
  <si>
    <t>Real Depth</t>
  </si>
  <si>
    <t>1/-Trendline Slope</t>
  </si>
  <si>
    <t>KRANABETTER AND BANNER 2000</t>
  </si>
  <si>
    <t>Rainbow1</t>
  </si>
  <si>
    <t>Orthic Ferro-Humic Podozol</t>
  </si>
  <si>
    <t>HIGH</t>
  </si>
  <si>
    <t>NA</t>
  </si>
  <si>
    <t>L</t>
  </si>
  <si>
    <t>Yellow CCON values are linearly interpolated from 20 cm to the max depth of pit. The mean interpolated CCON of a given depth increment is calculated and the values validated with the regression plots</t>
  </si>
  <si>
    <t>Hr</t>
  </si>
  <si>
    <t>Hh</t>
  </si>
  <si>
    <t>Ae</t>
  </si>
  <si>
    <t>Bhf</t>
  </si>
  <si>
    <t>Green if OK</t>
  </si>
  <si>
    <t>C</t>
  </si>
  <si>
    <t>Alywn Lk2</t>
  </si>
  <si>
    <t>Orthic Humo-Ferric Podzol</t>
  </si>
  <si>
    <t>NOTE: Intercept of regression should equal max soil depth (25 cm for Rainbow 1)</t>
  </si>
  <si>
    <t>Bf1</t>
  </si>
  <si>
    <t>Bf2</t>
  </si>
  <si>
    <t>BC</t>
  </si>
  <si>
    <t>Diana3</t>
  </si>
  <si>
    <t>Bfh</t>
  </si>
  <si>
    <t>Diana4</t>
  </si>
  <si>
    <t>Fm</t>
  </si>
  <si>
    <t>Bhf1</t>
  </si>
  <si>
    <t>Bhf2</t>
  </si>
  <si>
    <t>SmithIsland5</t>
  </si>
  <si>
    <t>Hzi</t>
  </si>
  <si>
    <t>Giltoyees6</t>
  </si>
  <si>
    <t>Hemic Folisol (used podzol Db)</t>
  </si>
  <si>
    <t>WorkIs7</t>
  </si>
  <si>
    <t>Bf</t>
  </si>
  <si>
    <t>Boatbluff8</t>
  </si>
  <si>
    <t>Aristazabal9</t>
  </si>
  <si>
    <t>EmilyCarr10</t>
  </si>
  <si>
    <t>Orthic Drystic Burnisol</t>
  </si>
  <si>
    <t>Bm</t>
  </si>
  <si>
    <t>Campania11</t>
  </si>
  <si>
    <t>Hanmer12</t>
  </si>
  <si>
    <t>Ah</t>
  </si>
  <si>
    <t>Oona</t>
  </si>
  <si>
    <t>Folisol (but horizons like pod)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</si>
</sst>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164" fontId="1" fillId="5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" fontId="0" fillId="6" borderId="0" xfId="0" applyNumberFormat="1" applyFill="1" applyAlignment="1">
      <alignment horizontal="center" vertical="center" wrapText="1"/>
    </xf>
    <xf numFmtId="2" fontId="0" fillId="3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" fontId="0" fillId="7" borderId="0" xfId="0" applyNumberFormat="1" applyFill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8" borderId="1" xfId="0" applyFill="1" applyBorder="1"/>
    <xf numFmtId="0" fontId="0" fillId="0" borderId="2" xfId="0" applyBorder="1"/>
    <xf numFmtId="0" fontId="0" fillId="8" borderId="2" xfId="0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2" fontId="0" fillId="6" borderId="0" xfId="0" applyNumberFormat="1" applyFill="1" applyAlignment="1">
      <alignment horizontal="center"/>
    </xf>
    <xf numFmtId="164" fontId="0" fillId="0" borderId="0" xfId="0" applyNumberFormat="1"/>
    <xf numFmtId="0" fontId="0" fillId="0" borderId="1" xfId="0" applyBorder="1" applyAlignment="1">
      <alignment wrapText="1"/>
    </xf>
    <xf numFmtId="0" fontId="0" fillId="7" borderId="0" xfId="0" applyFill="1" applyAlignment="1">
      <alignment horizontal="center"/>
    </xf>
    <xf numFmtId="0" fontId="0" fillId="7" borderId="1" xfId="0" applyFill="1" applyBorder="1" applyAlignment="1">
      <alignment horizontal="center"/>
    </xf>
    <xf numFmtId="1" fontId="0" fillId="0" borderId="0" xfId="0" applyNumberFormat="1"/>
    <xf numFmtId="164" fontId="1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9E7EC-E12D-4C88-8266-D05EF949FADA}">
  <dimension ref="A1:AD73"/>
  <sheetViews>
    <sheetView tabSelected="1" workbookViewId="0">
      <selection activeCell="B8" sqref="B8"/>
    </sheetView>
  </sheetViews>
  <sheetFormatPr defaultRowHeight="14.5" x14ac:dyDescent="0.35"/>
  <cols>
    <col min="1" max="1" width="32.453125" customWidth="1"/>
    <col min="2" max="2" width="16.08984375" customWidth="1"/>
    <col min="3" max="3" width="28.81640625" customWidth="1"/>
  </cols>
  <sheetData>
    <row r="1" spans="1:3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4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5"/>
      <c r="AC1" s="5"/>
      <c r="AD1" s="5"/>
    </row>
    <row r="2" spans="1:30" x14ac:dyDescent="0.35">
      <c r="A2" s="6" t="s">
        <v>27</v>
      </c>
      <c r="B2" s="6" t="s">
        <v>28</v>
      </c>
      <c r="C2" s="6" t="s">
        <v>29</v>
      </c>
      <c r="D2" s="6">
        <v>54.240277777777699</v>
      </c>
      <c r="E2" s="6">
        <v>-130.051388888888</v>
      </c>
      <c r="F2" s="6" t="s">
        <v>30</v>
      </c>
      <c r="G2" s="6" t="s">
        <v>31</v>
      </c>
      <c r="H2" s="6" t="s">
        <v>31</v>
      </c>
      <c r="I2" s="6" t="s">
        <v>31</v>
      </c>
      <c r="J2" s="6" t="s">
        <v>32</v>
      </c>
      <c r="K2" s="6">
        <v>25</v>
      </c>
      <c r="L2" s="6">
        <v>22</v>
      </c>
      <c r="M2" s="7">
        <f t="shared" ref="M2:M65" si="0">K2-L2</f>
        <v>3</v>
      </c>
      <c r="N2" s="7">
        <f>IF(ABS(MIN(L2:L7))&gt;100,100,ABS(MIN(L2:L7)))</f>
        <v>25</v>
      </c>
      <c r="O2" s="7">
        <f>K2</f>
        <v>25</v>
      </c>
      <c r="P2" s="7">
        <f>O2+N2</f>
        <v>50</v>
      </c>
      <c r="Q2" s="8">
        <v>0.11</v>
      </c>
      <c r="R2" s="7"/>
      <c r="S2" s="9">
        <v>52.956666666666671</v>
      </c>
      <c r="T2" s="7">
        <f>S2/100*Q2*(100*100*M2)*((100-R2)/100)</f>
        <v>1747.5700000000004</v>
      </c>
      <c r="U2" s="7">
        <f>SUM(T2:T7)</f>
        <v>21042.843333333334</v>
      </c>
      <c r="V2" s="7">
        <f t="shared" ref="V2:V65" si="1">T2</f>
        <v>1747.5700000000004</v>
      </c>
      <c r="W2" s="10">
        <f>SUM(V2:V7)/10^6*10^4</f>
        <v>210.42843333333334</v>
      </c>
      <c r="X2" s="11" t="s">
        <v>33</v>
      </c>
      <c r="Y2" s="11"/>
      <c r="Z2" s="11"/>
      <c r="AA2" s="11"/>
    </row>
    <row r="3" spans="1:30" x14ac:dyDescent="0.35">
      <c r="A3" s="6" t="s">
        <v>27</v>
      </c>
      <c r="B3" s="6"/>
      <c r="C3" s="6" t="s">
        <v>29</v>
      </c>
      <c r="D3" s="6">
        <v>54.240277777777699</v>
      </c>
      <c r="E3" s="6">
        <v>-130.051388888888</v>
      </c>
      <c r="F3" s="6" t="s">
        <v>30</v>
      </c>
      <c r="G3" s="6" t="s">
        <v>31</v>
      </c>
      <c r="H3" s="6" t="s">
        <v>31</v>
      </c>
      <c r="I3" s="6" t="s">
        <v>31</v>
      </c>
      <c r="J3" s="6" t="s">
        <v>34</v>
      </c>
      <c r="K3" s="6">
        <v>22</v>
      </c>
      <c r="L3" s="6">
        <v>7</v>
      </c>
      <c r="M3" s="7">
        <f t="shared" si="0"/>
        <v>15</v>
      </c>
      <c r="N3" s="7"/>
      <c r="O3" s="7"/>
      <c r="P3" s="7"/>
      <c r="Q3" s="12">
        <v>0.11</v>
      </c>
      <c r="R3" s="7"/>
      <c r="S3" s="13">
        <v>52.956666666666671</v>
      </c>
      <c r="T3" s="7">
        <f t="shared" ref="T3:T66" si="2">S3/100*Q3*(100*100*M3)*((100-R3)/100)</f>
        <v>8737.8500000000022</v>
      </c>
      <c r="U3" s="7"/>
      <c r="V3" s="7">
        <f t="shared" si="1"/>
        <v>8737.8500000000022</v>
      </c>
      <c r="W3" s="7"/>
      <c r="X3" s="11"/>
      <c r="Y3" s="11"/>
      <c r="Z3" s="11"/>
      <c r="AA3" s="11"/>
    </row>
    <row r="4" spans="1:30" x14ac:dyDescent="0.35">
      <c r="A4" s="6" t="s">
        <v>27</v>
      </c>
      <c r="B4" s="6"/>
      <c r="C4" s="6" t="s">
        <v>29</v>
      </c>
      <c r="D4" s="6">
        <v>54.240277777777699</v>
      </c>
      <c r="E4" s="6">
        <v>-130.051388888888</v>
      </c>
      <c r="F4" s="6" t="s">
        <v>30</v>
      </c>
      <c r="G4" s="6" t="s">
        <v>31</v>
      </c>
      <c r="H4" s="6" t="s">
        <v>31</v>
      </c>
      <c r="I4" s="6" t="s">
        <v>31</v>
      </c>
      <c r="J4" s="6" t="s">
        <v>35</v>
      </c>
      <c r="K4" s="6">
        <v>7</v>
      </c>
      <c r="L4" s="6">
        <v>0</v>
      </c>
      <c r="M4" s="7">
        <f t="shared" si="0"/>
        <v>7</v>
      </c>
      <c r="N4" s="7"/>
      <c r="O4" s="7"/>
      <c r="P4" s="7"/>
      <c r="Q4" s="12">
        <v>0.11</v>
      </c>
      <c r="R4" s="7"/>
      <c r="S4" s="13">
        <v>52.956666666666671</v>
      </c>
      <c r="T4" s="7">
        <f t="shared" si="2"/>
        <v>4077.6633333333339</v>
      </c>
      <c r="U4" s="6"/>
      <c r="V4" s="7">
        <f t="shared" si="1"/>
        <v>4077.6633333333339</v>
      </c>
      <c r="W4" s="6"/>
      <c r="X4" s="11"/>
      <c r="Y4" s="11"/>
      <c r="Z4" s="11"/>
      <c r="AA4" s="11"/>
    </row>
    <row r="5" spans="1:30" x14ac:dyDescent="0.35">
      <c r="A5" s="6" t="s">
        <v>27</v>
      </c>
      <c r="B5" s="6"/>
      <c r="C5" s="6" t="s">
        <v>29</v>
      </c>
      <c r="D5" s="6">
        <v>54.240277777777699</v>
      </c>
      <c r="E5" s="6">
        <v>-130.051388888888</v>
      </c>
      <c r="F5" s="6" t="s">
        <v>30</v>
      </c>
      <c r="G5" s="6" t="s">
        <v>31</v>
      </c>
      <c r="H5" s="6" t="s">
        <v>31</v>
      </c>
      <c r="I5" s="6" t="s">
        <v>31</v>
      </c>
      <c r="J5" s="6" t="s">
        <v>36</v>
      </c>
      <c r="K5" s="6">
        <v>0</v>
      </c>
      <c r="L5" s="6">
        <v>-7</v>
      </c>
      <c r="M5" s="7">
        <f t="shared" si="0"/>
        <v>7</v>
      </c>
      <c r="N5" s="7"/>
      <c r="O5" s="7"/>
      <c r="P5" s="7"/>
      <c r="Q5" s="12">
        <v>0.93</v>
      </c>
      <c r="R5" s="7"/>
      <c r="S5" s="13">
        <v>2.94</v>
      </c>
      <c r="T5" s="7">
        <f t="shared" si="2"/>
        <v>1913.94</v>
      </c>
      <c r="U5" s="6"/>
      <c r="V5" s="7">
        <f t="shared" si="1"/>
        <v>1913.94</v>
      </c>
      <c r="W5" s="6"/>
      <c r="X5" s="11"/>
      <c r="Y5" s="11"/>
      <c r="Z5" s="11"/>
      <c r="AA5" s="11"/>
    </row>
    <row r="6" spans="1:30" x14ac:dyDescent="0.35">
      <c r="A6" s="6" t="s">
        <v>27</v>
      </c>
      <c r="B6" s="6"/>
      <c r="C6" s="6" t="s">
        <v>29</v>
      </c>
      <c r="D6" s="6">
        <v>54.240277777777699</v>
      </c>
      <c r="E6" s="6">
        <v>-130.051388888888</v>
      </c>
      <c r="F6" s="6" t="s">
        <v>30</v>
      </c>
      <c r="G6" s="6" t="s">
        <v>31</v>
      </c>
      <c r="H6" s="6" t="s">
        <v>31</v>
      </c>
      <c r="I6" s="6" t="s">
        <v>31</v>
      </c>
      <c r="J6" s="6" t="s">
        <v>37</v>
      </c>
      <c r="K6" s="6">
        <v>-7</v>
      </c>
      <c r="L6" s="6">
        <v>-20</v>
      </c>
      <c r="M6" s="7">
        <f t="shared" si="0"/>
        <v>13</v>
      </c>
      <c r="N6" s="7"/>
      <c r="O6" s="7"/>
      <c r="P6" s="7"/>
      <c r="Q6" s="12">
        <v>0.86</v>
      </c>
      <c r="R6" s="14">
        <v>0</v>
      </c>
      <c r="S6" s="13">
        <v>2.94</v>
      </c>
      <c r="T6" s="7">
        <f t="shared" si="2"/>
        <v>3286.9199999999996</v>
      </c>
      <c r="U6" s="6"/>
      <c r="V6" s="7">
        <f t="shared" si="1"/>
        <v>3286.9199999999996</v>
      </c>
      <c r="W6" s="6"/>
      <c r="X6" s="6"/>
      <c r="Z6">
        <v>20</v>
      </c>
      <c r="AA6" t="s">
        <v>38</v>
      </c>
    </row>
    <row r="7" spans="1:30" x14ac:dyDescent="0.35">
      <c r="A7" s="2" t="s">
        <v>27</v>
      </c>
      <c r="B7" s="2"/>
      <c r="C7" s="2" t="s">
        <v>29</v>
      </c>
      <c r="D7" s="2">
        <v>54.240277777777699</v>
      </c>
      <c r="E7" s="2">
        <v>-130.051388888888</v>
      </c>
      <c r="F7" s="2" t="s">
        <v>30</v>
      </c>
      <c r="G7" s="2" t="s">
        <v>31</v>
      </c>
      <c r="H7" s="2" t="s">
        <v>31</v>
      </c>
      <c r="I7" s="2" t="s">
        <v>31</v>
      </c>
      <c r="J7" s="2" t="s">
        <v>39</v>
      </c>
      <c r="K7" s="2">
        <v>-20</v>
      </c>
      <c r="L7" s="2">
        <v>-25</v>
      </c>
      <c r="M7" s="15">
        <f t="shared" si="0"/>
        <v>5</v>
      </c>
      <c r="N7" s="15"/>
      <c r="O7" s="15"/>
      <c r="P7" s="15"/>
      <c r="Q7" s="16">
        <v>1.74</v>
      </c>
      <c r="R7" s="17">
        <v>0</v>
      </c>
      <c r="S7" s="18">
        <f>S6-(X7*0.5*M7)</f>
        <v>1.47</v>
      </c>
      <c r="T7" s="15">
        <f t="shared" si="2"/>
        <v>1278.9000000000001</v>
      </c>
      <c r="U7" s="2"/>
      <c r="V7" s="15">
        <f t="shared" si="1"/>
        <v>1278.9000000000001</v>
      </c>
      <c r="W7" s="2"/>
      <c r="X7" s="19">
        <f>S6/(ABS(L7)-20)</f>
        <v>0.58799999999999997</v>
      </c>
      <c r="Y7" s="5">
        <f>(S6-S7)/X7</f>
        <v>2.5</v>
      </c>
      <c r="Z7" s="5">
        <f>Y7+20</f>
        <v>22.5</v>
      </c>
      <c r="AA7" s="20">
        <f>1/-1.7007</f>
        <v>-0.58799317927912031</v>
      </c>
      <c r="AB7" s="5"/>
      <c r="AC7" s="5"/>
      <c r="AD7" s="5"/>
    </row>
    <row r="8" spans="1:30" x14ac:dyDescent="0.35">
      <c r="A8" s="6" t="s">
        <v>27</v>
      </c>
      <c r="B8" s="6" t="s">
        <v>40</v>
      </c>
      <c r="C8" s="6" t="s">
        <v>41</v>
      </c>
      <c r="D8" s="6">
        <v>54.214444444444403</v>
      </c>
      <c r="E8" s="6">
        <v>-130.24027777777701</v>
      </c>
      <c r="F8" s="6" t="s">
        <v>30</v>
      </c>
      <c r="G8" s="6" t="s">
        <v>31</v>
      </c>
      <c r="H8" s="6" t="s">
        <v>31</v>
      </c>
      <c r="I8" s="6" t="s">
        <v>31</v>
      </c>
      <c r="J8" s="6" t="s">
        <v>32</v>
      </c>
      <c r="K8" s="6">
        <v>11</v>
      </c>
      <c r="L8" s="6">
        <v>10</v>
      </c>
      <c r="M8" s="7">
        <f t="shared" si="0"/>
        <v>1</v>
      </c>
      <c r="N8" s="7">
        <f>IF(ABS(MIN(L8:L14))&gt;100,100,ABS(MIN(L8:L14)))</f>
        <v>100</v>
      </c>
      <c r="O8" s="7">
        <f>K8</f>
        <v>11</v>
      </c>
      <c r="P8" s="7">
        <f>O8+N8</f>
        <v>111</v>
      </c>
      <c r="Q8" s="12">
        <v>0.14000000000000001</v>
      </c>
      <c r="R8" s="7"/>
      <c r="S8" s="13">
        <v>54.976666666666667</v>
      </c>
      <c r="T8" s="7">
        <f t="shared" si="2"/>
        <v>769.67333333333329</v>
      </c>
      <c r="U8" s="7">
        <f>SUM(T8:T14)</f>
        <v>13840.06986503623</v>
      </c>
      <c r="V8" s="7">
        <f t="shared" si="1"/>
        <v>769.67333333333329</v>
      </c>
      <c r="W8" s="10">
        <f>SUM(V8:V14)/10^6*10^4</f>
        <v>138.4006986503623</v>
      </c>
      <c r="X8" s="7"/>
      <c r="Y8" s="21"/>
      <c r="Z8" s="21"/>
      <c r="AA8" s="21"/>
      <c r="AB8" s="22" t="s">
        <v>42</v>
      </c>
      <c r="AC8" s="22"/>
      <c r="AD8" s="22"/>
    </row>
    <row r="9" spans="1:30" x14ac:dyDescent="0.35">
      <c r="A9" s="6" t="s">
        <v>27</v>
      </c>
      <c r="B9" s="6"/>
      <c r="C9" s="6" t="s">
        <v>41</v>
      </c>
      <c r="D9" s="6">
        <v>54.214444444444403</v>
      </c>
      <c r="E9" s="6">
        <v>-130.24027777777701</v>
      </c>
      <c r="F9" s="6" t="s">
        <v>30</v>
      </c>
      <c r="G9" s="6" t="s">
        <v>31</v>
      </c>
      <c r="H9" s="6" t="s">
        <v>31</v>
      </c>
      <c r="I9" s="6" t="s">
        <v>31</v>
      </c>
      <c r="J9" s="6" t="s">
        <v>34</v>
      </c>
      <c r="K9" s="6">
        <v>10</v>
      </c>
      <c r="L9" s="6">
        <v>1</v>
      </c>
      <c r="M9" s="7">
        <f t="shared" si="0"/>
        <v>9</v>
      </c>
      <c r="N9" s="7"/>
      <c r="O9" s="7"/>
      <c r="P9" s="7"/>
      <c r="Q9" s="12">
        <v>0.14000000000000001</v>
      </c>
      <c r="R9" s="7"/>
      <c r="S9" s="13">
        <v>54.976666666666667</v>
      </c>
      <c r="T9" s="7">
        <f t="shared" si="2"/>
        <v>6927.0599999999995</v>
      </c>
      <c r="U9" s="6"/>
      <c r="V9" s="7">
        <f t="shared" si="1"/>
        <v>6927.0599999999995</v>
      </c>
      <c r="W9" s="6"/>
      <c r="X9" s="6"/>
      <c r="AB9" s="23"/>
      <c r="AC9" s="23"/>
      <c r="AD9" s="23"/>
    </row>
    <row r="10" spans="1:30" x14ac:dyDescent="0.35">
      <c r="A10" s="6" t="s">
        <v>27</v>
      </c>
      <c r="B10" s="6"/>
      <c r="C10" s="6" t="s">
        <v>41</v>
      </c>
      <c r="D10" s="6">
        <v>54.214444444444403</v>
      </c>
      <c r="E10" s="6">
        <v>-130.24027777777701</v>
      </c>
      <c r="F10" s="6" t="s">
        <v>30</v>
      </c>
      <c r="G10" s="6" t="s">
        <v>31</v>
      </c>
      <c r="H10" s="6" t="s">
        <v>31</v>
      </c>
      <c r="I10" s="6" t="s">
        <v>31</v>
      </c>
      <c r="J10" s="6" t="s">
        <v>35</v>
      </c>
      <c r="K10" s="6">
        <v>1</v>
      </c>
      <c r="L10" s="6">
        <v>0</v>
      </c>
      <c r="M10" s="7">
        <f t="shared" si="0"/>
        <v>1</v>
      </c>
      <c r="N10" s="7"/>
      <c r="O10" s="7"/>
      <c r="P10" s="7"/>
      <c r="Q10" s="12">
        <v>0.14000000000000001</v>
      </c>
      <c r="R10" s="7"/>
      <c r="S10" s="13">
        <v>54.976666666666667</v>
      </c>
      <c r="T10" s="7">
        <f t="shared" si="2"/>
        <v>769.67333333333329</v>
      </c>
      <c r="V10" s="7">
        <f t="shared" si="1"/>
        <v>769.67333333333329</v>
      </c>
      <c r="AB10" s="23"/>
      <c r="AC10" s="23"/>
      <c r="AD10" s="23"/>
    </row>
    <row r="11" spans="1:30" x14ac:dyDescent="0.35">
      <c r="A11" s="6" t="s">
        <v>27</v>
      </c>
      <c r="B11" s="6"/>
      <c r="C11" s="6" t="s">
        <v>41</v>
      </c>
      <c r="D11" s="6">
        <v>54.214444444444403</v>
      </c>
      <c r="E11" s="6">
        <v>-130.24027777777701</v>
      </c>
      <c r="F11" s="6" t="s">
        <v>30</v>
      </c>
      <c r="G11" s="6" t="s">
        <v>31</v>
      </c>
      <c r="H11" s="6" t="s">
        <v>31</v>
      </c>
      <c r="I11" s="6" t="s">
        <v>31</v>
      </c>
      <c r="J11" s="6" t="s">
        <v>36</v>
      </c>
      <c r="K11" s="6">
        <v>0</v>
      </c>
      <c r="L11" s="6">
        <v>-1</v>
      </c>
      <c r="M11" s="7">
        <f t="shared" si="0"/>
        <v>1</v>
      </c>
      <c r="N11" s="7"/>
      <c r="O11" s="7"/>
      <c r="P11" s="7"/>
      <c r="Q11" s="8">
        <v>1.31</v>
      </c>
      <c r="R11" s="7"/>
      <c r="S11" s="13">
        <v>1.94</v>
      </c>
      <c r="T11" s="7">
        <f t="shared" si="2"/>
        <v>254.14000000000001</v>
      </c>
      <c r="U11" s="6"/>
      <c r="V11" s="7">
        <f t="shared" si="1"/>
        <v>254.14000000000001</v>
      </c>
      <c r="W11" s="6"/>
      <c r="X11" s="6"/>
      <c r="AB11" s="23"/>
      <c r="AC11" s="23"/>
      <c r="AD11" s="23"/>
    </row>
    <row r="12" spans="1:30" x14ac:dyDescent="0.35">
      <c r="A12" s="6" t="s">
        <v>27</v>
      </c>
      <c r="B12" s="6"/>
      <c r="C12" s="6" t="s">
        <v>41</v>
      </c>
      <c r="D12" s="6">
        <v>54.214444444444403</v>
      </c>
      <c r="E12" s="6">
        <v>-130.24027777777701</v>
      </c>
      <c r="F12" s="6" t="s">
        <v>30</v>
      </c>
      <c r="G12" s="6" t="s">
        <v>31</v>
      </c>
      <c r="H12" s="6" t="s">
        <v>31</v>
      </c>
      <c r="I12" s="6" t="s">
        <v>31</v>
      </c>
      <c r="J12" s="6" t="s">
        <v>43</v>
      </c>
      <c r="K12" s="6">
        <v>-1</v>
      </c>
      <c r="L12" s="6">
        <v>-6</v>
      </c>
      <c r="M12" s="7">
        <f t="shared" si="0"/>
        <v>5</v>
      </c>
      <c r="N12" s="7"/>
      <c r="O12" s="7"/>
      <c r="P12" s="7"/>
      <c r="Q12" s="8">
        <v>1.46</v>
      </c>
      <c r="R12" s="14">
        <v>70</v>
      </c>
      <c r="S12" s="13">
        <v>1.94</v>
      </c>
      <c r="T12" s="7">
        <f t="shared" si="2"/>
        <v>424.85999999999996</v>
      </c>
      <c r="U12" s="6"/>
      <c r="V12" s="7">
        <f t="shared" si="1"/>
        <v>424.85999999999996</v>
      </c>
      <c r="W12" s="6"/>
      <c r="X12" s="6"/>
      <c r="Z12">
        <v>20</v>
      </c>
      <c r="AB12" s="23"/>
      <c r="AC12" s="23"/>
      <c r="AD12" s="23"/>
    </row>
    <row r="13" spans="1:30" x14ac:dyDescent="0.35">
      <c r="A13" s="6" t="s">
        <v>27</v>
      </c>
      <c r="B13" s="6"/>
      <c r="C13" s="6" t="s">
        <v>41</v>
      </c>
      <c r="D13" s="6">
        <v>54.214444444444403</v>
      </c>
      <c r="E13" s="6">
        <v>-130.24027777777701</v>
      </c>
      <c r="F13" s="6" t="s">
        <v>30</v>
      </c>
      <c r="G13" s="6" t="s">
        <v>31</v>
      </c>
      <c r="H13" s="6" t="s">
        <v>31</v>
      </c>
      <c r="I13" s="6" t="s">
        <v>31</v>
      </c>
      <c r="J13" s="6" t="s">
        <v>44</v>
      </c>
      <c r="K13" s="6">
        <v>-6</v>
      </c>
      <c r="L13" s="6">
        <v>-75</v>
      </c>
      <c r="M13" s="7">
        <f t="shared" si="0"/>
        <v>69</v>
      </c>
      <c r="N13" s="7"/>
      <c r="O13" s="7"/>
      <c r="P13" s="7"/>
      <c r="Q13" s="8">
        <v>1.46</v>
      </c>
      <c r="R13" s="14">
        <v>70</v>
      </c>
      <c r="S13" s="24">
        <f>(M13-(20-ABS(K13)))/M13*(S12-((M13/2)+ABS(L12)-20)*X14+(20-ABS(K13))/M13*S12)</f>
        <v>1.4638753675698382</v>
      </c>
      <c r="T13" s="7">
        <f t="shared" si="2"/>
        <v>4424.1241358695643</v>
      </c>
      <c r="U13" s="6"/>
      <c r="V13" s="7">
        <f t="shared" si="1"/>
        <v>4424.1241358695643</v>
      </c>
      <c r="W13" s="6"/>
      <c r="X13" s="6"/>
      <c r="Y13" s="25">
        <f>(S12-S13)/X14</f>
        <v>19.634005461037599</v>
      </c>
      <c r="Z13" s="25">
        <f>Y13+20</f>
        <v>39.634005461037603</v>
      </c>
      <c r="AB13" s="23"/>
      <c r="AC13" s="23"/>
      <c r="AD13" s="23"/>
    </row>
    <row r="14" spans="1:30" x14ac:dyDescent="0.35">
      <c r="A14" s="2" t="s">
        <v>27</v>
      </c>
      <c r="B14" s="2"/>
      <c r="C14" s="2" t="s">
        <v>41</v>
      </c>
      <c r="D14" s="2">
        <v>54.214444444444403</v>
      </c>
      <c r="E14" s="2">
        <v>-130.24027777777701</v>
      </c>
      <c r="F14" s="2" t="s">
        <v>30</v>
      </c>
      <c r="G14" s="2" t="s">
        <v>31</v>
      </c>
      <c r="H14" s="2" t="s">
        <v>31</v>
      </c>
      <c r="I14" s="2" t="s">
        <v>31</v>
      </c>
      <c r="J14" s="2" t="s">
        <v>45</v>
      </c>
      <c r="K14" s="2">
        <v>-75</v>
      </c>
      <c r="L14" s="2">
        <v>-100</v>
      </c>
      <c r="M14" s="15">
        <f t="shared" si="0"/>
        <v>25</v>
      </c>
      <c r="N14" s="15"/>
      <c r="O14" s="15"/>
      <c r="P14" s="15"/>
      <c r="Q14" s="16">
        <v>1.19</v>
      </c>
      <c r="R14" s="17">
        <v>70</v>
      </c>
      <c r="S14" s="18">
        <f>S12-((M14/2)+ABS(L13)-20)*X14</f>
        <v>0.30312499999999987</v>
      </c>
      <c r="T14" s="15">
        <f t="shared" si="2"/>
        <v>270.53906249999989</v>
      </c>
      <c r="U14" s="2"/>
      <c r="V14" s="15">
        <f t="shared" si="1"/>
        <v>270.53906249999989</v>
      </c>
      <c r="W14" s="2"/>
      <c r="X14" s="19">
        <f>S12/(ABS(L14)-20)</f>
        <v>2.4250000000000001E-2</v>
      </c>
      <c r="Y14" s="5">
        <f>(S12-S14)/X14</f>
        <v>67.5</v>
      </c>
      <c r="Z14" s="5">
        <f>Y14+20</f>
        <v>87.5</v>
      </c>
      <c r="AA14" s="20">
        <f>1/-41.237</f>
        <v>-2.425006668768339E-2</v>
      </c>
      <c r="AB14" s="26"/>
      <c r="AC14" s="26"/>
      <c r="AD14" s="26"/>
    </row>
    <row r="15" spans="1:30" x14ac:dyDescent="0.35">
      <c r="A15" s="6" t="s">
        <v>27</v>
      </c>
      <c r="B15" s="6" t="s">
        <v>46</v>
      </c>
      <c r="C15" s="6" t="s">
        <v>41</v>
      </c>
      <c r="D15" s="6">
        <v>54.2222222222222</v>
      </c>
      <c r="E15" s="6">
        <v>-130.17499999999899</v>
      </c>
      <c r="F15" s="6" t="s">
        <v>30</v>
      </c>
      <c r="G15" s="6" t="s">
        <v>31</v>
      </c>
      <c r="H15" s="6" t="s">
        <v>31</v>
      </c>
      <c r="I15" s="6" t="s">
        <v>31</v>
      </c>
      <c r="J15" s="6" t="s">
        <v>32</v>
      </c>
      <c r="K15" s="6">
        <v>24</v>
      </c>
      <c r="L15" s="6">
        <v>22</v>
      </c>
      <c r="M15" s="7">
        <f t="shared" si="0"/>
        <v>2</v>
      </c>
      <c r="N15" s="7">
        <f>IF(ABS(MIN(L15:L20))&gt;100,100,ABS(MIN(L15:L20)))</f>
        <v>100</v>
      </c>
      <c r="O15" s="7">
        <f>K15</f>
        <v>24</v>
      </c>
      <c r="P15" s="7">
        <f>O15+N15</f>
        <v>124</v>
      </c>
      <c r="Q15" s="12">
        <v>0.14000000000000001</v>
      </c>
      <c r="R15" s="6"/>
      <c r="S15" s="13">
        <v>53.706666666666671</v>
      </c>
      <c r="T15" s="7">
        <f t="shared" si="2"/>
        <v>1503.7866666666669</v>
      </c>
      <c r="U15" s="7">
        <f>SUM(T15:T20)</f>
        <v>28228.915125</v>
      </c>
      <c r="V15" s="7">
        <f t="shared" si="1"/>
        <v>1503.7866666666669</v>
      </c>
      <c r="W15" s="10">
        <f>SUM(V15:V20)/10^6*10^4</f>
        <v>282.28915124999997</v>
      </c>
      <c r="X15" s="7"/>
      <c r="Y15" s="21"/>
      <c r="Z15" s="21"/>
      <c r="AA15" s="21"/>
    </row>
    <row r="16" spans="1:30" x14ac:dyDescent="0.35">
      <c r="A16" s="6" t="s">
        <v>27</v>
      </c>
      <c r="B16" s="6"/>
      <c r="C16" s="6" t="s">
        <v>41</v>
      </c>
      <c r="D16" s="6">
        <v>54.2222222222222</v>
      </c>
      <c r="E16" s="6">
        <v>-130.17499999999899</v>
      </c>
      <c r="F16" s="6" t="s">
        <v>30</v>
      </c>
      <c r="G16" s="6" t="s">
        <v>31</v>
      </c>
      <c r="H16" s="6" t="s">
        <v>31</v>
      </c>
      <c r="I16" s="6" t="s">
        <v>31</v>
      </c>
      <c r="J16" s="6" t="s">
        <v>34</v>
      </c>
      <c r="K16" s="6">
        <v>10</v>
      </c>
      <c r="L16" s="6">
        <v>1</v>
      </c>
      <c r="M16" s="7">
        <f t="shared" si="0"/>
        <v>9</v>
      </c>
      <c r="N16" s="7"/>
      <c r="O16" s="7"/>
      <c r="P16" s="7"/>
      <c r="Q16" s="12">
        <v>0.14000000000000001</v>
      </c>
      <c r="R16" s="6"/>
      <c r="S16" s="13">
        <v>53.706666666666671</v>
      </c>
      <c r="T16" s="7">
        <f t="shared" si="2"/>
        <v>6767.0400000000009</v>
      </c>
      <c r="U16" s="6"/>
      <c r="V16" s="7">
        <f t="shared" si="1"/>
        <v>6767.0400000000009</v>
      </c>
      <c r="W16" s="6"/>
      <c r="X16" s="6"/>
    </row>
    <row r="17" spans="1:30" x14ac:dyDescent="0.35">
      <c r="A17" s="6" t="s">
        <v>27</v>
      </c>
      <c r="B17" s="6"/>
      <c r="C17" s="6" t="s">
        <v>41</v>
      </c>
      <c r="D17" s="6">
        <v>54.2222222222222</v>
      </c>
      <c r="E17" s="6">
        <v>-130.17499999999899</v>
      </c>
      <c r="F17" s="6" t="s">
        <v>30</v>
      </c>
      <c r="G17" s="6" t="s">
        <v>31</v>
      </c>
      <c r="H17" s="6" t="s">
        <v>31</v>
      </c>
      <c r="I17" s="6" t="s">
        <v>31</v>
      </c>
      <c r="J17" s="6" t="s">
        <v>35</v>
      </c>
      <c r="K17" s="6">
        <v>1</v>
      </c>
      <c r="L17" s="6">
        <v>0</v>
      </c>
      <c r="M17" s="7">
        <f t="shared" si="0"/>
        <v>1</v>
      </c>
      <c r="N17" s="7"/>
      <c r="O17" s="7"/>
      <c r="P17" s="7"/>
      <c r="Q17" s="12">
        <v>0.14000000000000001</v>
      </c>
      <c r="R17" s="6"/>
      <c r="S17" s="13">
        <v>53.706666666666671</v>
      </c>
      <c r="T17" s="7">
        <f t="shared" si="2"/>
        <v>751.89333333333343</v>
      </c>
      <c r="U17" s="6"/>
      <c r="V17" s="7">
        <f t="shared" si="1"/>
        <v>751.89333333333343</v>
      </c>
      <c r="W17" s="6"/>
      <c r="X17" s="6"/>
    </row>
    <row r="18" spans="1:30" x14ac:dyDescent="0.35">
      <c r="A18" s="6" t="s">
        <v>27</v>
      </c>
      <c r="B18" s="6"/>
      <c r="C18" s="6" t="s">
        <v>41</v>
      </c>
      <c r="D18" s="6">
        <v>54.2222222222222</v>
      </c>
      <c r="E18" s="6">
        <v>-130.17499999999899</v>
      </c>
      <c r="F18" s="6" t="s">
        <v>30</v>
      </c>
      <c r="G18" s="6" t="s">
        <v>31</v>
      </c>
      <c r="H18" s="6" t="s">
        <v>31</v>
      </c>
      <c r="I18" s="6" t="s">
        <v>31</v>
      </c>
      <c r="J18" s="6" t="s">
        <v>36</v>
      </c>
      <c r="K18" s="6">
        <v>0</v>
      </c>
      <c r="L18" s="6">
        <v>-1</v>
      </c>
      <c r="M18" s="7">
        <f t="shared" si="0"/>
        <v>1</v>
      </c>
      <c r="N18" s="7"/>
      <c r="O18" s="7"/>
      <c r="P18" s="7"/>
      <c r="Q18" s="8">
        <v>1.31</v>
      </c>
      <c r="R18" s="6"/>
      <c r="S18" s="13">
        <v>4.3899999999999997</v>
      </c>
      <c r="T18" s="7">
        <f t="shared" si="2"/>
        <v>575.09</v>
      </c>
      <c r="V18" s="7">
        <f t="shared" si="1"/>
        <v>575.09</v>
      </c>
    </row>
    <row r="19" spans="1:30" x14ac:dyDescent="0.35">
      <c r="A19" s="6" t="s">
        <v>27</v>
      </c>
      <c r="B19" s="6"/>
      <c r="C19" s="6" t="s">
        <v>41</v>
      </c>
      <c r="D19" s="6">
        <v>54.2222222222222</v>
      </c>
      <c r="E19" s="6">
        <v>-130.17499999999899</v>
      </c>
      <c r="F19" s="6" t="s">
        <v>30</v>
      </c>
      <c r="G19" s="6" t="s">
        <v>31</v>
      </c>
      <c r="H19" s="6" t="s">
        <v>31</v>
      </c>
      <c r="I19" s="6" t="s">
        <v>31</v>
      </c>
      <c r="J19" s="6" t="s">
        <v>47</v>
      </c>
      <c r="K19" s="6">
        <v>-1</v>
      </c>
      <c r="L19" s="6">
        <v>-42</v>
      </c>
      <c r="M19" s="7">
        <f t="shared" si="0"/>
        <v>41</v>
      </c>
      <c r="N19" s="7"/>
      <c r="O19" s="7"/>
      <c r="P19" s="7"/>
      <c r="Q19" s="8">
        <v>1.46</v>
      </c>
      <c r="R19" s="27">
        <v>50</v>
      </c>
      <c r="S19" s="13">
        <v>4.3899999999999997</v>
      </c>
      <c r="T19" s="7">
        <f t="shared" si="2"/>
        <v>13139.269999999997</v>
      </c>
      <c r="U19" s="6"/>
      <c r="V19" s="7">
        <f t="shared" si="1"/>
        <v>13139.269999999997</v>
      </c>
      <c r="W19" s="6"/>
      <c r="X19" s="6"/>
      <c r="Z19">
        <v>20</v>
      </c>
    </row>
    <row r="20" spans="1:30" x14ac:dyDescent="0.35">
      <c r="A20" s="2" t="s">
        <v>27</v>
      </c>
      <c r="B20" s="2"/>
      <c r="C20" s="2" t="s">
        <v>41</v>
      </c>
      <c r="D20" s="2">
        <v>54.2222222222222</v>
      </c>
      <c r="E20" s="2">
        <v>-130.17499999999899</v>
      </c>
      <c r="F20" s="2" t="s">
        <v>30</v>
      </c>
      <c r="G20" s="2" t="s">
        <v>31</v>
      </c>
      <c r="H20" s="2" t="s">
        <v>31</v>
      </c>
      <c r="I20" s="2" t="s">
        <v>31</v>
      </c>
      <c r="J20" s="2" t="s">
        <v>45</v>
      </c>
      <c r="K20" s="2">
        <v>-42</v>
      </c>
      <c r="L20" s="2">
        <v>-100</v>
      </c>
      <c r="M20" s="15">
        <f t="shared" si="0"/>
        <v>58</v>
      </c>
      <c r="N20" s="15"/>
      <c r="O20" s="15"/>
      <c r="P20" s="15"/>
      <c r="Q20" s="16">
        <v>1.19</v>
      </c>
      <c r="R20" s="28">
        <v>50</v>
      </c>
      <c r="S20" s="18">
        <f>S18-((M20/2)+ABS(L19)-20)*X20</f>
        <v>1.5913750000000002</v>
      </c>
      <c r="T20" s="15">
        <f t="shared" si="2"/>
        <v>5491.8351249999996</v>
      </c>
      <c r="U20" s="2"/>
      <c r="V20" s="15">
        <f t="shared" si="1"/>
        <v>5491.8351249999996</v>
      </c>
      <c r="W20" s="2"/>
      <c r="X20" s="19">
        <f>S19/(ABS(L20)-20)</f>
        <v>5.4874999999999993E-2</v>
      </c>
      <c r="Y20" s="5">
        <f>(S19-S20)/X20</f>
        <v>51</v>
      </c>
      <c r="Z20" s="5">
        <f>Y20+20</f>
        <v>71</v>
      </c>
      <c r="AA20" s="20">
        <f>1/-18.223</f>
        <v>-5.4875706524721506E-2</v>
      </c>
      <c r="AB20" s="5"/>
      <c r="AC20" s="5"/>
      <c r="AD20" s="5"/>
    </row>
    <row r="21" spans="1:30" x14ac:dyDescent="0.35">
      <c r="A21" s="6" t="s">
        <v>27</v>
      </c>
      <c r="B21" s="6" t="s">
        <v>48</v>
      </c>
      <c r="C21" s="6" t="s">
        <v>29</v>
      </c>
      <c r="D21" s="6">
        <v>54.225277777777698</v>
      </c>
      <c r="E21" s="6">
        <v>-130.159722222222</v>
      </c>
      <c r="F21" s="6" t="s">
        <v>30</v>
      </c>
      <c r="G21" s="6" t="s">
        <v>31</v>
      </c>
      <c r="H21" s="6" t="s">
        <v>31</v>
      </c>
      <c r="I21" s="6" t="s">
        <v>31</v>
      </c>
      <c r="J21" s="6" t="s">
        <v>32</v>
      </c>
      <c r="K21" s="6">
        <v>11</v>
      </c>
      <c r="L21" s="6">
        <v>10</v>
      </c>
      <c r="M21" s="7">
        <f t="shared" si="0"/>
        <v>1</v>
      </c>
      <c r="N21" s="7">
        <f>IF(ABS(MIN(L21:L27))&gt;100,100,ABS(MIN(L21:L27)))</f>
        <v>100</v>
      </c>
      <c r="O21" s="7">
        <f>K21</f>
        <v>11</v>
      </c>
      <c r="P21" s="7">
        <f>O21+N21</f>
        <v>111</v>
      </c>
      <c r="Q21" s="12">
        <v>0.11</v>
      </c>
      <c r="R21" s="6"/>
      <c r="S21" s="13">
        <v>54.723333333333336</v>
      </c>
      <c r="T21" s="7">
        <f t="shared" si="2"/>
        <v>601.95666666666671</v>
      </c>
      <c r="U21" s="7">
        <f>SUM(T21:T27)</f>
        <v>27197.673690476189</v>
      </c>
      <c r="V21" s="7">
        <f t="shared" si="1"/>
        <v>601.95666666666671</v>
      </c>
      <c r="W21" s="10">
        <f>SUM(V21:V27)/10^6*10^4</f>
        <v>271.97673690476188</v>
      </c>
      <c r="X21" s="7"/>
      <c r="Y21" s="21"/>
      <c r="Z21" s="21"/>
      <c r="AA21" s="21"/>
    </row>
    <row r="22" spans="1:30" x14ac:dyDescent="0.35">
      <c r="A22" s="6" t="s">
        <v>27</v>
      </c>
      <c r="B22" s="6"/>
      <c r="C22" s="6" t="s">
        <v>29</v>
      </c>
      <c r="D22" s="6">
        <v>54.225277777777698</v>
      </c>
      <c r="E22" s="6">
        <v>-130.159722222222</v>
      </c>
      <c r="F22" s="6" t="s">
        <v>30</v>
      </c>
      <c r="G22" s="6" t="s">
        <v>31</v>
      </c>
      <c r="H22" s="6" t="s">
        <v>31</v>
      </c>
      <c r="I22" s="6" t="s">
        <v>31</v>
      </c>
      <c r="J22" s="6" t="s">
        <v>49</v>
      </c>
      <c r="K22" s="6">
        <v>10</v>
      </c>
      <c r="L22" s="6">
        <v>9</v>
      </c>
      <c r="M22" s="7">
        <f t="shared" si="0"/>
        <v>1</v>
      </c>
      <c r="N22" s="7"/>
      <c r="O22" s="7"/>
      <c r="P22" s="7"/>
      <c r="Q22" s="12">
        <v>0.11</v>
      </c>
      <c r="R22" s="6"/>
      <c r="S22" s="13">
        <v>54.723333333333336</v>
      </c>
      <c r="T22" s="7">
        <f t="shared" si="2"/>
        <v>601.95666666666671</v>
      </c>
      <c r="U22" s="6"/>
      <c r="V22" s="7">
        <f t="shared" si="1"/>
        <v>601.95666666666671</v>
      </c>
      <c r="W22" s="6"/>
      <c r="X22" s="6"/>
    </row>
    <row r="23" spans="1:30" x14ac:dyDescent="0.35">
      <c r="A23" s="6" t="s">
        <v>27</v>
      </c>
      <c r="B23" s="6"/>
      <c r="C23" s="6" t="s">
        <v>29</v>
      </c>
      <c r="D23" s="6">
        <v>54.225277777777698</v>
      </c>
      <c r="E23" s="6">
        <v>-130.159722222222</v>
      </c>
      <c r="F23" s="6" t="s">
        <v>30</v>
      </c>
      <c r="G23" s="6" t="s">
        <v>31</v>
      </c>
      <c r="H23" s="6" t="s">
        <v>31</v>
      </c>
      <c r="I23" s="6" t="s">
        <v>31</v>
      </c>
      <c r="J23" s="6" t="s">
        <v>34</v>
      </c>
      <c r="K23" s="6">
        <v>9</v>
      </c>
      <c r="L23" s="6">
        <v>1</v>
      </c>
      <c r="M23" s="7">
        <f t="shared" si="0"/>
        <v>8</v>
      </c>
      <c r="N23" s="7"/>
      <c r="O23" s="7"/>
      <c r="P23" s="7"/>
      <c r="Q23" s="12">
        <v>0.11</v>
      </c>
      <c r="R23" s="6"/>
      <c r="S23" s="13">
        <v>54.723333333333336</v>
      </c>
      <c r="T23" s="7">
        <f t="shared" si="2"/>
        <v>4815.6533333333336</v>
      </c>
      <c r="U23" s="6"/>
      <c r="V23" s="7">
        <f t="shared" si="1"/>
        <v>4815.6533333333336</v>
      </c>
      <c r="W23" s="6"/>
      <c r="X23" s="6"/>
    </row>
    <row r="24" spans="1:30" x14ac:dyDescent="0.35">
      <c r="A24" s="6" t="s">
        <v>27</v>
      </c>
      <c r="B24" s="6"/>
      <c r="C24" s="6" t="s">
        <v>29</v>
      </c>
      <c r="D24" s="6">
        <v>54.225277777777698</v>
      </c>
      <c r="E24" s="6">
        <v>-130.159722222222</v>
      </c>
      <c r="F24" s="6" t="s">
        <v>30</v>
      </c>
      <c r="G24" s="6" t="s">
        <v>31</v>
      </c>
      <c r="H24" s="6" t="s">
        <v>31</v>
      </c>
      <c r="I24" s="6" t="s">
        <v>31</v>
      </c>
      <c r="J24" s="6" t="s">
        <v>35</v>
      </c>
      <c r="K24" s="6">
        <v>1</v>
      </c>
      <c r="L24" s="6">
        <v>0</v>
      </c>
      <c r="M24" s="7">
        <f t="shared" si="0"/>
        <v>1</v>
      </c>
      <c r="N24" s="7"/>
      <c r="O24" s="7"/>
      <c r="P24" s="7"/>
      <c r="Q24" s="12">
        <v>0.11</v>
      </c>
      <c r="R24" s="6"/>
      <c r="S24" s="13">
        <v>54.723333333333336</v>
      </c>
      <c r="T24" s="7">
        <f t="shared" si="2"/>
        <v>601.95666666666671</v>
      </c>
      <c r="U24" s="6"/>
      <c r="V24" s="7">
        <f t="shared" si="1"/>
        <v>601.95666666666671</v>
      </c>
      <c r="W24" s="6"/>
      <c r="X24" s="6"/>
    </row>
    <row r="25" spans="1:30" x14ac:dyDescent="0.35">
      <c r="A25" s="6" t="s">
        <v>27</v>
      </c>
      <c r="B25" s="6"/>
      <c r="C25" s="6" t="s">
        <v>29</v>
      </c>
      <c r="D25" s="6">
        <v>54.225277777777698</v>
      </c>
      <c r="E25" s="6">
        <v>-130.159722222222</v>
      </c>
      <c r="F25" s="6" t="s">
        <v>30</v>
      </c>
      <c r="G25" s="6" t="s">
        <v>31</v>
      </c>
      <c r="H25" s="6" t="s">
        <v>31</v>
      </c>
      <c r="I25" s="6" t="s">
        <v>31</v>
      </c>
      <c r="J25" s="6" t="s">
        <v>50</v>
      </c>
      <c r="K25" s="6">
        <v>0</v>
      </c>
      <c r="L25" s="6">
        <v>-15</v>
      </c>
      <c r="M25" s="7">
        <f t="shared" si="0"/>
        <v>15</v>
      </c>
      <c r="N25" s="7"/>
      <c r="O25" s="7"/>
      <c r="P25" s="7"/>
      <c r="Q25" s="12">
        <v>0.86</v>
      </c>
      <c r="R25" s="27">
        <v>40</v>
      </c>
      <c r="S25" s="13">
        <v>5.27</v>
      </c>
      <c r="T25" s="7">
        <f t="shared" si="2"/>
        <v>4078.9799999999996</v>
      </c>
      <c r="U25" s="6"/>
      <c r="V25" s="7">
        <f t="shared" si="1"/>
        <v>4078.9799999999996</v>
      </c>
      <c r="W25" s="6"/>
      <c r="X25" s="6"/>
      <c r="Z25">
        <v>20</v>
      </c>
    </row>
    <row r="26" spans="1:30" x14ac:dyDescent="0.35">
      <c r="A26" s="6" t="s">
        <v>27</v>
      </c>
      <c r="B26" s="6"/>
      <c r="C26" s="6" t="s">
        <v>29</v>
      </c>
      <c r="D26" s="6">
        <v>54.225277777777698</v>
      </c>
      <c r="E26" s="6">
        <v>-130.159722222222</v>
      </c>
      <c r="F26" s="6" t="s">
        <v>30</v>
      </c>
      <c r="G26" s="6" t="s">
        <v>31</v>
      </c>
      <c r="H26" s="6" t="s">
        <v>31</v>
      </c>
      <c r="I26" s="6" t="s">
        <v>31</v>
      </c>
      <c r="J26" s="6" t="s">
        <v>51</v>
      </c>
      <c r="K26" s="6">
        <v>-15</v>
      </c>
      <c r="L26" s="6">
        <v>-50</v>
      </c>
      <c r="M26" s="7">
        <f t="shared" si="0"/>
        <v>35</v>
      </c>
      <c r="N26" s="7"/>
      <c r="O26" s="7"/>
      <c r="P26" s="7"/>
      <c r="Q26" s="12">
        <v>0.86</v>
      </c>
      <c r="R26" s="27">
        <v>40</v>
      </c>
      <c r="S26" s="24">
        <f>(M26-(20-ABS(K26)))/M26*(S25-((M26/2)+ABS(L25)-20)*X27+(20-ABS(K26))/M26*S25)</f>
        <v>4.4566454081632649</v>
      </c>
      <c r="T26" s="7">
        <f t="shared" si="2"/>
        <v>8048.7016071428561</v>
      </c>
      <c r="U26" s="6"/>
      <c r="V26" s="7">
        <f t="shared" si="1"/>
        <v>8048.7016071428561</v>
      </c>
      <c r="W26" s="6"/>
      <c r="X26" s="6"/>
      <c r="Y26" s="29">
        <f>(S25-S26)/X27</f>
        <v>12.346938775510205</v>
      </c>
      <c r="Z26" s="29">
        <f>Y26+20</f>
        <v>32.346938775510203</v>
      </c>
    </row>
    <row r="27" spans="1:30" x14ac:dyDescent="0.35">
      <c r="A27" s="2" t="s">
        <v>27</v>
      </c>
      <c r="B27" s="2"/>
      <c r="C27" s="2" t="s">
        <v>29</v>
      </c>
      <c r="D27" s="2">
        <v>54.225277777777698</v>
      </c>
      <c r="E27" s="2">
        <v>-130.159722222222</v>
      </c>
      <c r="F27" s="2" t="s">
        <v>30</v>
      </c>
      <c r="G27" s="2" t="s">
        <v>31</v>
      </c>
      <c r="H27" s="2" t="s">
        <v>31</v>
      </c>
      <c r="I27" s="2" t="s">
        <v>31</v>
      </c>
      <c r="J27" s="2" t="s">
        <v>45</v>
      </c>
      <c r="K27" s="2">
        <v>-50</v>
      </c>
      <c r="L27" s="2">
        <v>-100</v>
      </c>
      <c r="M27" s="15">
        <f t="shared" si="0"/>
        <v>50</v>
      </c>
      <c r="N27" s="15"/>
      <c r="O27" s="15"/>
      <c r="P27" s="15"/>
      <c r="Q27" s="16">
        <v>1.71</v>
      </c>
      <c r="R27" s="28">
        <v>40</v>
      </c>
      <c r="S27" s="18">
        <f>S25-((M27/2)+ABS(L26)-20)*X27</f>
        <v>1.6468750000000001</v>
      </c>
      <c r="T27" s="15">
        <f t="shared" si="2"/>
        <v>8448.46875</v>
      </c>
      <c r="U27" s="2"/>
      <c r="V27" s="15">
        <f t="shared" si="1"/>
        <v>8448.46875</v>
      </c>
      <c r="W27" s="2"/>
      <c r="X27" s="19">
        <f>S25/(ABS(L27)-20)</f>
        <v>6.5874999999999989E-2</v>
      </c>
      <c r="Y27" s="5">
        <f>(S25-S27)/X27</f>
        <v>55</v>
      </c>
      <c r="Z27" s="5">
        <f>Y27+20</f>
        <v>75</v>
      </c>
      <c r="AA27" s="20">
        <f>1/-15.18</f>
        <v>-6.5876152832674575E-2</v>
      </c>
      <c r="AB27" s="5"/>
      <c r="AC27" s="5"/>
      <c r="AD27" s="5"/>
    </row>
    <row r="28" spans="1:30" x14ac:dyDescent="0.35">
      <c r="A28" s="6" t="s">
        <v>27</v>
      </c>
      <c r="B28" s="6" t="s">
        <v>52</v>
      </c>
      <c r="C28" s="6" t="s">
        <v>29</v>
      </c>
      <c r="D28" s="6">
        <v>54.1805555555555</v>
      </c>
      <c r="E28" s="6">
        <v>-130.218055555555</v>
      </c>
      <c r="F28" s="6" t="s">
        <v>30</v>
      </c>
      <c r="G28" s="6" t="s">
        <v>31</v>
      </c>
      <c r="H28" s="6" t="s">
        <v>31</v>
      </c>
      <c r="I28" s="6" t="s">
        <v>31</v>
      </c>
      <c r="J28" s="6" t="s">
        <v>32</v>
      </c>
      <c r="K28" s="6">
        <v>15</v>
      </c>
      <c r="L28" s="6">
        <v>14</v>
      </c>
      <c r="M28" s="7">
        <f t="shared" si="0"/>
        <v>1</v>
      </c>
      <c r="N28" s="7">
        <f>IF(ABS(MIN(L28:L33))&gt;100,100,ABS(MIN(L28:L33)))</f>
        <v>90</v>
      </c>
      <c r="O28" s="7">
        <f>K28</f>
        <v>15</v>
      </c>
      <c r="P28" s="7">
        <f>O28+N28</f>
        <v>105</v>
      </c>
      <c r="Q28" s="12">
        <v>0.11</v>
      </c>
      <c r="R28" s="6"/>
      <c r="S28" s="13">
        <v>54.15</v>
      </c>
      <c r="T28" s="7">
        <f t="shared" si="2"/>
        <v>595.65</v>
      </c>
      <c r="U28" s="7">
        <f>SUM(T28:T33)</f>
        <v>63682.659428571438</v>
      </c>
      <c r="V28" s="7">
        <f t="shared" si="1"/>
        <v>595.65</v>
      </c>
      <c r="W28" s="10">
        <f>SUM(V28:V33)/10^6*10^4</f>
        <v>636.82659428571446</v>
      </c>
      <c r="X28" s="7"/>
      <c r="Y28" s="21"/>
      <c r="Z28" s="21"/>
      <c r="AA28" s="21"/>
    </row>
    <row r="29" spans="1:30" x14ac:dyDescent="0.35">
      <c r="A29" s="6" t="s">
        <v>27</v>
      </c>
      <c r="B29" s="6"/>
      <c r="C29" s="6" t="s">
        <v>29</v>
      </c>
      <c r="D29" s="6">
        <v>54.1805555555555</v>
      </c>
      <c r="E29" s="6">
        <v>-130.218055555555</v>
      </c>
      <c r="F29" s="6" t="s">
        <v>30</v>
      </c>
      <c r="G29" s="6" t="s">
        <v>31</v>
      </c>
      <c r="H29" s="6" t="s">
        <v>31</v>
      </c>
      <c r="I29" s="6" t="s">
        <v>31</v>
      </c>
      <c r="J29" s="6" t="s">
        <v>34</v>
      </c>
      <c r="K29" s="6">
        <v>14</v>
      </c>
      <c r="L29" s="6">
        <v>3</v>
      </c>
      <c r="M29" s="7">
        <f t="shared" si="0"/>
        <v>11</v>
      </c>
      <c r="N29" s="7"/>
      <c r="O29" s="7"/>
      <c r="P29" s="7"/>
      <c r="Q29" s="12">
        <v>0.11</v>
      </c>
      <c r="R29" s="6"/>
      <c r="S29" s="13">
        <v>54.15</v>
      </c>
      <c r="T29" s="7">
        <f t="shared" si="2"/>
        <v>6552.15</v>
      </c>
      <c r="U29" s="6"/>
      <c r="V29" s="7">
        <f t="shared" si="1"/>
        <v>6552.15</v>
      </c>
      <c r="W29" s="6"/>
      <c r="X29" s="6"/>
    </row>
    <row r="30" spans="1:30" x14ac:dyDescent="0.35">
      <c r="A30" s="6" t="s">
        <v>27</v>
      </c>
      <c r="B30" s="6"/>
      <c r="C30" s="6" t="s">
        <v>29</v>
      </c>
      <c r="D30" s="6">
        <v>54.1805555555555</v>
      </c>
      <c r="E30" s="6">
        <v>-130.218055555555</v>
      </c>
      <c r="F30" s="6" t="s">
        <v>30</v>
      </c>
      <c r="G30" s="6" t="s">
        <v>31</v>
      </c>
      <c r="H30" s="6" t="s">
        <v>31</v>
      </c>
      <c r="I30" s="6" t="s">
        <v>31</v>
      </c>
      <c r="J30" s="6" t="s">
        <v>53</v>
      </c>
      <c r="K30" s="6">
        <v>3</v>
      </c>
      <c r="L30" s="6">
        <v>0</v>
      </c>
      <c r="M30" s="7">
        <f t="shared" si="0"/>
        <v>3</v>
      </c>
      <c r="N30" s="7"/>
      <c r="O30" s="7"/>
      <c r="P30" s="7"/>
      <c r="Q30" s="12">
        <v>0.11</v>
      </c>
      <c r="R30" s="6"/>
      <c r="S30" s="13">
        <v>54.15</v>
      </c>
      <c r="T30" s="7">
        <f t="shared" si="2"/>
        <v>1786.95</v>
      </c>
      <c r="U30" s="6"/>
      <c r="V30" s="7">
        <f t="shared" si="1"/>
        <v>1786.95</v>
      </c>
      <c r="W30" s="6"/>
      <c r="X30" s="6"/>
    </row>
    <row r="31" spans="1:30" x14ac:dyDescent="0.35">
      <c r="A31" s="6" t="s">
        <v>27</v>
      </c>
      <c r="B31" s="6"/>
      <c r="C31" s="6" t="s">
        <v>29</v>
      </c>
      <c r="D31" s="6">
        <v>54.1805555555555</v>
      </c>
      <c r="E31" s="6">
        <v>-130.218055555555</v>
      </c>
      <c r="F31" s="6" t="s">
        <v>30</v>
      </c>
      <c r="G31" s="6" t="s">
        <v>31</v>
      </c>
      <c r="H31" s="6" t="s">
        <v>31</v>
      </c>
      <c r="I31" s="6" t="s">
        <v>31</v>
      </c>
      <c r="J31" s="6" t="s">
        <v>36</v>
      </c>
      <c r="K31" s="6">
        <v>0</v>
      </c>
      <c r="L31" s="6">
        <v>-1</v>
      </c>
      <c r="M31" s="7">
        <f t="shared" si="0"/>
        <v>1</v>
      </c>
      <c r="N31" s="7"/>
      <c r="O31" s="7"/>
      <c r="P31" s="7"/>
      <c r="Q31" s="12">
        <v>0.93</v>
      </c>
      <c r="R31" s="6"/>
      <c r="S31" s="13">
        <v>10.49</v>
      </c>
      <c r="T31" s="7">
        <f t="shared" si="2"/>
        <v>975.57</v>
      </c>
      <c r="U31" s="6"/>
      <c r="V31" s="7">
        <f t="shared" si="1"/>
        <v>975.57</v>
      </c>
      <c r="W31" s="6"/>
      <c r="X31" s="6"/>
    </row>
    <row r="32" spans="1:30" x14ac:dyDescent="0.35">
      <c r="A32" s="6" t="s">
        <v>27</v>
      </c>
      <c r="B32" s="6"/>
      <c r="C32" s="6" t="s">
        <v>29</v>
      </c>
      <c r="D32" s="6">
        <v>54.1805555555555</v>
      </c>
      <c r="E32" s="6">
        <v>-130.218055555555</v>
      </c>
      <c r="F32" s="6" t="s">
        <v>30</v>
      </c>
      <c r="G32" s="6" t="s">
        <v>31</v>
      </c>
      <c r="H32" s="6" t="s">
        <v>31</v>
      </c>
      <c r="I32" s="6" t="s">
        <v>31</v>
      </c>
      <c r="J32" s="6" t="s">
        <v>37</v>
      </c>
      <c r="K32" s="6">
        <v>-1</v>
      </c>
      <c r="L32" s="6">
        <v>-40</v>
      </c>
      <c r="M32" s="7">
        <f t="shared" si="0"/>
        <v>39</v>
      </c>
      <c r="N32" s="7"/>
      <c r="O32" s="7"/>
      <c r="P32" s="7"/>
      <c r="Q32" s="12">
        <v>0.86</v>
      </c>
      <c r="R32" s="27">
        <v>20</v>
      </c>
      <c r="S32" s="13">
        <v>10.49</v>
      </c>
      <c r="T32" s="7">
        <f t="shared" si="2"/>
        <v>28146.768</v>
      </c>
      <c r="U32" s="6"/>
      <c r="V32" s="7">
        <f t="shared" si="1"/>
        <v>28146.768</v>
      </c>
      <c r="W32" s="6"/>
      <c r="X32" s="6"/>
      <c r="Z32">
        <v>20</v>
      </c>
    </row>
    <row r="33" spans="1:30" x14ac:dyDescent="0.35">
      <c r="A33" s="2" t="s">
        <v>27</v>
      </c>
      <c r="B33" s="2"/>
      <c r="C33" s="2" t="s">
        <v>29</v>
      </c>
      <c r="D33" s="2">
        <v>54.1805555555555</v>
      </c>
      <c r="E33" s="2">
        <v>-130.218055555555</v>
      </c>
      <c r="F33" s="2" t="s">
        <v>30</v>
      </c>
      <c r="G33" s="2" t="s">
        <v>31</v>
      </c>
      <c r="H33" s="2" t="s">
        <v>31</v>
      </c>
      <c r="I33" s="2" t="s">
        <v>31</v>
      </c>
      <c r="J33" s="2" t="s">
        <v>45</v>
      </c>
      <c r="K33" s="2">
        <v>-40</v>
      </c>
      <c r="L33" s="2">
        <v>-90</v>
      </c>
      <c r="M33" s="15">
        <f t="shared" si="0"/>
        <v>50</v>
      </c>
      <c r="N33" s="15"/>
      <c r="O33" s="15"/>
      <c r="P33" s="15"/>
      <c r="Q33" s="16">
        <v>1.71</v>
      </c>
      <c r="R33" s="28">
        <v>20</v>
      </c>
      <c r="S33" s="18">
        <f>S31-((M33/2)+ABS(L32)-20)*X33</f>
        <v>3.7464285714285719</v>
      </c>
      <c r="T33" s="15">
        <f t="shared" si="2"/>
        <v>25625.571428571435</v>
      </c>
      <c r="U33" s="2"/>
      <c r="V33" s="15">
        <f t="shared" si="1"/>
        <v>25625.571428571435</v>
      </c>
      <c r="W33" s="2"/>
      <c r="X33" s="19">
        <f>S32/(ABS(L33)-20)</f>
        <v>0.14985714285714286</v>
      </c>
      <c r="Y33" s="5">
        <f>(S32-S33)/X33</f>
        <v>45</v>
      </c>
      <c r="Z33" s="5">
        <f>Y33+20</f>
        <v>65</v>
      </c>
      <c r="AA33" s="20">
        <f>1/-6.673</f>
        <v>-0.1498576352465158</v>
      </c>
      <c r="AB33" s="5"/>
      <c r="AC33" s="5"/>
      <c r="AD33" s="5"/>
    </row>
    <row r="34" spans="1:30" x14ac:dyDescent="0.35">
      <c r="A34" s="6" t="s">
        <v>27</v>
      </c>
      <c r="B34" s="6" t="s">
        <v>54</v>
      </c>
      <c r="C34" s="6" t="s">
        <v>55</v>
      </c>
      <c r="D34" s="6">
        <v>53.790277777777703</v>
      </c>
      <c r="E34" s="6">
        <v>-128.968055555555</v>
      </c>
      <c r="F34" s="6" t="s">
        <v>30</v>
      </c>
      <c r="G34" s="6" t="s">
        <v>31</v>
      </c>
      <c r="H34" s="6" t="s">
        <v>31</v>
      </c>
      <c r="I34" s="6" t="s">
        <v>31</v>
      </c>
      <c r="J34" s="6" t="s">
        <v>32</v>
      </c>
      <c r="K34" s="6">
        <v>46</v>
      </c>
      <c r="L34" s="6">
        <v>45</v>
      </c>
      <c r="M34" s="7">
        <f t="shared" si="0"/>
        <v>1</v>
      </c>
      <c r="N34" s="7">
        <f>IF(ABS(MIN(L34:L36))&gt;100,100,ABS(MIN(L34:L36)))</f>
        <v>1</v>
      </c>
      <c r="O34" s="7">
        <f>K34</f>
        <v>46</v>
      </c>
      <c r="P34" s="7">
        <f>O34+N34</f>
        <v>47</v>
      </c>
      <c r="Q34" s="12">
        <v>0.14000000000000001</v>
      </c>
      <c r="R34" s="6"/>
      <c r="S34" s="13">
        <v>56.793333333333329</v>
      </c>
      <c r="T34" s="7">
        <f t="shared" si="2"/>
        <v>795.10666666666668</v>
      </c>
      <c r="U34" s="7">
        <f>SUM(T34:T36)</f>
        <v>37742.44666666667</v>
      </c>
      <c r="V34" s="7">
        <f t="shared" si="1"/>
        <v>795.10666666666668</v>
      </c>
      <c r="W34" s="10">
        <f>SUM(V34:V36)/10^6*10^4</f>
        <v>377.42446666666672</v>
      </c>
      <c r="X34" s="7"/>
      <c r="Y34" s="21"/>
      <c r="Z34" s="21"/>
      <c r="AA34" s="21"/>
    </row>
    <row r="35" spans="1:30" x14ac:dyDescent="0.35">
      <c r="A35" s="6" t="s">
        <v>27</v>
      </c>
      <c r="B35" s="6"/>
      <c r="C35" s="6" t="s">
        <v>55</v>
      </c>
      <c r="D35" s="6">
        <v>53.790277777777703</v>
      </c>
      <c r="E35" s="6">
        <v>-128.968055555555</v>
      </c>
      <c r="F35" s="6" t="s">
        <v>30</v>
      </c>
      <c r="G35" s="6" t="s">
        <v>31</v>
      </c>
      <c r="H35" s="6" t="s">
        <v>31</v>
      </c>
      <c r="I35" s="6" t="s">
        <v>31</v>
      </c>
      <c r="J35" s="6" t="s">
        <v>34</v>
      </c>
      <c r="K35" s="6">
        <v>45</v>
      </c>
      <c r="L35" s="6">
        <v>0</v>
      </c>
      <c r="M35" s="7">
        <f t="shared" si="0"/>
        <v>45</v>
      </c>
      <c r="N35" s="7"/>
      <c r="O35" s="7"/>
      <c r="P35" s="7"/>
      <c r="Q35" s="12">
        <v>0.14000000000000001</v>
      </c>
      <c r="R35" s="6"/>
      <c r="S35" s="13">
        <v>56.793333333333329</v>
      </c>
      <c r="T35" s="7">
        <f t="shared" si="2"/>
        <v>35779.800000000003</v>
      </c>
      <c r="U35" s="6"/>
      <c r="V35" s="7">
        <f t="shared" si="1"/>
        <v>35779.800000000003</v>
      </c>
      <c r="W35" s="6"/>
      <c r="X35" s="6"/>
    </row>
    <row r="36" spans="1:30" x14ac:dyDescent="0.35">
      <c r="A36" s="2" t="s">
        <v>27</v>
      </c>
      <c r="B36" s="2"/>
      <c r="C36" s="2" t="s">
        <v>55</v>
      </c>
      <c r="D36" s="2">
        <v>53.790277777777703</v>
      </c>
      <c r="E36" s="2">
        <v>-128.968055555555</v>
      </c>
      <c r="F36" s="2" t="s">
        <v>30</v>
      </c>
      <c r="G36" s="2" t="s">
        <v>31</v>
      </c>
      <c r="H36" s="2" t="s">
        <v>31</v>
      </c>
      <c r="I36" s="2" t="s">
        <v>31</v>
      </c>
      <c r="J36" s="2" t="s">
        <v>39</v>
      </c>
      <c r="K36" s="2">
        <v>0</v>
      </c>
      <c r="L36" s="2">
        <v>-1</v>
      </c>
      <c r="M36" s="15">
        <f t="shared" si="0"/>
        <v>1</v>
      </c>
      <c r="N36" s="15"/>
      <c r="O36" s="15"/>
      <c r="P36" s="15"/>
      <c r="Q36" s="16">
        <v>1.74</v>
      </c>
      <c r="R36" s="28">
        <v>0</v>
      </c>
      <c r="S36" s="30">
        <v>6.71</v>
      </c>
      <c r="T36" s="15">
        <f t="shared" si="2"/>
        <v>1167.5399999999997</v>
      </c>
      <c r="U36" s="5"/>
      <c r="V36" s="15">
        <f t="shared" si="1"/>
        <v>1167.5399999999997</v>
      </c>
      <c r="W36" s="5"/>
      <c r="X36" s="5"/>
      <c r="Y36" s="5"/>
      <c r="Z36" s="5"/>
      <c r="AA36" s="5"/>
      <c r="AB36" s="5"/>
      <c r="AC36" s="5"/>
      <c r="AD36" s="5"/>
    </row>
    <row r="37" spans="1:30" x14ac:dyDescent="0.35">
      <c r="A37" s="6" t="s">
        <v>27</v>
      </c>
      <c r="B37" s="6" t="s">
        <v>56</v>
      </c>
      <c r="C37" s="6" t="s">
        <v>41</v>
      </c>
      <c r="D37" s="6">
        <v>53.176111111111098</v>
      </c>
      <c r="E37" s="6">
        <v>-128.669444444444</v>
      </c>
      <c r="F37" s="6" t="s">
        <v>30</v>
      </c>
      <c r="G37" s="6" t="s">
        <v>31</v>
      </c>
      <c r="H37" s="6" t="s">
        <v>31</v>
      </c>
      <c r="I37" s="6" t="s">
        <v>31</v>
      </c>
      <c r="J37" s="6" t="s">
        <v>32</v>
      </c>
      <c r="K37" s="6">
        <v>11</v>
      </c>
      <c r="L37" s="6">
        <v>10</v>
      </c>
      <c r="M37" s="7">
        <f t="shared" si="0"/>
        <v>1</v>
      </c>
      <c r="N37" s="7">
        <f>IF(ABS(MIN(L37:L41))&gt;100,100,ABS(MIN(L37:L41)))</f>
        <v>100</v>
      </c>
      <c r="O37" s="7">
        <f>K37</f>
        <v>11</v>
      </c>
      <c r="P37" s="7">
        <f>O37+N37</f>
        <v>111</v>
      </c>
      <c r="Q37" s="12">
        <v>0.14000000000000001</v>
      </c>
      <c r="R37" s="6"/>
      <c r="S37" s="13">
        <v>50.543333333333329</v>
      </c>
      <c r="T37" s="7">
        <f t="shared" si="2"/>
        <v>707.60666666666668</v>
      </c>
      <c r="U37" s="7">
        <f>SUM(T37:T41)</f>
        <v>37121.704583333325</v>
      </c>
      <c r="V37" s="7">
        <f t="shared" si="1"/>
        <v>707.60666666666668</v>
      </c>
      <c r="W37" s="10">
        <f>SUM(V37:V41)/10^6*10^4</f>
        <v>371.21704583333326</v>
      </c>
      <c r="X37" s="7"/>
      <c r="Y37" s="21"/>
      <c r="Z37" s="21"/>
      <c r="AA37" s="21"/>
    </row>
    <row r="38" spans="1:30" x14ac:dyDescent="0.35">
      <c r="A38" s="6" t="s">
        <v>27</v>
      </c>
      <c r="B38" s="6"/>
      <c r="C38" s="6" t="s">
        <v>41</v>
      </c>
      <c r="D38" s="6">
        <v>53.176111111111098</v>
      </c>
      <c r="E38" s="6">
        <v>-128.669444444444</v>
      </c>
      <c r="F38" s="6" t="s">
        <v>30</v>
      </c>
      <c r="G38" s="6" t="s">
        <v>31</v>
      </c>
      <c r="H38" s="6" t="s">
        <v>31</v>
      </c>
      <c r="I38" s="6" t="s">
        <v>31</v>
      </c>
      <c r="J38" s="6" t="s">
        <v>34</v>
      </c>
      <c r="K38" s="6">
        <v>10</v>
      </c>
      <c r="L38" s="6">
        <v>2</v>
      </c>
      <c r="M38" s="7">
        <f t="shared" si="0"/>
        <v>8</v>
      </c>
      <c r="N38" s="7"/>
      <c r="O38" s="7"/>
      <c r="P38" s="7"/>
      <c r="Q38" s="12">
        <v>0.14000000000000001</v>
      </c>
      <c r="R38" s="6"/>
      <c r="S38" s="13">
        <v>50.543333333333329</v>
      </c>
      <c r="T38" s="7">
        <f t="shared" si="2"/>
        <v>5660.8533333333335</v>
      </c>
      <c r="U38" s="6"/>
      <c r="V38" s="7">
        <f t="shared" si="1"/>
        <v>5660.8533333333335</v>
      </c>
      <c r="W38" s="6"/>
      <c r="X38" s="6"/>
    </row>
    <row r="39" spans="1:30" x14ac:dyDescent="0.35">
      <c r="A39" s="6" t="s">
        <v>27</v>
      </c>
      <c r="B39" s="6"/>
      <c r="C39" s="6" t="s">
        <v>41</v>
      </c>
      <c r="D39" s="6">
        <v>53.176111111111098</v>
      </c>
      <c r="E39" s="6">
        <v>-128.669444444444</v>
      </c>
      <c r="F39" s="6" t="s">
        <v>30</v>
      </c>
      <c r="G39" s="6" t="s">
        <v>31</v>
      </c>
      <c r="H39" s="6" t="s">
        <v>31</v>
      </c>
      <c r="I39" s="6" t="s">
        <v>31</v>
      </c>
      <c r="J39" s="6" t="s">
        <v>35</v>
      </c>
      <c r="K39" s="6">
        <v>2</v>
      </c>
      <c r="L39" s="6">
        <v>0</v>
      </c>
      <c r="M39" s="7">
        <f t="shared" si="0"/>
        <v>2</v>
      </c>
      <c r="N39" s="7"/>
      <c r="O39" s="7"/>
      <c r="P39" s="7"/>
      <c r="Q39" s="12">
        <v>0.14000000000000001</v>
      </c>
      <c r="R39" s="6"/>
      <c r="S39" s="13">
        <v>50.543333333333329</v>
      </c>
      <c r="T39" s="7">
        <f t="shared" si="2"/>
        <v>1415.2133333333334</v>
      </c>
      <c r="U39" s="6"/>
      <c r="V39" s="7">
        <f t="shared" si="1"/>
        <v>1415.2133333333334</v>
      </c>
      <c r="W39" s="6"/>
      <c r="X39" s="6"/>
    </row>
    <row r="40" spans="1:30" x14ac:dyDescent="0.35">
      <c r="A40" s="6" t="s">
        <v>27</v>
      </c>
      <c r="B40" s="6"/>
      <c r="C40" s="6" t="s">
        <v>41</v>
      </c>
      <c r="D40" s="6">
        <v>53.176111111111098</v>
      </c>
      <c r="E40" s="6">
        <v>-128.669444444444</v>
      </c>
      <c r="F40" s="6" t="s">
        <v>30</v>
      </c>
      <c r="G40" s="6" t="s">
        <v>31</v>
      </c>
      <c r="H40" s="6" t="s">
        <v>31</v>
      </c>
      <c r="I40" s="6" t="s">
        <v>31</v>
      </c>
      <c r="J40" s="6" t="s">
        <v>36</v>
      </c>
      <c r="K40" s="6">
        <v>0</v>
      </c>
      <c r="L40" s="6">
        <v>-5</v>
      </c>
      <c r="M40" s="7">
        <f t="shared" si="0"/>
        <v>5</v>
      </c>
      <c r="N40" s="7"/>
      <c r="O40" s="7"/>
      <c r="P40" s="7"/>
      <c r="Q40" s="8">
        <v>1.31</v>
      </c>
      <c r="R40" s="27">
        <v>12</v>
      </c>
      <c r="S40" s="13">
        <v>3.75</v>
      </c>
      <c r="T40" s="7">
        <f t="shared" si="2"/>
        <v>2161.5</v>
      </c>
      <c r="U40" s="6"/>
      <c r="V40" s="7">
        <f t="shared" si="1"/>
        <v>2161.5</v>
      </c>
      <c r="W40" s="6"/>
      <c r="X40" s="6"/>
      <c r="Z40">
        <v>20</v>
      </c>
    </row>
    <row r="41" spans="1:30" x14ac:dyDescent="0.35">
      <c r="A41" s="2" t="s">
        <v>27</v>
      </c>
      <c r="B41" s="2"/>
      <c r="C41" s="2" t="s">
        <v>41</v>
      </c>
      <c r="D41" s="2">
        <v>53.176111111111098</v>
      </c>
      <c r="E41" s="2">
        <v>-128.669444444444</v>
      </c>
      <c r="F41" s="2" t="s">
        <v>30</v>
      </c>
      <c r="G41" s="2" t="s">
        <v>31</v>
      </c>
      <c r="H41" s="2" t="s">
        <v>31</v>
      </c>
      <c r="I41" s="2" t="s">
        <v>31</v>
      </c>
      <c r="J41" s="2" t="s">
        <v>57</v>
      </c>
      <c r="K41" s="2">
        <v>-5</v>
      </c>
      <c r="L41" s="2">
        <v>-100</v>
      </c>
      <c r="M41" s="15">
        <f t="shared" si="0"/>
        <v>95</v>
      </c>
      <c r="N41" s="15"/>
      <c r="O41" s="15"/>
      <c r="P41" s="15"/>
      <c r="Q41" s="3">
        <v>1.46</v>
      </c>
      <c r="R41" s="28">
        <v>12</v>
      </c>
      <c r="S41" s="18">
        <f>S40-((M41/2)+ABS(L40)-20)*X41</f>
        <v>2.2265625</v>
      </c>
      <c r="T41" s="15">
        <f t="shared" si="2"/>
        <v>27176.531249999996</v>
      </c>
      <c r="U41" s="2"/>
      <c r="V41" s="15">
        <f t="shared" si="1"/>
        <v>27176.531249999996</v>
      </c>
      <c r="W41" s="2"/>
      <c r="X41" s="19">
        <f>S40/(ABS(L41)-20)</f>
        <v>4.6875E-2</v>
      </c>
      <c r="Y41" s="5">
        <f>(S40-S41)/X41</f>
        <v>32.5</v>
      </c>
      <c r="Z41" s="5">
        <f>Y41+20</f>
        <v>52.5</v>
      </c>
      <c r="AA41" s="20">
        <f>1/-21.333</f>
        <v>-4.6875732433319273E-2</v>
      </c>
      <c r="AB41" s="5"/>
      <c r="AC41" s="5"/>
      <c r="AD41" s="5"/>
    </row>
    <row r="42" spans="1:30" x14ac:dyDescent="0.35">
      <c r="A42" s="6" t="s">
        <v>27</v>
      </c>
      <c r="B42" s="6" t="s">
        <v>58</v>
      </c>
      <c r="C42" s="6" t="s">
        <v>29</v>
      </c>
      <c r="D42" s="6">
        <v>52.655277777777698</v>
      </c>
      <c r="E42" s="6">
        <v>-128.72861111111101</v>
      </c>
      <c r="F42" s="6" t="s">
        <v>30</v>
      </c>
      <c r="G42" s="6" t="s">
        <v>31</v>
      </c>
      <c r="H42" s="6" t="s">
        <v>31</v>
      </c>
      <c r="I42" s="6" t="s">
        <v>31</v>
      </c>
      <c r="J42" s="6" t="s">
        <v>32</v>
      </c>
      <c r="K42" s="6">
        <v>18</v>
      </c>
      <c r="L42" s="6">
        <v>17</v>
      </c>
      <c r="M42" s="7">
        <f t="shared" si="0"/>
        <v>1</v>
      </c>
      <c r="N42" s="7">
        <f>IF(ABS(MIN(L42:L46))&gt;100,100,ABS(MIN(L42:L46)))</f>
        <v>75</v>
      </c>
      <c r="O42" s="7">
        <f>K42</f>
        <v>18</v>
      </c>
      <c r="P42" s="7">
        <f>O42+N42</f>
        <v>93</v>
      </c>
      <c r="Q42" s="12">
        <v>0.11</v>
      </c>
      <c r="R42" s="6"/>
      <c r="S42" s="13">
        <v>53.963333333333331</v>
      </c>
      <c r="T42" s="7">
        <f t="shared" si="2"/>
        <v>593.59666666666669</v>
      </c>
      <c r="U42" s="7">
        <f>SUM(T42:T46)</f>
        <v>18722.594545454544</v>
      </c>
      <c r="V42" s="7">
        <f t="shared" si="1"/>
        <v>593.59666666666669</v>
      </c>
      <c r="W42" s="10">
        <f>SUM(V42:V46)/10^6*10^4</f>
        <v>187.22594545454544</v>
      </c>
      <c r="X42" s="7"/>
      <c r="Y42" s="21"/>
      <c r="Z42" s="21"/>
      <c r="AA42" s="21"/>
    </row>
    <row r="43" spans="1:30" x14ac:dyDescent="0.35">
      <c r="A43" s="6" t="s">
        <v>27</v>
      </c>
      <c r="B43" s="6"/>
      <c r="C43" s="6" t="s">
        <v>29</v>
      </c>
      <c r="D43" s="6">
        <v>52.655277777777698</v>
      </c>
      <c r="E43" s="6">
        <v>-128.72861111111101</v>
      </c>
      <c r="F43" s="6" t="s">
        <v>30</v>
      </c>
      <c r="G43" s="6" t="s">
        <v>31</v>
      </c>
      <c r="H43" s="6" t="s">
        <v>31</v>
      </c>
      <c r="I43" s="6" t="s">
        <v>31</v>
      </c>
      <c r="J43" s="6" t="s">
        <v>34</v>
      </c>
      <c r="K43" s="6">
        <v>17</v>
      </c>
      <c r="L43" s="6">
        <v>12</v>
      </c>
      <c r="M43" s="7">
        <f t="shared" si="0"/>
        <v>5</v>
      </c>
      <c r="N43" s="7"/>
      <c r="O43" s="7"/>
      <c r="P43" s="7"/>
      <c r="Q43" s="12">
        <v>0.11</v>
      </c>
      <c r="R43" s="6"/>
      <c r="S43" s="13">
        <v>53.963333333333331</v>
      </c>
      <c r="T43" s="7">
        <f t="shared" si="2"/>
        <v>2967.9833333333331</v>
      </c>
      <c r="U43" s="6"/>
      <c r="V43" s="7">
        <f t="shared" si="1"/>
        <v>2967.9833333333331</v>
      </c>
      <c r="W43" s="6"/>
      <c r="X43" s="6"/>
    </row>
    <row r="44" spans="1:30" x14ac:dyDescent="0.35">
      <c r="A44" s="6" t="s">
        <v>27</v>
      </c>
      <c r="B44" s="6"/>
      <c r="C44" s="6" t="s">
        <v>29</v>
      </c>
      <c r="D44" s="6">
        <v>52.655277777777698</v>
      </c>
      <c r="E44" s="6">
        <v>-128.72861111111101</v>
      </c>
      <c r="F44" s="6" t="s">
        <v>30</v>
      </c>
      <c r="G44" s="6" t="s">
        <v>31</v>
      </c>
      <c r="H44" s="6" t="s">
        <v>31</v>
      </c>
      <c r="I44" s="6" t="s">
        <v>31</v>
      </c>
      <c r="J44" s="6" t="s">
        <v>35</v>
      </c>
      <c r="K44" s="6">
        <v>12</v>
      </c>
      <c r="L44" s="6">
        <v>0</v>
      </c>
      <c r="M44" s="7">
        <f t="shared" si="0"/>
        <v>12</v>
      </c>
      <c r="N44" s="7"/>
      <c r="O44" s="7"/>
      <c r="P44" s="7"/>
      <c r="Q44" s="12">
        <v>0.11</v>
      </c>
      <c r="R44" s="6"/>
      <c r="S44" s="13">
        <v>53.963333333333331</v>
      </c>
      <c r="T44" s="7">
        <f t="shared" si="2"/>
        <v>7123.16</v>
      </c>
      <c r="U44" s="6"/>
      <c r="V44" s="7">
        <f t="shared" si="1"/>
        <v>7123.16</v>
      </c>
      <c r="W44" s="6"/>
      <c r="X44" s="6"/>
    </row>
    <row r="45" spans="1:30" x14ac:dyDescent="0.35">
      <c r="A45" s="6" t="s">
        <v>27</v>
      </c>
      <c r="B45" s="6"/>
      <c r="C45" s="6" t="s">
        <v>29</v>
      </c>
      <c r="D45" s="6">
        <v>52.655277777777698</v>
      </c>
      <c r="E45" s="6">
        <v>-128.72861111111101</v>
      </c>
      <c r="F45" s="6" t="s">
        <v>30</v>
      </c>
      <c r="G45" s="6" t="s">
        <v>31</v>
      </c>
      <c r="H45" s="6" t="s">
        <v>31</v>
      </c>
      <c r="I45" s="6" t="s">
        <v>31</v>
      </c>
      <c r="J45" s="6" t="s">
        <v>37</v>
      </c>
      <c r="K45" s="6">
        <v>0</v>
      </c>
      <c r="L45" s="6">
        <v>-40</v>
      </c>
      <c r="M45" s="7">
        <f t="shared" si="0"/>
        <v>40</v>
      </c>
      <c r="N45" s="7"/>
      <c r="O45" s="7"/>
      <c r="P45" s="7"/>
      <c r="Q45" s="12">
        <v>0.86</v>
      </c>
      <c r="R45" s="27">
        <v>60</v>
      </c>
      <c r="S45" s="13">
        <v>3.76</v>
      </c>
      <c r="T45" s="7">
        <f t="shared" si="2"/>
        <v>5173.7599999999993</v>
      </c>
      <c r="U45" s="6"/>
      <c r="V45" s="7">
        <f t="shared" si="1"/>
        <v>5173.7599999999993</v>
      </c>
      <c r="W45" s="6"/>
      <c r="X45" s="6"/>
      <c r="Z45">
        <v>20</v>
      </c>
    </row>
    <row r="46" spans="1:30" x14ac:dyDescent="0.35">
      <c r="A46" s="2" t="s">
        <v>27</v>
      </c>
      <c r="B46" s="2"/>
      <c r="C46" s="2" t="s">
        <v>29</v>
      </c>
      <c r="D46" s="2">
        <v>52.655277777777698</v>
      </c>
      <c r="E46" s="2">
        <v>-128.72861111111101</v>
      </c>
      <c r="F46" s="2" t="s">
        <v>30</v>
      </c>
      <c r="G46" s="2" t="s">
        <v>31</v>
      </c>
      <c r="H46" s="2" t="s">
        <v>31</v>
      </c>
      <c r="I46" s="2" t="s">
        <v>31</v>
      </c>
      <c r="J46" s="2" t="s">
        <v>45</v>
      </c>
      <c r="K46" s="2">
        <v>-40</v>
      </c>
      <c r="L46" s="2">
        <v>-75</v>
      </c>
      <c r="M46" s="15">
        <f t="shared" si="0"/>
        <v>35</v>
      </c>
      <c r="N46" s="15"/>
      <c r="O46" s="15"/>
      <c r="P46" s="15"/>
      <c r="Q46" s="16">
        <v>1.71</v>
      </c>
      <c r="R46" s="28">
        <v>60</v>
      </c>
      <c r="S46" s="18">
        <f>S45-((M46/2)+ABS(L45)-20)*X46</f>
        <v>1.1963636363636363</v>
      </c>
      <c r="T46" s="15">
        <f t="shared" si="2"/>
        <v>2864.0945454545454</v>
      </c>
      <c r="U46" s="2"/>
      <c r="V46" s="15">
        <f>T46</f>
        <v>2864.0945454545454</v>
      </c>
      <c r="W46" s="2"/>
      <c r="X46" s="19">
        <f>S45/(ABS(L46)-20)</f>
        <v>6.8363636363636363E-2</v>
      </c>
      <c r="Y46" s="5">
        <f>(S45-S46)/X46</f>
        <v>37.5</v>
      </c>
      <c r="Z46" s="5">
        <f>Y46+20</f>
        <v>57.5</v>
      </c>
      <c r="AA46" s="20">
        <f>1/-14.474</f>
        <v>-6.9089401685781399E-2</v>
      </c>
      <c r="AB46" s="5"/>
      <c r="AC46" s="5"/>
      <c r="AD46" s="5"/>
    </row>
    <row r="47" spans="1:30" x14ac:dyDescent="0.35">
      <c r="A47" s="6" t="s">
        <v>27</v>
      </c>
      <c r="B47" s="6" t="s">
        <v>59</v>
      </c>
      <c r="C47" s="6" t="s">
        <v>41</v>
      </c>
      <c r="D47" s="6">
        <v>52.682499999999997</v>
      </c>
      <c r="E47" s="6">
        <v>-129.05277777777701</v>
      </c>
      <c r="F47" s="6" t="s">
        <v>30</v>
      </c>
      <c r="G47" s="6" t="s">
        <v>31</v>
      </c>
      <c r="H47" s="6" t="s">
        <v>31</v>
      </c>
      <c r="I47" s="6" t="s">
        <v>31</v>
      </c>
      <c r="J47" s="6" t="s">
        <v>32</v>
      </c>
      <c r="K47" s="6">
        <v>8</v>
      </c>
      <c r="L47" s="6">
        <v>7</v>
      </c>
      <c r="M47" s="7">
        <f t="shared" si="0"/>
        <v>1</v>
      </c>
      <c r="N47" s="7">
        <f>IF(ABS(MIN(L47:L51))&gt;100,100,ABS(MIN(L47:L51)))</f>
        <v>32</v>
      </c>
      <c r="O47" s="7">
        <f>K47</f>
        <v>8</v>
      </c>
      <c r="P47" s="7">
        <f>O47+N47</f>
        <v>40</v>
      </c>
      <c r="Q47" s="12">
        <v>0.14000000000000001</v>
      </c>
      <c r="R47" s="6"/>
      <c r="S47" s="13">
        <v>55.236666666666672</v>
      </c>
      <c r="T47" s="7">
        <f t="shared" si="2"/>
        <v>773.31333333333339</v>
      </c>
      <c r="U47" s="7">
        <f>SUM(T47:T51)</f>
        <v>26897.88416666667</v>
      </c>
      <c r="V47" s="7">
        <f t="shared" si="1"/>
        <v>773.31333333333339</v>
      </c>
      <c r="W47" s="10">
        <f>SUM(V47:V51)/10^6*10^4</f>
        <v>268.97884166666671</v>
      </c>
      <c r="X47" s="7"/>
      <c r="Y47" s="21"/>
      <c r="Z47" s="21"/>
      <c r="AA47" s="21"/>
    </row>
    <row r="48" spans="1:30" x14ac:dyDescent="0.35">
      <c r="A48" s="6" t="s">
        <v>27</v>
      </c>
      <c r="B48" s="6"/>
      <c r="C48" s="6" t="s">
        <v>41</v>
      </c>
      <c r="D48" s="6">
        <v>52.682499999999997</v>
      </c>
      <c r="E48" s="6">
        <v>-129.05277777777701</v>
      </c>
      <c r="F48" s="6" t="s">
        <v>30</v>
      </c>
      <c r="G48" s="6" t="s">
        <v>31</v>
      </c>
      <c r="H48" s="6" t="s">
        <v>31</v>
      </c>
      <c r="I48" s="6" t="s">
        <v>31</v>
      </c>
      <c r="J48" s="6" t="s">
        <v>34</v>
      </c>
      <c r="K48" s="6">
        <v>7</v>
      </c>
      <c r="L48" s="6">
        <v>0.5</v>
      </c>
      <c r="M48" s="7">
        <f t="shared" si="0"/>
        <v>6.5</v>
      </c>
      <c r="N48" s="7"/>
      <c r="O48" s="7"/>
      <c r="P48" s="7"/>
      <c r="Q48" s="12">
        <v>0.14000000000000001</v>
      </c>
      <c r="R48" s="6"/>
      <c r="S48" s="13">
        <v>55.236666666666672</v>
      </c>
      <c r="T48" s="7">
        <f t="shared" si="2"/>
        <v>5026.5366666666669</v>
      </c>
      <c r="U48" s="7"/>
      <c r="V48" s="7">
        <f t="shared" si="1"/>
        <v>5026.5366666666669</v>
      </c>
      <c r="W48" s="7"/>
      <c r="X48" s="7"/>
    </row>
    <row r="49" spans="1:30" x14ac:dyDescent="0.35">
      <c r="A49" s="6" t="s">
        <v>27</v>
      </c>
      <c r="B49" s="6"/>
      <c r="C49" s="6" t="s">
        <v>41</v>
      </c>
      <c r="D49" s="6">
        <v>52.682499999999997</v>
      </c>
      <c r="E49" s="6">
        <v>-129.05277777777701</v>
      </c>
      <c r="F49" s="6" t="s">
        <v>30</v>
      </c>
      <c r="G49" s="6" t="s">
        <v>31</v>
      </c>
      <c r="H49" s="6" t="s">
        <v>31</v>
      </c>
      <c r="I49" s="6" t="s">
        <v>31</v>
      </c>
      <c r="J49" s="6" t="s">
        <v>35</v>
      </c>
      <c r="K49" s="6">
        <v>0.5</v>
      </c>
      <c r="L49" s="6">
        <v>0</v>
      </c>
      <c r="M49" s="7">
        <f t="shared" si="0"/>
        <v>0.5</v>
      </c>
      <c r="N49" s="7"/>
      <c r="O49" s="7"/>
      <c r="P49" s="7"/>
      <c r="Q49" s="12">
        <v>0.14000000000000001</v>
      </c>
      <c r="R49" s="6"/>
      <c r="S49" s="13">
        <v>55.236666666666672</v>
      </c>
      <c r="T49" s="7">
        <f t="shared" si="2"/>
        <v>386.65666666666669</v>
      </c>
      <c r="U49" s="7"/>
      <c r="V49" s="7">
        <f t="shared" si="1"/>
        <v>386.65666666666669</v>
      </c>
      <c r="W49" s="7"/>
      <c r="X49" s="7"/>
    </row>
    <row r="50" spans="1:30" x14ac:dyDescent="0.35">
      <c r="A50" s="6" t="s">
        <v>27</v>
      </c>
      <c r="B50" s="6"/>
      <c r="C50" s="6" t="s">
        <v>41</v>
      </c>
      <c r="D50" s="6">
        <v>52.682499999999997</v>
      </c>
      <c r="E50" s="6">
        <v>-129.05277777777701</v>
      </c>
      <c r="F50" s="6" t="s">
        <v>30</v>
      </c>
      <c r="G50" s="6" t="s">
        <v>31</v>
      </c>
      <c r="H50" s="6" t="s">
        <v>31</v>
      </c>
      <c r="I50" s="6" t="s">
        <v>31</v>
      </c>
      <c r="J50" s="6" t="s">
        <v>57</v>
      </c>
      <c r="K50" s="6">
        <v>0</v>
      </c>
      <c r="L50" s="6">
        <v>-30</v>
      </c>
      <c r="M50" s="7">
        <f t="shared" si="0"/>
        <v>30</v>
      </c>
      <c r="N50" s="7"/>
      <c r="O50" s="7"/>
      <c r="P50" s="7"/>
      <c r="Q50" s="12">
        <v>1.46</v>
      </c>
      <c r="R50" s="27">
        <v>5</v>
      </c>
      <c r="S50" s="13">
        <v>4.95</v>
      </c>
      <c r="T50" s="7">
        <f t="shared" si="2"/>
        <v>20596.95</v>
      </c>
      <c r="U50" s="6"/>
      <c r="V50" s="7">
        <f t="shared" si="1"/>
        <v>20596.95</v>
      </c>
      <c r="W50" s="6"/>
      <c r="X50" s="6"/>
      <c r="Z50">
        <v>20</v>
      </c>
    </row>
    <row r="51" spans="1:30" x14ac:dyDescent="0.35">
      <c r="A51" s="2" t="s">
        <v>27</v>
      </c>
      <c r="B51" s="2"/>
      <c r="C51" s="2" t="s">
        <v>41</v>
      </c>
      <c r="D51" s="2">
        <v>52.682499999999997</v>
      </c>
      <c r="E51" s="2">
        <v>-129.05277777777701</v>
      </c>
      <c r="F51" s="2" t="s">
        <v>30</v>
      </c>
      <c r="G51" s="2" t="s">
        <v>31</v>
      </c>
      <c r="H51" s="2" t="s">
        <v>31</v>
      </c>
      <c r="I51" s="2" t="s">
        <v>31</v>
      </c>
      <c r="J51" s="2" t="s">
        <v>37</v>
      </c>
      <c r="K51" s="2">
        <v>-30</v>
      </c>
      <c r="L51" s="2">
        <v>-32</v>
      </c>
      <c r="M51" s="15">
        <f t="shared" si="0"/>
        <v>2</v>
      </c>
      <c r="N51" s="15"/>
      <c r="O51" s="15"/>
      <c r="P51" s="15"/>
      <c r="Q51" s="16">
        <v>1.46</v>
      </c>
      <c r="R51" s="28">
        <v>5</v>
      </c>
      <c r="S51" s="18">
        <f>S50-((M51/2)+ABS(L50)-20)*X51</f>
        <v>0.41249999999999964</v>
      </c>
      <c r="T51" s="15">
        <f t="shared" si="2"/>
        <v>114.42749999999991</v>
      </c>
      <c r="U51" s="2"/>
      <c r="V51" s="15">
        <f t="shared" si="1"/>
        <v>114.42749999999991</v>
      </c>
      <c r="W51" s="2"/>
      <c r="X51" s="19">
        <f>S50/(ABS(L51)-20)</f>
        <v>0.41250000000000003</v>
      </c>
      <c r="Y51" s="5">
        <f>(S50-S51)/X51</f>
        <v>11</v>
      </c>
      <c r="Z51" s="5">
        <f>Y51+20</f>
        <v>31</v>
      </c>
      <c r="AA51" s="20">
        <f>1/-2.4242</f>
        <v>-0.41250721887633035</v>
      </c>
      <c r="AB51" s="5"/>
      <c r="AC51" s="5"/>
      <c r="AD51" s="5"/>
    </row>
    <row r="52" spans="1:30" x14ac:dyDescent="0.35">
      <c r="A52" s="6" t="s">
        <v>27</v>
      </c>
      <c r="B52" s="6" t="s">
        <v>60</v>
      </c>
      <c r="C52" s="6" t="s">
        <v>61</v>
      </c>
      <c r="D52" s="6">
        <v>52.97</v>
      </c>
      <c r="E52" s="6">
        <v>-129.1925</v>
      </c>
      <c r="F52" s="6" t="s">
        <v>30</v>
      </c>
      <c r="G52" s="6" t="s">
        <v>31</v>
      </c>
      <c r="H52" s="6" t="s">
        <v>31</v>
      </c>
      <c r="I52" s="6" t="s">
        <v>31</v>
      </c>
      <c r="J52" s="6" t="s">
        <v>32</v>
      </c>
      <c r="K52" s="6">
        <v>13</v>
      </c>
      <c r="L52" s="6">
        <v>12</v>
      </c>
      <c r="M52" s="7">
        <f t="shared" si="0"/>
        <v>1</v>
      </c>
      <c r="N52" s="7">
        <f>IF(ABS(MIN(L52:L56))&gt;100,100,ABS(MIN(L52:L56)))</f>
        <v>32</v>
      </c>
      <c r="O52" s="7">
        <f>K52</f>
        <v>13</v>
      </c>
      <c r="P52" s="7">
        <f>O52+N52</f>
        <v>45</v>
      </c>
      <c r="Q52" s="12">
        <v>0.16</v>
      </c>
      <c r="R52" s="6"/>
      <c r="S52" s="13">
        <v>56.813333333333333</v>
      </c>
      <c r="T52" s="7">
        <f t="shared" si="2"/>
        <v>909.01333333333343</v>
      </c>
      <c r="U52" s="7">
        <f>SUM(T52:T56)</f>
        <v>16086.078750000002</v>
      </c>
      <c r="V52" s="7">
        <f t="shared" si="1"/>
        <v>909.01333333333343</v>
      </c>
      <c r="W52" s="10">
        <f>SUM(V52:V56)/10^6*10^4</f>
        <v>160.86078750000004</v>
      </c>
      <c r="X52" s="7"/>
      <c r="Y52" s="21"/>
      <c r="Z52" s="21"/>
      <c r="AA52" s="21"/>
    </row>
    <row r="53" spans="1:30" x14ac:dyDescent="0.35">
      <c r="A53" s="6" t="s">
        <v>27</v>
      </c>
      <c r="B53" s="6"/>
      <c r="C53" s="6" t="s">
        <v>61</v>
      </c>
      <c r="D53" s="6">
        <v>52.97</v>
      </c>
      <c r="E53" s="6">
        <v>-129.1925</v>
      </c>
      <c r="F53" s="6" t="s">
        <v>30</v>
      </c>
      <c r="G53" s="6" t="s">
        <v>31</v>
      </c>
      <c r="H53" s="6" t="s">
        <v>31</v>
      </c>
      <c r="I53" s="6" t="s">
        <v>31</v>
      </c>
      <c r="J53" s="6" t="s">
        <v>49</v>
      </c>
      <c r="K53" s="6">
        <v>12</v>
      </c>
      <c r="L53" s="6">
        <v>10</v>
      </c>
      <c r="M53" s="7">
        <f t="shared" si="0"/>
        <v>2</v>
      </c>
      <c r="N53" s="7"/>
      <c r="O53" s="7"/>
      <c r="P53" s="7"/>
      <c r="Q53" s="12">
        <v>0.16</v>
      </c>
      <c r="R53" s="6"/>
      <c r="S53" s="13">
        <v>56.813333333333333</v>
      </c>
      <c r="T53" s="7">
        <f t="shared" si="2"/>
        <v>1818.0266666666669</v>
      </c>
      <c r="U53" s="6"/>
      <c r="V53" s="7">
        <f t="shared" si="1"/>
        <v>1818.0266666666669</v>
      </c>
      <c r="W53" s="6"/>
      <c r="X53" s="6"/>
    </row>
    <row r="54" spans="1:30" x14ac:dyDescent="0.35">
      <c r="A54" s="6" t="s">
        <v>27</v>
      </c>
      <c r="B54" s="6"/>
      <c r="C54" s="6" t="s">
        <v>61</v>
      </c>
      <c r="D54" s="6">
        <v>52.97</v>
      </c>
      <c r="E54" s="6">
        <v>-129.1925</v>
      </c>
      <c r="F54" s="6" t="s">
        <v>30</v>
      </c>
      <c r="G54" s="6" t="s">
        <v>31</v>
      </c>
      <c r="H54" s="6" t="s">
        <v>31</v>
      </c>
      <c r="I54" s="6" t="s">
        <v>31</v>
      </c>
      <c r="J54" s="6" t="s">
        <v>34</v>
      </c>
      <c r="K54" s="6">
        <v>10</v>
      </c>
      <c r="L54" s="6">
        <v>0</v>
      </c>
      <c r="M54" s="7">
        <f t="shared" si="0"/>
        <v>10</v>
      </c>
      <c r="N54" s="7"/>
      <c r="O54" s="7"/>
      <c r="P54" s="7"/>
      <c r="Q54" s="12">
        <v>0.16</v>
      </c>
      <c r="R54" s="6"/>
      <c r="S54" s="13">
        <v>56.813333333333333</v>
      </c>
      <c r="T54" s="7">
        <f t="shared" si="2"/>
        <v>9090.133333333335</v>
      </c>
      <c r="U54" s="6"/>
      <c r="V54" s="7">
        <f t="shared" si="1"/>
        <v>9090.133333333335</v>
      </c>
      <c r="W54" s="6"/>
      <c r="X54" s="6"/>
    </row>
    <row r="55" spans="1:30" x14ac:dyDescent="0.35">
      <c r="A55" s="6" t="s">
        <v>27</v>
      </c>
      <c r="B55" s="6"/>
      <c r="C55" s="6" t="s">
        <v>61</v>
      </c>
      <c r="D55" s="6">
        <v>52.97</v>
      </c>
      <c r="E55" s="6">
        <v>-129.1925</v>
      </c>
      <c r="F55" s="6" t="s">
        <v>30</v>
      </c>
      <c r="G55" s="6" t="s">
        <v>31</v>
      </c>
      <c r="H55" s="6" t="s">
        <v>31</v>
      </c>
      <c r="I55" s="6" t="s">
        <v>31</v>
      </c>
      <c r="J55" s="6" t="s">
        <v>62</v>
      </c>
      <c r="K55" s="6">
        <v>0</v>
      </c>
      <c r="L55" s="6">
        <v>-30</v>
      </c>
      <c r="M55" s="7">
        <f t="shared" si="0"/>
        <v>30</v>
      </c>
      <c r="N55" s="7"/>
      <c r="O55" s="7"/>
      <c r="P55" s="7"/>
      <c r="Q55" s="12">
        <v>1.45</v>
      </c>
      <c r="R55" s="27">
        <v>15</v>
      </c>
      <c r="S55" s="13">
        <v>1.1499999999999999</v>
      </c>
      <c r="T55" s="7">
        <f t="shared" si="2"/>
        <v>4252.125</v>
      </c>
      <c r="U55" s="6"/>
      <c r="V55" s="7">
        <f t="shared" si="1"/>
        <v>4252.125</v>
      </c>
      <c r="W55" s="6"/>
      <c r="X55" s="6"/>
      <c r="Z55">
        <v>20</v>
      </c>
    </row>
    <row r="56" spans="1:30" x14ac:dyDescent="0.35">
      <c r="A56" s="2" t="s">
        <v>27</v>
      </c>
      <c r="B56" s="2"/>
      <c r="C56" s="2" t="s">
        <v>61</v>
      </c>
      <c r="D56" s="2">
        <v>52.97</v>
      </c>
      <c r="E56" s="2">
        <v>-129.1925</v>
      </c>
      <c r="F56" s="2" t="s">
        <v>30</v>
      </c>
      <c r="G56" s="2" t="s">
        <v>31</v>
      </c>
      <c r="H56" s="2" t="s">
        <v>31</v>
      </c>
      <c r="I56" s="2" t="s">
        <v>31</v>
      </c>
      <c r="J56" s="2" t="s">
        <v>37</v>
      </c>
      <c r="K56" s="2">
        <v>-30</v>
      </c>
      <c r="L56" s="2">
        <v>-32</v>
      </c>
      <c r="M56" s="15">
        <f t="shared" si="0"/>
        <v>2</v>
      </c>
      <c r="N56" s="15"/>
      <c r="O56" s="15"/>
      <c r="P56" s="15"/>
      <c r="Q56" s="16">
        <v>1.03</v>
      </c>
      <c r="R56" s="28">
        <v>15</v>
      </c>
      <c r="S56" s="18">
        <f>S55-((M56/2)+ABS(L55)-20)*X56</f>
        <v>9.5833333333333215E-2</v>
      </c>
      <c r="T56" s="15">
        <f t="shared" si="2"/>
        <v>16.78041666666665</v>
      </c>
      <c r="U56" s="15"/>
      <c r="V56" s="15">
        <f t="shared" si="1"/>
        <v>16.78041666666665</v>
      </c>
      <c r="W56" s="15"/>
      <c r="X56" s="19">
        <f>S55/(ABS(L56)-20)</f>
        <v>9.5833333333333326E-2</v>
      </c>
      <c r="Y56" s="5">
        <f>(S55-S56)/X56</f>
        <v>11.000000000000002</v>
      </c>
      <c r="Z56" s="5">
        <f>Y56+20</f>
        <v>31</v>
      </c>
      <c r="AA56" s="20">
        <f>1/-10.435</f>
        <v>-9.5831336847149007E-2</v>
      </c>
      <c r="AB56" s="5"/>
      <c r="AC56" s="5"/>
      <c r="AD56" s="5"/>
    </row>
    <row r="57" spans="1:30" x14ac:dyDescent="0.35">
      <c r="A57" s="6" t="s">
        <v>27</v>
      </c>
      <c r="B57" s="6" t="s">
        <v>63</v>
      </c>
      <c r="C57" s="6" t="s">
        <v>61</v>
      </c>
      <c r="D57" s="6">
        <v>53.087777777777703</v>
      </c>
      <c r="E57" s="6">
        <v>-129.472777777777</v>
      </c>
      <c r="F57" s="6" t="s">
        <v>30</v>
      </c>
      <c r="G57" s="6" t="s">
        <v>31</v>
      </c>
      <c r="H57" s="6" t="s">
        <v>31</v>
      </c>
      <c r="I57" s="6" t="s">
        <v>31</v>
      </c>
      <c r="J57" s="6" t="s">
        <v>32</v>
      </c>
      <c r="K57" s="6">
        <v>6</v>
      </c>
      <c r="L57" s="6">
        <v>5</v>
      </c>
      <c r="M57" s="7">
        <f t="shared" si="0"/>
        <v>1</v>
      </c>
      <c r="N57" s="7">
        <f>IF(ABS(MIN(L57:L59))&gt;100,100,ABS(MIN(L57:L59)))</f>
        <v>8</v>
      </c>
      <c r="O57" s="7">
        <f>K57</f>
        <v>6</v>
      </c>
      <c r="P57" s="7">
        <f>O57+N57</f>
        <v>14</v>
      </c>
      <c r="Q57" s="12">
        <v>0.16</v>
      </c>
      <c r="R57" s="6"/>
      <c r="S57" s="13">
        <v>45.76</v>
      </c>
      <c r="T57" s="7">
        <f t="shared" si="2"/>
        <v>732.16000000000008</v>
      </c>
      <c r="U57" s="7">
        <f>SUM(T57:T59)</f>
        <v>8107.8599999999988</v>
      </c>
      <c r="V57" s="7">
        <f t="shared" si="1"/>
        <v>732.16000000000008</v>
      </c>
      <c r="W57" s="10">
        <f>SUM(V57:V59)/10^6*10^4</f>
        <v>81.07859999999998</v>
      </c>
      <c r="X57" s="7"/>
      <c r="Y57" s="21"/>
      <c r="Z57" s="21"/>
      <c r="AA57" s="21"/>
    </row>
    <row r="58" spans="1:30" x14ac:dyDescent="0.35">
      <c r="A58" s="6" t="s">
        <v>27</v>
      </c>
      <c r="B58" s="6"/>
      <c r="C58" s="6" t="s">
        <v>61</v>
      </c>
      <c r="D58" s="6">
        <v>53.087777777777703</v>
      </c>
      <c r="E58" s="6">
        <v>-129.472777777777</v>
      </c>
      <c r="F58" s="6" t="s">
        <v>30</v>
      </c>
      <c r="G58" s="6" t="s">
        <v>31</v>
      </c>
      <c r="H58" s="6" t="s">
        <v>31</v>
      </c>
      <c r="I58" s="6" t="s">
        <v>31</v>
      </c>
      <c r="J58" s="6" t="s">
        <v>49</v>
      </c>
      <c r="K58" s="6">
        <v>5</v>
      </c>
      <c r="L58" s="6">
        <v>0</v>
      </c>
      <c r="M58" s="7">
        <f t="shared" si="0"/>
        <v>5</v>
      </c>
      <c r="N58" s="7"/>
      <c r="O58" s="7"/>
      <c r="P58" s="7"/>
      <c r="Q58" s="12">
        <v>0.16</v>
      </c>
      <c r="R58" s="6"/>
      <c r="S58" s="13">
        <v>45.76</v>
      </c>
      <c r="T58" s="7">
        <f t="shared" si="2"/>
        <v>3660.8</v>
      </c>
      <c r="U58" s="6"/>
      <c r="V58" s="7">
        <f t="shared" si="1"/>
        <v>3660.8</v>
      </c>
      <c r="W58" s="6"/>
      <c r="X58" s="6"/>
    </row>
    <row r="59" spans="1:30" x14ac:dyDescent="0.35">
      <c r="A59" s="2" t="s">
        <v>27</v>
      </c>
      <c r="B59" s="2"/>
      <c r="C59" s="2" t="s">
        <v>61</v>
      </c>
      <c r="D59" s="2">
        <v>53.087777777777703</v>
      </c>
      <c r="E59" s="2">
        <v>-129.472777777777</v>
      </c>
      <c r="F59" s="2" t="s">
        <v>30</v>
      </c>
      <c r="G59" s="2" t="s">
        <v>31</v>
      </c>
      <c r="H59" s="2" t="s">
        <v>31</v>
      </c>
      <c r="I59" s="2" t="s">
        <v>31</v>
      </c>
      <c r="J59" s="2" t="s">
        <v>62</v>
      </c>
      <c r="K59" s="2">
        <v>0</v>
      </c>
      <c r="L59" s="2">
        <v>-8</v>
      </c>
      <c r="M59" s="15">
        <f t="shared" si="0"/>
        <v>8</v>
      </c>
      <c r="N59" s="15"/>
      <c r="O59" s="15"/>
      <c r="P59" s="15"/>
      <c r="Q59" s="16">
        <v>1.45</v>
      </c>
      <c r="R59" s="28">
        <v>25</v>
      </c>
      <c r="S59" s="30">
        <v>4.2699999999999996</v>
      </c>
      <c r="T59" s="15">
        <f t="shared" si="2"/>
        <v>3714.8999999999992</v>
      </c>
      <c r="U59" s="2"/>
      <c r="V59" s="15">
        <f t="shared" si="1"/>
        <v>3714.8999999999992</v>
      </c>
      <c r="W59" s="2"/>
      <c r="X59" s="2"/>
      <c r="Y59" s="5"/>
      <c r="Z59" s="5"/>
      <c r="AA59" s="5"/>
      <c r="AB59" s="5"/>
      <c r="AC59" s="5"/>
      <c r="AD59" s="5"/>
    </row>
    <row r="60" spans="1:30" x14ac:dyDescent="0.35">
      <c r="A60" s="31" t="s">
        <v>27</v>
      </c>
      <c r="B60" s="31" t="s">
        <v>64</v>
      </c>
      <c r="C60" s="6" t="s">
        <v>29</v>
      </c>
      <c r="D60" s="31">
        <v>54.035277777777701</v>
      </c>
      <c r="E60" s="31">
        <v>-130.26083333333301</v>
      </c>
      <c r="F60" s="31" t="s">
        <v>30</v>
      </c>
      <c r="G60" s="31" t="s">
        <v>31</v>
      </c>
      <c r="H60" s="31" t="s">
        <v>31</v>
      </c>
      <c r="I60" s="31" t="s">
        <v>31</v>
      </c>
      <c r="J60" s="31" t="s">
        <v>32</v>
      </c>
      <c r="K60" s="31">
        <v>22</v>
      </c>
      <c r="L60" s="31">
        <v>21</v>
      </c>
      <c r="M60" s="32">
        <f t="shared" si="0"/>
        <v>1</v>
      </c>
      <c r="N60" s="7">
        <f>IF(ABS(MIN(L60:L68))&gt;100,100,ABS(MIN(L60:L68)))</f>
        <v>75</v>
      </c>
      <c r="O60" s="7">
        <f>K60</f>
        <v>22</v>
      </c>
      <c r="P60" s="7">
        <f>O60+N60</f>
        <v>97</v>
      </c>
      <c r="Q60" s="33">
        <v>0.11</v>
      </c>
      <c r="R60" s="31"/>
      <c r="S60" s="13">
        <v>51.506666666666661</v>
      </c>
      <c r="T60" s="7">
        <f t="shared" si="2"/>
        <v>566.57333333333327</v>
      </c>
      <c r="U60" s="7">
        <f>SUM(T60:T68)</f>
        <v>55273.849696969686</v>
      </c>
      <c r="V60" s="7">
        <f t="shared" si="1"/>
        <v>566.57333333333327</v>
      </c>
      <c r="W60" s="10">
        <f>SUM(V60:V68)/10^6*10^4</f>
        <v>552.73849696969683</v>
      </c>
      <c r="X60" s="7"/>
      <c r="Y60" s="21"/>
      <c r="Z60" s="21"/>
      <c r="AA60" s="21"/>
      <c r="AB60" s="21"/>
      <c r="AC60" s="21"/>
      <c r="AD60" s="21"/>
    </row>
    <row r="61" spans="1:30" x14ac:dyDescent="0.35">
      <c r="A61" s="6" t="s">
        <v>27</v>
      </c>
      <c r="B61" s="6"/>
      <c r="C61" s="6" t="s">
        <v>29</v>
      </c>
      <c r="D61" s="6">
        <v>54.035277777777701</v>
      </c>
      <c r="E61" s="6">
        <v>-130.26083333333301</v>
      </c>
      <c r="F61" s="6" t="s">
        <v>30</v>
      </c>
      <c r="G61" s="6" t="s">
        <v>31</v>
      </c>
      <c r="H61" s="6" t="s">
        <v>31</v>
      </c>
      <c r="I61" s="6" t="s">
        <v>31</v>
      </c>
      <c r="J61" s="6" t="s">
        <v>49</v>
      </c>
      <c r="K61" s="6">
        <v>21</v>
      </c>
      <c r="L61" s="6">
        <v>17</v>
      </c>
      <c r="M61" s="7">
        <f t="shared" si="0"/>
        <v>4</v>
      </c>
      <c r="N61" s="7"/>
      <c r="O61" s="7"/>
      <c r="P61" s="7"/>
      <c r="Q61" s="12">
        <v>0.11</v>
      </c>
      <c r="R61" s="6"/>
      <c r="S61" s="13">
        <v>51.506666666666661</v>
      </c>
      <c r="T61" s="7">
        <f t="shared" si="2"/>
        <v>2266.2933333333331</v>
      </c>
      <c r="U61" s="6"/>
      <c r="V61" s="7">
        <f t="shared" si="1"/>
        <v>2266.2933333333331</v>
      </c>
      <c r="W61" s="6"/>
      <c r="X61" s="6"/>
    </row>
    <row r="62" spans="1:30" x14ac:dyDescent="0.35">
      <c r="A62" s="6" t="s">
        <v>27</v>
      </c>
      <c r="B62" s="6"/>
      <c r="C62" s="6" t="s">
        <v>29</v>
      </c>
      <c r="D62" s="6">
        <v>54.035277777777701</v>
      </c>
      <c r="E62" s="6">
        <v>-130.26083333333301</v>
      </c>
      <c r="F62" s="6" t="s">
        <v>30</v>
      </c>
      <c r="G62" s="6" t="s">
        <v>31</v>
      </c>
      <c r="H62" s="6" t="s">
        <v>31</v>
      </c>
      <c r="I62" s="6" t="s">
        <v>31</v>
      </c>
      <c r="J62" s="6" t="s">
        <v>34</v>
      </c>
      <c r="K62" s="6">
        <v>17</v>
      </c>
      <c r="L62" s="6">
        <v>7</v>
      </c>
      <c r="M62" s="7">
        <f t="shared" si="0"/>
        <v>10</v>
      </c>
      <c r="N62" s="7"/>
      <c r="O62" s="7"/>
      <c r="P62" s="7"/>
      <c r="Q62" s="12">
        <v>0.11</v>
      </c>
      <c r="R62" s="6"/>
      <c r="S62" s="13">
        <v>51.506666666666661</v>
      </c>
      <c r="T62" s="7">
        <f t="shared" si="2"/>
        <v>5665.7333333333327</v>
      </c>
      <c r="U62" s="6"/>
      <c r="V62" s="7">
        <f t="shared" si="1"/>
        <v>5665.7333333333327</v>
      </c>
      <c r="W62" s="6"/>
      <c r="X62" s="6"/>
    </row>
    <row r="63" spans="1:30" x14ac:dyDescent="0.35">
      <c r="A63" s="6" t="s">
        <v>27</v>
      </c>
      <c r="B63" s="6"/>
      <c r="C63" s="6" t="s">
        <v>29</v>
      </c>
      <c r="D63" s="6">
        <v>54.035277777777701</v>
      </c>
      <c r="E63" s="6">
        <v>-130.26083333333301</v>
      </c>
      <c r="F63" s="6" t="s">
        <v>30</v>
      </c>
      <c r="G63" s="6" t="s">
        <v>31</v>
      </c>
      <c r="H63" s="6" t="s">
        <v>31</v>
      </c>
      <c r="I63" s="6" t="s">
        <v>31</v>
      </c>
      <c r="J63" s="6" t="s">
        <v>35</v>
      </c>
      <c r="K63" s="6">
        <v>7</v>
      </c>
      <c r="L63" s="6">
        <v>0</v>
      </c>
      <c r="M63" s="7">
        <f t="shared" si="0"/>
        <v>7</v>
      </c>
      <c r="N63" s="7"/>
      <c r="O63" s="7"/>
      <c r="P63" s="7"/>
      <c r="Q63" s="12">
        <v>0.11</v>
      </c>
      <c r="R63" s="6"/>
      <c r="S63" s="13">
        <v>51.506666666666661</v>
      </c>
      <c r="T63" s="7">
        <f t="shared" si="2"/>
        <v>3966.0133333333329</v>
      </c>
      <c r="U63" s="6"/>
      <c r="V63" s="7">
        <f t="shared" si="1"/>
        <v>3966.0133333333329</v>
      </c>
      <c r="W63" s="6"/>
      <c r="X63" s="6"/>
    </row>
    <row r="64" spans="1:30" x14ac:dyDescent="0.35">
      <c r="A64" s="6" t="s">
        <v>27</v>
      </c>
      <c r="B64" s="6"/>
      <c r="C64" s="6" t="s">
        <v>29</v>
      </c>
      <c r="D64" s="6">
        <v>54.035277777777701</v>
      </c>
      <c r="E64" s="6">
        <v>-130.26083333333301</v>
      </c>
      <c r="F64" s="6" t="s">
        <v>30</v>
      </c>
      <c r="G64" s="6" t="s">
        <v>31</v>
      </c>
      <c r="H64" s="6" t="s">
        <v>31</v>
      </c>
      <c r="I64" s="6" t="s">
        <v>31</v>
      </c>
      <c r="J64" s="6" t="s">
        <v>65</v>
      </c>
      <c r="K64" s="6">
        <v>0</v>
      </c>
      <c r="L64" s="6">
        <v>-7</v>
      </c>
      <c r="M64" s="7">
        <f t="shared" si="0"/>
        <v>7</v>
      </c>
      <c r="N64" s="7"/>
      <c r="O64" s="7"/>
      <c r="P64" s="7"/>
      <c r="Q64" s="12">
        <v>0.93</v>
      </c>
      <c r="R64" s="6"/>
      <c r="S64" s="13">
        <v>6.76</v>
      </c>
      <c r="T64" s="7">
        <f t="shared" si="2"/>
        <v>4400.7599999999993</v>
      </c>
      <c r="U64" s="7"/>
      <c r="V64" s="7">
        <f t="shared" si="1"/>
        <v>4400.7599999999993</v>
      </c>
      <c r="W64" s="7"/>
      <c r="X64" s="7"/>
    </row>
    <row r="65" spans="1:30" x14ac:dyDescent="0.35">
      <c r="A65" s="6" t="s">
        <v>27</v>
      </c>
      <c r="B65" s="6"/>
      <c r="C65" s="6" t="s">
        <v>29</v>
      </c>
      <c r="D65" s="6">
        <v>54.035277777777701</v>
      </c>
      <c r="E65" s="6">
        <v>-130.26083333333301</v>
      </c>
      <c r="F65" s="6" t="s">
        <v>30</v>
      </c>
      <c r="G65" s="6" t="s">
        <v>31</v>
      </c>
      <c r="H65" s="6" t="s">
        <v>31</v>
      </c>
      <c r="I65" s="6" t="s">
        <v>31</v>
      </c>
      <c r="J65" s="6" t="s">
        <v>36</v>
      </c>
      <c r="K65" s="6">
        <v>-7</v>
      </c>
      <c r="L65" s="6">
        <v>-15</v>
      </c>
      <c r="M65" s="7">
        <f t="shared" si="0"/>
        <v>8</v>
      </c>
      <c r="N65" s="7"/>
      <c r="O65" s="7"/>
      <c r="P65" s="7"/>
      <c r="Q65" s="12">
        <v>0.93</v>
      </c>
      <c r="R65" s="6"/>
      <c r="S65" s="13">
        <v>6.76</v>
      </c>
      <c r="T65" s="7">
        <f t="shared" si="2"/>
        <v>5029.4399999999996</v>
      </c>
      <c r="U65" s="6"/>
      <c r="V65" s="7">
        <f t="shared" si="1"/>
        <v>5029.4399999999996</v>
      </c>
      <c r="W65" s="6"/>
      <c r="X65" s="6"/>
    </row>
    <row r="66" spans="1:30" x14ac:dyDescent="0.35">
      <c r="A66" s="6" t="s">
        <v>27</v>
      </c>
      <c r="B66" s="6"/>
      <c r="C66" s="6" t="s">
        <v>29</v>
      </c>
      <c r="D66" s="6">
        <v>54.035277777777701</v>
      </c>
      <c r="E66" s="6">
        <v>-130.26083333333301</v>
      </c>
      <c r="F66" s="6" t="s">
        <v>30</v>
      </c>
      <c r="G66" s="6" t="s">
        <v>31</v>
      </c>
      <c r="H66" s="6" t="s">
        <v>31</v>
      </c>
      <c r="I66" s="6" t="s">
        <v>31</v>
      </c>
      <c r="J66" s="6" t="s">
        <v>37</v>
      </c>
      <c r="K66" s="6">
        <v>-15</v>
      </c>
      <c r="L66" s="6">
        <v>-30</v>
      </c>
      <c r="M66" s="7">
        <f t="shared" ref="M66:M73" si="3">K66-L66</f>
        <v>15</v>
      </c>
      <c r="N66" s="7"/>
      <c r="O66" s="7"/>
      <c r="P66" s="7"/>
      <c r="Q66" s="12">
        <v>0.86</v>
      </c>
      <c r="R66" s="27">
        <v>0</v>
      </c>
      <c r="S66" s="13">
        <v>6.76</v>
      </c>
      <c r="T66" s="7">
        <f t="shared" si="2"/>
        <v>8720.4</v>
      </c>
      <c r="U66" s="6"/>
      <c r="V66" s="7">
        <f t="shared" ref="V66:V73" si="4">T66</f>
        <v>8720.4</v>
      </c>
      <c r="W66" s="6"/>
      <c r="X66" s="6"/>
      <c r="Z66">
        <v>20</v>
      </c>
    </row>
    <row r="67" spans="1:30" x14ac:dyDescent="0.35">
      <c r="A67" s="6" t="s">
        <v>27</v>
      </c>
      <c r="B67" s="6"/>
      <c r="C67" s="6" t="s">
        <v>29</v>
      </c>
      <c r="D67" s="6">
        <v>54.035277777777701</v>
      </c>
      <c r="E67" s="6">
        <v>-130.26083333333301</v>
      </c>
      <c r="F67" s="6" t="s">
        <v>30</v>
      </c>
      <c r="G67" s="6" t="s">
        <v>31</v>
      </c>
      <c r="H67" s="6" t="s">
        <v>31</v>
      </c>
      <c r="I67" s="6" t="s">
        <v>31</v>
      </c>
      <c r="J67" s="6" t="s">
        <v>45</v>
      </c>
      <c r="K67" s="6">
        <v>-30</v>
      </c>
      <c r="L67" s="6">
        <v>-40</v>
      </c>
      <c r="M67" s="7">
        <f t="shared" si="3"/>
        <v>10</v>
      </c>
      <c r="N67" s="7"/>
      <c r="O67" s="7"/>
      <c r="P67" s="7"/>
      <c r="Q67" s="12">
        <v>1.71</v>
      </c>
      <c r="R67" s="27">
        <v>0</v>
      </c>
      <c r="S67" s="24">
        <f>S65-((M67/2)+ABS(L66)-20)*X67</f>
        <v>6.76</v>
      </c>
      <c r="T67" s="7">
        <f t="shared" ref="T67:T73" si="5">S67/100*Q67*(100*100*M67)*((100-R67)/100)</f>
        <v>11559.599999999999</v>
      </c>
      <c r="U67" s="6"/>
      <c r="V67" s="7">
        <f t="shared" si="4"/>
        <v>11559.599999999999</v>
      </c>
      <c r="W67" s="6"/>
      <c r="X67" s="6"/>
      <c r="Y67">
        <f>(S66-S67)/X68</f>
        <v>0</v>
      </c>
      <c r="Z67">
        <f>Y67+20</f>
        <v>20</v>
      </c>
    </row>
    <row r="68" spans="1:30" x14ac:dyDescent="0.35">
      <c r="A68" s="2" t="s">
        <v>27</v>
      </c>
      <c r="B68" s="2"/>
      <c r="C68" s="2" t="s">
        <v>29</v>
      </c>
      <c r="D68" s="2">
        <v>54.035277777777701</v>
      </c>
      <c r="E68" s="2">
        <v>-130.26083333333301</v>
      </c>
      <c r="F68" s="2" t="s">
        <v>30</v>
      </c>
      <c r="G68" s="2" t="s">
        <v>31</v>
      </c>
      <c r="H68" s="2" t="s">
        <v>31</v>
      </c>
      <c r="I68" s="2" t="s">
        <v>31</v>
      </c>
      <c r="J68" s="2" t="s">
        <v>39</v>
      </c>
      <c r="K68" s="2">
        <v>-40</v>
      </c>
      <c r="L68" s="2">
        <v>-75</v>
      </c>
      <c r="M68" s="15">
        <f t="shared" si="3"/>
        <v>35</v>
      </c>
      <c r="N68" s="15"/>
      <c r="O68" s="15"/>
      <c r="P68" s="15"/>
      <c r="Q68" s="16">
        <v>1.74</v>
      </c>
      <c r="R68" s="28">
        <v>0</v>
      </c>
      <c r="S68" s="18">
        <f>S66-((M68/2)+ABS(L67)-20)*X68</f>
        <v>2.1509090909090913</v>
      </c>
      <c r="T68" s="15">
        <f t="shared" si="5"/>
        <v>13099.036363636365</v>
      </c>
      <c r="U68" s="2"/>
      <c r="V68" s="15">
        <f t="shared" si="4"/>
        <v>13099.036363636365</v>
      </c>
      <c r="W68" s="2"/>
      <c r="X68" s="19">
        <f>S66/(ABS(L68)-20)</f>
        <v>0.1229090909090909</v>
      </c>
      <c r="Y68" s="5">
        <f>(S66-S68)/X68</f>
        <v>37.5</v>
      </c>
      <c r="Z68" s="5">
        <f>Y68+20</f>
        <v>57.5</v>
      </c>
      <c r="AA68" s="20">
        <f>1/-8.1361</f>
        <v>-0.12290901045955678</v>
      </c>
      <c r="AB68" s="5"/>
      <c r="AC68" s="5"/>
      <c r="AD68" s="5"/>
    </row>
    <row r="69" spans="1:30" x14ac:dyDescent="0.35">
      <c r="A69" s="6" t="s">
        <v>27</v>
      </c>
      <c r="B69" s="6" t="s">
        <v>66</v>
      </c>
      <c r="C69" s="6" t="s">
        <v>67</v>
      </c>
      <c r="D69" s="6">
        <v>53.956666666666599</v>
      </c>
      <c r="E69" s="6">
        <v>-130.27166666666599</v>
      </c>
      <c r="F69" s="6" t="s">
        <v>30</v>
      </c>
      <c r="G69" s="6" t="s">
        <v>31</v>
      </c>
      <c r="H69" s="6" t="s">
        <v>31</v>
      </c>
      <c r="I69" s="6" t="s">
        <v>31</v>
      </c>
      <c r="J69" s="6" t="s">
        <v>32</v>
      </c>
      <c r="K69" s="6">
        <v>46</v>
      </c>
      <c r="L69" s="6">
        <v>45</v>
      </c>
      <c r="M69" s="6">
        <f t="shared" si="3"/>
        <v>1</v>
      </c>
      <c r="N69" s="7">
        <f>IF(ABS(MIN(L69:L73))&gt;100,100,ABS(MIN(L69:L73)))</f>
        <v>20</v>
      </c>
      <c r="O69" s="7">
        <f>K69</f>
        <v>46</v>
      </c>
      <c r="P69" s="7">
        <f>O69+N69</f>
        <v>66</v>
      </c>
      <c r="Q69" s="12">
        <v>0.14000000000000001</v>
      </c>
      <c r="R69" s="6"/>
      <c r="S69" s="10">
        <v>45</v>
      </c>
      <c r="T69" s="7">
        <f t="shared" si="5"/>
        <v>630.00000000000011</v>
      </c>
      <c r="U69" s="7">
        <f>SUM(T69:T73)</f>
        <v>40263.750000000007</v>
      </c>
      <c r="V69" s="7">
        <f t="shared" si="4"/>
        <v>630.00000000000011</v>
      </c>
      <c r="W69" s="10">
        <f>SUM(V69:V73)/10^6*10^4</f>
        <v>402.6375000000001</v>
      </c>
      <c r="X69" s="7"/>
    </row>
    <row r="70" spans="1:30" x14ac:dyDescent="0.35">
      <c r="A70" s="6" t="s">
        <v>27</v>
      </c>
      <c r="B70" s="6"/>
      <c r="C70" s="6" t="s">
        <v>67</v>
      </c>
      <c r="D70" s="6">
        <v>53.956666666666599</v>
      </c>
      <c r="E70" s="6">
        <v>-130.27166666666599</v>
      </c>
      <c r="F70" s="6" t="s">
        <v>30</v>
      </c>
      <c r="G70" s="6" t="s">
        <v>31</v>
      </c>
      <c r="H70" s="6" t="s">
        <v>31</v>
      </c>
      <c r="I70" s="6" t="s">
        <v>31</v>
      </c>
      <c r="J70" s="6" t="s">
        <v>34</v>
      </c>
      <c r="K70" s="6">
        <v>45</v>
      </c>
      <c r="L70" s="6">
        <v>20</v>
      </c>
      <c r="M70" s="6">
        <f t="shared" si="3"/>
        <v>25</v>
      </c>
      <c r="N70" s="6"/>
      <c r="O70" s="6"/>
      <c r="P70" s="6"/>
      <c r="Q70" s="12">
        <v>0.14000000000000001</v>
      </c>
      <c r="R70" s="6"/>
      <c r="S70" s="10">
        <v>45</v>
      </c>
      <c r="T70" s="7">
        <f t="shared" si="5"/>
        <v>15750.000000000004</v>
      </c>
      <c r="U70" s="6"/>
      <c r="V70" s="7">
        <f t="shared" si="4"/>
        <v>15750.000000000004</v>
      </c>
      <c r="W70" s="6"/>
      <c r="X70" s="6"/>
    </row>
    <row r="71" spans="1:30" x14ac:dyDescent="0.35">
      <c r="A71" s="6" t="s">
        <v>27</v>
      </c>
      <c r="B71" s="6"/>
      <c r="C71" s="6" t="s">
        <v>67</v>
      </c>
      <c r="D71" s="6">
        <v>53.956666666666599</v>
      </c>
      <c r="E71" s="6">
        <v>-130.27166666666599</v>
      </c>
      <c r="F71" s="6" t="s">
        <v>30</v>
      </c>
      <c r="G71" s="6" t="s">
        <v>31</v>
      </c>
      <c r="H71" s="6" t="s">
        <v>31</v>
      </c>
      <c r="I71" s="6" t="s">
        <v>31</v>
      </c>
      <c r="J71" s="6" t="s">
        <v>35</v>
      </c>
      <c r="K71" s="6">
        <v>20</v>
      </c>
      <c r="L71" s="6">
        <v>0</v>
      </c>
      <c r="M71" s="6">
        <f t="shared" si="3"/>
        <v>20</v>
      </c>
      <c r="N71" s="6"/>
      <c r="O71" s="6"/>
      <c r="P71" s="6"/>
      <c r="Q71" s="12">
        <v>0.14000000000000001</v>
      </c>
      <c r="R71" s="6"/>
      <c r="S71" s="10">
        <v>45</v>
      </c>
      <c r="T71" s="7">
        <f t="shared" si="5"/>
        <v>12600.000000000004</v>
      </c>
      <c r="U71" s="6"/>
      <c r="V71" s="7">
        <f t="shared" si="4"/>
        <v>12600.000000000004</v>
      </c>
      <c r="W71" s="6"/>
      <c r="X71" s="6"/>
    </row>
    <row r="72" spans="1:30" x14ac:dyDescent="0.35">
      <c r="A72" s="6" t="s">
        <v>27</v>
      </c>
      <c r="B72" s="6"/>
      <c r="C72" s="6" t="s">
        <v>67</v>
      </c>
      <c r="D72" s="6">
        <v>53.956666666666599</v>
      </c>
      <c r="E72" s="6">
        <v>-130.27166666666599</v>
      </c>
      <c r="F72" s="6" t="s">
        <v>30</v>
      </c>
      <c r="G72" s="6" t="s">
        <v>31</v>
      </c>
      <c r="H72" s="6" t="s">
        <v>31</v>
      </c>
      <c r="I72" s="6" t="s">
        <v>31</v>
      </c>
      <c r="J72" s="6" t="s">
        <v>36</v>
      </c>
      <c r="K72" s="6">
        <v>0</v>
      </c>
      <c r="L72" s="6">
        <v>-5</v>
      </c>
      <c r="M72" s="6">
        <f t="shared" si="3"/>
        <v>5</v>
      </c>
      <c r="N72" s="6"/>
      <c r="O72" s="6"/>
      <c r="P72" s="6"/>
      <c r="Q72" s="8">
        <v>0.93</v>
      </c>
      <c r="R72" s="6"/>
      <c r="S72" s="10">
        <v>4.25</v>
      </c>
      <c r="T72" s="7">
        <f t="shared" si="5"/>
        <v>1976.2500000000002</v>
      </c>
      <c r="U72" s="6"/>
      <c r="V72" s="7">
        <f t="shared" si="4"/>
        <v>1976.2500000000002</v>
      </c>
      <c r="W72" s="6"/>
      <c r="X72" s="6"/>
    </row>
    <row r="73" spans="1:30" x14ac:dyDescent="0.35">
      <c r="A73" s="2" t="s">
        <v>27</v>
      </c>
      <c r="B73" s="2"/>
      <c r="C73" s="2" t="s">
        <v>67</v>
      </c>
      <c r="D73" s="2">
        <v>53.956666666666599</v>
      </c>
      <c r="E73" s="2">
        <v>-130.27166666666599</v>
      </c>
      <c r="F73" s="2" t="s">
        <v>30</v>
      </c>
      <c r="G73" s="2" t="s">
        <v>31</v>
      </c>
      <c r="H73" s="2" t="s">
        <v>31</v>
      </c>
      <c r="I73" s="2" t="s">
        <v>31</v>
      </c>
      <c r="J73" s="2" t="s">
        <v>57</v>
      </c>
      <c r="K73" s="2">
        <v>-5</v>
      </c>
      <c r="L73" s="2">
        <v>-20</v>
      </c>
      <c r="M73" s="2">
        <f t="shared" si="3"/>
        <v>15</v>
      </c>
      <c r="N73" s="15"/>
      <c r="O73" s="15"/>
      <c r="P73" s="15"/>
      <c r="Q73" s="3">
        <v>1.46</v>
      </c>
      <c r="R73" s="28">
        <v>0</v>
      </c>
      <c r="S73" s="34">
        <v>4.25</v>
      </c>
      <c r="T73" s="15">
        <f t="shared" si="5"/>
        <v>9307.5</v>
      </c>
      <c r="U73" s="15"/>
      <c r="V73" s="15">
        <f t="shared" si="4"/>
        <v>9307.5</v>
      </c>
      <c r="W73" s="15"/>
      <c r="X73" s="15"/>
      <c r="Y73" s="5"/>
      <c r="Z73" s="5"/>
      <c r="AA73" s="5"/>
      <c r="AB73" s="5"/>
      <c r="AC73" s="5"/>
      <c r="AD73" s="5"/>
    </row>
  </sheetData>
  <mergeCells count="2">
    <mergeCell ref="X2:AA5"/>
    <mergeCell ref="AB8:AD1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2022-01-20T04:49:06Z</dcterms:created>
  <dcterms:modified xsi:type="dcterms:W3CDTF">2022-01-20T04:50:47Z</dcterms:modified>
</cp:coreProperties>
</file>