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n_2\Documents\INSA\GI\erasmus\eco\"/>
    </mc:Choice>
  </mc:AlternateContent>
  <xr:revisionPtr revIDLastSave="0" documentId="13_ncr:1_{0A95F346-998D-4664-A8A7-37BB9BC10B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te de Résultat" sheetId="1" r:id="rId1"/>
    <sheet name="Conseil Présentation" sheetId="2" state="hidden" r:id="rId2"/>
    <sheet name="Trésorerie" sheetId="3" r:id="rId3"/>
    <sheet name="Plan de Financement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C10" i="1"/>
  <c r="BA27" i="3" l="1"/>
  <c r="BB27" i="3"/>
  <c r="BC27" i="3"/>
  <c r="BD27" i="3"/>
  <c r="BE27" i="3"/>
  <c r="BF27" i="3"/>
  <c r="BG27" i="3"/>
  <c r="BH27" i="3"/>
  <c r="BI27" i="3"/>
  <c r="BJ27" i="3"/>
  <c r="BK27" i="3"/>
  <c r="AZ27" i="3"/>
  <c r="G15" i="1" l="1"/>
  <c r="F15" i="1"/>
  <c r="C26" i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D39" i="3"/>
  <c r="G53" i="1"/>
  <c r="F53" i="1"/>
  <c r="D53" i="1"/>
  <c r="E53" i="1"/>
  <c r="AO29" i="3" l="1"/>
  <c r="AS29" i="3"/>
  <c r="AW29" i="3"/>
  <c r="AV29" i="3"/>
  <c r="AP29" i="3"/>
  <c r="AT29" i="3"/>
  <c r="AX29" i="3"/>
  <c r="AN29" i="3"/>
  <c r="AQ29" i="3"/>
  <c r="AU29" i="3"/>
  <c r="AY29" i="3"/>
  <c r="AR29" i="3"/>
  <c r="BA29" i="3"/>
  <c r="BE29" i="3"/>
  <c r="BI29" i="3"/>
  <c r="AZ29" i="3"/>
  <c r="BB29" i="3"/>
  <c r="BF29" i="3"/>
  <c r="BJ29" i="3"/>
  <c r="BH29" i="3"/>
  <c r="BC29" i="3"/>
  <c r="BG29" i="3"/>
  <c r="BK29" i="3"/>
  <c r="BD29" i="3"/>
  <c r="H11" i="4"/>
  <c r="F11" i="4"/>
  <c r="C10" i="4"/>
  <c r="F9" i="4"/>
  <c r="C9" i="4"/>
  <c r="F8" i="4"/>
  <c r="C8" i="4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D20" i="3"/>
  <c r="H7" i="4" s="1"/>
  <c r="D9" i="3"/>
  <c r="D8" i="3"/>
  <c r="D7" i="3"/>
  <c r="AZ4" i="3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AN4" i="3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B4" i="3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P4" i="3"/>
  <c r="Q4" i="3" s="1"/>
  <c r="R4" i="3" s="1"/>
  <c r="S4" i="3" s="1"/>
  <c r="T4" i="3" s="1"/>
  <c r="U4" i="3" s="1"/>
  <c r="V4" i="3" s="1"/>
  <c r="W4" i="3" s="1"/>
  <c r="X4" i="3" s="1"/>
  <c r="Y4" i="3" s="1"/>
  <c r="Z4" i="3" s="1"/>
  <c r="O4" i="3"/>
  <c r="N4" i="3"/>
  <c r="M4" i="3"/>
  <c r="L4" i="3"/>
  <c r="K4" i="3"/>
  <c r="J4" i="3"/>
  <c r="I4" i="3"/>
  <c r="H4" i="3"/>
  <c r="G4" i="3"/>
  <c r="F4" i="3"/>
  <c r="E4" i="3"/>
  <c r="AZ3" i="3"/>
  <c r="BA3" i="3" s="1"/>
  <c r="AN3" i="3"/>
  <c r="AO3" i="3" s="1"/>
  <c r="AB3" i="3"/>
  <c r="AC3" i="3" s="1"/>
  <c r="AD3" i="3" s="1"/>
  <c r="Q3" i="3"/>
  <c r="E3" i="3"/>
  <c r="G56" i="1"/>
  <c r="BJ32" i="3" s="1"/>
  <c r="BJ33" i="3" s="1"/>
  <c r="F56" i="1"/>
  <c r="AX32" i="3" s="1"/>
  <c r="AX33" i="3" s="1"/>
  <c r="E56" i="1"/>
  <c r="AK32" i="3" s="1"/>
  <c r="AK33" i="3" s="1"/>
  <c r="D56" i="1"/>
  <c r="Z32" i="3" s="1"/>
  <c r="Z33" i="3" s="1"/>
  <c r="C53" i="1"/>
  <c r="C56" i="1" s="1"/>
  <c r="K32" i="3" s="1"/>
  <c r="K33" i="3" s="1"/>
  <c r="G48" i="1"/>
  <c r="F48" i="1"/>
  <c r="E48" i="1"/>
  <c r="D48" i="1"/>
  <c r="C48" i="1"/>
  <c r="C24" i="1" s="1"/>
  <c r="C41" i="1"/>
  <c r="N5" i="3" s="1"/>
  <c r="E15" i="1"/>
  <c r="D15" i="1"/>
  <c r="C15" i="1"/>
  <c r="N29" i="3" s="1"/>
  <c r="G9" i="1"/>
  <c r="F9" i="1"/>
  <c r="F7" i="4" s="1"/>
  <c r="E9" i="1"/>
  <c r="C4" i="1"/>
  <c r="C6" i="1" s="1"/>
  <c r="C11" i="1" s="1"/>
  <c r="AC29" i="3" l="1"/>
  <c r="AG29" i="3"/>
  <c r="AK29" i="3"/>
  <c r="AF29" i="3"/>
  <c r="AD29" i="3"/>
  <c r="AH29" i="3"/>
  <c r="AL29" i="3"/>
  <c r="AB29" i="3"/>
  <c r="AE29" i="3"/>
  <c r="AI29" i="3"/>
  <c r="AM29" i="3"/>
  <c r="AJ29" i="3"/>
  <c r="E17" i="3"/>
  <c r="O29" i="3"/>
  <c r="K5" i="3"/>
  <c r="O5" i="3"/>
  <c r="S29" i="3"/>
  <c r="G29" i="3"/>
  <c r="W29" i="3"/>
  <c r="K29" i="3"/>
  <c r="AA29" i="3"/>
  <c r="N36" i="3"/>
  <c r="J36" i="3"/>
  <c r="F36" i="3"/>
  <c r="O36" i="3"/>
  <c r="G36" i="3"/>
  <c r="M36" i="3"/>
  <c r="I36" i="3"/>
  <c r="E36" i="3"/>
  <c r="L36" i="3"/>
  <c r="H36" i="3"/>
  <c r="D36" i="3"/>
  <c r="C8" i="1"/>
  <c r="C18" i="1" s="1"/>
  <c r="C19" i="1" s="1"/>
  <c r="K36" i="3"/>
  <c r="D24" i="1"/>
  <c r="E24" i="1" s="1"/>
  <c r="F24" i="1" s="1"/>
  <c r="G24" i="1" s="1"/>
  <c r="F13" i="4"/>
  <c r="N32" i="3"/>
  <c r="N33" i="3" s="1"/>
  <c r="J32" i="3"/>
  <c r="J33" i="3" s="1"/>
  <c r="F32" i="3"/>
  <c r="F33" i="3" s="1"/>
  <c r="O32" i="3"/>
  <c r="O33" i="3" s="1"/>
  <c r="M32" i="3"/>
  <c r="M33" i="3" s="1"/>
  <c r="I32" i="3"/>
  <c r="I33" i="3" s="1"/>
  <c r="E32" i="3"/>
  <c r="E33" i="3" s="1"/>
  <c r="C21" i="1"/>
  <c r="C22" i="1" s="1"/>
  <c r="L32" i="3"/>
  <c r="L33" i="3" s="1"/>
  <c r="H32" i="3"/>
  <c r="H33" i="3" s="1"/>
  <c r="D32" i="3"/>
  <c r="D33" i="3" s="1"/>
  <c r="G32" i="3"/>
  <c r="G33" i="3" s="1"/>
  <c r="L5" i="3"/>
  <c r="D29" i="3"/>
  <c r="H29" i="3"/>
  <c r="L29" i="3"/>
  <c r="P29" i="3"/>
  <c r="T29" i="3"/>
  <c r="X29" i="3"/>
  <c r="D41" i="1"/>
  <c r="M5" i="3"/>
  <c r="E29" i="3"/>
  <c r="I29" i="3"/>
  <c r="M29" i="3"/>
  <c r="Q29" i="3"/>
  <c r="U29" i="3"/>
  <c r="Y29" i="3"/>
  <c r="C7" i="4"/>
  <c r="C5" i="4" s="1"/>
  <c r="J5" i="3"/>
  <c r="F29" i="3"/>
  <c r="J29" i="3"/>
  <c r="R29" i="3"/>
  <c r="V29" i="3"/>
  <c r="Z29" i="3"/>
  <c r="G21" i="1"/>
  <c r="BC32" i="3"/>
  <c r="BC33" i="3" s="1"/>
  <c r="BG32" i="3"/>
  <c r="BG33" i="3" s="1"/>
  <c r="BK32" i="3"/>
  <c r="BK33" i="3" s="1"/>
  <c r="AZ32" i="3"/>
  <c r="AZ33" i="3" s="1"/>
  <c r="BD32" i="3"/>
  <c r="BD33" i="3" s="1"/>
  <c r="BH32" i="3"/>
  <c r="BH33" i="3" s="1"/>
  <c r="BA32" i="3"/>
  <c r="BA33" i="3" s="1"/>
  <c r="BE32" i="3"/>
  <c r="BE33" i="3" s="1"/>
  <c r="BI32" i="3"/>
  <c r="BI33" i="3" s="1"/>
  <c r="BB32" i="3"/>
  <c r="BB33" i="3" s="1"/>
  <c r="BF32" i="3"/>
  <c r="BF33" i="3" s="1"/>
  <c r="AQ32" i="3"/>
  <c r="AQ33" i="3" s="1"/>
  <c r="AU32" i="3"/>
  <c r="AU33" i="3" s="1"/>
  <c r="AY32" i="3"/>
  <c r="AY33" i="3" s="1"/>
  <c r="F21" i="1"/>
  <c r="AN32" i="3"/>
  <c r="AN33" i="3" s="1"/>
  <c r="AR32" i="3"/>
  <c r="AR33" i="3" s="1"/>
  <c r="AV32" i="3"/>
  <c r="AV33" i="3" s="1"/>
  <c r="AO32" i="3"/>
  <c r="AO33" i="3" s="1"/>
  <c r="AS32" i="3"/>
  <c r="AS33" i="3" s="1"/>
  <c r="AW32" i="3"/>
  <c r="AW33" i="3" s="1"/>
  <c r="AP32" i="3"/>
  <c r="AP33" i="3" s="1"/>
  <c r="AT32" i="3"/>
  <c r="AT33" i="3" s="1"/>
  <c r="AA32" i="3"/>
  <c r="AA33" i="3" s="1"/>
  <c r="S32" i="3"/>
  <c r="S33" i="3" s="1"/>
  <c r="W32" i="3"/>
  <c r="W33" i="3" s="1"/>
  <c r="AB32" i="3"/>
  <c r="AB33" i="3" s="1"/>
  <c r="AD32" i="3"/>
  <c r="AD33" i="3" s="1"/>
  <c r="AL32" i="3"/>
  <c r="AL33" i="3" s="1"/>
  <c r="AJ32" i="3"/>
  <c r="AJ33" i="3" s="1"/>
  <c r="AF32" i="3"/>
  <c r="AF33" i="3" s="1"/>
  <c r="AH32" i="3"/>
  <c r="AH33" i="3" s="1"/>
  <c r="E21" i="1"/>
  <c r="E22" i="1" s="1"/>
  <c r="AE32" i="3"/>
  <c r="AE33" i="3" s="1"/>
  <c r="AI32" i="3"/>
  <c r="AI33" i="3" s="1"/>
  <c r="AM32" i="3"/>
  <c r="AM33" i="3" s="1"/>
  <c r="AC32" i="3"/>
  <c r="AC33" i="3" s="1"/>
  <c r="AG32" i="3"/>
  <c r="AG33" i="3" s="1"/>
  <c r="P32" i="3"/>
  <c r="P33" i="3" s="1"/>
  <c r="T32" i="3"/>
  <c r="T33" i="3" s="1"/>
  <c r="X32" i="3"/>
  <c r="X33" i="3" s="1"/>
  <c r="Q32" i="3"/>
  <c r="Q33" i="3" s="1"/>
  <c r="U32" i="3"/>
  <c r="U33" i="3" s="1"/>
  <c r="Y32" i="3"/>
  <c r="Y33" i="3" s="1"/>
  <c r="D21" i="1"/>
  <c r="R32" i="3"/>
  <c r="R33" i="3" s="1"/>
  <c r="V32" i="3"/>
  <c r="V33" i="3" s="1"/>
  <c r="E24" i="3"/>
  <c r="F3" i="3"/>
  <c r="F17" i="3" s="1"/>
  <c r="AE3" i="3"/>
  <c r="R3" i="3"/>
  <c r="AP3" i="3"/>
  <c r="BB3" i="3"/>
  <c r="AA4" i="3"/>
  <c r="AM4" i="3"/>
  <c r="AY4" i="3"/>
  <c r="BK4" i="3"/>
  <c r="D17" i="3"/>
  <c r="C13" i="4"/>
  <c r="D26" i="1"/>
  <c r="F24" i="3" l="1"/>
  <c r="E41" i="1"/>
  <c r="P5" i="3"/>
  <c r="D4" i="1"/>
  <c r="D6" i="1" s="1"/>
  <c r="C14" i="4"/>
  <c r="C20" i="1"/>
  <c r="C23" i="1" s="1"/>
  <c r="C25" i="1" s="1"/>
  <c r="C27" i="1" s="1"/>
  <c r="C29" i="1" s="1"/>
  <c r="G22" i="1"/>
  <c r="F22" i="1"/>
  <c r="D22" i="1"/>
  <c r="G3" i="3"/>
  <c r="D24" i="3"/>
  <c r="D18" i="3"/>
  <c r="E18" i="3" s="1"/>
  <c r="F18" i="3" s="1"/>
  <c r="G17" i="3"/>
  <c r="H3" i="3"/>
  <c r="BC3" i="3"/>
  <c r="AF3" i="3"/>
  <c r="E26" i="1"/>
  <c r="AQ3" i="3"/>
  <c r="S3" i="3"/>
  <c r="G24" i="3" l="1"/>
  <c r="G18" i="3"/>
  <c r="P17" i="3"/>
  <c r="Q5" i="3"/>
  <c r="AB5" i="3"/>
  <c r="E4" i="1"/>
  <c r="E6" i="1" s="1"/>
  <c r="F41" i="1"/>
  <c r="N34" i="3"/>
  <c r="N40" i="3" s="1"/>
  <c r="J34" i="3"/>
  <c r="J40" i="3" s="1"/>
  <c r="F34" i="3"/>
  <c r="F40" i="3" s="1"/>
  <c r="F41" i="3" s="1"/>
  <c r="F45" i="3" s="1"/>
  <c r="O34" i="3"/>
  <c r="O40" i="3" s="1"/>
  <c r="M34" i="3"/>
  <c r="M40" i="3" s="1"/>
  <c r="I34" i="3"/>
  <c r="I40" i="3" s="1"/>
  <c r="E34" i="3"/>
  <c r="E40" i="3" s="1"/>
  <c r="E41" i="3" s="1"/>
  <c r="E45" i="3" s="1"/>
  <c r="L34" i="3"/>
  <c r="L40" i="3" s="1"/>
  <c r="H34" i="3"/>
  <c r="H40" i="3" s="1"/>
  <c r="D34" i="3"/>
  <c r="D40" i="3" s="1"/>
  <c r="D41" i="3" s="1"/>
  <c r="K34" i="3"/>
  <c r="K40" i="3" s="1"/>
  <c r="G34" i="3"/>
  <c r="G40" i="3" s="1"/>
  <c r="G41" i="3" s="1"/>
  <c r="G45" i="3" s="1"/>
  <c r="D11" i="1"/>
  <c r="T3" i="3"/>
  <c r="F26" i="1"/>
  <c r="BD3" i="3"/>
  <c r="I3" i="3"/>
  <c r="H17" i="3"/>
  <c r="AR3" i="3"/>
  <c r="AG3" i="3"/>
  <c r="D42" i="3" l="1"/>
  <c r="E14" i="3" s="1"/>
  <c r="D45" i="3"/>
  <c r="H24" i="3"/>
  <c r="P24" i="3"/>
  <c r="E42" i="3"/>
  <c r="F14" i="3" s="1"/>
  <c r="F42" i="3" s="1"/>
  <c r="G14" i="3" s="1"/>
  <c r="G42" i="3" s="1"/>
  <c r="H14" i="3" s="1"/>
  <c r="E11" i="1"/>
  <c r="Z36" i="3"/>
  <c r="V36" i="3"/>
  <c r="R36" i="3"/>
  <c r="D8" i="1"/>
  <c r="D18" i="1" s="1"/>
  <c r="D19" i="1" s="1"/>
  <c r="W36" i="3"/>
  <c r="Y36" i="3"/>
  <c r="U36" i="3"/>
  <c r="Q36" i="3"/>
  <c r="X36" i="3"/>
  <c r="T36" i="3"/>
  <c r="P36" i="3"/>
  <c r="AA36" i="3"/>
  <c r="S36" i="3"/>
  <c r="AB17" i="3"/>
  <c r="AC5" i="3"/>
  <c r="H41" i="3"/>
  <c r="H45" i="3" s="1"/>
  <c r="AN5" i="3"/>
  <c r="F4" i="1"/>
  <c r="F6" i="1" s="1"/>
  <c r="G41" i="1"/>
  <c r="R5" i="3"/>
  <c r="Q17" i="3"/>
  <c r="AS3" i="3"/>
  <c r="H18" i="3"/>
  <c r="AH3" i="3"/>
  <c r="J3" i="3"/>
  <c r="I17" i="3"/>
  <c r="G26" i="1"/>
  <c r="BE3" i="3"/>
  <c r="U3" i="3"/>
  <c r="AB24" i="3" l="1"/>
  <c r="I24" i="3"/>
  <c r="I41" i="3" s="1"/>
  <c r="I45" i="3" s="1"/>
  <c r="Q24" i="3"/>
  <c r="H42" i="3"/>
  <c r="I14" i="3" s="1"/>
  <c r="G4" i="1"/>
  <c r="G6" i="1" s="1"/>
  <c r="AZ5" i="3"/>
  <c r="S5" i="3"/>
  <c r="R17" i="3"/>
  <c r="F11" i="1"/>
  <c r="AD5" i="3"/>
  <c r="AC17" i="3"/>
  <c r="AL36" i="3"/>
  <c r="AH36" i="3"/>
  <c r="AD36" i="3"/>
  <c r="AK36" i="3"/>
  <c r="AG36" i="3"/>
  <c r="AC36" i="3"/>
  <c r="AJ36" i="3"/>
  <c r="AF36" i="3"/>
  <c r="AB36" i="3"/>
  <c r="AM36" i="3"/>
  <c r="AI36" i="3"/>
  <c r="AE36" i="3"/>
  <c r="E8" i="1"/>
  <c r="E18" i="1" s="1"/>
  <c r="E19" i="1" s="1"/>
  <c r="D20" i="1"/>
  <c r="D23" i="1" s="1"/>
  <c r="D25" i="1" s="1"/>
  <c r="D27" i="1" s="1"/>
  <c r="D29" i="1" s="1"/>
  <c r="AO5" i="3"/>
  <c r="AN17" i="3"/>
  <c r="V3" i="3"/>
  <c r="BF3" i="3"/>
  <c r="AI3" i="3"/>
  <c r="AT3" i="3"/>
  <c r="J17" i="3"/>
  <c r="K3" i="3"/>
  <c r="I18" i="3"/>
  <c r="I42" i="3" l="1"/>
  <c r="J14" i="3" s="1"/>
  <c r="J24" i="3"/>
  <c r="J41" i="3" s="1"/>
  <c r="J45" i="3" s="1"/>
  <c r="AN24" i="3"/>
  <c r="R24" i="3"/>
  <c r="AC24" i="3"/>
  <c r="J42" i="3"/>
  <c r="K14" i="3" s="1"/>
  <c r="Z34" i="3"/>
  <c r="Z40" i="3" s="1"/>
  <c r="V34" i="3"/>
  <c r="V40" i="3" s="1"/>
  <c r="R34" i="3"/>
  <c r="R40" i="3" s="1"/>
  <c r="W34" i="3"/>
  <c r="W40" i="3" s="1"/>
  <c r="Y34" i="3"/>
  <c r="Y40" i="3" s="1"/>
  <c r="U34" i="3"/>
  <c r="U40" i="3" s="1"/>
  <c r="Q34" i="3"/>
  <c r="Q40" i="3" s="1"/>
  <c r="Q41" i="3" s="1"/>
  <c r="Q45" i="3" s="1"/>
  <c r="X34" i="3"/>
  <c r="X40" i="3" s="1"/>
  <c r="T34" i="3"/>
  <c r="T40" i="3" s="1"/>
  <c r="P34" i="3"/>
  <c r="P40" i="3" s="1"/>
  <c r="P41" i="3" s="1"/>
  <c r="P45" i="3" s="1"/>
  <c r="AA34" i="3"/>
  <c r="AA40" i="3" s="1"/>
  <c r="S34" i="3"/>
  <c r="S40" i="3" s="1"/>
  <c r="AX36" i="3"/>
  <c r="AT36" i="3"/>
  <c r="AP36" i="3"/>
  <c r="AW36" i="3"/>
  <c r="AS36" i="3"/>
  <c r="AO36" i="3"/>
  <c r="AV36" i="3"/>
  <c r="AR36" i="3"/>
  <c r="AN36" i="3"/>
  <c r="AY36" i="3"/>
  <c r="AU36" i="3"/>
  <c r="AQ36" i="3"/>
  <c r="F8" i="1"/>
  <c r="F18" i="1" s="1"/>
  <c r="F19" i="1" s="1"/>
  <c r="T5" i="3"/>
  <c r="S17" i="3"/>
  <c r="AE5" i="3"/>
  <c r="AD17" i="3"/>
  <c r="BA5" i="3"/>
  <c r="AZ17" i="3"/>
  <c r="AP5" i="3"/>
  <c r="AO17" i="3"/>
  <c r="E20" i="1"/>
  <c r="E23" i="1" s="1"/>
  <c r="E25" i="1" s="1"/>
  <c r="E27" i="1" s="1"/>
  <c r="E28" i="1" s="1"/>
  <c r="G11" i="1"/>
  <c r="J18" i="3"/>
  <c r="BG3" i="3"/>
  <c r="AJ3" i="3"/>
  <c r="W3" i="3"/>
  <c r="K17" i="3"/>
  <c r="L3" i="3"/>
  <c r="AU3" i="3"/>
  <c r="AZ24" i="3" l="1"/>
  <c r="S24" i="3"/>
  <c r="R41" i="3"/>
  <c r="R45" i="3" s="1"/>
  <c r="K24" i="3"/>
  <c r="K41" i="3" s="1"/>
  <c r="AO24" i="3"/>
  <c r="AD24" i="3"/>
  <c r="BJ36" i="3"/>
  <c r="BF36" i="3"/>
  <c r="BB36" i="3"/>
  <c r="BG36" i="3"/>
  <c r="BI36" i="3"/>
  <c r="BE36" i="3"/>
  <c r="BA36" i="3"/>
  <c r="BH36" i="3"/>
  <c r="BD36" i="3"/>
  <c r="AZ36" i="3"/>
  <c r="BK36" i="3"/>
  <c r="BC36" i="3"/>
  <c r="G8" i="1"/>
  <c r="G18" i="1" s="1"/>
  <c r="G19" i="1" s="1"/>
  <c r="F20" i="1"/>
  <c r="F23" i="1" s="1"/>
  <c r="F25" i="1" s="1"/>
  <c r="F27" i="1" s="1"/>
  <c r="F28" i="1" s="1"/>
  <c r="E29" i="1"/>
  <c r="AL35" i="3"/>
  <c r="AG35" i="3"/>
  <c r="AB35" i="3"/>
  <c r="AE35" i="3"/>
  <c r="AF35" i="3"/>
  <c r="AH35" i="3"/>
  <c r="AC35" i="3"/>
  <c r="AM35" i="3"/>
  <c r="AD35" i="3"/>
  <c r="AJ35" i="3"/>
  <c r="AK35" i="3"/>
  <c r="AI35" i="3"/>
  <c r="AL34" i="3"/>
  <c r="AH34" i="3"/>
  <c r="AD34" i="3"/>
  <c r="AE34" i="3"/>
  <c r="AK34" i="3"/>
  <c r="AG34" i="3"/>
  <c r="AC34" i="3"/>
  <c r="AJ34" i="3"/>
  <c r="AF34" i="3"/>
  <c r="AB34" i="3"/>
  <c r="AM34" i="3"/>
  <c r="AI34" i="3"/>
  <c r="AF5" i="3"/>
  <c r="AE17" i="3"/>
  <c r="U5" i="3"/>
  <c r="T17" i="3"/>
  <c r="AQ5" i="3"/>
  <c r="AP17" i="3"/>
  <c r="BB5" i="3"/>
  <c r="BA17" i="3"/>
  <c r="S41" i="3"/>
  <c r="S45" i="3" s="1"/>
  <c r="K18" i="3"/>
  <c r="X3" i="3"/>
  <c r="L17" i="3"/>
  <c r="M3" i="3"/>
  <c r="AK3" i="3"/>
  <c r="AV3" i="3"/>
  <c r="BH3" i="3"/>
  <c r="K42" i="3" l="1"/>
  <c r="L14" i="3" s="1"/>
  <c r="K45" i="3"/>
  <c r="T24" i="3"/>
  <c r="T41" i="3" s="1"/>
  <c r="T45" i="3" s="1"/>
  <c r="BA24" i="3"/>
  <c r="L24" i="3"/>
  <c r="L41" i="3" s="1"/>
  <c r="AP24" i="3"/>
  <c r="AE24" i="3"/>
  <c r="L18" i="3"/>
  <c r="AI40" i="3"/>
  <c r="AM40" i="3"/>
  <c r="AE40" i="3"/>
  <c r="V5" i="3"/>
  <c r="U17" i="3"/>
  <c r="AK40" i="3"/>
  <c r="AC40" i="3"/>
  <c r="AC41" i="3" s="1"/>
  <c r="AC45" i="3" s="1"/>
  <c r="AB40" i="3"/>
  <c r="AB41" i="3" s="1"/>
  <c r="AB45" i="3" s="1"/>
  <c r="F29" i="1"/>
  <c r="H8" i="4" s="1"/>
  <c r="H13" i="4" s="1"/>
  <c r="AW35" i="3"/>
  <c r="AR35" i="3"/>
  <c r="AQ35" i="3"/>
  <c r="AY35" i="3"/>
  <c r="AP35" i="3"/>
  <c r="AX35" i="3"/>
  <c r="AS35" i="3"/>
  <c r="AN35" i="3"/>
  <c r="AO35" i="3"/>
  <c r="AV35" i="3"/>
  <c r="AT35" i="3"/>
  <c r="AU35" i="3"/>
  <c r="AR5" i="3"/>
  <c r="AQ17" i="3"/>
  <c r="AJ40" i="3"/>
  <c r="AH40" i="3"/>
  <c r="AG40" i="3"/>
  <c r="AX34" i="3"/>
  <c r="AT34" i="3"/>
  <c r="AP34" i="3"/>
  <c r="AQ34" i="3"/>
  <c r="AW34" i="3"/>
  <c r="AS34" i="3"/>
  <c r="AO34" i="3"/>
  <c r="AV34" i="3"/>
  <c r="AR34" i="3"/>
  <c r="AN34" i="3"/>
  <c r="AU34" i="3"/>
  <c r="BC5" i="3"/>
  <c r="BB17" i="3"/>
  <c r="AG5" i="3"/>
  <c r="AF17" i="3"/>
  <c r="AD40" i="3"/>
  <c r="AD41" i="3" s="1"/>
  <c r="AD45" i="3" s="1"/>
  <c r="AF40" i="3"/>
  <c r="AL40" i="3"/>
  <c r="G20" i="1"/>
  <c r="G23" i="1" s="1"/>
  <c r="G25" i="1" s="1"/>
  <c r="G27" i="1" s="1"/>
  <c r="G28" i="1" s="1"/>
  <c r="AW3" i="3"/>
  <c r="BI3" i="3"/>
  <c r="N3" i="3"/>
  <c r="M17" i="3"/>
  <c r="AL3" i="3"/>
  <c r="L42" i="3" l="1"/>
  <c r="M14" i="3" s="1"/>
  <c r="L45" i="3"/>
  <c r="M24" i="3"/>
  <c r="M41" i="3" s="1"/>
  <c r="AF24" i="3"/>
  <c r="AF41" i="3" s="1"/>
  <c r="AF45" i="3" s="1"/>
  <c r="BB24" i="3"/>
  <c r="AQ24" i="3"/>
  <c r="AE41" i="3"/>
  <c r="AE45" i="3" s="1"/>
  <c r="U24" i="3"/>
  <c r="U41" i="3" s="1"/>
  <c r="U45" i="3" s="1"/>
  <c r="AQ40" i="3"/>
  <c r="AQ41" i="3" s="1"/>
  <c r="AQ45" i="3" s="1"/>
  <c r="G29" i="1"/>
  <c r="BB35" i="3"/>
  <c r="BH35" i="3"/>
  <c r="BK35" i="3"/>
  <c r="BE35" i="3"/>
  <c r="BA35" i="3"/>
  <c r="BI35" i="3"/>
  <c r="BD35" i="3"/>
  <c r="BG35" i="3"/>
  <c r="AZ35" i="3"/>
  <c r="BC35" i="3"/>
  <c r="BJ35" i="3"/>
  <c r="BF35" i="3"/>
  <c r="AH5" i="3"/>
  <c r="AG17" i="3"/>
  <c r="AT40" i="3"/>
  <c r="W5" i="3"/>
  <c r="V17" i="3"/>
  <c r="AV40" i="3"/>
  <c r="AX40" i="3"/>
  <c r="AR40" i="3"/>
  <c r="AS40" i="3"/>
  <c r="BJ34" i="3"/>
  <c r="BF34" i="3"/>
  <c r="BB34" i="3"/>
  <c r="BG34" i="3"/>
  <c r="AY34" i="3"/>
  <c r="AY40" i="3" s="1"/>
  <c r="BI34" i="3"/>
  <c r="BE34" i="3"/>
  <c r="BA34" i="3"/>
  <c r="BH34" i="3"/>
  <c r="BD34" i="3"/>
  <c r="AZ34" i="3"/>
  <c r="BK34" i="3"/>
  <c r="BC34" i="3"/>
  <c r="BD5" i="3"/>
  <c r="BC17" i="3"/>
  <c r="AS5" i="3"/>
  <c r="AR17" i="3"/>
  <c r="AO40" i="3"/>
  <c r="AO41" i="3" s="1"/>
  <c r="AO45" i="3" s="1"/>
  <c r="AP40" i="3"/>
  <c r="AP41" i="3" s="1"/>
  <c r="AP45" i="3" s="1"/>
  <c r="AW40" i="3"/>
  <c r="AU40" i="3"/>
  <c r="AN40" i="3"/>
  <c r="AN41" i="3" s="1"/>
  <c r="AN45" i="3" s="1"/>
  <c r="N17" i="3"/>
  <c r="O3" i="3"/>
  <c r="M18" i="3"/>
  <c r="AX3" i="3"/>
  <c r="AM3" i="3"/>
  <c r="BJ3" i="3"/>
  <c r="M42" i="3" l="1"/>
  <c r="N14" i="3" s="1"/>
  <c r="M45" i="3"/>
  <c r="N24" i="3"/>
  <c r="N41" i="3" s="1"/>
  <c r="V24" i="3"/>
  <c r="V41" i="3" s="1"/>
  <c r="V45" i="3" s="1"/>
  <c r="BC24" i="3"/>
  <c r="N18" i="3"/>
  <c r="AR24" i="3"/>
  <c r="AG24" i="3"/>
  <c r="AG41" i="3" s="1"/>
  <c r="AG45" i="3" s="1"/>
  <c r="BK40" i="3"/>
  <c r="BD40" i="3"/>
  <c r="BJ40" i="3"/>
  <c r="BC40" i="3"/>
  <c r="BC41" i="3" s="1"/>
  <c r="BC45" i="3" s="1"/>
  <c r="BI40" i="3"/>
  <c r="BH40" i="3"/>
  <c r="BK3" i="3"/>
  <c r="AT5" i="3"/>
  <c r="AS17" i="3"/>
  <c r="BE5" i="3"/>
  <c r="BD17" i="3"/>
  <c r="AR41" i="3"/>
  <c r="AR45" i="3" s="1"/>
  <c r="AI5" i="3"/>
  <c r="AH17" i="3"/>
  <c r="AZ40" i="3"/>
  <c r="AZ41" i="3" s="1"/>
  <c r="AZ45" i="3" s="1"/>
  <c r="BA40" i="3"/>
  <c r="BA41" i="3" s="1"/>
  <c r="BA45" i="3" s="1"/>
  <c r="BB40" i="3"/>
  <c r="BB41" i="3" s="1"/>
  <c r="BB45" i="3" s="1"/>
  <c r="X5" i="3"/>
  <c r="W17" i="3"/>
  <c r="BF40" i="3"/>
  <c r="BG40" i="3"/>
  <c r="BE40" i="3"/>
  <c r="AY3" i="3"/>
  <c r="AA3" i="3"/>
  <c r="O17" i="3"/>
  <c r="N42" i="3" l="1"/>
  <c r="O14" i="3" s="1"/>
  <c r="N45" i="3"/>
  <c r="BD24" i="3"/>
  <c r="BD41" i="3" s="1"/>
  <c r="BD45" i="3" s="1"/>
  <c r="W24" i="3"/>
  <c r="W41" i="3" s="1"/>
  <c r="W45" i="3" s="1"/>
  <c r="AH24" i="3"/>
  <c r="AH41" i="3" s="1"/>
  <c r="AH45" i="3" s="1"/>
  <c r="O24" i="3"/>
  <c r="O41" i="3" s="1"/>
  <c r="AS24" i="3"/>
  <c r="AS41" i="3" s="1"/>
  <c r="AS45" i="3" s="1"/>
  <c r="Y5" i="3"/>
  <c r="X17" i="3"/>
  <c r="BF5" i="3"/>
  <c r="BE17" i="3"/>
  <c r="AJ5" i="3"/>
  <c r="AI17" i="3"/>
  <c r="AU5" i="3"/>
  <c r="AT17" i="3"/>
  <c r="O18" i="3"/>
  <c r="P18" i="3" s="1"/>
  <c r="Q18" i="3" s="1"/>
  <c r="R18" i="3" s="1"/>
  <c r="S18" i="3" s="1"/>
  <c r="T18" i="3" s="1"/>
  <c r="U18" i="3" s="1"/>
  <c r="V18" i="3" s="1"/>
  <c r="W18" i="3" s="1"/>
  <c r="O42" i="3" l="1"/>
  <c r="P14" i="3" s="1"/>
  <c r="P42" i="3" s="1"/>
  <c r="Q14" i="3" s="1"/>
  <c r="Q42" i="3" s="1"/>
  <c r="R14" i="3" s="1"/>
  <c r="R42" i="3" s="1"/>
  <c r="S14" i="3" s="1"/>
  <c r="S42" i="3" s="1"/>
  <c r="T14" i="3" s="1"/>
  <c r="T42" i="3" s="1"/>
  <c r="U14" i="3" s="1"/>
  <c r="U42" i="3" s="1"/>
  <c r="V14" i="3" s="1"/>
  <c r="V42" i="3" s="1"/>
  <c r="W14" i="3" s="1"/>
  <c r="W42" i="3" s="1"/>
  <c r="X14" i="3" s="1"/>
  <c r="O45" i="3"/>
  <c r="AT24" i="3"/>
  <c r="AT41" i="3" s="1"/>
  <c r="AT45" i="3" s="1"/>
  <c r="BE24" i="3"/>
  <c r="BE41" i="3" s="1"/>
  <c r="BE45" i="3" s="1"/>
  <c r="AI24" i="3"/>
  <c r="AI41" i="3" s="1"/>
  <c r="AI45" i="3" s="1"/>
  <c r="X24" i="3"/>
  <c r="X41" i="3" s="1"/>
  <c r="X18" i="3"/>
  <c r="AV5" i="3"/>
  <c r="AU17" i="3"/>
  <c r="Z5" i="3"/>
  <c r="Y17" i="3"/>
  <c r="BG5" i="3"/>
  <c r="BF17" i="3"/>
  <c r="AK5" i="3"/>
  <c r="AJ17" i="3"/>
  <c r="X42" i="3" l="1"/>
  <c r="Y14" i="3" s="1"/>
  <c r="X45" i="3"/>
  <c r="AU24" i="3"/>
  <c r="AU41" i="3" s="1"/>
  <c r="AU45" i="3" s="1"/>
  <c r="Y24" i="3"/>
  <c r="Y41" i="3" s="1"/>
  <c r="BF24" i="3"/>
  <c r="BF41" i="3" s="1"/>
  <c r="BF45" i="3" s="1"/>
  <c r="AJ24" i="3"/>
  <c r="AJ41" i="3" s="1"/>
  <c r="AJ45" i="3" s="1"/>
  <c r="Y18" i="3"/>
  <c r="AL5" i="3"/>
  <c r="AK17" i="3"/>
  <c r="AW5" i="3"/>
  <c r="AV17" i="3"/>
  <c r="BH5" i="3"/>
  <c r="BG17" i="3"/>
  <c r="Z17" i="3"/>
  <c r="AA5" i="3"/>
  <c r="AA17" i="3" s="1"/>
  <c r="Y42" i="3" l="1"/>
  <c r="Z14" i="3" s="1"/>
  <c r="Y45" i="3"/>
  <c r="AK24" i="3"/>
  <c r="AK41" i="3" s="1"/>
  <c r="AK45" i="3" s="1"/>
  <c r="BG24" i="3"/>
  <c r="BG41" i="3" s="1"/>
  <c r="BG45" i="3" s="1"/>
  <c r="AV24" i="3"/>
  <c r="AV41" i="3" s="1"/>
  <c r="AV45" i="3" s="1"/>
  <c r="AA24" i="3"/>
  <c r="AA41" i="3" s="1"/>
  <c r="AA45" i="3" s="1"/>
  <c r="Z24" i="3"/>
  <c r="Z41" i="3" s="1"/>
  <c r="AX5" i="3"/>
  <c r="AW17" i="3"/>
  <c r="Z18" i="3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BI5" i="3"/>
  <c r="BH17" i="3"/>
  <c r="AM5" i="3"/>
  <c r="AM17" i="3" s="1"/>
  <c r="AL17" i="3"/>
  <c r="Z42" i="3" l="1"/>
  <c r="AA14" i="3" s="1"/>
  <c r="AA42" i="3" s="1"/>
  <c r="AB14" i="3" s="1"/>
  <c r="AB42" i="3" s="1"/>
  <c r="AC14" i="3" s="1"/>
  <c r="AC42" i="3" s="1"/>
  <c r="AD14" i="3" s="1"/>
  <c r="AD42" i="3" s="1"/>
  <c r="AE14" i="3" s="1"/>
  <c r="AE42" i="3" s="1"/>
  <c r="AF14" i="3" s="1"/>
  <c r="AF42" i="3" s="1"/>
  <c r="AG14" i="3" s="1"/>
  <c r="AG42" i="3" s="1"/>
  <c r="AH14" i="3" s="1"/>
  <c r="AH42" i="3" s="1"/>
  <c r="AI14" i="3" s="1"/>
  <c r="AI42" i="3" s="1"/>
  <c r="AJ14" i="3" s="1"/>
  <c r="AJ42" i="3" s="1"/>
  <c r="AK14" i="3" s="1"/>
  <c r="AK42" i="3" s="1"/>
  <c r="AL14" i="3" s="1"/>
  <c r="Z45" i="3"/>
  <c r="AL24" i="3"/>
  <c r="AL41" i="3" s="1"/>
  <c r="BH24" i="3"/>
  <c r="BH41" i="3" s="1"/>
  <c r="BH45" i="3" s="1"/>
  <c r="AM24" i="3"/>
  <c r="AM41" i="3" s="1"/>
  <c r="AM45" i="3" s="1"/>
  <c r="AW24" i="3"/>
  <c r="AW41" i="3" s="1"/>
  <c r="AW45" i="3" s="1"/>
  <c r="AL18" i="3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BJ5" i="3"/>
  <c r="BI17" i="3"/>
  <c r="AX17" i="3"/>
  <c r="AY5" i="3"/>
  <c r="AY17" i="3" s="1"/>
  <c r="AL42" i="3" l="1"/>
  <c r="AM14" i="3" s="1"/>
  <c r="AL45" i="3"/>
  <c r="AM42" i="3"/>
  <c r="AN14" i="3" s="1"/>
  <c r="AN42" i="3" s="1"/>
  <c r="AO14" i="3" s="1"/>
  <c r="AO42" i="3" s="1"/>
  <c r="AP14" i="3" s="1"/>
  <c r="AP42" i="3" s="1"/>
  <c r="AQ14" i="3" s="1"/>
  <c r="AQ42" i="3" s="1"/>
  <c r="AR14" i="3" s="1"/>
  <c r="AR42" i="3" s="1"/>
  <c r="AS14" i="3" s="1"/>
  <c r="AS42" i="3" s="1"/>
  <c r="AT14" i="3" s="1"/>
  <c r="AT42" i="3" s="1"/>
  <c r="AU14" i="3" s="1"/>
  <c r="AU42" i="3" s="1"/>
  <c r="AV14" i="3" s="1"/>
  <c r="AV42" i="3" s="1"/>
  <c r="AW14" i="3" s="1"/>
  <c r="AW42" i="3" s="1"/>
  <c r="AX14" i="3" s="1"/>
  <c r="AX42" i="3" s="1"/>
  <c r="AY14" i="3" s="1"/>
  <c r="AX24" i="3"/>
  <c r="AX41" i="3" s="1"/>
  <c r="AX45" i="3" s="1"/>
  <c r="BI24" i="3"/>
  <c r="BI41" i="3" s="1"/>
  <c r="BI45" i="3" s="1"/>
  <c r="AY24" i="3"/>
  <c r="AY41" i="3" s="1"/>
  <c r="AY45" i="3" s="1"/>
  <c r="AX18" i="3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J17" i="3"/>
  <c r="BK5" i="3"/>
  <c r="BK17" i="3" s="1"/>
  <c r="AY42" i="3" l="1"/>
  <c r="AZ14" i="3" s="1"/>
  <c r="AZ42" i="3" s="1"/>
  <c r="BA14" i="3" s="1"/>
  <c r="BA42" i="3" s="1"/>
  <c r="BB14" i="3" s="1"/>
  <c r="BB42" i="3" s="1"/>
  <c r="BC14" i="3" s="1"/>
  <c r="BC42" i="3" s="1"/>
  <c r="BD14" i="3" s="1"/>
  <c r="BD42" i="3" s="1"/>
  <c r="BE14" i="3" s="1"/>
  <c r="BE42" i="3" s="1"/>
  <c r="BF14" i="3" s="1"/>
  <c r="BF42" i="3" s="1"/>
  <c r="BG14" i="3" s="1"/>
  <c r="BG42" i="3" s="1"/>
  <c r="BH14" i="3" s="1"/>
  <c r="BH42" i="3" s="1"/>
  <c r="BI14" i="3" s="1"/>
  <c r="BI42" i="3" s="1"/>
  <c r="BJ14" i="3" s="1"/>
  <c r="BK24" i="3"/>
  <c r="BK41" i="3" s="1"/>
  <c r="BK45" i="3" s="1"/>
  <c r="BJ24" i="3"/>
  <c r="BJ41" i="3" s="1"/>
  <c r="BJ45" i="3" s="1"/>
  <c r="BK18" i="3"/>
  <c r="BJ42" i="3" l="1"/>
  <c r="BK14" i="3" s="1"/>
  <c r="BK42" i="3" s="1"/>
  <c r="C45" i="3"/>
</calcChain>
</file>

<file path=xl/sharedStrings.xml><?xml version="1.0" encoding="utf-8"?>
<sst xmlns="http://schemas.openxmlformats.org/spreadsheetml/2006/main" count="153" uniqueCount="145">
  <si>
    <t xml:space="preserve">SEUIL DE RENTABILITE </t>
  </si>
  <si>
    <t xml:space="preserve">CB ARGENT IL FAUT POUR ETRE RENTABLE </t>
  </si>
  <si>
    <t>COQUES</t>
  </si>
  <si>
    <t>POINT MORT</t>
  </si>
  <si>
    <t xml:space="preserve">QUAND CA &gt; CHARGES </t>
  </si>
  <si>
    <t>EUROS CA</t>
  </si>
  <si>
    <t>SEUIL DE RENTABILITE</t>
  </si>
  <si>
    <t>TRESORERIE</t>
  </si>
  <si>
    <t xml:space="preserve">COURBE EN U A TRACER </t>
  </si>
  <si>
    <t>QUAND LE POINT MORT</t>
  </si>
  <si>
    <t xml:space="preserve">QUAND RESULTAT NET POSITIF ? ON REGARDE LA DERNI7RE LIGNE DU COMPTE DE RESULTAT </t>
  </si>
  <si>
    <t>MILIEU ANNEE 4</t>
  </si>
  <si>
    <t>FOCUS CA SUR 3 ANS</t>
  </si>
  <si>
    <t>Compte de Résultat</t>
  </si>
  <si>
    <t>COURBE KUHN</t>
  </si>
  <si>
    <t>ANNEE</t>
  </si>
  <si>
    <t xml:space="preserve">ETRE COHERENT </t>
  </si>
  <si>
    <t>1 SLIDE CA</t>
  </si>
  <si>
    <t>RES NET</t>
  </si>
  <si>
    <t xml:space="preserve">-&gt; BOUGE SUR LE MARKETING </t>
  </si>
  <si>
    <t xml:space="preserve">2 SLIDE </t>
  </si>
  <si>
    <t>COURBE EN U</t>
  </si>
  <si>
    <t>SEUIL RENT</t>
  </si>
  <si>
    <t>AU DEBUT JUSTE SITE INTERNE T</t>
  </si>
  <si>
    <t xml:space="preserve">PUIS DISTRIBUTEUR </t>
  </si>
  <si>
    <t xml:space="preserve">50% VALEUR HORS TAXE </t>
  </si>
  <si>
    <t xml:space="preserve">SLIDE BACKUP D AILLEURS ON A VU AVEC VILLAVERDE </t>
  </si>
  <si>
    <t>PUIS EXPORT US</t>
  </si>
  <si>
    <t xml:space="preserve">Production vendue </t>
  </si>
  <si>
    <t>Résultat Net de l'exercice</t>
  </si>
  <si>
    <t>Plan de Financement</t>
  </si>
  <si>
    <t>BESOINS (durables)</t>
  </si>
  <si>
    <t>4eme année</t>
  </si>
  <si>
    <t>Année 4</t>
  </si>
  <si>
    <t>Frais d'établissement</t>
  </si>
  <si>
    <t>Immobilisations (investissements)</t>
  </si>
  <si>
    <t>ACTIF</t>
  </si>
  <si>
    <t>PASSIF</t>
  </si>
  <si>
    <t>Achat d'un fond de commerce</t>
  </si>
  <si>
    <t>Actif Immobilisé</t>
  </si>
  <si>
    <t>Capitaux Propres</t>
  </si>
  <si>
    <t>Immeubles (terrains, locaux...)</t>
  </si>
  <si>
    <t>Locaux</t>
  </si>
  <si>
    <t>Capital</t>
  </si>
  <si>
    <t>Aménagements, travaux, installations...</t>
  </si>
  <si>
    <t>Matériel informatique</t>
  </si>
  <si>
    <t>Résultat</t>
  </si>
  <si>
    <t>Matériel (machines...)</t>
  </si>
  <si>
    <t>Machines</t>
  </si>
  <si>
    <t>Matériel de bureau</t>
  </si>
  <si>
    <t xml:space="preserve">Actif Circulant </t>
  </si>
  <si>
    <t>Dettes</t>
  </si>
  <si>
    <t>Véhicules</t>
  </si>
  <si>
    <t>Matières premières</t>
  </si>
  <si>
    <t>Emprunts</t>
  </si>
  <si>
    <t>Autres...</t>
  </si>
  <si>
    <t>Besoin en Fonds de Roulement (BFR)</t>
  </si>
  <si>
    <t>TOTAL ACTIF</t>
  </si>
  <si>
    <t>TOTAL PASSIF</t>
  </si>
  <si>
    <t>TOTAL DES BESOINS</t>
  </si>
  <si>
    <t>RESSOURCES (durables)</t>
  </si>
  <si>
    <t>Capitaux propres</t>
  </si>
  <si>
    <t>Capitaux empruntés (emprunts a MT et LT)</t>
  </si>
  <si>
    <t>D - REX = C - 5</t>
  </si>
  <si>
    <t>E - RESULTAT COURANT D - 6</t>
  </si>
  <si>
    <t>Prévisions Mensuelles</t>
  </si>
  <si>
    <t>Trésorerie</t>
  </si>
  <si>
    <t xml:space="preserve">Subvention </t>
  </si>
  <si>
    <t>...</t>
  </si>
  <si>
    <t>Software licence</t>
  </si>
  <si>
    <t>DLC</t>
  </si>
  <si>
    <t>Premium</t>
  </si>
  <si>
    <t>Steam price</t>
  </si>
  <si>
    <t>Premium price</t>
  </si>
  <si>
    <t>DLC price</t>
  </si>
  <si>
    <t>MONTHS</t>
  </si>
  <si>
    <t>2. INFLOWS</t>
  </si>
  <si>
    <t>Rent</t>
  </si>
  <si>
    <t>Assurances &amp; licences</t>
  </si>
  <si>
    <t>2A. Operations</t>
  </si>
  <si>
    <t>Net income</t>
  </si>
  <si>
    <t>Net income cumulated</t>
  </si>
  <si>
    <t>Capital contributed</t>
  </si>
  <si>
    <t>Loans</t>
  </si>
  <si>
    <t>2B. Financial</t>
  </si>
  <si>
    <t>3. OUTFLOWS</t>
  </si>
  <si>
    <t>3A. Operations</t>
  </si>
  <si>
    <t>Outsourcing</t>
  </si>
  <si>
    <t>External costs</t>
  </si>
  <si>
    <t>Other costs</t>
  </si>
  <si>
    <t>Staff members</t>
  </si>
  <si>
    <t>Social security contribution</t>
  </si>
  <si>
    <t>Staff Members</t>
  </si>
  <si>
    <t>Taxes</t>
  </si>
  <si>
    <t>Taxes on result</t>
  </si>
  <si>
    <t>Adverstising</t>
  </si>
  <si>
    <t>3B. Financial</t>
  </si>
  <si>
    <t>Investments</t>
  </si>
  <si>
    <t>Loans repayment</t>
  </si>
  <si>
    <t>B. TOTAL OUTFLOWS</t>
  </si>
  <si>
    <t>A. TOTAL INFLOWS</t>
  </si>
  <si>
    <t>Sells (in unit)</t>
  </si>
  <si>
    <t>Steam</t>
  </si>
  <si>
    <t>1. CASH AT THE BEGINNING OF THE MONTH</t>
  </si>
  <si>
    <t>5. CASH AT THE END OF THE MONTH = 1 + 4</t>
  </si>
  <si>
    <t>4. MONTHLY BALANCE = A - B</t>
  </si>
  <si>
    <t>YEAR</t>
  </si>
  <si>
    <t xml:space="preserve">Subventions </t>
  </si>
  <si>
    <t>Computer</t>
  </si>
  <si>
    <t>F - NET INCOME</t>
  </si>
  <si>
    <t>Advertisment</t>
  </si>
  <si>
    <t>Accounting</t>
  </si>
  <si>
    <t>Other expenses</t>
  </si>
  <si>
    <t>2 - Taxes</t>
  </si>
  <si>
    <t>3 - Wages</t>
  </si>
  <si>
    <t>4 - Social security</t>
  </si>
  <si>
    <t>Maintenance and repairs</t>
  </si>
  <si>
    <t xml:space="preserve">Transport and travel expenses </t>
  </si>
  <si>
    <t>C - OPERATING INCOME = B - ( 2 + 3 + 4 )</t>
  </si>
  <si>
    <t>5 - Amortization</t>
  </si>
  <si>
    <t>6 - Loans interests</t>
  </si>
  <si>
    <t>7 - Taxes on benefits</t>
  </si>
  <si>
    <t>SELLS FORECAST</t>
  </si>
  <si>
    <t>Year</t>
  </si>
  <si>
    <t>Steam and other online platforms</t>
  </si>
  <si>
    <t>Cost price of online sales</t>
  </si>
  <si>
    <t>Cost price of DLC</t>
  </si>
  <si>
    <t>Cost price of Premium packages</t>
  </si>
  <si>
    <t>Premium packages</t>
  </si>
  <si>
    <t>AMORTIZATIONS</t>
  </si>
  <si>
    <t xml:space="preserve">WAGES </t>
  </si>
  <si>
    <t>Usefull life (year)</t>
  </si>
  <si>
    <r>
      <t xml:space="preserve">Amortization expenses </t>
    </r>
    <r>
      <rPr>
        <i/>
        <sz val="10"/>
        <rFont val="Arial"/>
        <family val="2"/>
      </rPr>
      <t>(not cumulated)</t>
    </r>
  </si>
  <si>
    <t>Designer</t>
  </si>
  <si>
    <t xml:space="preserve">Intern </t>
  </si>
  <si>
    <t>Intermediate Tables</t>
  </si>
  <si>
    <t>NPV</t>
  </si>
  <si>
    <t>rate per month</t>
  </si>
  <si>
    <t>Company creation</t>
  </si>
  <si>
    <t>https://www.lisbob.net/fr/blog/comment-creer-entreprise-societe-une-1-heure-portugal-entrepreneur</t>
  </si>
  <si>
    <t>TOTAL</t>
  </si>
  <si>
    <t>Insurance</t>
  </si>
  <si>
    <t>B - EBITDA = A - 1</t>
  </si>
  <si>
    <t>A - Total Income</t>
  </si>
  <si>
    <t xml:space="preserve">1 - Subtotal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</si>
</sst>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[$€-1]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i/>
      <sz val="10"/>
      <color rgb="FFCCCCCC"/>
      <name val="Arial"/>
      <family val="2"/>
    </font>
    <font>
      <sz val="10"/>
      <color rgb="FF000000"/>
      <name val="Arial"/>
      <family val="2"/>
    </font>
    <font>
      <b/>
      <sz val="22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4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0" borderId="1" xfId="0" applyFont="1" applyBorder="1" applyAlignment="1">
      <alignment horizontal="center"/>
    </xf>
    <xf numFmtId="0" fontId="1" fillId="4" borderId="0" xfId="0" applyFont="1" applyFill="1" applyAlignment="1"/>
    <xf numFmtId="0" fontId="3" fillId="0" borderId="3" xfId="0" applyFont="1" applyBorder="1" applyAlignment="1">
      <alignment horizontal="center"/>
    </xf>
    <xf numFmtId="164" fontId="1" fillId="7" borderId="3" xfId="0" applyNumberFormat="1" applyFont="1" applyFill="1" applyBorder="1"/>
    <xf numFmtId="164" fontId="1" fillId="6" borderId="3" xfId="0" applyNumberFormat="1" applyFont="1" applyFill="1" applyBorder="1" applyAlignment="1"/>
    <xf numFmtId="164" fontId="1" fillId="9" borderId="3" xfId="0" applyNumberFormat="1" applyFont="1" applyFill="1" applyBorder="1"/>
    <xf numFmtId="164" fontId="1" fillId="10" borderId="3" xfId="0" applyNumberFormat="1" applyFont="1" applyFill="1" applyBorder="1"/>
    <xf numFmtId="164" fontId="1" fillId="6" borderId="3" xfId="0" applyNumberFormat="1" applyFont="1" applyFill="1" applyBorder="1"/>
    <xf numFmtId="0" fontId="1" fillId="11" borderId="3" xfId="0" applyFont="1" applyFill="1" applyBorder="1" applyAlignment="1"/>
    <xf numFmtId="0" fontId="3" fillId="10" borderId="0" xfId="0" applyFont="1" applyFill="1" applyAlignment="1"/>
    <xf numFmtId="164" fontId="3" fillId="10" borderId="0" xfId="0" applyNumberFormat="1" applyFont="1" applyFill="1" applyAlignment="1">
      <alignment horizontal="center"/>
    </xf>
    <xf numFmtId="164" fontId="1" fillId="11" borderId="3" xfId="0" applyNumberFormat="1" applyFont="1" applyFill="1" applyBorder="1" applyAlignment="1"/>
    <xf numFmtId="0" fontId="3" fillId="0" borderId="0" xfId="0" applyFont="1" applyAlignment="1"/>
    <xf numFmtId="164" fontId="1" fillId="12" borderId="0" xfId="0" applyNumberFormat="1" applyFont="1" applyFill="1" applyAlignment="1"/>
    <xf numFmtId="164" fontId="1" fillId="12" borderId="0" xfId="0" applyNumberFormat="1" applyFont="1" applyFill="1"/>
    <xf numFmtId="164" fontId="1" fillId="11" borderId="3" xfId="0" applyNumberFormat="1" applyFont="1" applyFill="1" applyBorder="1"/>
    <xf numFmtId="0" fontId="1" fillId="6" borderId="0" xfId="0" applyFont="1" applyFill="1" applyAlignment="1"/>
    <xf numFmtId="164" fontId="1" fillId="13" borderId="0" xfId="0" applyNumberFormat="1" applyFont="1" applyFill="1" applyAlignment="1"/>
    <xf numFmtId="164" fontId="1" fillId="6" borderId="0" xfId="0" applyNumberFormat="1" applyFont="1" applyFill="1"/>
    <xf numFmtId="0" fontId="4" fillId="13" borderId="0" xfId="0" applyFont="1" applyFill="1" applyAlignment="1"/>
    <xf numFmtId="164" fontId="4" fillId="13" borderId="0" xfId="0" applyNumberFormat="1" applyFont="1" applyFill="1" applyAlignment="1"/>
    <xf numFmtId="164" fontId="4" fillId="13" borderId="0" xfId="0" applyNumberFormat="1" applyFont="1" applyFill="1"/>
    <xf numFmtId="0" fontId="4" fillId="13" borderId="0" xfId="0" applyFont="1" applyFill="1"/>
    <xf numFmtId="164" fontId="1" fillId="6" borderId="0" xfId="0" applyNumberFormat="1" applyFont="1" applyFill="1" applyAlignment="1"/>
    <xf numFmtId="164" fontId="3" fillId="10" borderId="0" xfId="0" applyNumberFormat="1" applyFont="1" applyFill="1"/>
    <xf numFmtId="0" fontId="3" fillId="10" borderId="0" xfId="0" applyFont="1" applyFill="1"/>
    <xf numFmtId="4" fontId="1" fillId="0" borderId="0" xfId="0" applyNumberFormat="1" applyFont="1" applyAlignment="1"/>
    <xf numFmtId="164" fontId="1" fillId="0" borderId="0" xfId="0" applyNumberFormat="1" applyFont="1" applyAlignment="1"/>
    <xf numFmtId="164" fontId="3" fillId="14" borderId="3" xfId="0" applyNumberFormat="1" applyFont="1" applyFill="1" applyBorder="1"/>
    <xf numFmtId="0" fontId="1" fillId="0" borderId="7" xfId="0" applyFont="1" applyBorder="1"/>
    <xf numFmtId="0" fontId="1" fillId="15" borderId="3" xfId="0" applyFont="1" applyFill="1" applyBorder="1" applyAlignment="1"/>
    <xf numFmtId="3" fontId="1" fillId="15" borderId="3" xfId="0" applyNumberFormat="1" applyFont="1" applyFill="1" applyBorder="1" applyAlignment="1"/>
    <xf numFmtId="164" fontId="1" fillId="15" borderId="3" xfId="0" applyNumberFormat="1" applyFont="1" applyFill="1" applyBorder="1" applyAlignment="1"/>
    <xf numFmtId="164" fontId="3" fillId="16" borderId="3" xfId="0" applyNumberFormat="1" applyFont="1" applyFill="1" applyBorder="1"/>
    <xf numFmtId="0" fontId="5" fillId="14" borderId="3" xfId="0" applyFont="1" applyFill="1" applyBorder="1" applyAlignment="1">
      <alignment wrapText="1"/>
    </xf>
    <xf numFmtId="164" fontId="1" fillId="14" borderId="3" xfId="0" applyNumberFormat="1" applyFont="1" applyFill="1" applyBorder="1" applyAlignment="1"/>
    <xf numFmtId="0" fontId="3" fillId="17" borderId="3" xfId="0" applyFont="1" applyFill="1" applyBorder="1" applyAlignment="1"/>
    <xf numFmtId="164" fontId="3" fillId="17" borderId="3" xfId="0" applyNumberFormat="1" applyFont="1" applyFill="1" applyBorder="1"/>
    <xf numFmtId="0" fontId="3" fillId="9" borderId="0" xfId="0" applyFont="1" applyFill="1" applyAlignment="1"/>
    <xf numFmtId="0" fontId="1" fillId="9" borderId="0" xfId="0" applyFont="1" applyFill="1"/>
    <xf numFmtId="0" fontId="1" fillId="8" borderId="0" xfId="0" applyFont="1" applyFill="1"/>
    <xf numFmtId="0" fontId="1" fillId="9" borderId="0" xfId="0" applyFont="1" applyFill="1" applyAlignment="1"/>
    <xf numFmtId="0" fontId="1" fillId="8" borderId="0" xfId="0" applyFont="1" applyFill="1" applyAlignment="1"/>
    <xf numFmtId="0" fontId="1" fillId="15" borderId="0" xfId="0" applyFont="1" applyFill="1" applyAlignment="1"/>
    <xf numFmtId="0" fontId="3" fillId="0" borderId="7" xfId="0" applyFont="1" applyBorder="1" applyAlignment="1">
      <alignment horizontal="center"/>
    </xf>
    <xf numFmtId="164" fontId="1" fillId="0" borderId="4" xfId="0" applyNumberFormat="1" applyFont="1" applyBorder="1" applyAlignment="1"/>
    <xf numFmtId="164" fontId="1" fillId="0" borderId="4" xfId="0" applyNumberFormat="1" applyFont="1" applyBorder="1"/>
    <xf numFmtId="164" fontId="1" fillId="0" borderId="8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6" xfId="0" applyNumberFormat="1" applyFont="1" applyBorder="1" applyAlignment="1"/>
    <xf numFmtId="164" fontId="1" fillId="0" borderId="5" xfId="0" applyNumberFormat="1" applyFont="1" applyBorder="1" applyAlignment="1"/>
    <xf numFmtId="164" fontId="1" fillId="0" borderId="3" xfId="0" applyNumberFormat="1" applyFont="1" applyBorder="1" applyAlignment="1"/>
    <xf numFmtId="164" fontId="6" fillId="0" borderId="8" xfId="0" applyNumberFormat="1" applyFont="1" applyBorder="1" applyAlignment="1"/>
    <xf numFmtId="164" fontId="6" fillId="0" borderId="9" xfId="0" applyNumberFormat="1" applyFont="1" applyBorder="1"/>
    <xf numFmtId="164" fontId="1" fillId="0" borderId="10" xfId="0" applyNumberFormat="1" applyFont="1" applyBorder="1" applyAlignment="1"/>
    <xf numFmtId="164" fontId="1" fillId="0" borderId="1" xfId="0" applyNumberFormat="1" applyFont="1" applyBorder="1" applyAlignment="1"/>
    <xf numFmtId="164" fontId="1" fillId="0" borderId="8" xfId="0" applyNumberFormat="1" applyFont="1" applyBorder="1" applyAlignment="1"/>
    <xf numFmtId="0" fontId="1" fillId="0" borderId="1" xfId="0" applyFont="1" applyBorder="1"/>
    <xf numFmtId="0" fontId="1" fillId="12" borderId="3" xfId="0" applyFont="1" applyFill="1" applyBorder="1" applyAlignment="1"/>
    <xf numFmtId="164" fontId="1" fillId="0" borderId="5" xfId="0" applyNumberFormat="1" applyFont="1" applyBorder="1"/>
    <xf numFmtId="164" fontId="1" fillId="0" borderId="12" xfId="0" applyNumberFormat="1" applyFont="1" applyBorder="1"/>
    <xf numFmtId="164" fontId="1" fillId="0" borderId="6" xfId="0" applyNumberFormat="1" applyFont="1" applyBorder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14" borderId="4" xfId="0" applyNumberFormat="1" applyFont="1" applyFill="1" applyBorder="1"/>
    <xf numFmtId="164" fontId="1" fillId="14" borderId="8" xfId="0" applyNumberFormat="1" applyFont="1" applyFill="1" applyBorder="1"/>
    <xf numFmtId="0" fontId="3" fillId="0" borderId="9" xfId="0" applyFont="1" applyBorder="1" applyAlignment="1">
      <alignment horizontal="center"/>
    </xf>
    <xf numFmtId="0" fontId="0" fillId="0" borderId="0" xfId="0" applyFont="1" applyAlignment="1"/>
    <xf numFmtId="0" fontId="1" fillId="0" borderId="9" xfId="0" applyFont="1" applyBorder="1"/>
    <xf numFmtId="0" fontId="5" fillId="0" borderId="0" xfId="0" applyFont="1" applyAlignment="1"/>
    <xf numFmtId="164" fontId="0" fillId="0" borderId="0" xfId="0" applyNumberFormat="1" applyFont="1" applyAlignment="1"/>
    <xf numFmtId="164" fontId="1" fillId="6" borderId="5" xfId="0" applyNumberFormat="1" applyFont="1" applyFill="1" applyBorder="1" applyAlignment="1"/>
    <xf numFmtId="0" fontId="5" fillId="14" borderId="6" xfId="0" applyFont="1" applyFill="1" applyBorder="1" applyAlignment="1">
      <alignment wrapText="1"/>
    </xf>
    <xf numFmtId="164" fontId="1" fillId="14" borderId="6" xfId="0" applyNumberFormat="1" applyFont="1" applyFill="1" applyBorder="1" applyAlignment="1"/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1" fillId="15" borderId="6" xfId="0" applyFont="1" applyFill="1" applyBorder="1" applyAlignment="1"/>
    <xf numFmtId="3" fontId="1" fillId="15" borderId="6" xfId="0" applyNumberFormat="1" applyFont="1" applyFill="1" applyBorder="1" applyAlignment="1"/>
    <xf numFmtId="0" fontId="1" fillId="15" borderId="3" xfId="1" applyNumberFormat="1" applyFont="1" applyFill="1" applyBorder="1" applyAlignment="1"/>
    <xf numFmtId="0" fontId="1" fillId="15" borderId="3" xfId="0" applyNumberFormat="1" applyFont="1" applyFill="1" applyBorder="1" applyAlignment="1"/>
    <xf numFmtId="164" fontId="1" fillId="9" borderId="6" xfId="0" applyNumberFormat="1" applyFont="1" applyFill="1" applyBorder="1"/>
    <xf numFmtId="0" fontId="3" fillId="0" borderId="14" xfId="0" applyFont="1" applyBorder="1" applyAlignment="1">
      <alignment horizontal="center"/>
    </xf>
    <xf numFmtId="164" fontId="1" fillId="0" borderId="11" xfId="0" applyNumberFormat="1" applyFont="1" applyBorder="1"/>
    <xf numFmtId="0" fontId="1" fillId="0" borderId="0" xfId="0" applyFont="1" applyFill="1" applyAlignment="1"/>
    <xf numFmtId="164" fontId="1" fillId="0" borderId="0" xfId="0" applyNumberFormat="1" applyFont="1" applyFill="1" applyAlignment="1"/>
    <xf numFmtId="44" fontId="1" fillId="15" borderId="3" xfId="1" applyFont="1" applyFill="1" applyBorder="1" applyAlignment="1"/>
    <xf numFmtId="3" fontId="1" fillId="8" borderId="0" xfId="0" applyNumberFormat="1" applyFont="1" applyFill="1" applyAlignment="1"/>
    <xf numFmtId="3" fontId="1" fillId="9" borderId="0" xfId="0" applyNumberFormat="1" applyFont="1" applyFill="1" applyAlignment="1"/>
    <xf numFmtId="3" fontId="0" fillId="0" borderId="0" xfId="0" applyNumberFormat="1" applyFont="1" applyAlignment="1"/>
    <xf numFmtId="164" fontId="1" fillId="0" borderId="0" xfId="0" applyNumberFormat="1" applyFont="1" applyBorder="1" applyAlignment="1"/>
    <xf numFmtId="44" fontId="1" fillId="0" borderId="8" xfId="1" applyFont="1" applyBorder="1"/>
    <xf numFmtId="44" fontId="1" fillId="0" borderId="9" xfId="1" applyFont="1" applyBorder="1"/>
    <xf numFmtId="0" fontId="0" fillId="0" borderId="0" xfId="0" applyFont="1" applyFill="1" applyBorder="1" applyAlignment="1"/>
    <xf numFmtId="164" fontId="1" fillId="0" borderId="0" xfId="0" applyNumberFormat="1" applyFont="1" applyFill="1" applyBorder="1" applyAlignment="1"/>
    <xf numFmtId="4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/>
    <xf numFmtId="164" fontId="1" fillId="8" borderId="6" xfId="0" applyNumberFormat="1" applyFont="1" applyFill="1" applyBorder="1" applyAlignment="1"/>
    <xf numFmtId="3" fontId="1" fillId="9" borderId="6" xfId="0" applyNumberFormat="1" applyFont="1" applyFill="1" applyBorder="1" applyAlignment="1"/>
    <xf numFmtId="0" fontId="3" fillId="9" borderId="14" xfId="0" applyFont="1" applyFill="1" applyBorder="1" applyAlignment="1">
      <alignment horizontal="center"/>
    </xf>
    <xf numFmtId="44" fontId="0" fillId="0" borderId="0" xfId="0" applyNumberFormat="1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9" fillId="0" borderId="0" xfId="2" applyAlignment="1"/>
    <xf numFmtId="0" fontId="3" fillId="0" borderId="14" xfId="0" applyFont="1" applyBorder="1" applyAlignment="1">
      <alignment horizontal="center"/>
    </xf>
    <xf numFmtId="0" fontId="1" fillId="6" borderId="1" xfId="0" applyFont="1" applyFill="1" applyBorder="1" applyAlignment="1"/>
    <xf numFmtId="0" fontId="1" fillId="0" borderId="2" xfId="0" applyFont="1" applyBorder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3" fillId="14" borderId="1" xfId="0" applyFont="1" applyFill="1" applyBorder="1" applyAlignment="1"/>
    <xf numFmtId="0" fontId="3" fillId="10" borderId="1" xfId="0" applyFont="1" applyFill="1" applyBorder="1" applyAlignment="1"/>
    <xf numFmtId="0" fontId="3" fillId="16" borderId="1" xfId="0" applyFont="1" applyFill="1" applyBorder="1" applyAlignment="1"/>
    <xf numFmtId="0" fontId="1" fillId="8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1" fillId="11" borderId="4" xfId="0" applyFont="1" applyFill="1" applyBorder="1"/>
    <xf numFmtId="0" fontId="1" fillId="11" borderId="5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 applyAlignment="1"/>
    <xf numFmtId="0" fontId="6" fillId="13" borderId="1" xfId="0" applyFont="1" applyFill="1" applyBorder="1" applyAlignment="1"/>
    <xf numFmtId="0" fontId="1" fillId="13" borderId="1" xfId="0" applyFont="1" applyFill="1" applyBorder="1" applyAlignment="1"/>
    <xf numFmtId="0" fontId="1" fillId="12" borderId="1" xfId="0" applyFont="1" applyFill="1" applyBorder="1" applyAlignment="1"/>
    <xf numFmtId="0" fontId="1" fillId="0" borderId="7" xfId="0" applyFont="1" applyBorder="1"/>
    <xf numFmtId="0" fontId="1" fillId="6" borderId="4" xfId="0" applyFont="1" applyFill="1" applyBorder="1"/>
    <xf numFmtId="0" fontId="8" fillId="18" borderId="0" xfId="0" applyFont="1" applyFill="1" applyAlignment="1">
      <alignment horizontal="center" vertical="center"/>
    </xf>
    <xf numFmtId="0" fontId="1" fillId="6" borderId="1" xfId="0" applyFont="1" applyFill="1" applyBorder="1"/>
    <xf numFmtId="0" fontId="1" fillId="0" borderId="0" xfId="0" applyFont="1" applyAlignment="1"/>
    <xf numFmtId="0" fontId="3" fillId="17" borderId="8" xfId="0" applyFont="1" applyFill="1" applyBorder="1" applyAlignment="1"/>
    <xf numFmtId="0" fontId="1" fillId="0" borderId="9" xfId="0" applyFont="1" applyBorder="1"/>
    <xf numFmtId="0" fontId="1" fillId="0" borderId="13" xfId="0" applyFont="1" applyBorder="1"/>
    <xf numFmtId="0" fontId="3" fillId="0" borderId="9" xfId="0" applyFont="1" applyBorder="1" applyAlignment="1">
      <alignment horizontal="center"/>
    </xf>
    <xf numFmtId="0" fontId="1" fillId="12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 applyAlignment="1">
      <alignment horizontal="center"/>
    </xf>
    <xf numFmtId="0" fontId="3" fillId="12" borderId="0" xfId="0" applyFont="1" applyFill="1" applyAlignme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lang="fr-FR"/>
              <a:t>Trésorerie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Trésorerie!$D$42:$BK$42</c:f>
              <c:numCache>
                <c:formatCode>#\ ##0.00\ [$€-1]</c:formatCode>
                <c:ptCount val="60"/>
                <c:pt idx="0">
                  <c:v>116450.625</c:v>
                </c:pt>
                <c:pt idx="1">
                  <c:v>105446.25</c:v>
                </c:pt>
                <c:pt idx="2">
                  <c:v>95261.875</c:v>
                </c:pt>
                <c:pt idx="3">
                  <c:v>85897.5</c:v>
                </c:pt>
                <c:pt idx="4">
                  <c:v>77353.125</c:v>
                </c:pt>
                <c:pt idx="5">
                  <c:v>69628.75</c:v>
                </c:pt>
                <c:pt idx="6">
                  <c:v>64599.375</c:v>
                </c:pt>
                <c:pt idx="7">
                  <c:v>60390</c:v>
                </c:pt>
                <c:pt idx="8">
                  <c:v>57000.625</c:v>
                </c:pt>
                <c:pt idx="9">
                  <c:v>54431.25</c:v>
                </c:pt>
                <c:pt idx="10">
                  <c:v>52681.875</c:v>
                </c:pt>
                <c:pt idx="11">
                  <c:v>47792.5</c:v>
                </c:pt>
                <c:pt idx="12">
                  <c:v>36320.760416666664</c:v>
                </c:pt>
                <c:pt idx="13">
                  <c:v>27899.020833333328</c:v>
                </c:pt>
                <c:pt idx="14">
                  <c:v>20827.281249999993</c:v>
                </c:pt>
                <c:pt idx="15">
                  <c:v>15105.541666666659</c:v>
                </c:pt>
                <c:pt idx="16">
                  <c:v>10733.802083333325</c:v>
                </c:pt>
                <c:pt idx="17">
                  <c:v>7712.0624999999909</c:v>
                </c:pt>
                <c:pt idx="18">
                  <c:v>6040.322916666657</c:v>
                </c:pt>
                <c:pt idx="19">
                  <c:v>5718.583333333323</c:v>
                </c:pt>
                <c:pt idx="20">
                  <c:v>6746.8437499999891</c:v>
                </c:pt>
                <c:pt idx="21">
                  <c:v>8625.1041666666551</c:v>
                </c:pt>
                <c:pt idx="22">
                  <c:v>10603.364583333321</c:v>
                </c:pt>
                <c:pt idx="23">
                  <c:v>12456.624999999987</c:v>
                </c:pt>
                <c:pt idx="24">
                  <c:v>13750.195499999985</c:v>
                </c:pt>
                <c:pt idx="25">
                  <c:v>15043.765999999983</c:v>
                </c:pt>
                <c:pt idx="26">
                  <c:v>16337.336499999981</c:v>
                </c:pt>
                <c:pt idx="27">
                  <c:v>17630.906999999977</c:v>
                </c:pt>
                <c:pt idx="28">
                  <c:v>18924.477499999975</c:v>
                </c:pt>
                <c:pt idx="29">
                  <c:v>20218.047999999973</c:v>
                </c:pt>
                <c:pt idx="30">
                  <c:v>21511.618499999971</c:v>
                </c:pt>
                <c:pt idx="31">
                  <c:v>22805.188999999969</c:v>
                </c:pt>
                <c:pt idx="32">
                  <c:v>24098.759499999967</c:v>
                </c:pt>
                <c:pt idx="33">
                  <c:v>25392.329999999965</c:v>
                </c:pt>
                <c:pt idx="34">
                  <c:v>26685.900499999963</c:v>
                </c:pt>
                <c:pt idx="35">
                  <c:v>27769.470999999961</c:v>
                </c:pt>
                <c:pt idx="36">
                  <c:v>29689.954062499961</c:v>
                </c:pt>
                <c:pt idx="37">
                  <c:v>33610.43712499996</c:v>
                </c:pt>
                <c:pt idx="38">
                  <c:v>37530.920187499956</c:v>
                </c:pt>
                <c:pt idx="39">
                  <c:v>41451.403249999959</c:v>
                </c:pt>
                <c:pt idx="40">
                  <c:v>45371.886312499963</c:v>
                </c:pt>
                <c:pt idx="41">
                  <c:v>49292.369374999966</c:v>
                </c:pt>
                <c:pt idx="42">
                  <c:v>53212.852437499969</c:v>
                </c:pt>
                <c:pt idx="43">
                  <c:v>57133.335499999972</c:v>
                </c:pt>
                <c:pt idx="44">
                  <c:v>61053.818562499975</c:v>
                </c:pt>
                <c:pt idx="45">
                  <c:v>64974.301624999978</c:v>
                </c:pt>
                <c:pt idx="46">
                  <c:v>68894.784687499981</c:v>
                </c:pt>
                <c:pt idx="47">
                  <c:v>72593.690249999985</c:v>
                </c:pt>
                <c:pt idx="48">
                  <c:v>76758.194937499982</c:v>
                </c:pt>
                <c:pt idx="49">
                  <c:v>80922.699624999979</c:v>
                </c:pt>
                <c:pt idx="50">
                  <c:v>85087.204312499976</c:v>
                </c:pt>
                <c:pt idx="51">
                  <c:v>89251.708999999973</c:v>
                </c:pt>
                <c:pt idx="52">
                  <c:v>93416.213687499971</c:v>
                </c:pt>
                <c:pt idx="53">
                  <c:v>97580.718374999968</c:v>
                </c:pt>
                <c:pt idx="54">
                  <c:v>101745.22306249996</c:v>
                </c:pt>
                <c:pt idx="55">
                  <c:v>105909.72774999996</c:v>
                </c:pt>
                <c:pt idx="56">
                  <c:v>110074.23243749996</c:v>
                </c:pt>
                <c:pt idx="57">
                  <c:v>114238.73712499996</c:v>
                </c:pt>
                <c:pt idx="58">
                  <c:v>118403.24181249995</c:v>
                </c:pt>
                <c:pt idx="59">
                  <c:v>122462.74649999995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9-49A1-98A0-40B16B63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6928"/>
        <c:axId val="164219894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mpd="sng">
                    <a:solidFill>
                      <a:srgbClr val="4285F4"/>
                    </a:solidFill>
                  </a:ln>
                </c:spPr>
                <c:marker>
                  <c:symbol val="none"/>
                </c:marker>
                <c:dPt>
                  <c:idx val="17"/>
                  <c:bubble3D val="0"/>
                  <c:spPr/>
                  <c:extLst>
                    <c:ext xmlns:c16="http://schemas.microsoft.com/office/drawing/2014/chart" uri="{C3380CC4-5D6E-409C-BE32-E72D297353CC}">
                      <c16:uniqueId val="{00000000-699F-413E-99BB-3EC275A8A9E4}"/>
                    </c:ext>
                  </c:extLst>
                </c:dPt>
                <c:dPt>
                  <c:idx val="20"/>
                  <c:bubble3D val="0"/>
                  <c:extLst>
                    <c:ext xmlns:c16="http://schemas.microsoft.com/office/drawing/2014/chart" uri="{C3380CC4-5D6E-409C-BE32-E72D297353CC}">
                      <c16:uniqueId val="{00000001-699F-413E-99BB-3EC275A8A9E4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Trésorerie!$D$13:$BK$13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99F-413E-99BB-3EC275A8A9E4}"/>
                  </c:ext>
                </c:extLst>
              </c15:ser>
            </c15:filteredLineSeries>
          </c:ext>
        </c:extLst>
      </c:lineChart>
      <c:catAx>
        <c:axId val="1914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Mois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42198942"/>
        <c:crosses val="autoZero"/>
        <c:auto val="1"/>
        <c:lblAlgn val="ctr"/>
        <c:lblOffset val="100"/>
        <c:noMultiLvlLbl val="1"/>
      </c:catAx>
      <c:valAx>
        <c:axId val="164219894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Solde</a:t>
                </a:r>
              </a:p>
            </c:rich>
          </c:tx>
          <c:overlay val="0"/>
        </c:title>
        <c:numFmt formatCode="#\ ##0.0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1436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69</xdr:col>
      <xdr:colOff>542925</xdr:colOff>
      <xdr:row>11</xdr:row>
      <xdr:rowOff>152400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sbob.net/fr/blog/comment-creer-entreprise-societe-une-1-heure-portugal-entrepreneu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63"/>
  <sheetViews>
    <sheetView tabSelected="1" workbookViewId="0">
      <selection activeCell="B13" sqref="B13"/>
    </sheetView>
  </sheetViews>
  <sheetFormatPr baseColWidth="10" defaultColWidth="14.42578125" defaultRowHeight="15.75" customHeight="1" x14ac:dyDescent="0.2"/>
  <cols>
    <col min="1" max="1" width="37.42578125" customWidth="1"/>
    <col min="2" max="2" width="38.28515625" customWidth="1"/>
    <col min="11" max="11" width="12" customWidth="1"/>
  </cols>
  <sheetData>
    <row r="1" spans="1:9" ht="18" x14ac:dyDescent="0.25">
      <c r="A1" s="113" t="s">
        <v>13</v>
      </c>
      <c r="B1" s="114"/>
      <c r="C1" s="114"/>
      <c r="D1" s="114"/>
      <c r="E1" s="114"/>
      <c r="F1" s="114"/>
      <c r="G1" s="114"/>
    </row>
    <row r="3" spans="1:9" ht="15.75" customHeight="1" x14ac:dyDescent="0.2">
      <c r="A3" s="119" t="s">
        <v>106</v>
      </c>
      <c r="B3" s="112"/>
      <c r="C3" s="5">
        <v>1</v>
      </c>
      <c r="D3" s="5">
        <v>2</v>
      </c>
      <c r="E3" s="5">
        <v>3</v>
      </c>
      <c r="F3" s="3">
        <v>4</v>
      </c>
      <c r="G3" s="82">
        <v>5</v>
      </c>
    </row>
    <row r="4" spans="1:9" ht="15.75" customHeight="1" x14ac:dyDescent="0.2">
      <c r="A4" s="118" t="s">
        <v>80</v>
      </c>
      <c r="B4" s="112"/>
      <c r="C4" s="8">
        <f>C39*C40+C37*C38+C41*C42</f>
        <v>101250</v>
      </c>
      <c r="D4" s="8">
        <f>D39*D40+D37*D38+D41*D42</f>
        <v>142125</v>
      </c>
      <c r="E4" s="8">
        <f>E39*E40+E37*E38+E41*E42</f>
        <v>257190</v>
      </c>
      <c r="F4" s="8">
        <f>F39*F40+F37*F38+F41*F42</f>
        <v>376845</v>
      </c>
      <c r="G4" s="87">
        <f>G39*G40+G37*G38+G41*G42</f>
        <v>423675</v>
      </c>
    </row>
    <row r="5" spans="1:9" ht="15.75" customHeight="1" x14ac:dyDescent="0.2">
      <c r="A5" s="111" t="s">
        <v>107</v>
      </c>
      <c r="B5" s="112"/>
      <c r="C5" s="7">
        <v>0</v>
      </c>
      <c r="D5" s="7">
        <v>0</v>
      </c>
      <c r="E5" s="7">
        <v>0</v>
      </c>
      <c r="F5" s="7">
        <v>0</v>
      </c>
      <c r="G5" s="77">
        <v>0</v>
      </c>
    </row>
    <row r="6" spans="1:9" ht="15.75" customHeight="1" x14ac:dyDescent="0.2">
      <c r="A6" s="116" t="s">
        <v>143</v>
      </c>
      <c r="B6" s="112"/>
      <c r="C6" s="9">
        <f>C5+C4</f>
        <v>101250</v>
      </c>
      <c r="D6" s="9">
        <f>D5+D4</f>
        <v>142125</v>
      </c>
      <c r="E6" s="9">
        <f>E5+E4</f>
        <v>257190</v>
      </c>
      <c r="F6" s="9">
        <f>F5+F4</f>
        <v>376845</v>
      </c>
      <c r="G6" s="9">
        <f>G5+G4</f>
        <v>423675</v>
      </c>
    </row>
    <row r="7" spans="1:9" ht="15.75" customHeight="1" x14ac:dyDescent="0.2">
      <c r="A7" s="111" t="s">
        <v>87</v>
      </c>
      <c r="B7" s="112"/>
      <c r="C7" s="7">
        <v>3000</v>
      </c>
      <c r="D7" s="7">
        <v>3000</v>
      </c>
      <c r="E7" s="7">
        <v>3000</v>
      </c>
      <c r="F7" s="7">
        <v>1500</v>
      </c>
      <c r="G7" s="7">
        <v>0</v>
      </c>
    </row>
    <row r="8" spans="1:9" ht="15.75" customHeight="1" x14ac:dyDescent="0.2">
      <c r="A8" s="111" t="s">
        <v>88</v>
      </c>
      <c r="B8" s="112"/>
      <c r="C8" s="10">
        <f>SUM(C9:C17)</f>
        <v>33500</v>
      </c>
      <c r="D8" s="10">
        <f>SUM(D9:D17)</f>
        <v>58012.5</v>
      </c>
      <c r="E8" s="10">
        <f>SUM(E9:E17)</f>
        <v>101932</v>
      </c>
      <c r="F8" s="10">
        <f>SUM(F9:F17)</f>
        <v>137463.5</v>
      </c>
      <c r="G8" s="10">
        <f>SUM(G9:G17)</f>
        <v>151162.5</v>
      </c>
    </row>
    <row r="9" spans="1:9" ht="15.75" customHeight="1" x14ac:dyDescent="0.2">
      <c r="A9" s="120"/>
      <c r="B9" s="11" t="s">
        <v>77</v>
      </c>
      <c r="C9" s="14">
        <v>0</v>
      </c>
      <c r="D9" s="14">
        <v>0</v>
      </c>
      <c r="E9" s="14">
        <f>700*12</f>
        <v>8400</v>
      </c>
      <c r="F9" s="14">
        <f>700*12</f>
        <v>8400</v>
      </c>
      <c r="G9" s="14">
        <f>700*12</f>
        <v>8400</v>
      </c>
    </row>
    <row r="10" spans="1:9" s="107" customFormat="1" ht="15.75" customHeight="1" x14ac:dyDescent="0.2">
      <c r="A10" s="121"/>
      <c r="B10" s="11" t="s">
        <v>138</v>
      </c>
      <c r="C10" s="14">
        <f>360+5*50+75</f>
        <v>685</v>
      </c>
      <c r="D10" s="14">
        <v>0</v>
      </c>
      <c r="E10" s="14">
        <v>0</v>
      </c>
      <c r="F10" s="14">
        <v>0</v>
      </c>
      <c r="G10" s="14">
        <v>0</v>
      </c>
      <c r="I10" s="109" t="s">
        <v>139</v>
      </c>
    </row>
    <row r="11" spans="1:9" ht="15.75" customHeight="1" x14ac:dyDescent="0.2">
      <c r="A11" s="122"/>
      <c r="B11" s="11" t="s">
        <v>110</v>
      </c>
      <c r="C11" s="18">
        <f>C6*0.3</f>
        <v>30375</v>
      </c>
      <c r="D11" s="18">
        <f>D6*0.3</f>
        <v>42637.5</v>
      </c>
      <c r="E11" s="18">
        <f>E6*0.3</f>
        <v>77157</v>
      </c>
      <c r="F11" s="18">
        <f>F6*0.3</f>
        <v>113053.5</v>
      </c>
      <c r="G11" s="18">
        <f>G6*0.3</f>
        <v>127102.5</v>
      </c>
    </row>
    <row r="12" spans="1:9" ht="15.75" customHeight="1" x14ac:dyDescent="0.2">
      <c r="A12" s="122"/>
      <c r="B12" s="11" t="s">
        <v>141</v>
      </c>
      <c r="C12" s="14">
        <v>400</v>
      </c>
      <c r="D12" s="14">
        <v>400</v>
      </c>
      <c r="E12" s="14">
        <v>400</v>
      </c>
      <c r="F12" s="14">
        <v>400</v>
      </c>
      <c r="G12" s="14">
        <v>400</v>
      </c>
      <c r="H12" s="75"/>
    </row>
    <row r="13" spans="1:9" ht="15.75" customHeight="1" x14ac:dyDescent="0.2">
      <c r="A13" s="122"/>
      <c r="B13" s="11" t="s">
        <v>116</v>
      </c>
      <c r="C13" s="14">
        <v>500</v>
      </c>
      <c r="D13" s="14">
        <v>500</v>
      </c>
      <c r="E13" s="14">
        <v>500</v>
      </c>
      <c r="F13" s="14">
        <v>500</v>
      </c>
      <c r="G13" s="14">
        <v>500</v>
      </c>
      <c r="H13" s="75"/>
    </row>
    <row r="14" spans="1:9" ht="15.75" customHeight="1" x14ac:dyDescent="0.2">
      <c r="A14" s="122"/>
      <c r="B14" s="11" t="s">
        <v>111</v>
      </c>
      <c r="C14" s="14">
        <v>0</v>
      </c>
      <c r="D14" s="14">
        <v>13000</v>
      </c>
      <c r="E14" s="14">
        <v>13000</v>
      </c>
      <c r="F14" s="14">
        <v>13000</v>
      </c>
      <c r="G14" s="14">
        <v>13000</v>
      </c>
    </row>
    <row r="15" spans="1:9" ht="15.75" customHeight="1" x14ac:dyDescent="0.2">
      <c r="A15" s="122"/>
      <c r="B15" s="11" t="s">
        <v>69</v>
      </c>
      <c r="C15" s="14">
        <f>4*(115+120)</f>
        <v>940</v>
      </c>
      <c r="D15" s="14">
        <f>5*(115+120)</f>
        <v>1175</v>
      </c>
      <c r="E15" s="14">
        <f>5*(115+120)</f>
        <v>1175</v>
      </c>
      <c r="F15" s="14">
        <f>6*(115+120)</f>
        <v>1410</v>
      </c>
      <c r="G15" s="14">
        <f>6*(115+120)</f>
        <v>1410</v>
      </c>
    </row>
    <row r="16" spans="1:9" s="73" customFormat="1" ht="15.75" customHeight="1" x14ac:dyDescent="0.2">
      <c r="A16" s="122"/>
      <c r="B16" s="11" t="s">
        <v>112</v>
      </c>
      <c r="C16" s="14">
        <v>500</v>
      </c>
      <c r="D16" s="14">
        <v>200</v>
      </c>
      <c r="E16" s="14">
        <v>1000</v>
      </c>
      <c r="F16" s="14">
        <v>400</v>
      </c>
      <c r="G16" s="14">
        <v>50</v>
      </c>
    </row>
    <row r="17" spans="1:11" ht="15.75" customHeight="1" x14ac:dyDescent="0.2">
      <c r="A17" s="123"/>
      <c r="B17" s="11" t="s">
        <v>117</v>
      </c>
      <c r="C17" s="14">
        <v>100</v>
      </c>
      <c r="D17" s="14">
        <v>100</v>
      </c>
      <c r="E17" s="14">
        <v>300</v>
      </c>
      <c r="F17" s="14">
        <v>300</v>
      </c>
      <c r="G17" s="14">
        <v>300</v>
      </c>
    </row>
    <row r="18" spans="1:11" ht="15.75" customHeight="1" x14ac:dyDescent="0.2">
      <c r="A18" s="111" t="s">
        <v>144</v>
      </c>
      <c r="B18" s="112"/>
      <c r="C18" s="10">
        <f>C7+C8</f>
        <v>36500</v>
      </c>
      <c r="D18" s="10">
        <f>D7+D8</f>
        <v>61012.5</v>
      </c>
      <c r="E18" s="10">
        <f>E7+E8</f>
        <v>104932</v>
      </c>
      <c r="F18" s="10">
        <f>F7+F8</f>
        <v>138963.5</v>
      </c>
      <c r="G18" s="10">
        <f>G7+G8</f>
        <v>151162.5</v>
      </c>
    </row>
    <row r="19" spans="1:11" ht="15.75" customHeight="1" x14ac:dyDescent="0.2">
      <c r="A19" s="116" t="s">
        <v>142</v>
      </c>
      <c r="B19" s="112"/>
      <c r="C19" s="9">
        <f>C6-C18</f>
        <v>64750</v>
      </c>
      <c r="D19" s="9">
        <f>D6-D18</f>
        <v>81112.5</v>
      </c>
      <c r="E19" s="9">
        <f>E6-E18</f>
        <v>152258</v>
      </c>
      <c r="F19" s="9">
        <f>F6-F18</f>
        <v>237881.5</v>
      </c>
      <c r="G19" s="9">
        <f>G6-G18</f>
        <v>272512.5</v>
      </c>
    </row>
    <row r="20" spans="1:11" ht="15.75" customHeight="1" x14ac:dyDescent="0.2">
      <c r="A20" s="111" t="s">
        <v>113</v>
      </c>
      <c r="B20" s="112"/>
      <c r="C20" s="10">
        <f>C19*0.03</f>
        <v>1942.5</v>
      </c>
      <c r="D20" s="10">
        <f>D19*0.03</f>
        <v>2433.375</v>
      </c>
      <c r="E20" s="10">
        <f>E19*0.03</f>
        <v>4567.74</v>
      </c>
      <c r="F20" s="10">
        <f>F19*0.03</f>
        <v>7136.4449999999997</v>
      </c>
      <c r="G20" s="10">
        <f>G19*0.03</f>
        <v>8175.375</v>
      </c>
    </row>
    <row r="21" spans="1:11" ht="15.75" customHeight="1" x14ac:dyDescent="0.2">
      <c r="A21" s="111" t="s">
        <v>114</v>
      </c>
      <c r="B21" s="112"/>
      <c r="C21" s="7">
        <f>C56*12</f>
        <v>90000</v>
      </c>
      <c r="D21" s="7">
        <f>D56*12</f>
        <v>90000</v>
      </c>
      <c r="E21" s="7">
        <f>E56*12</f>
        <v>105000</v>
      </c>
      <c r="F21" s="7">
        <f>F56*12</f>
        <v>141600</v>
      </c>
      <c r="G21" s="7">
        <f>G56*12</f>
        <v>165600</v>
      </c>
    </row>
    <row r="22" spans="1:11" ht="15.75" customHeight="1" x14ac:dyDescent="0.2">
      <c r="A22" s="111" t="s">
        <v>115</v>
      </c>
      <c r="B22" s="112"/>
      <c r="C22" s="10">
        <f>0.2375*C21</f>
        <v>21375</v>
      </c>
      <c r="D22" s="10">
        <f t="shared" ref="D22:G22" si="0">0.2375*D21</f>
        <v>21375</v>
      </c>
      <c r="E22" s="10">
        <f t="shared" si="0"/>
        <v>24937.5</v>
      </c>
      <c r="F22" s="10">
        <f t="shared" si="0"/>
        <v>33630</v>
      </c>
      <c r="G22" s="10">
        <f t="shared" si="0"/>
        <v>39330</v>
      </c>
    </row>
    <row r="23" spans="1:11" ht="15.75" customHeight="1" x14ac:dyDescent="0.2">
      <c r="A23" s="116" t="s">
        <v>118</v>
      </c>
      <c r="B23" s="112"/>
      <c r="C23" s="9">
        <f>C19-SUM(C20:C22)</f>
        <v>-48567.5</v>
      </c>
      <c r="D23" s="9">
        <f>D19-SUM(D20:D22)</f>
        <v>-32695.875</v>
      </c>
      <c r="E23" s="9">
        <f>E19-SUM(E20:E22)</f>
        <v>17752.760000000009</v>
      </c>
      <c r="F23" s="9">
        <f>F19-SUM(F20:F22)</f>
        <v>55515.054999999993</v>
      </c>
      <c r="G23" s="9">
        <f>G19-SUM(G20:G22)</f>
        <v>59407.125</v>
      </c>
    </row>
    <row r="24" spans="1:11" ht="12.75" x14ac:dyDescent="0.2">
      <c r="A24" s="111" t="s">
        <v>119</v>
      </c>
      <c r="B24" s="112"/>
      <c r="C24" s="10">
        <f>C48</f>
        <v>0</v>
      </c>
      <c r="D24" s="10">
        <f>C24+D48</f>
        <v>566.66666666666663</v>
      </c>
      <c r="E24" s="10">
        <f>D24+E48</f>
        <v>566.66666666666663</v>
      </c>
      <c r="F24" s="10">
        <f>E24+F48</f>
        <v>1233.3333333333333</v>
      </c>
      <c r="G24" s="10">
        <f>F24+G48</f>
        <v>1233.3333333333333</v>
      </c>
    </row>
    <row r="25" spans="1:11" ht="12.75" x14ac:dyDescent="0.2">
      <c r="A25" s="116" t="s">
        <v>63</v>
      </c>
      <c r="B25" s="112"/>
      <c r="C25" s="9">
        <f>C23-C24</f>
        <v>-48567.5</v>
      </c>
      <c r="D25" s="9">
        <f>D23-D24</f>
        <v>-33262.541666666664</v>
      </c>
      <c r="E25" s="9">
        <f>E23-E24</f>
        <v>17186.093333333341</v>
      </c>
      <c r="F25" s="9">
        <f>F23-F24</f>
        <v>54281.721666666657</v>
      </c>
      <c r="G25" s="9">
        <f>G23-G24</f>
        <v>58173.791666666664</v>
      </c>
    </row>
    <row r="26" spans="1:11" ht="12.75" x14ac:dyDescent="0.2">
      <c r="A26" s="111" t="s">
        <v>120</v>
      </c>
      <c r="B26" s="112"/>
      <c r="C26" s="7">
        <f>0.013*Trésorerie!D21</f>
        <v>520</v>
      </c>
      <c r="D26" s="7">
        <f>C26</f>
        <v>520</v>
      </c>
      <c r="E26" s="7">
        <f>D26</f>
        <v>520</v>
      </c>
      <c r="F26" s="7">
        <f>E26</f>
        <v>520</v>
      </c>
      <c r="G26" s="7">
        <f>F26</f>
        <v>520</v>
      </c>
      <c r="I26" s="29"/>
      <c r="J26" s="29"/>
      <c r="K26" s="29"/>
    </row>
    <row r="27" spans="1:11" ht="12.75" x14ac:dyDescent="0.2">
      <c r="A27" s="116" t="s">
        <v>64</v>
      </c>
      <c r="B27" s="112"/>
      <c r="C27" s="9">
        <f>C25-C26</f>
        <v>-49087.5</v>
      </c>
      <c r="D27" s="9">
        <f>D25-D26</f>
        <v>-33782.541666666664</v>
      </c>
      <c r="E27" s="9">
        <f>E25-E26</f>
        <v>16666.093333333341</v>
      </c>
      <c r="F27" s="9">
        <f>F25-F26</f>
        <v>53761.721666666657</v>
      </c>
      <c r="G27" s="9">
        <f>G25-G26</f>
        <v>57653.791666666664</v>
      </c>
      <c r="I27" s="30"/>
      <c r="J27" s="30"/>
      <c r="K27" s="30"/>
    </row>
    <row r="28" spans="1:11" ht="12.75" x14ac:dyDescent="0.2">
      <c r="A28" s="111" t="s">
        <v>121</v>
      </c>
      <c r="B28" s="112"/>
      <c r="C28" s="7">
        <v>0</v>
      </c>
      <c r="D28" s="7">
        <v>0</v>
      </c>
      <c r="E28" s="7">
        <f>0.15*E27</f>
        <v>2499.9140000000011</v>
      </c>
      <c r="F28" s="7">
        <f>0.15*F27</f>
        <v>8064.258249999998</v>
      </c>
      <c r="G28" s="7">
        <f>0.15*G27</f>
        <v>8648.0687499999985</v>
      </c>
      <c r="H28" s="29"/>
    </row>
    <row r="29" spans="1:11" ht="12.75" x14ac:dyDescent="0.2">
      <c r="A29" s="115" t="s">
        <v>109</v>
      </c>
      <c r="B29" s="112"/>
      <c r="C29" s="31">
        <f>C27-C28</f>
        <v>-49087.5</v>
      </c>
      <c r="D29" s="31">
        <f>D27-D28</f>
        <v>-33782.541666666664</v>
      </c>
      <c r="E29" s="31">
        <f>E27-E28</f>
        <v>14166.179333333341</v>
      </c>
      <c r="F29" s="31">
        <f>F27-F28</f>
        <v>45697.463416666658</v>
      </c>
      <c r="G29" s="31">
        <f>G27-G28</f>
        <v>49005.722916666666</v>
      </c>
      <c r="H29" s="30"/>
    </row>
    <row r="30" spans="1:11" ht="15.75" customHeight="1" x14ac:dyDescent="0.2">
      <c r="C30" s="76"/>
    </row>
    <row r="33" spans="1:7" ht="18" x14ac:dyDescent="0.25">
      <c r="A33" s="113" t="s">
        <v>135</v>
      </c>
      <c r="B33" s="114"/>
      <c r="C33" s="114"/>
      <c r="D33" s="114"/>
      <c r="E33" s="114"/>
      <c r="F33" s="114"/>
      <c r="G33" s="114"/>
    </row>
    <row r="35" spans="1:7" ht="12.75" x14ac:dyDescent="0.2">
      <c r="B35" s="110" t="s">
        <v>122</v>
      </c>
      <c r="C35" s="110"/>
      <c r="D35" s="110"/>
      <c r="E35" s="110"/>
      <c r="F35" s="110"/>
      <c r="G35" s="110"/>
    </row>
    <row r="36" spans="1:7" ht="12.75" x14ac:dyDescent="0.2">
      <c r="B36" s="81" t="s">
        <v>123</v>
      </c>
      <c r="C36" s="81">
        <v>1</v>
      </c>
      <c r="D36" s="81">
        <v>2</v>
      </c>
      <c r="E36" s="81">
        <v>3</v>
      </c>
      <c r="F36" s="81">
        <v>4</v>
      </c>
      <c r="G36" s="82">
        <v>5</v>
      </c>
    </row>
    <row r="37" spans="1:7" ht="12.75" x14ac:dyDescent="0.2">
      <c r="B37" s="83" t="s">
        <v>128</v>
      </c>
      <c r="C37" s="84">
        <v>1500</v>
      </c>
      <c r="D37" s="84">
        <v>1000</v>
      </c>
      <c r="E37" s="84">
        <v>750</v>
      </c>
      <c r="F37" s="84">
        <v>500</v>
      </c>
      <c r="G37" s="84">
        <v>500</v>
      </c>
    </row>
    <row r="38" spans="1:7" ht="12.75" x14ac:dyDescent="0.2">
      <c r="B38" s="33" t="s">
        <v>127</v>
      </c>
      <c r="C38" s="35">
        <v>20</v>
      </c>
      <c r="D38" s="35">
        <v>20</v>
      </c>
      <c r="E38" s="35">
        <v>20</v>
      </c>
      <c r="F38" s="35">
        <v>20</v>
      </c>
      <c r="G38" s="35">
        <v>20</v>
      </c>
    </row>
    <row r="39" spans="1:7" ht="12.75" x14ac:dyDescent="0.2">
      <c r="A39" s="75"/>
      <c r="B39" s="33" t="s">
        <v>124</v>
      </c>
      <c r="C39" s="34">
        <v>6000</v>
      </c>
      <c r="D39" s="34">
        <v>10000</v>
      </c>
      <c r="E39" s="34">
        <v>20000</v>
      </c>
      <c r="F39" s="34">
        <v>30000</v>
      </c>
      <c r="G39" s="34">
        <v>33000</v>
      </c>
    </row>
    <row r="40" spans="1:7" ht="12.75" x14ac:dyDescent="0.2">
      <c r="B40" s="33" t="s">
        <v>125</v>
      </c>
      <c r="C40" s="35">
        <v>10</v>
      </c>
      <c r="D40" s="35">
        <v>10</v>
      </c>
      <c r="E40" s="35">
        <v>10</v>
      </c>
      <c r="F40" s="35">
        <v>10</v>
      </c>
      <c r="G40" s="35">
        <v>10</v>
      </c>
    </row>
    <row r="41" spans="1:7" ht="12.75" x14ac:dyDescent="0.2">
      <c r="B41" s="33" t="s">
        <v>70</v>
      </c>
      <c r="C41" s="85">
        <f>0.3*(C39+C37)</f>
        <v>2250</v>
      </c>
      <c r="D41" s="86">
        <f>0.5*C41+0.3*(D39+D37)</f>
        <v>4425</v>
      </c>
      <c r="E41" s="86">
        <f>ROUNDUP(0.5*D41+0.3*(E39+E37),0)</f>
        <v>8438</v>
      </c>
      <c r="F41" s="86">
        <f>ROUNDUP(0.5*E41+0.3*(F39+F37),0)</f>
        <v>13369</v>
      </c>
      <c r="G41" s="86">
        <f>ROUNDUP(0.5*F41+0.3*(G39+G37),0)</f>
        <v>16735</v>
      </c>
    </row>
    <row r="42" spans="1:7" ht="12.75" x14ac:dyDescent="0.2">
      <c r="B42" s="33" t="s">
        <v>126</v>
      </c>
      <c r="C42" s="35">
        <v>5</v>
      </c>
      <c r="D42" s="35">
        <v>5</v>
      </c>
      <c r="E42" s="35">
        <v>5</v>
      </c>
      <c r="F42" s="35">
        <v>5</v>
      </c>
      <c r="G42" s="35">
        <v>5</v>
      </c>
    </row>
    <row r="43" spans="1:7" ht="15.75" customHeight="1" x14ac:dyDescent="0.2">
      <c r="D43" s="73"/>
      <c r="E43" s="73"/>
      <c r="F43" s="73"/>
    </row>
    <row r="45" spans="1:7" ht="12.75" x14ac:dyDescent="0.2">
      <c r="A45" s="110" t="s">
        <v>129</v>
      </c>
      <c r="B45" s="110"/>
      <c r="C45" s="110"/>
      <c r="D45" s="110"/>
      <c r="E45" s="110"/>
      <c r="F45" s="110"/>
      <c r="G45" s="110"/>
    </row>
    <row r="46" spans="1:7" ht="12.75" x14ac:dyDescent="0.2">
      <c r="A46" s="88" t="s">
        <v>123</v>
      </c>
      <c r="B46" s="105" t="s">
        <v>131</v>
      </c>
      <c r="C46" s="88">
        <v>1</v>
      </c>
      <c r="D46" s="88">
        <v>2</v>
      </c>
      <c r="E46" s="88">
        <v>3</v>
      </c>
      <c r="F46" s="88">
        <v>4</v>
      </c>
      <c r="G46" s="82">
        <v>5</v>
      </c>
    </row>
    <row r="47" spans="1:7" ht="12.75" x14ac:dyDescent="0.2">
      <c r="A47" s="103" t="s">
        <v>108</v>
      </c>
      <c r="B47" s="104">
        <v>3</v>
      </c>
      <c r="C47" s="103">
        <v>0</v>
      </c>
      <c r="D47" s="103">
        <v>1700</v>
      </c>
      <c r="E47" s="103">
        <v>0</v>
      </c>
      <c r="F47" s="103">
        <v>2000</v>
      </c>
      <c r="G47" s="103">
        <v>0</v>
      </c>
    </row>
    <row r="48" spans="1:7" ht="12.75" x14ac:dyDescent="0.2">
      <c r="A48" s="117" t="s">
        <v>132</v>
      </c>
      <c r="B48" s="112"/>
      <c r="C48" s="36">
        <f>C47/$B$47</f>
        <v>0</v>
      </c>
      <c r="D48" s="36">
        <f>D47/$B$47</f>
        <v>566.66666666666663</v>
      </c>
      <c r="E48" s="36">
        <f>E47/$B$47</f>
        <v>0</v>
      </c>
      <c r="F48" s="36">
        <f>F47/$B$47</f>
        <v>666.66666666666663</v>
      </c>
      <c r="G48" s="36">
        <f>G47/$B$47</f>
        <v>0</v>
      </c>
    </row>
    <row r="51" spans="2:8" ht="12.75" x14ac:dyDescent="0.2">
      <c r="B51" s="110" t="s">
        <v>130</v>
      </c>
      <c r="C51" s="110"/>
      <c r="D51" s="110"/>
      <c r="E51" s="110"/>
      <c r="F51" s="110"/>
      <c r="G51" s="110"/>
    </row>
    <row r="52" spans="2:8" ht="12.75" x14ac:dyDescent="0.2">
      <c r="B52" s="80" t="s">
        <v>123</v>
      </c>
      <c r="C52" s="81">
        <v>1</v>
      </c>
      <c r="D52" s="81">
        <v>2</v>
      </c>
      <c r="E52" s="81">
        <v>3</v>
      </c>
      <c r="F52" s="81">
        <v>4</v>
      </c>
      <c r="G52" s="82">
        <v>5</v>
      </c>
    </row>
    <row r="53" spans="2:8" ht="12.75" x14ac:dyDescent="0.2">
      <c r="B53" s="78" t="s">
        <v>92</v>
      </c>
      <c r="C53" s="79">
        <f>5*1500</f>
        <v>7500</v>
      </c>
      <c r="D53" s="79">
        <f>5*1500</f>
        <v>7500</v>
      </c>
      <c r="E53" s="79">
        <f>5*1750</f>
        <v>8750</v>
      </c>
      <c r="F53" s="79">
        <f>5*2000</f>
        <v>10000</v>
      </c>
      <c r="G53" s="79">
        <f>5*2200</f>
        <v>11000</v>
      </c>
    </row>
    <row r="54" spans="2:8" ht="12.75" x14ac:dyDescent="0.2">
      <c r="B54" s="37" t="s">
        <v>133</v>
      </c>
      <c r="C54" s="38">
        <v>0</v>
      </c>
      <c r="D54" s="38">
        <v>0</v>
      </c>
      <c r="E54" s="38">
        <v>0</v>
      </c>
      <c r="F54" s="38">
        <v>1800</v>
      </c>
      <c r="G54" s="38">
        <v>1800</v>
      </c>
    </row>
    <row r="55" spans="2:8" ht="12.75" x14ac:dyDescent="0.2">
      <c r="B55" s="37" t="s">
        <v>134</v>
      </c>
      <c r="C55" s="38">
        <v>0</v>
      </c>
      <c r="D55" s="38">
        <v>0</v>
      </c>
      <c r="E55" s="38">
        <v>0</v>
      </c>
      <c r="F55" s="38">
        <v>0</v>
      </c>
      <c r="G55" s="38">
        <v>1000</v>
      </c>
    </row>
    <row r="56" spans="2:8" ht="12.75" x14ac:dyDescent="0.2">
      <c r="B56" s="39" t="s">
        <v>140</v>
      </c>
      <c r="C56" s="40">
        <f>SUM(C53:C55)</f>
        <v>7500</v>
      </c>
      <c r="D56" s="40">
        <f>SUM(D53:D55)</f>
        <v>7500</v>
      </c>
      <c r="E56" s="40">
        <f>SUM(E53:E55)</f>
        <v>8750</v>
      </c>
      <c r="F56" s="40">
        <f>SUM(F53:F55)</f>
        <v>11800</v>
      </c>
      <c r="G56" s="40">
        <f>SUM(G53:G55)</f>
        <v>13800</v>
      </c>
    </row>
    <row r="57" spans="2:8" ht="12.75" x14ac:dyDescent="0.2">
      <c r="C57" s="76"/>
      <c r="E57" s="15"/>
    </row>
    <row r="63" spans="2:8" ht="12.75" x14ac:dyDescent="0.2">
      <c r="H63" s="1"/>
    </row>
  </sheetData>
  <mergeCells count="25">
    <mergeCell ref="A4:B4"/>
    <mergeCell ref="A25:B25"/>
    <mergeCell ref="A3:B3"/>
    <mergeCell ref="A1:G1"/>
    <mergeCell ref="A5:B5"/>
    <mergeCell ref="A7:B7"/>
    <mergeCell ref="A8:B8"/>
    <mergeCell ref="A9:A17"/>
    <mergeCell ref="A6:B6"/>
    <mergeCell ref="A18:B18"/>
    <mergeCell ref="A22:B22"/>
    <mergeCell ref="A21:B21"/>
    <mergeCell ref="A23:B23"/>
    <mergeCell ref="A19:B19"/>
    <mergeCell ref="A20:B20"/>
    <mergeCell ref="B51:G51"/>
    <mergeCell ref="A26:B26"/>
    <mergeCell ref="A33:G33"/>
    <mergeCell ref="A29:B29"/>
    <mergeCell ref="A24:B24"/>
    <mergeCell ref="A45:G45"/>
    <mergeCell ref="A28:B28"/>
    <mergeCell ref="A27:B27"/>
    <mergeCell ref="B35:G35"/>
    <mergeCell ref="A48:B48"/>
  </mergeCells>
  <hyperlinks>
    <hyperlink ref="I10" r:id="rId1" xr:uid="{FE2CC4F6-FCC5-42B5-ACFA-11C973A8D734}"/>
  </hyperlink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7"/>
  <sheetViews>
    <sheetView workbookViewId="0">
      <selection activeCell="I1" sqref="I1"/>
    </sheetView>
  </sheetViews>
  <sheetFormatPr baseColWidth="10" defaultColWidth="14.42578125" defaultRowHeight="15.75" customHeight="1" x14ac:dyDescent="0.2"/>
  <sheetData>
    <row r="1" spans="1:9" ht="15.75" customHeight="1" x14ac:dyDescent="0.2">
      <c r="A1" s="1" t="s">
        <v>0</v>
      </c>
      <c r="B1" s="1"/>
      <c r="D1" s="1" t="s">
        <v>1</v>
      </c>
      <c r="G1" s="2">
        <v>19400</v>
      </c>
      <c r="H1" s="2" t="s">
        <v>2</v>
      </c>
      <c r="I1" s="1" t="s">
        <v>3</v>
      </c>
    </row>
    <row r="2" spans="1:9" ht="15.75" customHeight="1" x14ac:dyDescent="0.2">
      <c r="D2" s="1" t="s">
        <v>4</v>
      </c>
      <c r="G2" s="2">
        <v>429000</v>
      </c>
      <c r="H2" s="2" t="s">
        <v>5</v>
      </c>
      <c r="I2" s="1" t="s">
        <v>6</v>
      </c>
    </row>
    <row r="5" spans="1:9" ht="15.75" customHeight="1" x14ac:dyDescent="0.2">
      <c r="A5" s="1" t="s">
        <v>7</v>
      </c>
      <c r="B5" s="1"/>
      <c r="C5" s="1" t="s">
        <v>8</v>
      </c>
    </row>
    <row r="6" spans="1:9" ht="15.75" customHeight="1" x14ac:dyDescent="0.2">
      <c r="C6" s="1" t="s">
        <v>9</v>
      </c>
    </row>
    <row r="10" spans="1:9" ht="15.75" customHeight="1" x14ac:dyDescent="0.2">
      <c r="A10" s="1" t="s">
        <v>10</v>
      </c>
      <c r="B10" s="1"/>
      <c r="G10" s="2" t="s">
        <v>11</v>
      </c>
    </row>
    <row r="12" spans="1:9" ht="15.75" customHeight="1" x14ac:dyDescent="0.2">
      <c r="A12" s="1" t="s">
        <v>12</v>
      </c>
      <c r="B12" s="1"/>
      <c r="E12" s="2" t="s">
        <v>14</v>
      </c>
    </row>
    <row r="14" spans="1:9" ht="15.75" customHeight="1" x14ac:dyDescent="0.2">
      <c r="A14" s="1" t="s">
        <v>16</v>
      </c>
      <c r="B14" s="1"/>
    </row>
    <row r="15" spans="1:9" ht="15.75" customHeight="1" x14ac:dyDescent="0.2">
      <c r="A15" s="1" t="s">
        <v>17</v>
      </c>
      <c r="B15" s="1"/>
      <c r="C15" s="1" t="s">
        <v>18</v>
      </c>
      <c r="D15" s="1" t="s">
        <v>19</v>
      </c>
    </row>
    <row r="16" spans="1:9" ht="15.75" customHeight="1" x14ac:dyDescent="0.2">
      <c r="A16" s="1" t="s">
        <v>20</v>
      </c>
      <c r="B16" s="1"/>
      <c r="C16" s="4" t="s">
        <v>3</v>
      </c>
    </row>
    <row r="17" spans="1:6" ht="15.75" customHeight="1" x14ac:dyDescent="0.2">
      <c r="C17" s="1" t="s">
        <v>21</v>
      </c>
    </row>
    <row r="18" spans="1:6" ht="15.75" customHeight="1" x14ac:dyDescent="0.2">
      <c r="C18" s="4" t="s">
        <v>22</v>
      </c>
    </row>
    <row r="20" spans="1:6" ht="15.75" customHeight="1" x14ac:dyDescent="0.2">
      <c r="A20" s="1" t="s">
        <v>23</v>
      </c>
      <c r="B20" s="1"/>
    </row>
    <row r="21" spans="1:6" ht="15.75" customHeight="1" x14ac:dyDescent="0.2">
      <c r="A21" s="1" t="s">
        <v>24</v>
      </c>
      <c r="B21" s="1"/>
      <c r="D21" s="1" t="s">
        <v>25</v>
      </c>
      <c r="F21" s="1" t="s">
        <v>26</v>
      </c>
    </row>
    <row r="22" spans="1:6" ht="15.75" customHeight="1" x14ac:dyDescent="0.2">
      <c r="A22" s="1" t="s">
        <v>27</v>
      </c>
      <c r="B22" s="1"/>
    </row>
    <row r="25" spans="1:6" ht="12.75" x14ac:dyDescent="0.2">
      <c r="A25" s="119" t="s">
        <v>15</v>
      </c>
      <c r="B25" s="112"/>
      <c r="C25" s="5">
        <v>1</v>
      </c>
      <c r="D25" s="5">
        <v>2</v>
      </c>
      <c r="E25" s="5">
        <v>3</v>
      </c>
      <c r="F25" s="5">
        <v>4</v>
      </c>
    </row>
    <row r="26" spans="1:6" ht="12.75" x14ac:dyDescent="0.2">
      <c r="A26" s="124" t="s">
        <v>28</v>
      </c>
      <c r="B26" s="112"/>
      <c r="C26" s="6">
        <v>52500</v>
      </c>
      <c r="D26" s="6">
        <v>200000</v>
      </c>
      <c r="E26" s="6">
        <v>350000</v>
      </c>
      <c r="F26" s="6">
        <v>475000</v>
      </c>
    </row>
    <row r="27" spans="1:6" ht="12.75" x14ac:dyDescent="0.2">
      <c r="A27" s="124" t="s">
        <v>29</v>
      </c>
      <c r="B27" s="112"/>
      <c r="C27" s="6">
        <v>-152531.49</v>
      </c>
      <c r="D27" s="6">
        <v>-84028.171428571441</v>
      </c>
      <c r="E27" s="6">
        <v>-16748.971428571444</v>
      </c>
      <c r="F27" s="6">
        <v>21244.827142857132</v>
      </c>
    </row>
  </sheetData>
  <mergeCells count="3">
    <mergeCell ref="A27:B27"/>
    <mergeCell ref="A26:B26"/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T52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BY24" sqref="BY24"/>
    </sheetView>
  </sheetViews>
  <sheetFormatPr baseColWidth="10" defaultColWidth="14.42578125" defaultRowHeight="15.75" customHeight="1" x14ac:dyDescent="0.2"/>
  <cols>
    <col min="1" max="1" width="19.5703125" customWidth="1"/>
    <col min="2" max="2" width="33.28515625" customWidth="1"/>
    <col min="3" max="3" width="29.5703125" customWidth="1"/>
  </cols>
  <sheetData>
    <row r="1" spans="1:63" ht="18" x14ac:dyDescent="0.25">
      <c r="A1" s="113" t="s">
        <v>65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</row>
    <row r="3" spans="1:63" ht="15.75" customHeight="1" x14ac:dyDescent="0.2">
      <c r="B3" s="130" t="s">
        <v>101</v>
      </c>
      <c r="C3" s="41" t="s">
        <v>102</v>
      </c>
      <c r="D3" s="44">
        <v>82</v>
      </c>
      <c r="E3" s="44">
        <f>82+D3</f>
        <v>164</v>
      </c>
      <c r="F3" s="44">
        <f t="shared" ref="F3:N3" si="0">82+E3</f>
        <v>246</v>
      </c>
      <c r="G3" s="44">
        <f t="shared" si="0"/>
        <v>328</v>
      </c>
      <c r="H3" s="44">
        <f t="shared" si="0"/>
        <v>410</v>
      </c>
      <c r="I3" s="44">
        <f t="shared" si="0"/>
        <v>492</v>
      </c>
      <c r="J3" s="44">
        <f t="shared" si="0"/>
        <v>574</v>
      </c>
      <c r="K3" s="44">
        <f t="shared" si="0"/>
        <v>656</v>
      </c>
      <c r="L3" s="44">
        <f t="shared" si="0"/>
        <v>738</v>
      </c>
      <c r="M3" s="44">
        <f t="shared" si="0"/>
        <v>820</v>
      </c>
      <c r="N3" s="44">
        <f t="shared" si="0"/>
        <v>902</v>
      </c>
      <c r="O3" s="44">
        <f>6000-SUM(D3:N3)</f>
        <v>588</v>
      </c>
      <c r="P3" s="45">
        <v>135</v>
      </c>
      <c r="Q3" s="45">
        <f>P3+135</f>
        <v>270</v>
      </c>
      <c r="R3" s="45">
        <f t="shared" ref="R3:X3" si="1">Q3+135</f>
        <v>405</v>
      </c>
      <c r="S3" s="45">
        <f t="shared" si="1"/>
        <v>540</v>
      </c>
      <c r="T3" s="45">
        <f t="shared" si="1"/>
        <v>675</v>
      </c>
      <c r="U3" s="45">
        <f t="shared" si="1"/>
        <v>810</v>
      </c>
      <c r="V3" s="45">
        <f t="shared" si="1"/>
        <v>945</v>
      </c>
      <c r="W3" s="45">
        <f t="shared" si="1"/>
        <v>1080</v>
      </c>
      <c r="X3" s="45">
        <f t="shared" si="1"/>
        <v>1215</v>
      </c>
      <c r="Y3" s="45">
        <v>1300</v>
      </c>
      <c r="Z3" s="45">
        <v>1310</v>
      </c>
      <c r="AA3" s="45">
        <f>10000-SUM(P3:Z3)</f>
        <v>1315</v>
      </c>
      <c r="AB3" s="44">
        <f>ROUNDUP('Compte de Résultat'!E39/12,0)</f>
        <v>1667</v>
      </c>
      <c r="AC3" s="44">
        <f>AB3</f>
        <v>1667</v>
      </c>
      <c r="AD3" s="44">
        <f t="shared" ref="AD3:AL3" si="2">AC3</f>
        <v>1667</v>
      </c>
      <c r="AE3" s="44">
        <f t="shared" si="2"/>
        <v>1667</v>
      </c>
      <c r="AF3" s="44">
        <f t="shared" si="2"/>
        <v>1667</v>
      </c>
      <c r="AG3" s="44">
        <f t="shared" si="2"/>
        <v>1667</v>
      </c>
      <c r="AH3" s="44">
        <f t="shared" si="2"/>
        <v>1667</v>
      </c>
      <c r="AI3" s="44">
        <f t="shared" si="2"/>
        <v>1667</v>
      </c>
      <c r="AJ3" s="44">
        <f t="shared" si="2"/>
        <v>1667</v>
      </c>
      <c r="AK3" s="44">
        <f t="shared" si="2"/>
        <v>1667</v>
      </c>
      <c r="AL3" s="44">
        <f t="shared" si="2"/>
        <v>1667</v>
      </c>
      <c r="AM3" s="94">
        <f>'Compte de Résultat'!E39-SUM(Trésorerie!AB3:AL3)</f>
        <v>1663</v>
      </c>
      <c r="AN3" s="45">
        <f>ROUNDUP('Compte de Résultat'!F39/12,0)</f>
        <v>2500</v>
      </c>
      <c r="AO3" s="45">
        <f>AN3</f>
        <v>2500</v>
      </c>
      <c r="AP3" s="45">
        <f t="shared" ref="AP3:AX3" si="3">AO3</f>
        <v>2500</v>
      </c>
      <c r="AQ3" s="45">
        <f t="shared" si="3"/>
        <v>2500</v>
      </c>
      <c r="AR3" s="45">
        <f t="shared" si="3"/>
        <v>2500</v>
      </c>
      <c r="AS3" s="45">
        <f t="shared" si="3"/>
        <v>2500</v>
      </c>
      <c r="AT3" s="45">
        <f t="shared" si="3"/>
        <v>2500</v>
      </c>
      <c r="AU3" s="45">
        <f t="shared" si="3"/>
        <v>2500</v>
      </c>
      <c r="AV3" s="45">
        <f t="shared" si="3"/>
        <v>2500</v>
      </c>
      <c r="AW3" s="45">
        <f t="shared" si="3"/>
        <v>2500</v>
      </c>
      <c r="AX3" s="45">
        <f t="shared" si="3"/>
        <v>2500</v>
      </c>
      <c r="AY3" s="93">
        <f>'Compte de Résultat'!F39-SUM(Trésorerie!AN3:AX3)</f>
        <v>2500</v>
      </c>
      <c r="AZ3" s="90">
        <f>ROUNDUP('Compte de Résultat'!G39/12,0)</f>
        <v>2750</v>
      </c>
      <c r="BA3">
        <f>AZ3</f>
        <v>2750</v>
      </c>
      <c r="BB3" s="73">
        <f t="shared" ref="BB3:BJ3" si="4">BA3</f>
        <v>2750</v>
      </c>
      <c r="BC3" s="73">
        <f t="shared" si="4"/>
        <v>2750</v>
      </c>
      <c r="BD3" s="73">
        <f t="shared" si="4"/>
        <v>2750</v>
      </c>
      <c r="BE3" s="73">
        <f t="shared" si="4"/>
        <v>2750</v>
      </c>
      <c r="BF3" s="73">
        <f t="shared" si="4"/>
        <v>2750</v>
      </c>
      <c r="BG3" s="73">
        <f t="shared" si="4"/>
        <v>2750</v>
      </c>
      <c r="BH3" s="73">
        <f t="shared" si="4"/>
        <v>2750</v>
      </c>
      <c r="BI3" s="73">
        <f t="shared" si="4"/>
        <v>2750</v>
      </c>
      <c r="BJ3" s="73">
        <f t="shared" si="4"/>
        <v>2750</v>
      </c>
      <c r="BK3" s="95">
        <f>'Compte de Résultat'!G39-SUM(Trésorerie!AZ3:BJ3)</f>
        <v>2750</v>
      </c>
    </row>
    <row r="4" spans="1:63" ht="15.75" customHeight="1" x14ac:dyDescent="0.2">
      <c r="B4" s="130"/>
      <c r="C4" s="41" t="s">
        <v>71</v>
      </c>
      <c r="D4" s="44">
        <v>994</v>
      </c>
      <c r="E4" s="44">
        <f>506/11</f>
        <v>46</v>
      </c>
      <c r="F4" s="44">
        <f t="shared" ref="F4:O4" si="5">506/11</f>
        <v>46</v>
      </c>
      <c r="G4" s="44">
        <f t="shared" si="5"/>
        <v>46</v>
      </c>
      <c r="H4" s="44">
        <f t="shared" si="5"/>
        <v>46</v>
      </c>
      <c r="I4" s="44">
        <f t="shared" si="5"/>
        <v>46</v>
      </c>
      <c r="J4" s="44">
        <f t="shared" si="5"/>
        <v>46</v>
      </c>
      <c r="K4" s="44">
        <f t="shared" si="5"/>
        <v>46</v>
      </c>
      <c r="L4" s="44">
        <f t="shared" si="5"/>
        <v>46</v>
      </c>
      <c r="M4" s="44">
        <f t="shared" si="5"/>
        <v>46</v>
      </c>
      <c r="N4" s="44">
        <f t="shared" si="5"/>
        <v>46</v>
      </c>
      <c r="O4" s="44">
        <f t="shared" si="5"/>
        <v>46</v>
      </c>
      <c r="P4" s="93">
        <f>ROUNDUP('Compte de Résultat'!D37/12,0)</f>
        <v>84</v>
      </c>
      <c r="Q4" s="93">
        <f>P4</f>
        <v>84</v>
      </c>
      <c r="R4" s="93">
        <f t="shared" ref="R4:Z4" si="6">Q4</f>
        <v>84</v>
      </c>
      <c r="S4" s="93">
        <f t="shared" si="6"/>
        <v>84</v>
      </c>
      <c r="T4" s="93">
        <f t="shared" si="6"/>
        <v>84</v>
      </c>
      <c r="U4" s="93">
        <f t="shared" si="6"/>
        <v>84</v>
      </c>
      <c r="V4" s="93">
        <f t="shared" si="6"/>
        <v>84</v>
      </c>
      <c r="W4" s="93">
        <f t="shared" si="6"/>
        <v>84</v>
      </c>
      <c r="X4" s="93">
        <f t="shared" si="6"/>
        <v>84</v>
      </c>
      <c r="Y4" s="93">
        <f t="shared" si="6"/>
        <v>84</v>
      </c>
      <c r="Z4" s="93">
        <f t="shared" si="6"/>
        <v>84</v>
      </c>
      <c r="AA4" s="93">
        <f>'Compte de Résultat'!D37-SUM(Trésorerie!P4:Z4)</f>
        <v>76</v>
      </c>
      <c r="AB4" s="44">
        <f>ROUNDUP('Compte de Résultat'!E37/12,0)</f>
        <v>63</v>
      </c>
      <c r="AC4" s="44">
        <f>AB4</f>
        <v>63</v>
      </c>
      <c r="AD4" s="44">
        <f t="shared" ref="AD4:AL4" si="7">AC4</f>
        <v>63</v>
      </c>
      <c r="AE4" s="44">
        <f t="shared" si="7"/>
        <v>63</v>
      </c>
      <c r="AF4" s="44">
        <f t="shared" si="7"/>
        <v>63</v>
      </c>
      <c r="AG4" s="44">
        <f t="shared" si="7"/>
        <v>63</v>
      </c>
      <c r="AH4" s="44">
        <f t="shared" si="7"/>
        <v>63</v>
      </c>
      <c r="AI4" s="44">
        <f t="shared" si="7"/>
        <v>63</v>
      </c>
      <c r="AJ4" s="44">
        <f t="shared" si="7"/>
        <v>63</v>
      </c>
      <c r="AK4" s="44">
        <f t="shared" si="7"/>
        <v>63</v>
      </c>
      <c r="AL4" s="44">
        <f t="shared" si="7"/>
        <v>63</v>
      </c>
      <c r="AM4" s="94">
        <f>'Compte de Résultat'!E37-SUM(Trésorerie!AB4:AL4)</f>
        <v>57</v>
      </c>
      <c r="AN4" s="45">
        <f>ROUNDUP('Compte de Résultat'!F37/12,0)</f>
        <v>42</v>
      </c>
      <c r="AO4" s="45">
        <f>AN4</f>
        <v>42</v>
      </c>
      <c r="AP4" s="45">
        <f t="shared" ref="AP4:AX4" si="8">AO4</f>
        <v>42</v>
      </c>
      <c r="AQ4" s="45">
        <f t="shared" si="8"/>
        <v>42</v>
      </c>
      <c r="AR4" s="45">
        <f t="shared" si="8"/>
        <v>42</v>
      </c>
      <c r="AS4" s="45">
        <f t="shared" si="8"/>
        <v>42</v>
      </c>
      <c r="AT4" s="45">
        <f t="shared" si="8"/>
        <v>42</v>
      </c>
      <c r="AU4" s="45">
        <f t="shared" si="8"/>
        <v>42</v>
      </c>
      <c r="AV4" s="45">
        <f t="shared" si="8"/>
        <v>42</v>
      </c>
      <c r="AW4" s="45">
        <f t="shared" si="8"/>
        <v>42</v>
      </c>
      <c r="AX4" s="45">
        <f t="shared" si="8"/>
        <v>42</v>
      </c>
      <c r="AY4" s="93">
        <f>'Compte de Résultat'!F37-SUM(Trésorerie!AN4:AX4)</f>
        <v>38</v>
      </c>
      <c r="AZ4" s="90">
        <f>ROUNDUP('Compte de Résultat'!G37/12,0)</f>
        <v>42</v>
      </c>
      <c r="BA4" s="73">
        <f t="shared" ref="BA4:BJ5" si="9">AZ4</f>
        <v>42</v>
      </c>
      <c r="BB4" s="73">
        <f t="shared" si="9"/>
        <v>42</v>
      </c>
      <c r="BC4" s="73">
        <f t="shared" si="9"/>
        <v>42</v>
      </c>
      <c r="BD4" s="73">
        <f t="shared" si="9"/>
        <v>42</v>
      </c>
      <c r="BE4" s="73">
        <f t="shared" si="9"/>
        <v>42</v>
      </c>
      <c r="BF4" s="73">
        <f t="shared" si="9"/>
        <v>42</v>
      </c>
      <c r="BG4" s="73">
        <f t="shared" si="9"/>
        <v>42</v>
      </c>
      <c r="BH4" s="73">
        <f t="shared" si="9"/>
        <v>42</v>
      </c>
      <c r="BI4" s="73">
        <f t="shared" si="9"/>
        <v>42</v>
      </c>
      <c r="BJ4" s="73">
        <f t="shared" si="9"/>
        <v>42</v>
      </c>
      <c r="BK4" s="95">
        <f>'Compte de Résultat'!G37-SUM(Trésorerie!AZ4:BJ4)</f>
        <v>38</v>
      </c>
    </row>
    <row r="5" spans="1:63" ht="15.75" customHeight="1" x14ac:dyDescent="0.2">
      <c r="B5" s="130"/>
      <c r="C5" s="41" t="s">
        <v>70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f>'Compte de Résultat'!$C$41/6</f>
        <v>375</v>
      </c>
      <c r="K5" s="44">
        <f>'Compte de Résultat'!$C$41/6</f>
        <v>375</v>
      </c>
      <c r="L5" s="44">
        <f>'Compte de Résultat'!$C$41/6</f>
        <v>375</v>
      </c>
      <c r="M5" s="44">
        <f>'Compte de Résultat'!$C$41/6</f>
        <v>375</v>
      </c>
      <c r="N5" s="44">
        <f>'Compte de Résultat'!$C$41/6</f>
        <v>375</v>
      </c>
      <c r="O5" s="44">
        <f>'Compte de Résultat'!$C$41/6</f>
        <v>375</v>
      </c>
      <c r="P5" s="43">
        <f>ROUNDUP('Compte de Résultat'!D41/12,0)</f>
        <v>369</v>
      </c>
      <c r="Q5" s="43">
        <f>P5</f>
        <v>369</v>
      </c>
      <c r="R5" s="43">
        <f t="shared" ref="R5:Z5" si="10">Q5</f>
        <v>369</v>
      </c>
      <c r="S5" s="43">
        <f t="shared" si="10"/>
        <v>369</v>
      </c>
      <c r="T5" s="43">
        <f t="shared" si="10"/>
        <v>369</v>
      </c>
      <c r="U5" s="43">
        <f t="shared" si="10"/>
        <v>369</v>
      </c>
      <c r="V5" s="43">
        <f t="shared" si="10"/>
        <v>369</v>
      </c>
      <c r="W5" s="43">
        <f t="shared" si="10"/>
        <v>369</v>
      </c>
      <c r="X5" s="43">
        <f t="shared" si="10"/>
        <v>369</v>
      </c>
      <c r="Y5" s="43">
        <f t="shared" si="10"/>
        <v>369</v>
      </c>
      <c r="Z5" s="43">
        <f t="shared" si="10"/>
        <v>369</v>
      </c>
      <c r="AA5" s="43">
        <f>'Compte de Résultat'!D41-SUM(Trésorerie!P5:Z5)</f>
        <v>366</v>
      </c>
      <c r="AB5" s="42">
        <f>ROUNDUP('Compte de Résultat'!E41/12,0)</f>
        <v>704</v>
      </c>
      <c r="AC5" s="42">
        <f>AB5</f>
        <v>704</v>
      </c>
      <c r="AD5" s="42">
        <f t="shared" ref="AD5:AL5" si="11">AC5</f>
        <v>704</v>
      </c>
      <c r="AE5" s="42">
        <f t="shared" si="11"/>
        <v>704</v>
      </c>
      <c r="AF5" s="42">
        <f t="shared" si="11"/>
        <v>704</v>
      </c>
      <c r="AG5" s="42">
        <f t="shared" si="11"/>
        <v>704</v>
      </c>
      <c r="AH5" s="42">
        <f t="shared" si="11"/>
        <v>704</v>
      </c>
      <c r="AI5" s="42">
        <f t="shared" si="11"/>
        <v>704</v>
      </c>
      <c r="AJ5" s="42">
        <f t="shared" si="11"/>
        <v>704</v>
      </c>
      <c r="AK5" s="42">
        <f t="shared" si="11"/>
        <v>704</v>
      </c>
      <c r="AL5" s="42">
        <f t="shared" si="11"/>
        <v>704</v>
      </c>
      <c r="AM5" s="94">
        <f>'Compte de Résultat'!E41-SUM(Trésorerie!AB5:AL5)</f>
        <v>694</v>
      </c>
      <c r="AN5" s="45">
        <f>ROUNDUP('Compte de Résultat'!F41/12,0)</f>
        <v>1115</v>
      </c>
      <c r="AO5" s="45">
        <f>AN5</f>
        <v>1115</v>
      </c>
      <c r="AP5" s="45">
        <f t="shared" ref="AP5:AX5" si="12">AO5</f>
        <v>1115</v>
      </c>
      <c r="AQ5" s="45">
        <f t="shared" si="12"/>
        <v>1115</v>
      </c>
      <c r="AR5" s="45">
        <f t="shared" si="12"/>
        <v>1115</v>
      </c>
      <c r="AS5" s="45">
        <f t="shared" si="12"/>
        <v>1115</v>
      </c>
      <c r="AT5" s="45">
        <f t="shared" si="12"/>
        <v>1115</v>
      </c>
      <c r="AU5" s="45">
        <f t="shared" si="12"/>
        <v>1115</v>
      </c>
      <c r="AV5" s="45">
        <f t="shared" si="12"/>
        <v>1115</v>
      </c>
      <c r="AW5" s="45">
        <f t="shared" si="12"/>
        <v>1115</v>
      </c>
      <c r="AX5" s="45">
        <f t="shared" si="12"/>
        <v>1115</v>
      </c>
      <c r="AY5" s="45">
        <f>'Compte de Résultat'!F41-SUM(Trésorerie!AN5:AX5)</f>
        <v>1104</v>
      </c>
      <c r="AZ5" s="90">
        <f>ROUNDUP('Compte de Résultat'!G41/12,0)</f>
        <v>1395</v>
      </c>
      <c r="BA5" s="73">
        <f t="shared" si="9"/>
        <v>1395</v>
      </c>
      <c r="BB5" s="73">
        <f t="shared" si="9"/>
        <v>1395</v>
      </c>
      <c r="BC5" s="73">
        <f t="shared" si="9"/>
        <v>1395</v>
      </c>
      <c r="BD5" s="73">
        <f t="shared" si="9"/>
        <v>1395</v>
      </c>
      <c r="BE5" s="73">
        <f t="shared" si="9"/>
        <v>1395</v>
      </c>
      <c r="BF5" s="73">
        <f t="shared" si="9"/>
        <v>1395</v>
      </c>
      <c r="BG5" s="73">
        <f t="shared" si="9"/>
        <v>1395</v>
      </c>
      <c r="BH5" s="73">
        <f t="shared" si="9"/>
        <v>1395</v>
      </c>
      <c r="BI5" s="73">
        <f t="shared" si="9"/>
        <v>1395</v>
      </c>
      <c r="BJ5" s="73">
        <f t="shared" si="9"/>
        <v>1395</v>
      </c>
      <c r="BK5" s="73">
        <f>'Compte de Résultat'!G41-SUM(Trésorerie!AZ5:BJ5)</f>
        <v>1390</v>
      </c>
    </row>
    <row r="7" spans="1:63" ht="15.75" customHeight="1" x14ac:dyDescent="0.2">
      <c r="A7" s="90"/>
      <c r="B7" s="91"/>
      <c r="C7" s="46" t="s">
        <v>72</v>
      </c>
      <c r="D7" s="92">
        <f>'Compte de Résultat'!C40</f>
        <v>10</v>
      </c>
      <c r="O7" s="99"/>
      <c r="P7" s="100"/>
      <c r="Q7" s="99"/>
      <c r="AB7" s="100"/>
      <c r="AC7" s="99"/>
      <c r="AN7" s="100"/>
      <c r="AO7" s="99"/>
    </row>
    <row r="8" spans="1:63" ht="15.75" customHeight="1" x14ac:dyDescent="0.2">
      <c r="A8" s="90"/>
      <c r="B8" s="91"/>
      <c r="C8" s="46" t="s">
        <v>73</v>
      </c>
      <c r="D8" s="92">
        <f>'Compte de Résultat'!C38</f>
        <v>20</v>
      </c>
      <c r="E8" s="106"/>
      <c r="O8" s="99"/>
      <c r="P8" s="101"/>
      <c r="Q8" s="99"/>
      <c r="AB8" s="102"/>
      <c r="AC8" s="99"/>
      <c r="AN8" s="102"/>
      <c r="AO8" s="99"/>
    </row>
    <row r="9" spans="1:63" ht="15.75" customHeight="1" x14ac:dyDescent="0.2">
      <c r="A9" s="90"/>
      <c r="B9" s="91"/>
      <c r="C9" s="46" t="s">
        <v>74</v>
      </c>
      <c r="D9" s="35">
        <f>'Compte de Résultat'!C42</f>
        <v>5</v>
      </c>
      <c r="O9" s="99"/>
      <c r="P9" s="100"/>
      <c r="Q9" s="99"/>
      <c r="AB9" s="100"/>
      <c r="AC9" s="99"/>
      <c r="AN9" s="100"/>
      <c r="AO9" s="99"/>
    </row>
    <row r="10" spans="1:63" ht="15.75" customHeight="1" x14ac:dyDescent="0.2">
      <c r="O10" s="99"/>
      <c r="P10" s="99"/>
      <c r="Q10" s="99"/>
    </row>
    <row r="11" spans="1:63" ht="18" x14ac:dyDescent="0.25">
      <c r="A11" s="113" t="s">
        <v>66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3" spans="1:63" ht="15.75" customHeight="1" x14ac:dyDescent="0.2">
      <c r="A13" s="119" t="s">
        <v>75</v>
      </c>
      <c r="B13" s="128"/>
      <c r="C13" s="112"/>
      <c r="D13" s="47">
        <v>1</v>
      </c>
      <c r="E13" s="47">
        <v>2</v>
      </c>
      <c r="F13" s="47">
        <v>3</v>
      </c>
      <c r="G13" s="47">
        <v>4</v>
      </c>
      <c r="H13" s="47">
        <v>5</v>
      </c>
      <c r="I13" s="47">
        <v>6</v>
      </c>
      <c r="J13" s="47">
        <v>7</v>
      </c>
      <c r="K13" s="47">
        <v>8</v>
      </c>
      <c r="L13" s="47">
        <v>9</v>
      </c>
      <c r="M13" s="47">
        <v>10</v>
      </c>
      <c r="N13" s="47">
        <v>11</v>
      </c>
      <c r="O13" s="47">
        <v>12</v>
      </c>
      <c r="P13" s="47">
        <v>13</v>
      </c>
      <c r="Q13" s="47">
        <v>14</v>
      </c>
      <c r="R13" s="47">
        <v>15</v>
      </c>
      <c r="S13" s="47">
        <v>16</v>
      </c>
      <c r="T13" s="47">
        <v>17</v>
      </c>
      <c r="U13" s="47">
        <v>18</v>
      </c>
      <c r="V13" s="47">
        <v>19</v>
      </c>
      <c r="W13" s="47">
        <v>20</v>
      </c>
      <c r="X13" s="47">
        <v>21</v>
      </c>
      <c r="Y13" s="47">
        <v>22</v>
      </c>
      <c r="Z13" s="47">
        <v>23</v>
      </c>
      <c r="AA13" s="47">
        <v>24</v>
      </c>
      <c r="AB13" s="47">
        <v>25</v>
      </c>
      <c r="AC13" s="47">
        <v>26</v>
      </c>
      <c r="AD13" s="47">
        <v>27</v>
      </c>
      <c r="AE13" s="47">
        <v>28</v>
      </c>
      <c r="AF13" s="47">
        <v>29</v>
      </c>
      <c r="AG13" s="47">
        <v>30</v>
      </c>
      <c r="AH13" s="47">
        <v>31</v>
      </c>
      <c r="AI13" s="47">
        <v>32</v>
      </c>
      <c r="AJ13" s="47">
        <v>33</v>
      </c>
      <c r="AK13" s="47">
        <v>34</v>
      </c>
      <c r="AL13" s="47">
        <v>35</v>
      </c>
      <c r="AM13" s="47">
        <v>36</v>
      </c>
      <c r="AN13" s="47">
        <v>37</v>
      </c>
      <c r="AO13" s="47">
        <v>38</v>
      </c>
      <c r="AP13" s="47">
        <v>39</v>
      </c>
      <c r="AQ13" s="47">
        <v>40</v>
      </c>
      <c r="AR13" s="47">
        <v>41</v>
      </c>
      <c r="AS13" s="47">
        <v>42</v>
      </c>
      <c r="AT13" s="47">
        <v>43</v>
      </c>
      <c r="AU13" s="47">
        <v>44</v>
      </c>
      <c r="AV13" s="47">
        <v>45</v>
      </c>
      <c r="AW13" s="47">
        <v>46</v>
      </c>
      <c r="AX13" s="47">
        <v>47</v>
      </c>
      <c r="AY13" s="47">
        <v>48</v>
      </c>
      <c r="AZ13" s="47">
        <v>49</v>
      </c>
      <c r="BA13" s="47">
        <v>50</v>
      </c>
      <c r="BB13" s="47">
        <v>51</v>
      </c>
      <c r="BC13" s="47">
        <v>52</v>
      </c>
      <c r="BD13" s="47">
        <v>53</v>
      </c>
      <c r="BE13" s="47">
        <v>54</v>
      </c>
      <c r="BF13" s="47">
        <v>55</v>
      </c>
      <c r="BG13" s="47">
        <v>56</v>
      </c>
      <c r="BH13" s="47">
        <v>57</v>
      </c>
      <c r="BI13" s="47">
        <v>58</v>
      </c>
      <c r="BJ13" s="47">
        <v>59</v>
      </c>
      <c r="BK13" s="47">
        <v>60</v>
      </c>
    </row>
    <row r="14" spans="1:63" ht="15.75" customHeight="1" x14ac:dyDescent="0.2">
      <c r="A14" s="116" t="s">
        <v>103</v>
      </c>
      <c r="B14" s="128"/>
      <c r="C14" s="112"/>
      <c r="D14" s="48">
        <v>0</v>
      </c>
      <c r="E14" s="49">
        <f t="shared" ref="E14:AY14" si="13">D42</f>
        <v>116450.625</v>
      </c>
      <c r="F14" s="49">
        <f t="shared" si="13"/>
        <v>105446.25</v>
      </c>
      <c r="G14" s="49">
        <f t="shared" si="13"/>
        <v>95261.875</v>
      </c>
      <c r="H14" s="49">
        <f t="shared" si="13"/>
        <v>85897.5</v>
      </c>
      <c r="I14" s="49">
        <f t="shared" si="13"/>
        <v>77353.125</v>
      </c>
      <c r="J14" s="49">
        <f t="shared" si="13"/>
        <v>69628.75</v>
      </c>
      <c r="K14" s="49">
        <f t="shared" si="13"/>
        <v>64599.375</v>
      </c>
      <c r="L14" s="49">
        <f t="shared" si="13"/>
        <v>60390</v>
      </c>
      <c r="M14" s="49">
        <f t="shared" si="13"/>
        <v>57000.625</v>
      </c>
      <c r="N14" s="49">
        <f t="shared" si="13"/>
        <v>54431.25</v>
      </c>
      <c r="O14" s="49">
        <f t="shared" si="13"/>
        <v>52681.875</v>
      </c>
      <c r="P14" s="49">
        <f t="shared" si="13"/>
        <v>47792.5</v>
      </c>
      <c r="Q14" s="49">
        <f t="shared" si="13"/>
        <v>36320.760416666664</v>
      </c>
      <c r="R14" s="49">
        <f t="shared" si="13"/>
        <v>27899.020833333328</v>
      </c>
      <c r="S14" s="49">
        <f t="shared" si="13"/>
        <v>20827.281249999993</v>
      </c>
      <c r="T14" s="49">
        <f t="shared" si="13"/>
        <v>15105.541666666659</v>
      </c>
      <c r="U14" s="49">
        <f t="shared" si="13"/>
        <v>10733.802083333325</v>
      </c>
      <c r="V14" s="49">
        <f t="shared" si="13"/>
        <v>7712.0624999999909</v>
      </c>
      <c r="W14" s="49">
        <f t="shared" si="13"/>
        <v>6040.322916666657</v>
      </c>
      <c r="X14" s="49">
        <f t="shared" si="13"/>
        <v>5718.583333333323</v>
      </c>
      <c r="Y14" s="49">
        <f t="shared" si="13"/>
        <v>6746.8437499999891</v>
      </c>
      <c r="Z14" s="49">
        <f t="shared" si="13"/>
        <v>8625.1041666666551</v>
      </c>
      <c r="AA14" s="49">
        <f t="shared" si="13"/>
        <v>10603.364583333321</v>
      </c>
      <c r="AB14" s="49">
        <f t="shared" si="13"/>
        <v>12456.624999999987</v>
      </c>
      <c r="AC14" s="49">
        <f t="shared" si="13"/>
        <v>13750.195499999985</v>
      </c>
      <c r="AD14" s="49">
        <f t="shared" si="13"/>
        <v>15043.765999999983</v>
      </c>
      <c r="AE14" s="49">
        <f t="shared" si="13"/>
        <v>16337.336499999981</v>
      </c>
      <c r="AF14" s="49">
        <f t="shared" si="13"/>
        <v>17630.906999999977</v>
      </c>
      <c r="AG14" s="49">
        <f t="shared" si="13"/>
        <v>18924.477499999975</v>
      </c>
      <c r="AH14" s="49">
        <f t="shared" si="13"/>
        <v>20218.047999999973</v>
      </c>
      <c r="AI14" s="49">
        <f t="shared" si="13"/>
        <v>21511.618499999971</v>
      </c>
      <c r="AJ14" s="49">
        <f t="shared" si="13"/>
        <v>22805.188999999969</v>
      </c>
      <c r="AK14" s="49">
        <f t="shared" si="13"/>
        <v>24098.759499999967</v>
      </c>
      <c r="AL14" s="49">
        <f t="shared" si="13"/>
        <v>25392.329999999965</v>
      </c>
      <c r="AM14" s="49">
        <f t="shared" si="13"/>
        <v>26685.900499999963</v>
      </c>
      <c r="AN14" s="49">
        <f t="shared" si="13"/>
        <v>27769.470999999961</v>
      </c>
      <c r="AO14" s="49">
        <f t="shared" si="13"/>
        <v>29689.954062499961</v>
      </c>
      <c r="AP14" s="49">
        <f t="shared" si="13"/>
        <v>33610.43712499996</v>
      </c>
      <c r="AQ14" s="49">
        <f t="shared" si="13"/>
        <v>37530.920187499956</v>
      </c>
      <c r="AR14" s="49">
        <f t="shared" si="13"/>
        <v>41451.403249999959</v>
      </c>
      <c r="AS14" s="49">
        <f t="shared" si="13"/>
        <v>45371.886312499963</v>
      </c>
      <c r="AT14" s="49">
        <f t="shared" si="13"/>
        <v>49292.369374999966</v>
      </c>
      <c r="AU14" s="49">
        <f t="shared" si="13"/>
        <v>53212.852437499969</v>
      </c>
      <c r="AV14" s="49">
        <f t="shared" si="13"/>
        <v>57133.335499999972</v>
      </c>
      <c r="AW14" s="49">
        <f t="shared" si="13"/>
        <v>61053.818562499975</v>
      </c>
      <c r="AX14" s="49">
        <f t="shared" si="13"/>
        <v>64974.301624999978</v>
      </c>
      <c r="AY14" s="50">
        <f t="shared" si="13"/>
        <v>68894.784687499981</v>
      </c>
      <c r="AZ14" s="50">
        <f t="shared" ref="AZ14:BK14" si="14">AY42</f>
        <v>72593.690249999985</v>
      </c>
      <c r="BA14" s="50">
        <f t="shared" si="14"/>
        <v>76758.194937499982</v>
      </c>
      <c r="BB14" s="50">
        <f t="shared" si="14"/>
        <v>80922.699624999979</v>
      </c>
      <c r="BC14" s="50">
        <f t="shared" si="14"/>
        <v>85087.204312499976</v>
      </c>
      <c r="BD14" s="50">
        <f t="shared" si="14"/>
        <v>89251.708999999973</v>
      </c>
      <c r="BE14" s="50">
        <f t="shared" si="14"/>
        <v>93416.213687499971</v>
      </c>
      <c r="BF14" s="50">
        <f t="shared" si="14"/>
        <v>97580.718374999968</v>
      </c>
      <c r="BG14" s="50">
        <f t="shared" si="14"/>
        <v>101745.22306249996</v>
      </c>
      <c r="BH14" s="50">
        <f t="shared" si="14"/>
        <v>105909.72774999996</v>
      </c>
      <c r="BI14" s="50">
        <f t="shared" si="14"/>
        <v>110074.23243749996</v>
      </c>
      <c r="BJ14" s="50">
        <f t="shared" si="14"/>
        <v>114238.73712499996</v>
      </c>
      <c r="BK14" s="50">
        <f t="shared" si="14"/>
        <v>118403.24181249995</v>
      </c>
    </row>
    <row r="15" spans="1:63" ht="15.75" customHeight="1" x14ac:dyDescent="0.2">
      <c r="A15" s="116" t="s">
        <v>76</v>
      </c>
      <c r="B15" s="128"/>
      <c r="C15" s="112"/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</row>
    <row r="16" spans="1:63" ht="12.75" x14ac:dyDescent="0.2">
      <c r="A16" s="127" t="s">
        <v>79</v>
      </c>
      <c r="B16" s="128"/>
      <c r="C16" s="112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BD16" s="1"/>
      <c r="BE16" s="96"/>
    </row>
    <row r="17" spans="1:63" ht="12.75" x14ac:dyDescent="0.2">
      <c r="A17" s="129"/>
      <c r="B17" s="126" t="s">
        <v>80</v>
      </c>
      <c r="C17" s="112"/>
      <c r="D17" s="56">
        <f t="shared" ref="D17:AI17" si="15">D3*$D$7+D4*$D$8+D5*$D$9</f>
        <v>20700</v>
      </c>
      <c r="E17" s="56">
        <f t="shared" si="15"/>
        <v>2560</v>
      </c>
      <c r="F17" s="56">
        <f t="shared" si="15"/>
        <v>3380</v>
      </c>
      <c r="G17" s="56">
        <f t="shared" si="15"/>
        <v>4200</v>
      </c>
      <c r="H17" s="56">
        <f t="shared" si="15"/>
        <v>5020</v>
      </c>
      <c r="I17" s="56">
        <f t="shared" si="15"/>
        <v>5840</v>
      </c>
      <c r="J17" s="56">
        <f t="shared" si="15"/>
        <v>8535</v>
      </c>
      <c r="K17" s="56">
        <f t="shared" si="15"/>
        <v>9355</v>
      </c>
      <c r="L17" s="56">
        <f t="shared" si="15"/>
        <v>10175</v>
      </c>
      <c r="M17" s="56">
        <f t="shared" si="15"/>
        <v>10995</v>
      </c>
      <c r="N17" s="56">
        <f t="shared" si="15"/>
        <v>11815</v>
      </c>
      <c r="O17" s="56">
        <f t="shared" si="15"/>
        <v>8675</v>
      </c>
      <c r="P17" s="56">
        <f t="shared" si="15"/>
        <v>4875</v>
      </c>
      <c r="Q17" s="56">
        <f t="shared" si="15"/>
        <v>6225</v>
      </c>
      <c r="R17" s="56">
        <f t="shared" si="15"/>
        <v>7575</v>
      </c>
      <c r="S17" s="56">
        <f t="shared" si="15"/>
        <v>8925</v>
      </c>
      <c r="T17" s="56">
        <f t="shared" si="15"/>
        <v>10275</v>
      </c>
      <c r="U17" s="56">
        <f t="shared" si="15"/>
        <v>11625</v>
      </c>
      <c r="V17" s="56">
        <f t="shared" si="15"/>
        <v>12975</v>
      </c>
      <c r="W17" s="56">
        <f t="shared" si="15"/>
        <v>14325</v>
      </c>
      <c r="X17" s="56">
        <f t="shared" si="15"/>
        <v>15675</v>
      </c>
      <c r="Y17" s="56">
        <f t="shared" si="15"/>
        <v>16525</v>
      </c>
      <c r="Z17" s="56">
        <f t="shared" si="15"/>
        <v>16625</v>
      </c>
      <c r="AA17" s="56">
        <f t="shared" si="15"/>
        <v>16500</v>
      </c>
      <c r="AB17" s="56">
        <f t="shared" si="15"/>
        <v>21450</v>
      </c>
      <c r="AC17" s="56">
        <f t="shared" si="15"/>
        <v>21450</v>
      </c>
      <c r="AD17" s="56">
        <f t="shared" si="15"/>
        <v>21450</v>
      </c>
      <c r="AE17" s="56">
        <f t="shared" si="15"/>
        <v>21450</v>
      </c>
      <c r="AF17" s="56">
        <f t="shared" si="15"/>
        <v>21450</v>
      </c>
      <c r="AG17" s="56">
        <f t="shared" si="15"/>
        <v>21450</v>
      </c>
      <c r="AH17" s="56">
        <f t="shared" si="15"/>
        <v>21450</v>
      </c>
      <c r="AI17" s="56">
        <f t="shared" si="15"/>
        <v>21450</v>
      </c>
      <c r="AJ17" s="56">
        <f t="shared" ref="AJ17:BK17" si="16">AJ3*$D$7+AJ4*$D$8+AJ5*$D$9</f>
        <v>21450</v>
      </c>
      <c r="AK17" s="56">
        <f t="shared" si="16"/>
        <v>21450</v>
      </c>
      <c r="AL17" s="56">
        <f t="shared" si="16"/>
        <v>21450</v>
      </c>
      <c r="AM17" s="56">
        <f t="shared" si="16"/>
        <v>21240</v>
      </c>
      <c r="AN17" s="56">
        <f t="shared" si="16"/>
        <v>31415</v>
      </c>
      <c r="AO17" s="56">
        <f t="shared" si="16"/>
        <v>31415</v>
      </c>
      <c r="AP17" s="56">
        <f t="shared" si="16"/>
        <v>31415</v>
      </c>
      <c r="AQ17" s="56">
        <f t="shared" si="16"/>
        <v>31415</v>
      </c>
      <c r="AR17" s="56">
        <f t="shared" si="16"/>
        <v>31415</v>
      </c>
      <c r="AS17" s="56">
        <f t="shared" si="16"/>
        <v>31415</v>
      </c>
      <c r="AT17" s="56">
        <f t="shared" si="16"/>
        <v>31415</v>
      </c>
      <c r="AU17" s="56">
        <f t="shared" si="16"/>
        <v>31415</v>
      </c>
      <c r="AV17" s="56">
        <f t="shared" si="16"/>
        <v>31415</v>
      </c>
      <c r="AW17" s="56">
        <f t="shared" si="16"/>
        <v>31415</v>
      </c>
      <c r="AX17" s="56">
        <f t="shared" si="16"/>
        <v>31415</v>
      </c>
      <c r="AY17" s="56">
        <f t="shared" si="16"/>
        <v>31280</v>
      </c>
      <c r="AZ17" s="56">
        <f t="shared" si="16"/>
        <v>35315</v>
      </c>
      <c r="BA17" s="56">
        <f t="shared" si="16"/>
        <v>35315</v>
      </c>
      <c r="BB17" s="56">
        <f t="shared" si="16"/>
        <v>35315</v>
      </c>
      <c r="BC17" s="56">
        <f t="shared" si="16"/>
        <v>35315</v>
      </c>
      <c r="BD17" s="56">
        <f t="shared" si="16"/>
        <v>35315</v>
      </c>
      <c r="BE17" s="56">
        <f t="shared" si="16"/>
        <v>35315</v>
      </c>
      <c r="BF17" s="56">
        <f t="shared" si="16"/>
        <v>35315</v>
      </c>
      <c r="BG17" s="56">
        <f t="shared" si="16"/>
        <v>35315</v>
      </c>
      <c r="BH17" s="56">
        <f t="shared" si="16"/>
        <v>35315</v>
      </c>
      <c r="BI17" s="56">
        <f t="shared" si="16"/>
        <v>35315</v>
      </c>
      <c r="BJ17" s="56">
        <f t="shared" si="16"/>
        <v>35315</v>
      </c>
      <c r="BK17" s="56">
        <f t="shared" si="16"/>
        <v>35210</v>
      </c>
    </row>
    <row r="18" spans="1:63" ht="12.75" x14ac:dyDescent="0.2">
      <c r="A18" s="123"/>
      <c r="B18" s="125" t="s">
        <v>81</v>
      </c>
      <c r="C18" s="112"/>
      <c r="D18" s="58">
        <f>D17</f>
        <v>20700</v>
      </c>
      <c r="E18" s="59">
        <f>D18+E17</f>
        <v>23260</v>
      </c>
      <c r="F18" s="59">
        <f>E18+F17</f>
        <v>26640</v>
      </c>
      <c r="G18" s="59">
        <f t="shared" ref="G18:AY18" si="17">F18+G17</f>
        <v>30840</v>
      </c>
      <c r="H18" s="59">
        <f t="shared" si="17"/>
        <v>35860</v>
      </c>
      <c r="I18" s="59">
        <f t="shared" si="17"/>
        <v>41700</v>
      </c>
      <c r="J18" s="59">
        <f t="shared" si="17"/>
        <v>50235</v>
      </c>
      <c r="K18" s="59">
        <f t="shared" si="17"/>
        <v>59590</v>
      </c>
      <c r="L18" s="59">
        <f t="shared" si="17"/>
        <v>69765</v>
      </c>
      <c r="M18" s="59">
        <f t="shared" si="17"/>
        <v>80760</v>
      </c>
      <c r="N18" s="59">
        <f t="shared" si="17"/>
        <v>92575</v>
      </c>
      <c r="O18" s="59">
        <f t="shared" si="17"/>
        <v>101250</v>
      </c>
      <c r="P18" s="59">
        <f t="shared" si="17"/>
        <v>106125</v>
      </c>
      <c r="Q18" s="59">
        <f t="shared" si="17"/>
        <v>112350</v>
      </c>
      <c r="R18" s="59">
        <f t="shared" si="17"/>
        <v>119925</v>
      </c>
      <c r="S18" s="59">
        <f t="shared" si="17"/>
        <v>128850</v>
      </c>
      <c r="T18" s="59">
        <f t="shared" si="17"/>
        <v>139125</v>
      </c>
      <c r="U18" s="59">
        <f t="shared" si="17"/>
        <v>150750</v>
      </c>
      <c r="V18" s="59">
        <f t="shared" si="17"/>
        <v>163725</v>
      </c>
      <c r="W18" s="59">
        <f t="shared" si="17"/>
        <v>178050</v>
      </c>
      <c r="X18" s="59">
        <f t="shared" si="17"/>
        <v>193725</v>
      </c>
      <c r="Y18" s="59">
        <f t="shared" si="17"/>
        <v>210250</v>
      </c>
      <c r="Z18" s="59">
        <f t="shared" si="17"/>
        <v>226875</v>
      </c>
      <c r="AA18" s="59">
        <f t="shared" si="17"/>
        <v>243375</v>
      </c>
      <c r="AB18" s="59">
        <f t="shared" si="17"/>
        <v>264825</v>
      </c>
      <c r="AC18" s="59">
        <f t="shared" si="17"/>
        <v>286275</v>
      </c>
      <c r="AD18" s="59">
        <f t="shared" si="17"/>
        <v>307725</v>
      </c>
      <c r="AE18" s="59">
        <f t="shared" si="17"/>
        <v>329175</v>
      </c>
      <c r="AF18" s="59">
        <f t="shared" si="17"/>
        <v>350625</v>
      </c>
      <c r="AG18" s="59">
        <f t="shared" si="17"/>
        <v>372075</v>
      </c>
      <c r="AH18" s="59">
        <f t="shared" si="17"/>
        <v>393525</v>
      </c>
      <c r="AI18" s="59">
        <f t="shared" si="17"/>
        <v>414975</v>
      </c>
      <c r="AJ18" s="59">
        <f t="shared" si="17"/>
        <v>436425</v>
      </c>
      <c r="AK18" s="59">
        <f t="shared" si="17"/>
        <v>457875</v>
      </c>
      <c r="AL18" s="59">
        <f t="shared" si="17"/>
        <v>479325</v>
      </c>
      <c r="AM18" s="59">
        <f t="shared" si="17"/>
        <v>500565</v>
      </c>
      <c r="AN18" s="59">
        <f t="shared" si="17"/>
        <v>531980</v>
      </c>
      <c r="AO18" s="59">
        <f t="shared" si="17"/>
        <v>563395</v>
      </c>
      <c r="AP18" s="59">
        <f t="shared" si="17"/>
        <v>594810</v>
      </c>
      <c r="AQ18" s="59">
        <f t="shared" si="17"/>
        <v>626225</v>
      </c>
      <c r="AR18" s="59">
        <f t="shared" si="17"/>
        <v>657640</v>
      </c>
      <c r="AS18" s="59">
        <f t="shared" si="17"/>
        <v>689055</v>
      </c>
      <c r="AT18" s="59">
        <f t="shared" si="17"/>
        <v>720470</v>
      </c>
      <c r="AU18" s="59">
        <f t="shared" si="17"/>
        <v>751885</v>
      </c>
      <c r="AV18" s="59">
        <f t="shared" si="17"/>
        <v>783300</v>
      </c>
      <c r="AW18" s="59">
        <f t="shared" si="17"/>
        <v>814715</v>
      </c>
      <c r="AX18" s="59">
        <f t="shared" si="17"/>
        <v>846130</v>
      </c>
      <c r="AY18" s="59">
        <f t="shared" si="17"/>
        <v>877410</v>
      </c>
      <c r="AZ18" s="59">
        <f t="shared" ref="AZ18:BK18" si="18">AY18+AZ17</f>
        <v>912725</v>
      </c>
      <c r="BA18" s="59">
        <f t="shared" si="18"/>
        <v>948040</v>
      </c>
      <c r="BB18" s="59">
        <f t="shared" si="18"/>
        <v>983355</v>
      </c>
      <c r="BC18" s="59">
        <f t="shared" si="18"/>
        <v>1018670</v>
      </c>
      <c r="BD18" s="59">
        <f t="shared" si="18"/>
        <v>1053985</v>
      </c>
      <c r="BE18" s="59">
        <f t="shared" si="18"/>
        <v>1089300</v>
      </c>
      <c r="BF18" s="59">
        <f t="shared" si="18"/>
        <v>1124615</v>
      </c>
      <c r="BG18" s="59">
        <f t="shared" si="18"/>
        <v>1159930</v>
      </c>
      <c r="BH18" s="59">
        <f t="shared" si="18"/>
        <v>1195245</v>
      </c>
      <c r="BI18" s="59">
        <f t="shared" si="18"/>
        <v>1230560</v>
      </c>
      <c r="BJ18" s="59">
        <f t="shared" si="18"/>
        <v>1265875</v>
      </c>
      <c r="BK18" s="59">
        <f t="shared" si="18"/>
        <v>1301085</v>
      </c>
    </row>
    <row r="19" spans="1:63" ht="12.75" x14ac:dyDescent="0.2">
      <c r="A19" s="127" t="s">
        <v>84</v>
      </c>
      <c r="B19" s="128"/>
      <c r="C19" s="112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63" ht="12.75" x14ac:dyDescent="0.2">
      <c r="A20" s="129"/>
      <c r="B20" s="126" t="s">
        <v>82</v>
      </c>
      <c r="C20" s="112"/>
      <c r="D20" s="55">
        <f>14000*5</f>
        <v>70000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60">
        <v>0</v>
      </c>
      <c r="AZ20" s="60">
        <v>0</v>
      </c>
      <c r="BA20" s="60">
        <v>0</v>
      </c>
      <c r="BB20" s="60">
        <v>0</v>
      </c>
      <c r="BC20" s="60">
        <v>0</v>
      </c>
      <c r="BD20" s="60">
        <v>0</v>
      </c>
      <c r="BE20" s="60">
        <v>0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</row>
    <row r="21" spans="1:63" ht="12.75" x14ac:dyDescent="0.2">
      <c r="A21" s="122"/>
      <c r="B21" s="126" t="s">
        <v>83</v>
      </c>
      <c r="C21" s="112"/>
      <c r="D21" s="57">
        <v>40000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v>0</v>
      </c>
      <c r="AS21" s="57">
        <v>0</v>
      </c>
      <c r="AT21" s="57">
        <v>0</v>
      </c>
      <c r="AU21" s="57">
        <v>0</v>
      </c>
      <c r="AV21" s="57">
        <v>0</v>
      </c>
      <c r="AW21" s="57">
        <v>0</v>
      </c>
      <c r="AX21" s="57">
        <v>0</v>
      </c>
      <c r="AY21" s="61">
        <v>0</v>
      </c>
      <c r="AZ21" s="61">
        <v>0</v>
      </c>
      <c r="BA21" s="61">
        <v>0</v>
      </c>
      <c r="BB21" s="61">
        <v>0</v>
      </c>
      <c r="BC21" s="61">
        <v>0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</row>
    <row r="22" spans="1:63" ht="12.75" x14ac:dyDescent="0.2">
      <c r="A22" s="122"/>
      <c r="B22" s="126" t="s">
        <v>67</v>
      </c>
      <c r="C22" s="112"/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</row>
    <row r="23" spans="1:63" ht="12.75" x14ac:dyDescent="0.2">
      <c r="A23" s="123"/>
      <c r="B23" s="126" t="s">
        <v>68</v>
      </c>
      <c r="C23" s="112"/>
      <c r="D23" s="63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</row>
    <row r="24" spans="1:63" ht="12.75" x14ac:dyDescent="0.2">
      <c r="A24" s="131"/>
      <c r="B24" s="112"/>
      <c r="C24" s="64" t="s">
        <v>100</v>
      </c>
      <c r="D24" s="65">
        <f t="shared" ref="D24:BK24" si="19">D17+SUM(D20:D22)</f>
        <v>130700</v>
      </c>
      <c r="E24" s="65">
        <f t="shared" si="19"/>
        <v>2560</v>
      </c>
      <c r="F24" s="65">
        <f t="shared" si="19"/>
        <v>3380</v>
      </c>
      <c r="G24" s="65">
        <f t="shared" si="19"/>
        <v>4200</v>
      </c>
      <c r="H24" s="65">
        <f t="shared" si="19"/>
        <v>5020</v>
      </c>
      <c r="I24" s="65">
        <f t="shared" si="19"/>
        <v>5840</v>
      </c>
      <c r="J24" s="65">
        <f t="shared" si="19"/>
        <v>8535</v>
      </c>
      <c r="K24" s="65">
        <f t="shared" si="19"/>
        <v>9355</v>
      </c>
      <c r="L24" s="65">
        <f t="shared" si="19"/>
        <v>10175</v>
      </c>
      <c r="M24" s="65">
        <f t="shared" si="19"/>
        <v>10995</v>
      </c>
      <c r="N24" s="65">
        <f t="shared" si="19"/>
        <v>11815</v>
      </c>
      <c r="O24" s="65">
        <f t="shared" si="19"/>
        <v>8675</v>
      </c>
      <c r="P24" s="65">
        <f t="shared" si="19"/>
        <v>4875</v>
      </c>
      <c r="Q24" s="65">
        <f t="shared" si="19"/>
        <v>6225</v>
      </c>
      <c r="R24" s="65">
        <f t="shared" si="19"/>
        <v>7575</v>
      </c>
      <c r="S24" s="65">
        <f t="shared" si="19"/>
        <v>8925</v>
      </c>
      <c r="T24" s="65">
        <f t="shared" si="19"/>
        <v>10275</v>
      </c>
      <c r="U24" s="65">
        <f t="shared" si="19"/>
        <v>11625</v>
      </c>
      <c r="V24" s="65">
        <f t="shared" si="19"/>
        <v>12975</v>
      </c>
      <c r="W24" s="65">
        <f t="shared" si="19"/>
        <v>14325</v>
      </c>
      <c r="X24" s="65">
        <f t="shared" si="19"/>
        <v>15675</v>
      </c>
      <c r="Y24" s="65">
        <f t="shared" si="19"/>
        <v>16525</v>
      </c>
      <c r="Z24" s="65">
        <f t="shared" si="19"/>
        <v>16625</v>
      </c>
      <c r="AA24" s="65">
        <f t="shared" si="19"/>
        <v>16500</v>
      </c>
      <c r="AB24" s="65">
        <f t="shared" si="19"/>
        <v>21450</v>
      </c>
      <c r="AC24" s="65">
        <f t="shared" si="19"/>
        <v>21450</v>
      </c>
      <c r="AD24" s="65">
        <f t="shared" si="19"/>
        <v>21450</v>
      </c>
      <c r="AE24" s="65">
        <f t="shared" si="19"/>
        <v>21450</v>
      </c>
      <c r="AF24" s="65">
        <f t="shared" si="19"/>
        <v>21450</v>
      </c>
      <c r="AG24" s="65">
        <f t="shared" si="19"/>
        <v>21450</v>
      </c>
      <c r="AH24" s="65">
        <f t="shared" si="19"/>
        <v>21450</v>
      </c>
      <c r="AI24" s="65">
        <f t="shared" si="19"/>
        <v>21450</v>
      </c>
      <c r="AJ24" s="65">
        <f t="shared" si="19"/>
        <v>21450</v>
      </c>
      <c r="AK24" s="65">
        <f t="shared" si="19"/>
        <v>21450</v>
      </c>
      <c r="AL24" s="65">
        <f t="shared" si="19"/>
        <v>21450</v>
      </c>
      <c r="AM24" s="65">
        <f t="shared" si="19"/>
        <v>21240</v>
      </c>
      <c r="AN24" s="65">
        <f t="shared" si="19"/>
        <v>31415</v>
      </c>
      <c r="AO24" s="65">
        <f t="shared" si="19"/>
        <v>31415</v>
      </c>
      <c r="AP24" s="65">
        <f t="shared" si="19"/>
        <v>31415</v>
      </c>
      <c r="AQ24" s="65">
        <f t="shared" si="19"/>
        <v>31415</v>
      </c>
      <c r="AR24" s="65">
        <f t="shared" si="19"/>
        <v>31415</v>
      </c>
      <c r="AS24" s="65">
        <f t="shared" si="19"/>
        <v>31415</v>
      </c>
      <c r="AT24" s="65">
        <f t="shared" si="19"/>
        <v>31415</v>
      </c>
      <c r="AU24" s="65">
        <f t="shared" si="19"/>
        <v>31415</v>
      </c>
      <c r="AV24" s="65">
        <f t="shared" si="19"/>
        <v>31415</v>
      </c>
      <c r="AW24" s="65">
        <f t="shared" si="19"/>
        <v>31415</v>
      </c>
      <c r="AX24" s="65">
        <f t="shared" si="19"/>
        <v>31415</v>
      </c>
      <c r="AY24" s="66">
        <f t="shared" si="19"/>
        <v>31280</v>
      </c>
      <c r="AZ24" s="66">
        <f t="shared" si="19"/>
        <v>35315</v>
      </c>
      <c r="BA24" s="66">
        <f t="shared" si="19"/>
        <v>35315</v>
      </c>
      <c r="BB24" s="66">
        <f t="shared" si="19"/>
        <v>35315</v>
      </c>
      <c r="BC24" s="66">
        <f t="shared" si="19"/>
        <v>35315</v>
      </c>
      <c r="BD24" s="66">
        <f t="shared" si="19"/>
        <v>35315</v>
      </c>
      <c r="BE24" s="66">
        <f t="shared" si="19"/>
        <v>35315</v>
      </c>
      <c r="BF24" s="66">
        <f t="shared" si="19"/>
        <v>35315</v>
      </c>
      <c r="BG24" s="66">
        <f t="shared" si="19"/>
        <v>35315</v>
      </c>
      <c r="BH24" s="66">
        <f t="shared" si="19"/>
        <v>35315</v>
      </c>
      <c r="BI24" s="66">
        <f t="shared" si="19"/>
        <v>35315</v>
      </c>
      <c r="BJ24" s="66">
        <f t="shared" si="19"/>
        <v>35315</v>
      </c>
      <c r="BK24" s="66">
        <f t="shared" si="19"/>
        <v>35210</v>
      </c>
    </row>
    <row r="25" spans="1:63" ht="12.75" x14ac:dyDescent="0.2">
      <c r="A25" s="116" t="s">
        <v>85</v>
      </c>
      <c r="B25" s="128"/>
      <c r="C25" s="112"/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</row>
    <row r="26" spans="1:63" ht="12.75" x14ac:dyDescent="0.2">
      <c r="A26" s="127" t="s">
        <v>86</v>
      </c>
      <c r="B26" s="128"/>
      <c r="C26" s="112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89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</row>
    <row r="27" spans="1:63" ht="12.75" x14ac:dyDescent="0.2">
      <c r="A27" s="129"/>
      <c r="B27" s="126" t="s">
        <v>87</v>
      </c>
      <c r="C27" s="112"/>
      <c r="D27" s="67">
        <f>'Compte de Résultat'!$C$7/12</f>
        <v>250</v>
      </c>
      <c r="E27" s="67">
        <f>'Compte de Résultat'!$C$7/12</f>
        <v>250</v>
      </c>
      <c r="F27" s="67">
        <f>'Compte de Résultat'!$C$7/12</f>
        <v>250</v>
      </c>
      <c r="G27" s="67">
        <f>'Compte de Résultat'!$C$7/12</f>
        <v>250</v>
      </c>
      <c r="H27" s="67">
        <f>'Compte de Résultat'!$C$7/12</f>
        <v>250</v>
      </c>
      <c r="I27" s="67">
        <f>'Compte de Résultat'!$C$7/12</f>
        <v>250</v>
      </c>
      <c r="J27" s="67">
        <f>'Compte de Résultat'!$C$7/12</f>
        <v>250</v>
      </c>
      <c r="K27" s="67">
        <f>'Compte de Résultat'!$C$7/12</f>
        <v>250</v>
      </c>
      <c r="L27" s="67">
        <f>'Compte de Résultat'!$C$7/12</f>
        <v>250</v>
      </c>
      <c r="M27" s="67">
        <f>'Compte de Résultat'!$C$7/12</f>
        <v>250</v>
      </c>
      <c r="N27" s="67">
        <f>'Compte de Résultat'!$C$7/12</f>
        <v>250</v>
      </c>
      <c r="O27" s="67">
        <f>'Compte de Résultat'!$C$7/12</f>
        <v>250</v>
      </c>
      <c r="P27" s="67">
        <f>'Compte de Résultat'!$D$7/12</f>
        <v>250</v>
      </c>
      <c r="Q27" s="67">
        <f>'Compte de Résultat'!$D$7/12</f>
        <v>250</v>
      </c>
      <c r="R27" s="67">
        <f>'Compte de Résultat'!$D$7/12</f>
        <v>250</v>
      </c>
      <c r="S27" s="67">
        <f>'Compte de Résultat'!$D$7/12</f>
        <v>250</v>
      </c>
      <c r="T27" s="67">
        <f>'Compte de Résultat'!$D$7/12</f>
        <v>250</v>
      </c>
      <c r="U27" s="67">
        <f>'Compte de Résultat'!$D$7/12</f>
        <v>250</v>
      </c>
      <c r="V27" s="67">
        <f>'Compte de Résultat'!$D$7/12</f>
        <v>250</v>
      </c>
      <c r="W27" s="67">
        <f>'Compte de Résultat'!$D$7/12</f>
        <v>250</v>
      </c>
      <c r="X27" s="67">
        <f>'Compte de Résultat'!$D$7/12</f>
        <v>250</v>
      </c>
      <c r="Y27" s="67">
        <f>'Compte de Résultat'!$D$7/12</f>
        <v>250</v>
      </c>
      <c r="Z27" s="67">
        <f>'Compte de Résultat'!$D$7/12</f>
        <v>250</v>
      </c>
      <c r="AA27" s="67">
        <f>'Compte de Résultat'!$D$7/12</f>
        <v>250</v>
      </c>
      <c r="AB27" s="67">
        <f>'Compte de Résultat'!$E$7/12</f>
        <v>250</v>
      </c>
      <c r="AC27" s="67">
        <f>'Compte de Résultat'!$E$7/12</f>
        <v>250</v>
      </c>
      <c r="AD27" s="67">
        <f>'Compte de Résultat'!$E$7/12</f>
        <v>250</v>
      </c>
      <c r="AE27" s="67">
        <f>'Compte de Résultat'!$E$7/12</f>
        <v>250</v>
      </c>
      <c r="AF27" s="67">
        <f>'Compte de Résultat'!$E$7/12</f>
        <v>250</v>
      </c>
      <c r="AG27" s="67">
        <f>'Compte de Résultat'!$E$7/12</f>
        <v>250</v>
      </c>
      <c r="AH27" s="67">
        <f>'Compte de Résultat'!$E$7/12</f>
        <v>250</v>
      </c>
      <c r="AI27" s="67">
        <f>'Compte de Résultat'!$E$7/12</f>
        <v>250</v>
      </c>
      <c r="AJ27" s="67">
        <f>'Compte de Résultat'!$E$7/12</f>
        <v>250</v>
      </c>
      <c r="AK27" s="67">
        <f>'Compte de Résultat'!$E$7/12</f>
        <v>250</v>
      </c>
      <c r="AL27" s="67">
        <f>'Compte de Résultat'!$E$7/12</f>
        <v>250</v>
      </c>
      <c r="AM27" s="67">
        <f>'Compte de Résultat'!$E$7/12</f>
        <v>250</v>
      </c>
      <c r="AN27" s="67">
        <f>'Compte de Résultat'!$F$7/12</f>
        <v>125</v>
      </c>
      <c r="AO27" s="67">
        <f>'Compte de Résultat'!$F$7/12</f>
        <v>125</v>
      </c>
      <c r="AP27" s="67">
        <f>'Compte de Résultat'!$F$7/12</f>
        <v>125</v>
      </c>
      <c r="AQ27" s="67">
        <f>'Compte de Résultat'!$F$7/12</f>
        <v>125</v>
      </c>
      <c r="AR27" s="67">
        <f>'Compte de Résultat'!$F$7/12</f>
        <v>125</v>
      </c>
      <c r="AS27" s="67">
        <f>'Compte de Résultat'!$F$7/12</f>
        <v>125</v>
      </c>
      <c r="AT27" s="67">
        <f>'Compte de Résultat'!$F$7/12</f>
        <v>125</v>
      </c>
      <c r="AU27" s="67">
        <f>'Compte de Résultat'!$F$7/12</f>
        <v>125</v>
      </c>
      <c r="AV27" s="67">
        <f>'Compte de Résultat'!$F$7/12</f>
        <v>125</v>
      </c>
      <c r="AW27" s="67">
        <f>'Compte de Résultat'!$F$7/12</f>
        <v>125</v>
      </c>
      <c r="AX27" s="67">
        <f>'Compte de Résultat'!$F$7/12</f>
        <v>125</v>
      </c>
      <c r="AY27" s="67">
        <f>'Compte de Résultat'!$F$7/12</f>
        <v>125</v>
      </c>
      <c r="AZ27" s="67">
        <f>'Compte de Résultat'!$G$7/12</f>
        <v>0</v>
      </c>
      <c r="BA27" s="67">
        <f>'Compte de Résultat'!$G$7/12</f>
        <v>0</v>
      </c>
      <c r="BB27" s="67">
        <f>'Compte de Résultat'!$G$7/12</f>
        <v>0</v>
      </c>
      <c r="BC27" s="67">
        <f>'Compte de Résultat'!$G$7/12</f>
        <v>0</v>
      </c>
      <c r="BD27" s="67">
        <f>'Compte de Résultat'!$G$7/12</f>
        <v>0</v>
      </c>
      <c r="BE27" s="67">
        <f>'Compte de Résultat'!$G$7/12</f>
        <v>0</v>
      </c>
      <c r="BF27" s="67">
        <f>'Compte de Résultat'!$G$7/12</f>
        <v>0</v>
      </c>
      <c r="BG27" s="67">
        <f>'Compte de Résultat'!$G$7/12</f>
        <v>0</v>
      </c>
      <c r="BH27" s="67">
        <f>'Compte de Résultat'!$G$7/12</f>
        <v>0</v>
      </c>
      <c r="BI27" s="67">
        <f>'Compte de Résultat'!$G$7/12</f>
        <v>0</v>
      </c>
      <c r="BJ27" s="67">
        <f>'Compte de Résultat'!$G$7/12</f>
        <v>0</v>
      </c>
      <c r="BK27" s="67">
        <f>'Compte de Résultat'!$G$7/12</f>
        <v>0</v>
      </c>
    </row>
    <row r="28" spans="1:63" ht="12.75" x14ac:dyDescent="0.2">
      <c r="A28" s="122"/>
      <c r="B28" s="126" t="s">
        <v>77</v>
      </c>
      <c r="C28" s="112"/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f>8400/12</f>
        <v>700</v>
      </c>
      <c r="AC28" s="57">
        <f t="shared" ref="AC28:BK28" si="20">8400/12</f>
        <v>700</v>
      </c>
      <c r="AD28" s="57">
        <f t="shared" si="20"/>
        <v>700</v>
      </c>
      <c r="AE28" s="57">
        <f t="shared" si="20"/>
        <v>700</v>
      </c>
      <c r="AF28" s="57">
        <f t="shared" si="20"/>
        <v>700</v>
      </c>
      <c r="AG28" s="57">
        <f t="shared" si="20"/>
        <v>700</v>
      </c>
      <c r="AH28" s="57">
        <f t="shared" si="20"/>
        <v>700</v>
      </c>
      <c r="AI28" s="57">
        <f t="shared" si="20"/>
        <v>700</v>
      </c>
      <c r="AJ28" s="57">
        <f t="shared" si="20"/>
        <v>700</v>
      </c>
      <c r="AK28" s="57">
        <f t="shared" si="20"/>
        <v>700</v>
      </c>
      <c r="AL28" s="57">
        <f t="shared" si="20"/>
        <v>700</v>
      </c>
      <c r="AM28" s="57">
        <f t="shared" si="20"/>
        <v>700</v>
      </c>
      <c r="AN28" s="57">
        <f t="shared" si="20"/>
        <v>700</v>
      </c>
      <c r="AO28" s="57">
        <f t="shared" si="20"/>
        <v>700</v>
      </c>
      <c r="AP28" s="57">
        <f t="shared" si="20"/>
        <v>700</v>
      </c>
      <c r="AQ28" s="57">
        <f t="shared" si="20"/>
        <v>700</v>
      </c>
      <c r="AR28" s="57">
        <f t="shared" si="20"/>
        <v>700</v>
      </c>
      <c r="AS28" s="57">
        <f t="shared" si="20"/>
        <v>700</v>
      </c>
      <c r="AT28" s="57">
        <f t="shared" si="20"/>
        <v>700</v>
      </c>
      <c r="AU28" s="57">
        <f t="shared" si="20"/>
        <v>700</v>
      </c>
      <c r="AV28" s="57">
        <f t="shared" si="20"/>
        <v>700</v>
      </c>
      <c r="AW28" s="57">
        <f t="shared" si="20"/>
        <v>700</v>
      </c>
      <c r="AX28" s="57">
        <f t="shared" si="20"/>
        <v>700</v>
      </c>
      <c r="AY28" s="57">
        <f t="shared" si="20"/>
        <v>700</v>
      </c>
      <c r="AZ28" s="57">
        <f t="shared" si="20"/>
        <v>700</v>
      </c>
      <c r="BA28" s="57">
        <f t="shared" si="20"/>
        <v>700</v>
      </c>
      <c r="BB28" s="57">
        <f t="shared" si="20"/>
        <v>700</v>
      </c>
      <c r="BC28" s="57">
        <f t="shared" si="20"/>
        <v>700</v>
      </c>
      <c r="BD28" s="57">
        <f t="shared" si="20"/>
        <v>700</v>
      </c>
      <c r="BE28" s="57">
        <f t="shared" si="20"/>
        <v>700</v>
      </c>
      <c r="BF28" s="57">
        <f t="shared" si="20"/>
        <v>700</v>
      </c>
      <c r="BG28" s="57">
        <f t="shared" si="20"/>
        <v>700</v>
      </c>
      <c r="BH28" s="57">
        <f t="shared" si="20"/>
        <v>700</v>
      </c>
      <c r="BI28" s="57">
        <f t="shared" si="20"/>
        <v>700</v>
      </c>
      <c r="BJ28" s="57">
        <f t="shared" si="20"/>
        <v>700</v>
      </c>
      <c r="BK28" s="57">
        <f t="shared" si="20"/>
        <v>700</v>
      </c>
    </row>
    <row r="29" spans="1:63" ht="12.75" x14ac:dyDescent="0.2">
      <c r="A29" s="122"/>
      <c r="B29" s="126" t="s">
        <v>78</v>
      </c>
      <c r="C29" s="112"/>
      <c r="D29" s="68">
        <f>500/12+ 400/12+'Compte de Résultat'!$C$15/12</f>
        <v>153.33333333333331</v>
      </c>
      <c r="E29" s="68">
        <f>500/12+ 400/12+'Compte de Résultat'!$C$15/12</f>
        <v>153.33333333333331</v>
      </c>
      <c r="F29" s="68">
        <f>500/12+ 400/12+'Compte de Résultat'!$C$15/12</f>
        <v>153.33333333333331</v>
      </c>
      <c r="G29" s="68">
        <f>500/12+ 400/12+'Compte de Résultat'!$C$15/12</f>
        <v>153.33333333333331</v>
      </c>
      <c r="H29" s="68">
        <f>500/12+ 400/12+'Compte de Résultat'!$C$15/12</f>
        <v>153.33333333333331</v>
      </c>
      <c r="I29" s="68">
        <f>500/12+ 400/12+'Compte de Résultat'!$C$15/12</f>
        <v>153.33333333333331</v>
      </c>
      <c r="J29" s="68">
        <f>500/12+ 400/12+'Compte de Résultat'!$C$15/12</f>
        <v>153.33333333333331</v>
      </c>
      <c r="K29" s="68">
        <f>500/12+ 400/12+'Compte de Résultat'!$C$15/12</f>
        <v>153.33333333333331</v>
      </c>
      <c r="L29" s="68">
        <f>500/12+ 400/12+'Compte de Résultat'!$C$15/12</f>
        <v>153.33333333333331</v>
      </c>
      <c r="M29" s="68">
        <f>500/12+ 400/12+'Compte de Résultat'!$C$15/12</f>
        <v>153.33333333333331</v>
      </c>
      <c r="N29" s="68">
        <f>500/12+ 400/12+'Compte de Résultat'!$C$15/12</f>
        <v>153.33333333333331</v>
      </c>
      <c r="O29" s="68">
        <f>500/12+ 400/12+'Compte de Résultat'!$C$15/12</f>
        <v>153.33333333333331</v>
      </c>
      <c r="P29" s="68">
        <f>500/12+ 400/12+'Compte de Résultat'!$D$15/12</f>
        <v>172.91666666666669</v>
      </c>
      <c r="Q29" s="68">
        <f>500/12+ 400/12+'Compte de Résultat'!$D$15/12</f>
        <v>172.91666666666669</v>
      </c>
      <c r="R29" s="68">
        <f>500/12+ 400/12+'Compte de Résultat'!$D$15/12</f>
        <v>172.91666666666669</v>
      </c>
      <c r="S29" s="68">
        <f>500/12+ 400/12+'Compte de Résultat'!$D$15/12</f>
        <v>172.91666666666669</v>
      </c>
      <c r="T29" s="68">
        <f>500/12+ 400/12+'Compte de Résultat'!$D$15/12</f>
        <v>172.91666666666669</v>
      </c>
      <c r="U29" s="68">
        <f>500/12+ 400/12+'Compte de Résultat'!$D$15/12</f>
        <v>172.91666666666669</v>
      </c>
      <c r="V29" s="68">
        <f>500/12+ 400/12+'Compte de Résultat'!$D$15/12</f>
        <v>172.91666666666669</v>
      </c>
      <c r="W29" s="68">
        <f>500/12+ 400/12+'Compte de Résultat'!$D$15/12</f>
        <v>172.91666666666669</v>
      </c>
      <c r="X29" s="68">
        <f>500/12+ 400/12+'Compte de Résultat'!$D$15/12</f>
        <v>172.91666666666669</v>
      </c>
      <c r="Y29" s="68">
        <f>500/12+ 400/12+'Compte de Résultat'!$D$15/12</f>
        <v>172.91666666666669</v>
      </c>
      <c r="Z29" s="68">
        <f>500/12+ 400/12+'Compte de Résultat'!$D$15/12</f>
        <v>172.91666666666669</v>
      </c>
      <c r="AA29" s="68">
        <f>500/12+ 400/12+'Compte de Résultat'!$D$15/12</f>
        <v>172.91666666666669</v>
      </c>
      <c r="AB29" s="68">
        <f>500/12+ 400/12+'Compte de Résultat'!$E$15/12</f>
        <v>172.91666666666669</v>
      </c>
      <c r="AC29" s="68">
        <f>500/12+ 400/12+'Compte de Résultat'!$E$15/12</f>
        <v>172.91666666666669</v>
      </c>
      <c r="AD29" s="68">
        <f>500/12+ 400/12+'Compte de Résultat'!$E$15/12</f>
        <v>172.91666666666669</v>
      </c>
      <c r="AE29" s="68">
        <f>500/12+ 400/12+'Compte de Résultat'!$E$15/12</f>
        <v>172.91666666666669</v>
      </c>
      <c r="AF29" s="68">
        <f>500/12+ 400/12+'Compte de Résultat'!$E$15/12</f>
        <v>172.91666666666669</v>
      </c>
      <c r="AG29" s="68">
        <f>500/12+ 400/12+'Compte de Résultat'!$E$15/12</f>
        <v>172.91666666666669</v>
      </c>
      <c r="AH29" s="68">
        <f>500/12+ 400/12+'Compte de Résultat'!$E$15/12</f>
        <v>172.91666666666669</v>
      </c>
      <c r="AI29" s="68">
        <f>500/12+ 400/12+'Compte de Résultat'!$E$15/12</f>
        <v>172.91666666666669</v>
      </c>
      <c r="AJ29" s="68">
        <f>500/12+ 400/12+'Compte de Résultat'!$E$15/12</f>
        <v>172.91666666666669</v>
      </c>
      <c r="AK29" s="68">
        <f>500/12+ 400/12+'Compte de Résultat'!$E$15/12</f>
        <v>172.91666666666669</v>
      </c>
      <c r="AL29" s="68">
        <f>500/12+ 400/12+'Compte de Résultat'!$E$15/12</f>
        <v>172.91666666666669</v>
      </c>
      <c r="AM29" s="68">
        <f>500/12+ 400/12+'Compte de Résultat'!$E$15/12</f>
        <v>172.91666666666669</v>
      </c>
      <c r="AN29" s="68">
        <f>500/12+ 400/12+'Compte de Résultat'!$F$15/12</f>
        <v>192.5</v>
      </c>
      <c r="AO29" s="68">
        <f>500/12+ 400/12+'Compte de Résultat'!$F$15/12</f>
        <v>192.5</v>
      </c>
      <c r="AP29" s="68">
        <f>500/12+ 400/12+'Compte de Résultat'!$F$15/12</f>
        <v>192.5</v>
      </c>
      <c r="AQ29" s="68">
        <f>500/12+ 400/12+'Compte de Résultat'!$F$15/12</f>
        <v>192.5</v>
      </c>
      <c r="AR29" s="68">
        <f>500/12+ 400/12+'Compte de Résultat'!$F$15/12</f>
        <v>192.5</v>
      </c>
      <c r="AS29" s="68">
        <f>500/12+ 400/12+'Compte de Résultat'!$F$15/12</f>
        <v>192.5</v>
      </c>
      <c r="AT29" s="68">
        <f>500/12+ 400/12+'Compte de Résultat'!$F$15/12</f>
        <v>192.5</v>
      </c>
      <c r="AU29" s="68">
        <f>500/12+ 400/12+'Compte de Résultat'!$F$15/12</f>
        <v>192.5</v>
      </c>
      <c r="AV29" s="68">
        <f>500/12+ 400/12+'Compte de Résultat'!$F$15/12</f>
        <v>192.5</v>
      </c>
      <c r="AW29" s="68">
        <f>500/12+ 400/12+'Compte de Résultat'!$F$15/12</f>
        <v>192.5</v>
      </c>
      <c r="AX29" s="68">
        <f>500/12+ 400/12+'Compte de Résultat'!$F$15/12</f>
        <v>192.5</v>
      </c>
      <c r="AY29" s="68">
        <f>500/12+ 400/12+'Compte de Résultat'!$F$15/12</f>
        <v>192.5</v>
      </c>
      <c r="AZ29" s="68">
        <f>500/12+ 400/12+'Compte de Résultat'!$G$15/12</f>
        <v>192.5</v>
      </c>
      <c r="BA29" s="68">
        <f>500/12+ 400/12+'Compte de Résultat'!$G$15/12</f>
        <v>192.5</v>
      </c>
      <c r="BB29" s="68">
        <f>500/12+ 400/12+'Compte de Résultat'!$G$15/12</f>
        <v>192.5</v>
      </c>
      <c r="BC29" s="68">
        <f>500/12+ 400/12+'Compte de Résultat'!$G$15/12</f>
        <v>192.5</v>
      </c>
      <c r="BD29" s="68">
        <f>500/12+ 400/12+'Compte de Résultat'!$G$15/12</f>
        <v>192.5</v>
      </c>
      <c r="BE29" s="68">
        <f>500/12+ 400/12+'Compte de Résultat'!$G$15/12</f>
        <v>192.5</v>
      </c>
      <c r="BF29" s="68">
        <f>500/12+ 400/12+'Compte de Résultat'!$G$15/12</f>
        <v>192.5</v>
      </c>
      <c r="BG29" s="68">
        <f>500/12+ 400/12+'Compte de Résultat'!$G$15/12</f>
        <v>192.5</v>
      </c>
      <c r="BH29" s="68">
        <f>500/12+ 400/12+'Compte de Résultat'!$G$15/12</f>
        <v>192.5</v>
      </c>
      <c r="BI29" s="68">
        <f>500/12+ 400/12+'Compte de Résultat'!$G$15/12</f>
        <v>192.5</v>
      </c>
      <c r="BJ29" s="68">
        <f>500/12+ 400/12+'Compte de Résultat'!$G$15/12</f>
        <v>192.5</v>
      </c>
      <c r="BK29" s="68">
        <f>500/12+ 400/12+'Compte de Résultat'!$G$15/12</f>
        <v>192.5</v>
      </c>
    </row>
    <row r="30" spans="1:63" ht="12.75" x14ac:dyDescent="0.2">
      <c r="A30" s="122"/>
      <c r="B30" s="126" t="s">
        <v>138</v>
      </c>
      <c r="C30" s="112"/>
      <c r="D30" s="68">
        <f>'Compte de Résultat'!C10</f>
        <v>685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68">
        <v>0</v>
      </c>
      <c r="AG30" s="68">
        <v>0</v>
      </c>
      <c r="AH30" s="68">
        <v>0</v>
      </c>
      <c r="AI30" s="68">
        <v>0</v>
      </c>
      <c r="AJ30" s="68">
        <v>0</v>
      </c>
      <c r="AK30" s="68">
        <v>0</v>
      </c>
      <c r="AL30" s="68">
        <v>0</v>
      </c>
      <c r="AM30" s="68">
        <v>0</v>
      </c>
      <c r="AN30" s="68">
        <v>0</v>
      </c>
      <c r="AO30" s="68">
        <v>0</v>
      </c>
      <c r="AP30" s="68">
        <v>0</v>
      </c>
      <c r="AQ30" s="68">
        <v>0</v>
      </c>
      <c r="AR30" s="68">
        <v>0</v>
      </c>
      <c r="AS30" s="68">
        <v>0</v>
      </c>
      <c r="AT30" s="68">
        <v>0</v>
      </c>
      <c r="AU30" s="68">
        <v>0</v>
      </c>
      <c r="AV30" s="68">
        <v>0</v>
      </c>
      <c r="AW30" s="68">
        <v>0</v>
      </c>
      <c r="AX30" s="68">
        <v>0</v>
      </c>
      <c r="AY30" s="68">
        <v>0</v>
      </c>
      <c r="AZ30" s="68">
        <v>0</v>
      </c>
      <c r="BA30" s="68">
        <v>0</v>
      </c>
      <c r="BB30" s="68">
        <v>0</v>
      </c>
      <c r="BC30" s="68">
        <v>0</v>
      </c>
      <c r="BD30" s="68">
        <v>0</v>
      </c>
      <c r="BE30" s="68">
        <v>0</v>
      </c>
      <c r="BF30" s="68">
        <v>0</v>
      </c>
      <c r="BG30" s="68">
        <v>0</v>
      </c>
      <c r="BH30" s="68">
        <v>0</v>
      </c>
      <c r="BI30" s="68">
        <v>0</v>
      </c>
      <c r="BJ30" s="68">
        <v>0</v>
      </c>
      <c r="BK30" s="68">
        <v>0</v>
      </c>
    </row>
    <row r="31" spans="1:63" ht="12.75" x14ac:dyDescent="0.2">
      <c r="A31" s="122"/>
      <c r="B31" s="126" t="s">
        <v>89</v>
      </c>
      <c r="C31" s="112"/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>
        <v>0</v>
      </c>
      <c r="AN31" s="57">
        <v>0</v>
      </c>
      <c r="AO31" s="57">
        <v>0</v>
      </c>
      <c r="AP31" s="57">
        <v>0</v>
      </c>
      <c r="AQ31" s="57">
        <v>0</v>
      </c>
      <c r="AR31" s="57">
        <v>0</v>
      </c>
      <c r="AS31" s="57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61">
        <v>0</v>
      </c>
      <c r="AZ31" s="61">
        <v>0</v>
      </c>
      <c r="BA31" s="61">
        <v>0</v>
      </c>
      <c r="BB31" s="61">
        <v>0</v>
      </c>
      <c r="BC31" s="61">
        <v>0</v>
      </c>
      <c r="BD31" s="61">
        <v>0</v>
      </c>
      <c r="BE31" s="61">
        <v>0</v>
      </c>
      <c r="BF31" s="61">
        <v>0</v>
      </c>
      <c r="BG31" s="61">
        <v>0</v>
      </c>
      <c r="BH31" s="61">
        <v>0</v>
      </c>
      <c r="BI31" s="61">
        <v>0</v>
      </c>
      <c r="BJ31" s="61">
        <v>0</v>
      </c>
      <c r="BK31" s="61">
        <v>0</v>
      </c>
    </row>
    <row r="32" spans="1:63" ht="12.75" x14ac:dyDescent="0.2">
      <c r="A32" s="122"/>
      <c r="B32" s="126" t="s">
        <v>90</v>
      </c>
      <c r="C32" s="112"/>
      <c r="D32" s="68">
        <f>'Compte de Résultat'!$C$56</f>
        <v>7500</v>
      </c>
      <c r="E32" s="68">
        <f>'Compte de Résultat'!$C$56</f>
        <v>7500</v>
      </c>
      <c r="F32" s="68">
        <f>'Compte de Résultat'!$C$56</f>
        <v>7500</v>
      </c>
      <c r="G32" s="68">
        <f>'Compte de Résultat'!$C$56</f>
        <v>7500</v>
      </c>
      <c r="H32" s="68">
        <f>'Compte de Résultat'!$C$56</f>
        <v>7500</v>
      </c>
      <c r="I32" s="68">
        <f>'Compte de Résultat'!$C$56</f>
        <v>7500</v>
      </c>
      <c r="J32" s="68">
        <f>'Compte de Résultat'!$C$56</f>
        <v>7500</v>
      </c>
      <c r="K32" s="68">
        <f>'Compte de Résultat'!$C$56</f>
        <v>7500</v>
      </c>
      <c r="L32" s="68">
        <f>'Compte de Résultat'!$C$56</f>
        <v>7500</v>
      </c>
      <c r="M32" s="68">
        <f>'Compte de Résultat'!$C$56</f>
        <v>7500</v>
      </c>
      <c r="N32" s="68">
        <f>'Compte de Résultat'!$C$56</f>
        <v>7500</v>
      </c>
      <c r="O32" s="68">
        <f>'Compte de Résultat'!$C$56</f>
        <v>7500</v>
      </c>
      <c r="P32" s="68">
        <f>'Compte de Résultat'!$D$56</f>
        <v>7500</v>
      </c>
      <c r="Q32" s="68">
        <f>'Compte de Résultat'!$D$56</f>
        <v>7500</v>
      </c>
      <c r="R32" s="68">
        <f>'Compte de Résultat'!$D$56</f>
        <v>7500</v>
      </c>
      <c r="S32" s="68">
        <f>'Compte de Résultat'!$D$56</f>
        <v>7500</v>
      </c>
      <c r="T32" s="68">
        <f>'Compte de Résultat'!$D$56</f>
        <v>7500</v>
      </c>
      <c r="U32" s="68">
        <f>'Compte de Résultat'!$D$56</f>
        <v>7500</v>
      </c>
      <c r="V32" s="68">
        <f>'Compte de Résultat'!$D$56</f>
        <v>7500</v>
      </c>
      <c r="W32" s="68">
        <f>'Compte de Résultat'!$D$56</f>
        <v>7500</v>
      </c>
      <c r="X32" s="68">
        <f>'Compte de Résultat'!$D$56</f>
        <v>7500</v>
      </c>
      <c r="Y32" s="68">
        <f>'Compte de Résultat'!$D$56</f>
        <v>7500</v>
      </c>
      <c r="Z32" s="68">
        <f>'Compte de Résultat'!$D$56</f>
        <v>7500</v>
      </c>
      <c r="AA32" s="68">
        <f>'Compte de Résultat'!$D$56</f>
        <v>7500</v>
      </c>
      <c r="AB32" s="68">
        <f>'Compte de Résultat'!$E$56</f>
        <v>8750</v>
      </c>
      <c r="AC32" s="68">
        <f>'Compte de Résultat'!$E$56</f>
        <v>8750</v>
      </c>
      <c r="AD32" s="68">
        <f>'Compte de Résultat'!$E$56</f>
        <v>8750</v>
      </c>
      <c r="AE32" s="68">
        <f>'Compte de Résultat'!$E$56</f>
        <v>8750</v>
      </c>
      <c r="AF32" s="68">
        <f>'Compte de Résultat'!$E$56</f>
        <v>8750</v>
      </c>
      <c r="AG32" s="68">
        <f>'Compte de Résultat'!$E$56</f>
        <v>8750</v>
      </c>
      <c r="AH32" s="68">
        <f>'Compte de Résultat'!$E$56</f>
        <v>8750</v>
      </c>
      <c r="AI32" s="68">
        <f>'Compte de Résultat'!$E$56</f>
        <v>8750</v>
      </c>
      <c r="AJ32" s="68">
        <f>'Compte de Résultat'!$E$56</f>
        <v>8750</v>
      </c>
      <c r="AK32" s="68">
        <f>'Compte de Résultat'!$E$56</f>
        <v>8750</v>
      </c>
      <c r="AL32" s="68">
        <f>'Compte de Résultat'!$E$56</f>
        <v>8750</v>
      </c>
      <c r="AM32" s="68">
        <f>'Compte de Résultat'!$E$56</f>
        <v>8750</v>
      </c>
      <c r="AN32" s="68">
        <f>'Compte de Résultat'!$F$56</f>
        <v>11800</v>
      </c>
      <c r="AO32" s="68">
        <f>'Compte de Résultat'!$F$56</f>
        <v>11800</v>
      </c>
      <c r="AP32" s="68">
        <f>'Compte de Résultat'!$F$56</f>
        <v>11800</v>
      </c>
      <c r="AQ32" s="68">
        <f>'Compte de Résultat'!$F$56</f>
        <v>11800</v>
      </c>
      <c r="AR32" s="68">
        <f>'Compte de Résultat'!$F$56</f>
        <v>11800</v>
      </c>
      <c r="AS32" s="68">
        <f>'Compte de Résultat'!$F$56</f>
        <v>11800</v>
      </c>
      <c r="AT32" s="68">
        <f>'Compte de Résultat'!$F$56</f>
        <v>11800</v>
      </c>
      <c r="AU32" s="68">
        <f>'Compte de Résultat'!$F$56</f>
        <v>11800</v>
      </c>
      <c r="AV32" s="68">
        <f>'Compte de Résultat'!$F$56</f>
        <v>11800</v>
      </c>
      <c r="AW32" s="68">
        <f>'Compte de Résultat'!$F$56</f>
        <v>11800</v>
      </c>
      <c r="AX32" s="68">
        <f>'Compte de Résultat'!$F$56</f>
        <v>11800</v>
      </c>
      <c r="AY32" s="69">
        <f>'Compte de Résultat'!$F$56</f>
        <v>11800</v>
      </c>
      <c r="AZ32" s="69">
        <f>'Compte de Résultat'!$G$56</f>
        <v>13800</v>
      </c>
      <c r="BA32" s="69">
        <f>'Compte de Résultat'!$G$56</f>
        <v>13800</v>
      </c>
      <c r="BB32" s="69">
        <f>'Compte de Résultat'!$G$56</f>
        <v>13800</v>
      </c>
      <c r="BC32" s="69">
        <f>'Compte de Résultat'!$G$56</f>
        <v>13800</v>
      </c>
      <c r="BD32" s="69">
        <f>'Compte de Résultat'!$G$56</f>
        <v>13800</v>
      </c>
      <c r="BE32" s="69">
        <f>'Compte de Résultat'!$G$56</f>
        <v>13800</v>
      </c>
      <c r="BF32" s="69">
        <f>'Compte de Résultat'!$G$56</f>
        <v>13800</v>
      </c>
      <c r="BG32" s="69">
        <f>'Compte de Résultat'!$G$56</f>
        <v>13800</v>
      </c>
      <c r="BH32" s="69">
        <f>'Compte de Résultat'!$G$56</f>
        <v>13800</v>
      </c>
      <c r="BI32" s="69">
        <f>'Compte de Résultat'!$G$56</f>
        <v>13800</v>
      </c>
      <c r="BJ32" s="69">
        <f>'Compte de Résultat'!$G$56</f>
        <v>13800</v>
      </c>
      <c r="BK32" s="69">
        <f>'Compte de Résultat'!$G$56</f>
        <v>13800</v>
      </c>
    </row>
    <row r="33" spans="1:72" ht="12.75" x14ac:dyDescent="0.2">
      <c r="A33" s="122"/>
      <c r="B33" s="126" t="s">
        <v>91</v>
      </c>
      <c r="C33" s="112"/>
      <c r="D33" s="68">
        <f>0.2375*D32</f>
        <v>1781.25</v>
      </c>
      <c r="E33" s="68">
        <f t="shared" ref="E33:BK33" si="21">0.2375*E32</f>
        <v>1781.25</v>
      </c>
      <c r="F33" s="68">
        <f t="shared" si="21"/>
        <v>1781.25</v>
      </c>
      <c r="G33" s="68">
        <f t="shared" si="21"/>
        <v>1781.25</v>
      </c>
      <c r="H33" s="68">
        <f t="shared" si="21"/>
        <v>1781.25</v>
      </c>
      <c r="I33" s="68">
        <f t="shared" si="21"/>
        <v>1781.25</v>
      </c>
      <c r="J33" s="68">
        <f t="shared" si="21"/>
        <v>1781.25</v>
      </c>
      <c r="K33" s="68">
        <f t="shared" si="21"/>
        <v>1781.25</v>
      </c>
      <c r="L33" s="68">
        <f t="shared" si="21"/>
        <v>1781.25</v>
      </c>
      <c r="M33" s="68">
        <f t="shared" si="21"/>
        <v>1781.25</v>
      </c>
      <c r="N33" s="68">
        <f t="shared" si="21"/>
        <v>1781.25</v>
      </c>
      <c r="O33" s="68">
        <f t="shared" si="21"/>
        <v>1781.25</v>
      </c>
      <c r="P33" s="68">
        <f t="shared" si="21"/>
        <v>1781.25</v>
      </c>
      <c r="Q33" s="68">
        <f t="shared" si="21"/>
        <v>1781.25</v>
      </c>
      <c r="R33" s="68">
        <f t="shared" si="21"/>
        <v>1781.25</v>
      </c>
      <c r="S33" s="68">
        <f t="shared" si="21"/>
        <v>1781.25</v>
      </c>
      <c r="T33" s="68">
        <f t="shared" si="21"/>
        <v>1781.25</v>
      </c>
      <c r="U33" s="68">
        <f t="shared" si="21"/>
        <v>1781.25</v>
      </c>
      <c r="V33" s="68">
        <f t="shared" si="21"/>
        <v>1781.25</v>
      </c>
      <c r="W33" s="68">
        <f t="shared" si="21"/>
        <v>1781.25</v>
      </c>
      <c r="X33" s="68">
        <f t="shared" si="21"/>
        <v>1781.25</v>
      </c>
      <c r="Y33" s="68">
        <f t="shared" si="21"/>
        <v>1781.25</v>
      </c>
      <c r="Z33" s="68">
        <f t="shared" si="21"/>
        <v>1781.25</v>
      </c>
      <c r="AA33" s="68">
        <f t="shared" si="21"/>
        <v>1781.25</v>
      </c>
      <c r="AB33" s="68">
        <f t="shared" si="21"/>
        <v>2078.125</v>
      </c>
      <c r="AC33" s="68">
        <f t="shared" si="21"/>
        <v>2078.125</v>
      </c>
      <c r="AD33" s="68">
        <f t="shared" si="21"/>
        <v>2078.125</v>
      </c>
      <c r="AE33" s="68">
        <f t="shared" si="21"/>
        <v>2078.125</v>
      </c>
      <c r="AF33" s="68">
        <f t="shared" si="21"/>
        <v>2078.125</v>
      </c>
      <c r="AG33" s="68">
        <f t="shared" si="21"/>
        <v>2078.125</v>
      </c>
      <c r="AH33" s="68">
        <f t="shared" si="21"/>
        <v>2078.125</v>
      </c>
      <c r="AI33" s="68">
        <f t="shared" si="21"/>
        <v>2078.125</v>
      </c>
      <c r="AJ33" s="68">
        <f t="shared" si="21"/>
        <v>2078.125</v>
      </c>
      <c r="AK33" s="68">
        <f t="shared" si="21"/>
        <v>2078.125</v>
      </c>
      <c r="AL33" s="68">
        <f t="shared" si="21"/>
        <v>2078.125</v>
      </c>
      <c r="AM33" s="68">
        <f t="shared" si="21"/>
        <v>2078.125</v>
      </c>
      <c r="AN33" s="68">
        <f t="shared" si="21"/>
        <v>2802.5</v>
      </c>
      <c r="AO33" s="68">
        <f t="shared" si="21"/>
        <v>2802.5</v>
      </c>
      <c r="AP33" s="68">
        <f t="shared" si="21"/>
        <v>2802.5</v>
      </c>
      <c r="AQ33" s="68">
        <f t="shared" si="21"/>
        <v>2802.5</v>
      </c>
      <c r="AR33" s="68">
        <f t="shared" si="21"/>
        <v>2802.5</v>
      </c>
      <c r="AS33" s="68">
        <f t="shared" si="21"/>
        <v>2802.5</v>
      </c>
      <c r="AT33" s="68">
        <f t="shared" si="21"/>
        <v>2802.5</v>
      </c>
      <c r="AU33" s="68">
        <f t="shared" si="21"/>
        <v>2802.5</v>
      </c>
      <c r="AV33" s="68">
        <f t="shared" si="21"/>
        <v>2802.5</v>
      </c>
      <c r="AW33" s="68">
        <f t="shared" si="21"/>
        <v>2802.5</v>
      </c>
      <c r="AX33" s="68">
        <f t="shared" si="21"/>
        <v>2802.5</v>
      </c>
      <c r="AY33" s="68">
        <f t="shared" si="21"/>
        <v>2802.5</v>
      </c>
      <c r="AZ33" s="68">
        <f t="shared" si="21"/>
        <v>3277.5</v>
      </c>
      <c r="BA33" s="68">
        <f t="shared" si="21"/>
        <v>3277.5</v>
      </c>
      <c r="BB33" s="68">
        <f t="shared" si="21"/>
        <v>3277.5</v>
      </c>
      <c r="BC33" s="68">
        <f t="shared" si="21"/>
        <v>3277.5</v>
      </c>
      <c r="BD33" s="68">
        <f t="shared" si="21"/>
        <v>3277.5</v>
      </c>
      <c r="BE33" s="68">
        <f t="shared" si="21"/>
        <v>3277.5</v>
      </c>
      <c r="BF33" s="68">
        <f t="shared" si="21"/>
        <v>3277.5</v>
      </c>
      <c r="BG33" s="68">
        <f t="shared" si="21"/>
        <v>3277.5</v>
      </c>
      <c r="BH33" s="68">
        <f t="shared" si="21"/>
        <v>3277.5</v>
      </c>
      <c r="BI33" s="68">
        <f t="shared" si="21"/>
        <v>3277.5</v>
      </c>
      <c r="BJ33" s="68">
        <f t="shared" si="21"/>
        <v>3277.5</v>
      </c>
      <c r="BK33" s="68">
        <f t="shared" si="21"/>
        <v>3277.5</v>
      </c>
    </row>
    <row r="34" spans="1:72" ht="12.75" x14ac:dyDescent="0.2">
      <c r="A34" s="122"/>
      <c r="B34" s="126" t="s">
        <v>93</v>
      </c>
      <c r="C34" s="112"/>
      <c r="D34" s="68">
        <f>'Compte de Résultat'!$C$20/12</f>
        <v>161.875</v>
      </c>
      <c r="E34" s="68">
        <f>'Compte de Résultat'!$C$20/12</f>
        <v>161.875</v>
      </c>
      <c r="F34" s="68">
        <f>'Compte de Résultat'!$C$20/12</f>
        <v>161.875</v>
      </c>
      <c r="G34" s="68">
        <f>'Compte de Résultat'!$C$20/12</f>
        <v>161.875</v>
      </c>
      <c r="H34" s="68">
        <f>'Compte de Résultat'!$C$20/12</f>
        <v>161.875</v>
      </c>
      <c r="I34" s="68">
        <f>'Compte de Résultat'!$C$20/12</f>
        <v>161.875</v>
      </c>
      <c r="J34" s="68">
        <f>'Compte de Résultat'!$C$20/12</f>
        <v>161.875</v>
      </c>
      <c r="K34" s="68">
        <f>'Compte de Résultat'!$C$20/12</f>
        <v>161.875</v>
      </c>
      <c r="L34" s="68">
        <f>'Compte de Résultat'!$C$20/12</f>
        <v>161.875</v>
      </c>
      <c r="M34" s="68">
        <f>'Compte de Résultat'!$C$20/12</f>
        <v>161.875</v>
      </c>
      <c r="N34" s="68">
        <f>'Compte de Résultat'!$C$20/12</f>
        <v>161.875</v>
      </c>
      <c r="O34" s="68">
        <f>'Compte de Résultat'!$C$20/12</f>
        <v>161.875</v>
      </c>
      <c r="P34" s="68">
        <f>'Compte de Résultat'!$D$20/12</f>
        <v>202.78125</v>
      </c>
      <c r="Q34" s="68">
        <f>'Compte de Résultat'!$D$20/12</f>
        <v>202.78125</v>
      </c>
      <c r="R34" s="68">
        <f>'Compte de Résultat'!$D$20/12</f>
        <v>202.78125</v>
      </c>
      <c r="S34" s="68">
        <f>'Compte de Résultat'!$D$20/12</f>
        <v>202.78125</v>
      </c>
      <c r="T34" s="68">
        <f>'Compte de Résultat'!$D$20/12</f>
        <v>202.78125</v>
      </c>
      <c r="U34" s="68">
        <f>'Compte de Résultat'!$D$20/12</f>
        <v>202.78125</v>
      </c>
      <c r="V34" s="68">
        <f>'Compte de Résultat'!$D$20/12</f>
        <v>202.78125</v>
      </c>
      <c r="W34" s="68">
        <f>'Compte de Résultat'!$D$20/12</f>
        <v>202.78125</v>
      </c>
      <c r="X34" s="68">
        <f>'Compte de Résultat'!$D$20/12</f>
        <v>202.78125</v>
      </c>
      <c r="Y34" s="68">
        <f>'Compte de Résultat'!$D$20/12</f>
        <v>202.78125</v>
      </c>
      <c r="Z34" s="68">
        <f>'Compte de Résultat'!$D$20/12</f>
        <v>202.78125</v>
      </c>
      <c r="AA34" s="68">
        <f>'Compte de Résultat'!$D$20/12</f>
        <v>202.78125</v>
      </c>
      <c r="AB34" s="68">
        <f>'Compte de Résultat'!$E$20/12</f>
        <v>380.64499999999998</v>
      </c>
      <c r="AC34" s="68">
        <f>'Compte de Résultat'!$E$20/12</f>
        <v>380.64499999999998</v>
      </c>
      <c r="AD34" s="68">
        <f>'Compte de Résultat'!$E$20/12</f>
        <v>380.64499999999998</v>
      </c>
      <c r="AE34" s="68">
        <f>'Compte de Résultat'!$E$20/12</f>
        <v>380.64499999999998</v>
      </c>
      <c r="AF34" s="68">
        <f>'Compte de Résultat'!$E$20/12</f>
        <v>380.64499999999998</v>
      </c>
      <c r="AG34" s="68">
        <f>'Compte de Résultat'!$E$20/12</f>
        <v>380.64499999999998</v>
      </c>
      <c r="AH34" s="68">
        <f>'Compte de Résultat'!$E$20/12</f>
        <v>380.64499999999998</v>
      </c>
      <c r="AI34" s="68">
        <f>'Compte de Résultat'!$E$20/12</f>
        <v>380.64499999999998</v>
      </c>
      <c r="AJ34" s="68">
        <f>'Compte de Résultat'!$E$20/12</f>
        <v>380.64499999999998</v>
      </c>
      <c r="AK34" s="68">
        <f>'Compte de Résultat'!$E$20/12</f>
        <v>380.64499999999998</v>
      </c>
      <c r="AL34" s="68">
        <f>'Compte de Résultat'!$E$20/12</f>
        <v>380.64499999999998</v>
      </c>
      <c r="AM34" s="68">
        <f>'Compte de Résultat'!$E$20/12</f>
        <v>380.64499999999998</v>
      </c>
      <c r="AN34" s="68">
        <f>'Compte de Résultat'!$F$20/12</f>
        <v>594.70375000000001</v>
      </c>
      <c r="AO34" s="68">
        <f>'Compte de Résultat'!$F$20/12</f>
        <v>594.70375000000001</v>
      </c>
      <c r="AP34" s="68">
        <f>'Compte de Résultat'!$F$20/12</f>
        <v>594.70375000000001</v>
      </c>
      <c r="AQ34" s="68">
        <f>'Compte de Résultat'!$F$20/12</f>
        <v>594.70375000000001</v>
      </c>
      <c r="AR34" s="68">
        <f>'Compte de Résultat'!$F$20/12</f>
        <v>594.70375000000001</v>
      </c>
      <c r="AS34" s="68">
        <f>'Compte de Résultat'!$F$20/12</f>
        <v>594.70375000000001</v>
      </c>
      <c r="AT34" s="68">
        <f>'Compte de Résultat'!$F$20/12</f>
        <v>594.70375000000001</v>
      </c>
      <c r="AU34" s="68">
        <f>'Compte de Résultat'!$F$20/12</f>
        <v>594.70375000000001</v>
      </c>
      <c r="AV34" s="68">
        <f>'Compte de Résultat'!$F$20/12</f>
        <v>594.70375000000001</v>
      </c>
      <c r="AW34" s="68">
        <f>'Compte de Résultat'!$F$20/12</f>
        <v>594.70375000000001</v>
      </c>
      <c r="AX34" s="68">
        <f>'Compte de Résultat'!$F$20/12</f>
        <v>594.70375000000001</v>
      </c>
      <c r="AY34" s="68">
        <f>'Compte de Résultat'!$G$20/12</f>
        <v>681.28125</v>
      </c>
      <c r="AZ34" s="68">
        <f>'Compte de Résultat'!$G$20/12</f>
        <v>681.28125</v>
      </c>
      <c r="BA34" s="68">
        <f>'Compte de Résultat'!$G$20/12</f>
        <v>681.28125</v>
      </c>
      <c r="BB34" s="68">
        <f>'Compte de Résultat'!$G$20/12</f>
        <v>681.28125</v>
      </c>
      <c r="BC34" s="68">
        <f>'Compte de Résultat'!$G$20/12</f>
        <v>681.28125</v>
      </c>
      <c r="BD34" s="68">
        <f>'Compte de Résultat'!$G$20/12</f>
        <v>681.28125</v>
      </c>
      <c r="BE34" s="68">
        <f>'Compte de Résultat'!$G$20/12</f>
        <v>681.28125</v>
      </c>
      <c r="BF34" s="68">
        <f>'Compte de Résultat'!$G$20/12</f>
        <v>681.28125</v>
      </c>
      <c r="BG34" s="68">
        <f>'Compte de Résultat'!$G$20/12</f>
        <v>681.28125</v>
      </c>
      <c r="BH34" s="68">
        <f>'Compte de Résultat'!$G$20/12</f>
        <v>681.28125</v>
      </c>
      <c r="BI34" s="68">
        <f>'Compte de Résultat'!$G$20/12</f>
        <v>681.28125</v>
      </c>
      <c r="BJ34" s="68">
        <f>'Compte de Résultat'!$G$20/12</f>
        <v>681.28125</v>
      </c>
      <c r="BK34" s="68">
        <f>'Compte de Résultat'!$G$20/12</f>
        <v>681.28125</v>
      </c>
    </row>
    <row r="35" spans="1:72" ht="12.75" x14ac:dyDescent="0.2">
      <c r="A35" s="122"/>
      <c r="B35" s="126" t="s">
        <v>94</v>
      </c>
      <c r="C35" s="112"/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48">
        <v>0</v>
      </c>
      <c r="AB35" s="48">
        <f>'Compte de Résultat'!$E$28/12</f>
        <v>208.32616666666675</v>
      </c>
      <c r="AC35" s="48">
        <f>'Compte de Résultat'!$E$28/12</f>
        <v>208.32616666666675</v>
      </c>
      <c r="AD35" s="48">
        <f>'Compte de Résultat'!$E$28/12</f>
        <v>208.32616666666675</v>
      </c>
      <c r="AE35" s="48">
        <f>'Compte de Résultat'!$E$28/12</f>
        <v>208.32616666666675</v>
      </c>
      <c r="AF35" s="48">
        <f>'Compte de Résultat'!$E$28/12</f>
        <v>208.32616666666675</v>
      </c>
      <c r="AG35" s="48">
        <f>'Compte de Résultat'!$E$28/12</f>
        <v>208.32616666666675</v>
      </c>
      <c r="AH35" s="48">
        <f>'Compte de Résultat'!$E$28/12</f>
        <v>208.32616666666675</v>
      </c>
      <c r="AI35" s="48">
        <f>'Compte de Résultat'!$E$28/12</f>
        <v>208.32616666666675</v>
      </c>
      <c r="AJ35" s="48">
        <f>'Compte de Résultat'!$E$28/12</f>
        <v>208.32616666666675</v>
      </c>
      <c r="AK35" s="48">
        <f>'Compte de Résultat'!$E$28/12</f>
        <v>208.32616666666675</v>
      </c>
      <c r="AL35" s="48">
        <f>'Compte de Résultat'!$E$28/12</f>
        <v>208.32616666666675</v>
      </c>
      <c r="AM35" s="48">
        <f>'Compte de Résultat'!$E$28/12</f>
        <v>208.32616666666675</v>
      </c>
      <c r="AN35" s="48">
        <f>'Compte de Résultat'!$F$28/12</f>
        <v>672.02152083333317</v>
      </c>
      <c r="AO35" s="48">
        <f>'Compte de Résultat'!$F$28/12</f>
        <v>672.02152083333317</v>
      </c>
      <c r="AP35" s="48">
        <f>'Compte de Résultat'!$F$28/12</f>
        <v>672.02152083333317</v>
      </c>
      <c r="AQ35" s="48">
        <f>'Compte de Résultat'!$F$28/12</f>
        <v>672.02152083333317</v>
      </c>
      <c r="AR35" s="48">
        <f>'Compte de Résultat'!$F$28/12</f>
        <v>672.02152083333317</v>
      </c>
      <c r="AS35" s="48">
        <f>'Compte de Résultat'!$F$28/12</f>
        <v>672.02152083333317</v>
      </c>
      <c r="AT35" s="48">
        <f>'Compte de Résultat'!$F$28/12</f>
        <v>672.02152083333317</v>
      </c>
      <c r="AU35" s="48">
        <f>'Compte de Résultat'!$F$28/12</f>
        <v>672.02152083333317</v>
      </c>
      <c r="AV35" s="48">
        <f>'Compte de Résultat'!$F$28/12</f>
        <v>672.02152083333317</v>
      </c>
      <c r="AW35" s="48">
        <f>'Compte de Résultat'!$F$28/12</f>
        <v>672.02152083333317</v>
      </c>
      <c r="AX35" s="48">
        <f>'Compte de Résultat'!$F$28/12</f>
        <v>672.02152083333317</v>
      </c>
      <c r="AY35" s="48">
        <f>'Compte de Résultat'!$F$28/12</f>
        <v>672.02152083333317</v>
      </c>
      <c r="AZ35" s="48">
        <f>'Compte de Résultat'!$G$28/12</f>
        <v>720.67239583333321</v>
      </c>
      <c r="BA35" s="48">
        <f>'Compte de Résultat'!$G$28/12</f>
        <v>720.67239583333321</v>
      </c>
      <c r="BB35" s="48">
        <f>'Compte de Résultat'!$G$28/12</f>
        <v>720.67239583333321</v>
      </c>
      <c r="BC35" s="48">
        <f>'Compte de Résultat'!$G$28/12</f>
        <v>720.67239583333321</v>
      </c>
      <c r="BD35" s="48">
        <f>'Compte de Résultat'!$G$28/12</f>
        <v>720.67239583333321</v>
      </c>
      <c r="BE35" s="48">
        <f>'Compte de Résultat'!$G$28/12</f>
        <v>720.67239583333321</v>
      </c>
      <c r="BF35" s="48">
        <f>'Compte de Résultat'!$G$28/12</f>
        <v>720.67239583333321</v>
      </c>
      <c r="BG35" s="48">
        <f>'Compte de Résultat'!$G$28/12</f>
        <v>720.67239583333321</v>
      </c>
      <c r="BH35" s="48">
        <f>'Compte de Résultat'!$G$28/12</f>
        <v>720.67239583333321</v>
      </c>
      <c r="BI35" s="48">
        <f>'Compte de Résultat'!$G$28/12</f>
        <v>720.67239583333321</v>
      </c>
      <c r="BJ35" s="48">
        <f>'Compte de Résultat'!$G$28/12</f>
        <v>720.67239583333321</v>
      </c>
      <c r="BK35" s="48">
        <f>'Compte de Résultat'!$G$28/12</f>
        <v>720.67239583333321</v>
      </c>
    </row>
    <row r="36" spans="1:72" ht="12.75" x14ac:dyDescent="0.2">
      <c r="A36" s="123"/>
      <c r="B36" s="126" t="s">
        <v>95</v>
      </c>
      <c r="C36" s="112"/>
      <c r="D36" s="97">
        <f>'Compte de Résultat'!$C$11/12</f>
        <v>2531.25</v>
      </c>
      <c r="E36" s="97">
        <f>'Compte de Résultat'!$C$11/12</f>
        <v>2531.25</v>
      </c>
      <c r="F36" s="97">
        <f>'Compte de Résultat'!$C$11/12</f>
        <v>2531.25</v>
      </c>
      <c r="G36" s="97">
        <f>'Compte de Résultat'!$C$11/12</f>
        <v>2531.25</v>
      </c>
      <c r="H36" s="97">
        <f>'Compte de Résultat'!$C$11/12</f>
        <v>2531.25</v>
      </c>
      <c r="I36" s="97">
        <f>'Compte de Résultat'!$C$11/12</f>
        <v>2531.25</v>
      </c>
      <c r="J36" s="97">
        <f>'Compte de Résultat'!$C$11/12</f>
        <v>2531.25</v>
      </c>
      <c r="K36" s="97">
        <f>'Compte de Résultat'!$C$11/12</f>
        <v>2531.25</v>
      </c>
      <c r="L36" s="97">
        <f>'Compte de Résultat'!$C$11/12</f>
        <v>2531.25</v>
      </c>
      <c r="M36" s="97">
        <f>'Compte de Résultat'!$C$11/12</f>
        <v>2531.25</v>
      </c>
      <c r="N36" s="97">
        <f>'Compte de Résultat'!$C$11/12</f>
        <v>2531.25</v>
      </c>
      <c r="O36" s="97">
        <f>'Compte de Résultat'!$C$11/12</f>
        <v>2531.25</v>
      </c>
      <c r="P36" s="98">
        <f>'Compte de Résultat'!$D$11/12</f>
        <v>3553.125</v>
      </c>
      <c r="Q36" s="98">
        <f>'Compte de Résultat'!$D$11/12</f>
        <v>3553.125</v>
      </c>
      <c r="R36" s="98">
        <f>'Compte de Résultat'!$D$11/12</f>
        <v>3553.125</v>
      </c>
      <c r="S36" s="98">
        <f>'Compte de Résultat'!$D$11/12</f>
        <v>3553.125</v>
      </c>
      <c r="T36" s="98">
        <f>'Compte de Résultat'!$D$11/12</f>
        <v>3553.125</v>
      </c>
      <c r="U36" s="98">
        <f>'Compte de Résultat'!$D$11/12</f>
        <v>3553.125</v>
      </c>
      <c r="V36" s="98">
        <f>'Compte de Résultat'!$D$11/12</f>
        <v>3553.125</v>
      </c>
      <c r="W36" s="98">
        <f>'Compte de Résultat'!$D$11/12</f>
        <v>3553.125</v>
      </c>
      <c r="X36" s="98">
        <f>'Compte de Résultat'!$D$11/12</f>
        <v>3553.125</v>
      </c>
      <c r="Y36" s="98">
        <f>'Compte de Résultat'!$D$11/12</f>
        <v>3553.125</v>
      </c>
      <c r="Z36" s="98">
        <f>'Compte de Résultat'!$D$11/12</f>
        <v>3553.125</v>
      </c>
      <c r="AA36" s="98">
        <f>'Compte de Résultat'!$D$11/12</f>
        <v>3553.125</v>
      </c>
      <c r="AB36" s="52">
        <f>'Compte de Résultat'!$E$11/12</f>
        <v>6429.75</v>
      </c>
      <c r="AC36" s="74">
        <f>'Compte de Résultat'!$E$11/12</f>
        <v>6429.75</v>
      </c>
      <c r="AD36" s="74">
        <f>'Compte de Résultat'!$E$11/12</f>
        <v>6429.75</v>
      </c>
      <c r="AE36" s="74">
        <f>'Compte de Résultat'!$E$11/12</f>
        <v>6429.75</v>
      </c>
      <c r="AF36" s="74">
        <f>'Compte de Résultat'!$E$11/12</f>
        <v>6429.75</v>
      </c>
      <c r="AG36" s="74">
        <f>'Compte de Résultat'!$E$11/12</f>
        <v>6429.75</v>
      </c>
      <c r="AH36" s="74">
        <f>'Compte de Résultat'!$E$11/12</f>
        <v>6429.75</v>
      </c>
      <c r="AI36" s="74">
        <f>'Compte de Résultat'!$E$11/12</f>
        <v>6429.75</v>
      </c>
      <c r="AJ36" s="74">
        <f>'Compte de Résultat'!$E$11/12</f>
        <v>6429.75</v>
      </c>
      <c r="AK36" s="74">
        <f>'Compte de Résultat'!$E$11/12</f>
        <v>6429.75</v>
      </c>
      <c r="AL36" s="74">
        <f>'Compte de Résultat'!$E$11/12</f>
        <v>6429.75</v>
      </c>
      <c r="AM36" s="74">
        <f>'Compte de Résultat'!$E$11/12</f>
        <v>6429.75</v>
      </c>
      <c r="AN36" s="52">
        <f>'Compte de Résultat'!$F$11/12</f>
        <v>9421.125</v>
      </c>
      <c r="AO36" s="74">
        <f>'Compte de Résultat'!$F$11/12</f>
        <v>9421.125</v>
      </c>
      <c r="AP36" s="74">
        <f>'Compte de Résultat'!$F$11/12</f>
        <v>9421.125</v>
      </c>
      <c r="AQ36" s="74">
        <f>'Compte de Résultat'!$F$11/12</f>
        <v>9421.125</v>
      </c>
      <c r="AR36" s="74">
        <f>'Compte de Résultat'!$F$11/12</f>
        <v>9421.125</v>
      </c>
      <c r="AS36" s="74">
        <f>'Compte de Résultat'!$F$11/12</f>
        <v>9421.125</v>
      </c>
      <c r="AT36" s="74">
        <f>'Compte de Résultat'!$F$11/12</f>
        <v>9421.125</v>
      </c>
      <c r="AU36" s="74">
        <f>'Compte de Résultat'!$F$11/12</f>
        <v>9421.125</v>
      </c>
      <c r="AV36" s="74">
        <f>'Compte de Résultat'!$F$11/12</f>
        <v>9421.125</v>
      </c>
      <c r="AW36" s="74">
        <f>'Compte de Résultat'!$F$11/12</f>
        <v>9421.125</v>
      </c>
      <c r="AX36" s="74">
        <f>'Compte de Résultat'!$F$11/12</f>
        <v>9421.125</v>
      </c>
      <c r="AY36" s="74">
        <f>'Compte de Résultat'!$F$11/12</f>
        <v>9421.125</v>
      </c>
      <c r="AZ36" s="74">
        <f>'Compte de Résultat'!$G$11/12</f>
        <v>10591.875</v>
      </c>
      <c r="BA36" s="74">
        <f>'Compte de Résultat'!$G$11/12</f>
        <v>10591.875</v>
      </c>
      <c r="BB36" s="74">
        <f>'Compte de Résultat'!$G$11/12</f>
        <v>10591.875</v>
      </c>
      <c r="BC36" s="74">
        <f>'Compte de Résultat'!$G$11/12</f>
        <v>10591.875</v>
      </c>
      <c r="BD36" s="74">
        <f>'Compte de Résultat'!$G$11/12</f>
        <v>10591.875</v>
      </c>
      <c r="BE36" s="74">
        <f>'Compte de Résultat'!$G$11/12</f>
        <v>10591.875</v>
      </c>
      <c r="BF36" s="74">
        <f>'Compte de Résultat'!$G$11/12</f>
        <v>10591.875</v>
      </c>
      <c r="BG36" s="74">
        <f>'Compte de Résultat'!$G$11/12</f>
        <v>10591.875</v>
      </c>
      <c r="BH36" s="74">
        <f>'Compte de Résultat'!$G$11/12</f>
        <v>10591.875</v>
      </c>
      <c r="BI36" s="74">
        <f>'Compte de Résultat'!$G$11/12</f>
        <v>10591.875</v>
      </c>
      <c r="BJ36" s="74">
        <f>'Compte de Résultat'!$G$11/12</f>
        <v>10591.875</v>
      </c>
      <c r="BK36" s="74">
        <f>'Compte de Résultat'!$G$11/12</f>
        <v>10591.875</v>
      </c>
    </row>
    <row r="37" spans="1:72" ht="12.75" x14ac:dyDescent="0.2">
      <c r="A37" s="127" t="s">
        <v>96</v>
      </c>
      <c r="B37" s="128"/>
      <c r="C37" s="112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</row>
    <row r="38" spans="1:72" ht="12.75" x14ac:dyDescent="0.2">
      <c r="A38" s="129"/>
      <c r="B38" s="126" t="s">
        <v>97</v>
      </c>
      <c r="C38" s="112"/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1700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2000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</v>
      </c>
      <c r="AX38" s="55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</row>
    <row r="39" spans="1:72" ht="12.75" x14ac:dyDescent="0.2">
      <c r="A39" s="123"/>
      <c r="B39" s="126" t="s">
        <v>98</v>
      </c>
      <c r="C39" s="112"/>
      <c r="D39" s="57">
        <f>0.013*$D$21+$D$21/(12*5)</f>
        <v>1186.6666666666665</v>
      </c>
      <c r="E39" s="57">
        <f t="shared" ref="E39:BK39" si="22">0.013*$D$21+$D$21/(12*5)</f>
        <v>1186.6666666666665</v>
      </c>
      <c r="F39" s="57">
        <f t="shared" si="22"/>
        <v>1186.6666666666665</v>
      </c>
      <c r="G39" s="57">
        <f t="shared" si="22"/>
        <v>1186.6666666666665</v>
      </c>
      <c r="H39" s="57">
        <f t="shared" si="22"/>
        <v>1186.6666666666665</v>
      </c>
      <c r="I39" s="57">
        <f t="shared" si="22"/>
        <v>1186.6666666666665</v>
      </c>
      <c r="J39" s="57">
        <f t="shared" si="22"/>
        <v>1186.6666666666665</v>
      </c>
      <c r="K39" s="57">
        <f t="shared" si="22"/>
        <v>1186.6666666666665</v>
      </c>
      <c r="L39" s="57">
        <f t="shared" si="22"/>
        <v>1186.6666666666665</v>
      </c>
      <c r="M39" s="57">
        <f t="shared" si="22"/>
        <v>1186.6666666666665</v>
      </c>
      <c r="N39" s="57">
        <f t="shared" si="22"/>
        <v>1186.6666666666665</v>
      </c>
      <c r="O39" s="57">
        <f t="shared" si="22"/>
        <v>1186.6666666666665</v>
      </c>
      <c r="P39" s="57">
        <f t="shared" si="22"/>
        <v>1186.6666666666665</v>
      </c>
      <c r="Q39" s="57">
        <f t="shared" si="22"/>
        <v>1186.6666666666665</v>
      </c>
      <c r="R39" s="57">
        <f t="shared" si="22"/>
        <v>1186.6666666666665</v>
      </c>
      <c r="S39" s="57">
        <f t="shared" si="22"/>
        <v>1186.6666666666665</v>
      </c>
      <c r="T39" s="57">
        <f t="shared" si="22"/>
        <v>1186.6666666666665</v>
      </c>
      <c r="U39" s="57">
        <f t="shared" si="22"/>
        <v>1186.6666666666665</v>
      </c>
      <c r="V39" s="57">
        <f t="shared" si="22"/>
        <v>1186.6666666666665</v>
      </c>
      <c r="W39" s="57">
        <f t="shared" si="22"/>
        <v>1186.6666666666665</v>
      </c>
      <c r="X39" s="57">
        <f t="shared" si="22"/>
        <v>1186.6666666666665</v>
      </c>
      <c r="Y39" s="57">
        <f t="shared" si="22"/>
        <v>1186.6666666666665</v>
      </c>
      <c r="Z39" s="57">
        <f t="shared" si="22"/>
        <v>1186.6666666666665</v>
      </c>
      <c r="AA39" s="57">
        <f t="shared" si="22"/>
        <v>1186.6666666666665</v>
      </c>
      <c r="AB39" s="57">
        <f t="shared" si="22"/>
        <v>1186.6666666666665</v>
      </c>
      <c r="AC39" s="57">
        <f t="shared" si="22"/>
        <v>1186.6666666666665</v>
      </c>
      <c r="AD39" s="57">
        <f t="shared" si="22"/>
        <v>1186.6666666666665</v>
      </c>
      <c r="AE39" s="57">
        <f t="shared" si="22"/>
        <v>1186.6666666666665</v>
      </c>
      <c r="AF39" s="57">
        <f t="shared" si="22"/>
        <v>1186.6666666666665</v>
      </c>
      <c r="AG39" s="57">
        <f t="shared" si="22"/>
        <v>1186.6666666666665</v>
      </c>
      <c r="AH39" s="57">
        <f t="shared" si="22"/>
        <v>1186.6666666666665</v>
      </c>
      <c r="AI39" s="57">
        <f t="shared" si="22"/>
        <v>1186.6666666666665</v>
      </c>
      <c r="AJ39" s="57">
        <f t="shared" si="22"/>
        <v>1186.6666666666665</v>
      </c>
      <c r="AK39" s="57">
        <f t="shared" si="22"/>
        <v>1186.6666666666665</v>
      </c>
      <c r="AL39" s="57">
        <f t="shared" si="22"/>
        <v>1186.6666666666665</v>
      </c>
      <c r="AM39" s="57">
        <f t="shared" si="22"/>
        <v>1186.6666666666665</v>
      </c>
      <c r="AN39" s="57">
        <f t="shared" si="22"/>
        <v>1186.6666666666665</v>
      </c>
      <c r="AO39" s="57">
        <f t="shared" si="22"/>
        <v>1186.6666666666665</v>
      </c>
      <c r="AP39" s="57">
        <f t="shared" si="22"/>
        <v>1186.6666666666665</v>
      </c>
      <c r="AQ39" s="57">
        <f t="shared" si="22"/>
        <v>1186.6666666666665</v>
      </c>
      <c r="AR39" s="57">
        <f t="shared" si="22"/>
        <v>1186.6666666666665</v>
      </c>
      <c r="AS39" s="57">
        <f t="shared" si="22"/>
        <v>1186.6666666666665</v>
      </c>
      <c r="AT39" s="57">
        <f t="shared" si="22"/>
        <v>1186.6666666666665</v>
      </c>
      <c r="AU39" s="57">
        <f t="shared" si="22"/>
        <v>1186.6666666666665</v>
      </c>
      <c r="AV39" s="57">
        <f t="shared" si="22"/>
        <v>1186.6666666666665</v>
      </c>
      <c r="AW39" s="57">
        <f t="shared" si="22"/>
        <v>1186.6666666666665</v>
      </c>
      <c r="AX39" s="57">
        <f t="shared" si="22"/>
        <v>1186.6666666666665</v>
      </c>
      <c r="AY39" s="57">
        <f t="shared" si="22"/>
        <v>1186.6666666666665</v>
      </c>
      <c r="AZ39" s="57">
        <f t="shared" si="22"/>
        <v>1186.6666666666665</v>
      </c>
      <c r="BA39" s="57">
        <f t="shared" si="22"/>
        <v>1186.6666666666665</v>
      </c>
      <c r="BB39" s="57">
        <f t="shared" si="22"/>
        <v>1186.6666666666665</v>
      </c>
      <c r="BC39" s="57">
        <f t="shared" si="22"/>
        <v>1186.6666666666665</v>
      </c>
      <c r="BD39" s="57">
        <f t="shared" si="22"/>
        <v>1186.6666666666665</v>
      </c>
      <c r="BE39" s="57">
        <f t="shared" si="22"/>
        <v>1186.6666666666665</v>
      </c>
      <c r="BF39" s="57">
        <f t="shared" si="22"/>
        <v>1186.6666666666665</v>
      </c>
      <c r="BG39" s="57">
        <f t="shared" si="22"/>
        <v>1186.6666666666665</v>
      </c>
      <c r="BH39" s="57">
        <f t="shared" si="22"/>
        <v>1186.6666666666665</v>
      </c>
      <c r="BI39" s="57">
        <f t="shared" si="22"/>
        <v>1186.6666666666665</v>
      </c>
      <c r="BJ39" s="57">
        <f t="shared" si="22"/>
        <v>1186.6666666666665</v>
      </c>
      <c r="BK39" s="57">
        <f t="shared" si="22"/>
        <v>1186.6666666666665</v>
      </c>
    </row>
    <row r="40" spans="1:72" ht="12.75" x14ac:dyDescent="0.2">
      <c r="A40" s="131"/>
      <c r="B40" s="112"/>
      <c r="C40" s="64" t="s">
        <v>99</v>
      </c>
      <c r="D40" s="68">
        <f t="shared" ref="D40:AY40" si="23">D39+D38+SUM(D27:D36)</f>
        <v>14249.375</v>
      </c>
      <c r="E40" s="68">
        <f t="shared" si="23"/>
        <v>13564.374999999998</v>
      </c>
      <c r="F40" s="68">
        <f t="shared" si="23"/>
        <v>13564.374999999998</v>
      </c>
      <c r="G40" s="68">
        <f t="shared" si="23"/>
        <v>13564.374999999998</v>
      </c>
      <c r="H40" s="68">
        <f t="shared" si="23"/>
        <v>13564.374999999998</v>
      </c>
      <c r="I40" s="68">
        <f t="shared" si="23"/>
        <v>13564.374999999998</v>
      </c>
      <c r="J40" s="68">
        <f t="shared" si="23"/>
        <v>13564.374999999998</v>
      </c>
      <c r="K40" s="68">
        <f t="shared" si="23"/>
        <v>13564.374999999998</v>
      </c>
      <c r="L40" s="68">
        <f t="shared" si="23"/>
        <v>13564.374999999998</v>
      </c>
      <c r="M40" s="68">
        <f t="shared" si="23"/>
        <v>13564.374999999998</v>
      </c>
      <c r="N40" s="68">
        <f t="shared" si="23"/>
        <v>13564.374999999998</v>
      </c>
      <c r="O40" s="68">
        <f t="shared" si="23"/>
        <v>13564.374999999998</v>
      </c>
      <c r="P40" s="68">
        <f t="shared" si="23"/>
        <v>16346.739583333334</v>
      </c>
      <c r="Q40" s="68">
        <f t="shared" si="23"/>
        <v>14646.739583333334</v>
      </c>
      <c r="R40" s="68">
        <f t="shared" si="23"/>
        <v>14646.739583333334</v>
      </c>
      <c r="S40" s="68">
        <f t="shared" si="23"/>
        <v>14646.739583333334</v>
      </c>
      <c r="T40" s="68">
        <f t="shared" si="23"/>
        <v>14646.739583333334</v>
      </c>
      <c r="U40" s="68">
        <f t="shared" si="23"/>
        <v>14646.739583333334</v>
      </c>
      <c r="V40" s="68">
        <f t="shared" si="23"/>
        <v>14646.739583333334</v>
      </c>
      <c r="W40" s="68">
        <f t="shared" si="23"/>
        <v>14646.739583333334</v>
      </c>
      <c r="X40" s="68">
        <f t="shared" si="23"/>
        <v>14646.739583333334</v>
      </c>
      <c r="Y40" s="68">
        <f t="shared" si="23"/>
        <v>14646.739583333334</v>
      </c>
      <c r="Z40" s="68">
        <f t="shared" si="23"/>
        <v>14646.739583333334</v>
      </c>
      <c r="AA40" s="68">
        <f t="shared" si="23"/>
        <v>14646.739583333334</v>
      </c>
      <c r="AB40" s="68">
        <f t="shared" si="23"/>
        <v>20156.429500000002</v>
      </c>
      <c r="AC40" s="68">
        <f t="shared" si="23"/>
        <v>20156.429500000002</v>
      </c>
      <c r="AD40" s="68">
        <f t="shared" si="23"/>
        <v>20156.429500000002</v>
      </c>
      <c r="AE40" s="68">
        <f t="shared" si="23"/>
        <v>20156.429500000002</v>
      </c>
      <c r="AF40" s="68">
        <f t="shared" si="23"/>
        <v>20156.429500000002</v>
      </c>
      <c r="AG40" s="68">
        <f t="shared" si="23"/>
        <v>20156.429500000002</v>
      </c>
      <c r="AH40" s="68">
        <f t="shared" si="23"/>
        <v>20156.429500000002</v>
      </c>
      <c r="AI40" s="68">
        <f t="shared" si="23"/>
        <v>20156.429500000002</v>
      </c>
      <c r="AJ40" s="68">
        <f t="shared" si="23"/>
        <v>20156.429500000002</v>
      </c>
      <c r="AK40" s="68">
        <f t="shared" si="23"/>
        <v>20156.429500000002</v>
      </c>
      <c r="AL40" s="68">
        <f t="shared" si="23"/>
        <v>20156.429500000002</v>
      </c>
      <c r="AM40" s="68">
        <f t="shared" si="23"/>
        <v>20156.429500000002</v>
      </c>
      <c r="AN40" s="68">
        <f t="shared" si="23"/>
        <v>29494.5169375</v>
      </c>
      <c r="AO40" s="68">
        <f t="shared" si="23"/>
        <v>27494.5169375</v>
      </c>
      <c r="AP40" s="68">
        <f t="shared" si="23"/>
        <v>27494.5169375</v>
      </c>
      <c r="AQ40" s="68">
        <f t="shared" si="23"/>
        <v>27494.5169375</v>
      </c>
      <c r="AR40" s="68">
        <f t="shared" si="23"/>
        <v>27494.5169375</v>
      </c>
      <c r="AS40" s="68">
        <f t="shared" si="23"/>
        <v>27494.5169375</v>
      </c>
      <c r="AT40" s="68">
        <f t="shared" si="23"/>
        <v>27494.5169375</v>
      </c>
      <c r="AU40" s="68">
        <f t="shared" si="23"/>
        <v>27494.5169375</v>
      </c>
      <c r="AV40" s="68">
        <f t="shared" si="23"/>
        <v>27494.5169375</v>
      </c>
      <c r="AW40" s="68">
        <f t="shared" si="23"/>
        <v>27494.5169375</v>
      </c>
      <c r="AX40" s="68">
        <f t="shared" si="23"/>
        <v>27494.5169375</v>
      </c>
      <c r="AY40" s="69">
        <f t="shared" si="23"/>
        <v>27581.0944375</v>
      </c>
      <c r="AZ40" s="69">
        <f t="shared" ref="AZ40:BK40" si="24">AZ39+AZ38+SUM(AZ27:AZ36)</f>
        <v>31150.495312499999</v>
      </c>
      <c r="BA40" s="69">
        <f t="shared" si="24"/>
        <v>31150.495312499999</v>
      </c>
      <c r="BB40" s="69">
        <f t="shared" si="24"/>
        <v>31150.495312499999</v>
      </c>
      <c r="BC40" s="69">
        <f t="shared" si="24"/>
        <v>31150.495312499999</v>
      </c>
      <c r="BD40" s="69">
        <f t="shared" si="24"/>
        <v>31150.495312499999</v>
      </c>
      <c r="BE40" s="69">
        <f t="shared" si="24"/>
        <v>31150.495312499999</v>
      </c>
      <c r="BF40" s="69">
        <f t="shared" si="24"/>
        <v>31150.495312499999</v>
      </c>
      <c r="BG40" s="69">
        <f t="shared" si="24"/>
        <v>31150.495312499999</v>
      </c>
      <c r="BH40" s="69">
        <f t="shared" si="24"/>
        <v>31150.495312499999</v>
      </c>
      <c r="BI40" s="69">
        <f t="shared" si="24"/>
        <v>31150.495312499999</v>
      </c>
      <c r="BJ40" s="69">
        <f t="shared" si="24"/>
        <v>31150.495312499999</v>
      </c>
      <c r="BK40" s="69">
        <f t="shared" si="24"/>
        <v>31150.495312499999</v>
      </c>
    </row>
    <row r="41" spans="1:72" ht="12.75" x14ac:dyDescent="0.2">
      <c r="A41" s="116" t="s">
        <v>105</v>
      </c>
      <c r="B41" s="128"/>
      <c r="C41" s="112"/>
      <c r="D41" s="68">
        <f t="shared" ref="D41:AY41" si="25">D24-D40</f>
        <v>116450.625</v>
      </c>
      <c r="E41" s="68">
        <f t="shared" si="25"/>
        <v>-11004.374999999998</v>
      </c>
      <c r="F41" s="68">
        <f t="shared" si="25"/>
        <v>-10184.374999999998</v>
      </c>
      <c r="G41" s="68">
        <f t="shared" si="25"/>
        <v>-9364.3749999999982</v>
      </c>
      <c r="H41" s="68">
        <f t="shared" si="25"/>
        <v>-8544.3749999999982</v>
      </c>
      <c r="I41" s="68">
        <f t="shared" si="25"/>
        <v>-7724.3749999999982</v>
      </c>
      <c r="J41" s="68">
        <f t="shared" si="25"/>
        <v>-5029.3749999999982</v>
      </c>
      <c r="K41" s="68">
        <f t="shared" si="25"/>
        <v>-4209.3749999999982</v>
      </c>
      <c r="L41" s="68">
        <f t="shared" si="25"/>
        <v>-3389.3749999999982</v>
      </c>
      <c r="M41" s="68">
        <f t="shared" si="25"/>
        <v>-2569.3749999999982</v>
      </c>
      <c r="N41" s="68">
        <f t="shared" si="25"/>
        <v>-1749.3749999999982</v>
      </c>
      <c r="O41" s="68">
        <f t="shared" si="25"/>
        <v>-4889.3749999999982</v>
      </c>
      <c r="P41" s="68">
        <f t="shared" si="25"/>
        <v>-11471.739583333334</v>
      </c>
      <c r="Q41" s="68">
        <f t="shared" si="25"/>
        <v>-8421.7395833333339</v>
      </c>
      <c r="R41" s="68">
        <f t="shared" si="25"/>
        <v>-7071.7395833333339</v>
      </c>
      <c r="S41" s="68">
        <f t="shared" si="25"/>
        <v>-5721.7395833333339</v>
      </c>
      <c r="T41" s="68">
        <f t="shared" si="25"/>
        <v>-4371.7395833333339</v>
      </c>
      <c r="U41" s="68">
        <f t="shared" si="25"/>
        <v>-3021.7395833333339</v>
      </c>
      <c r="V41" s="68">
        <f t="shared" si="25"/>
        <v>-1671.7395833333339</v>
      </c>
      <c r="W41" s="68">
        <f t="shared" si="25"/>
        <v>-321.73958333333394</v>
      </c>
      <c r="X41" s="68">
        <f t="shared" si="25"/>
        <v>1028.2604166666661</v>
      </c>
      <c r="Y41" s="68">
        <f t="shared" si="25"/>
        <v>1878.2604166666661</v>
      </c>
      <c r="Z41" s="68">
        <f t="shared" si="25"/>
        <v>1978.2604166666661</v>
      </c>
      <c r="AA41" s="68">
        <f t="shared" si="25"/>
        <v>1853.2604166666661</v>
      </c>
      <c r="AB41" s="68">
        <f t="shared" si="25"/>
        <v>1293.570499999998</v>
      </c>
      <c r="AC41" s="68">
        <f t="shared" si="25"/>
        <v>1293.570499999998</v>
      </c>
      <c r="AD41" s="68">
        <f t="shared" si="25"/>
        <v>1293.570499999998</v>
      </c>
      <c r="AE41" s="68">
        <f t="shared" si="25"/>
        <v>1293.570499999998</v>
      </c>
      <c r="AF41" s="68">
        <f t="shared" si="25"/>
        <v>1293.570499999998</v>
      </c>
      <c r="AG41" s="68">
        <f t="shared" si="25"/>
        <v>1293.570499999998</v>
      </c>
      <c r="AH41" s="68">
        <f t="shared" si="25"/>
        <v>1293.570499999998</v>
      </c>
      <c r="AI41" s="68">
        <f t="shared" si="25"/>
        <v>1293.570499999998</v>
      </c>
      <c r="AJ41" s="68">
        <f t="shared" si="25"/>
        <v>1293.570499999998</v>
      </c>
      <c r="AK41" s="68">
        <f t="shared" si="25"/>
        <v>1293.570499999998</v>
      </c>
      <c r="AL41" s="68">
        <f t="shared" si="25"/>
        <v>1293.570499999998</v>
      </c>
      <c r="AM41" s="68">
        <f t="shared" si="25"/>
        <v>1083.570499999998</v>
      </c>
      <c r="AN41" s="68">
        <f t="shared" si="25"/>
        <v>1920.4830624999995</v>
      </c>
      <c r="AO41" s="68">
        <f t="shared" si="25"/>
        <v>3920.4830624999995</v>
      </c>
      <c r="AP41" s="68">
        <f t="shared" si="25"/>
        <v>3920.4830624999995</v>
      </c>
      <c r="AQ41" s="68">
        <f t="shared" si="25"/>
        <v>3920.4830624999995</v>
      </c>
      <c r="AR41" s="68">
        <f t="shared" si="25"/>
        <v>3920.4830624999995</v>
      </c>
      <c r="AS41" s="68">
        <f t="shared" si="25"/>
        <v>3920.4830624999995</v>
      </c>
      <c r="AT41" s="68">
        <f t="shared" si="25"/>
        <v>3920.4830624999995</v>
      </c>
      <c r="AU41" s="68">
        <f t="shared" si="25"/>
        <v>3920.4830624999995</v>
      </c>
      <c r="AV41" s="68">
        <f t="shared" si="25"/>
        <v>3920.4830624999995</v>
      </c>
      <c r="AW41" s="68">
        <f t="shared" si="25"/>
        <v>3920.4830624999995</v>
      </c>
      <c r="AX41" s="68">
        <f t="shared" si="25"/>
        <v>3920.4830624999995</v>
      </c>
      <c r="AY41" s="69">
        <f t="shared" si="25"/>
        <v>3698.9055625000001</v>
      </c>
      <c r="AZ41" s="69">
        <f t="shared" ref="AZ41:BK41" si="26">AZ24-AZ40</f>
        <v>4164.5046875000007</v>
      </c>
      <c r="BA41" s="69">
        <f t="shared" si="26"/>
        <v>4164.5046875000007</v>
      </c>
      <c r="BB41" s="69">
        <f t="shared" si="26"/>
        <v>4164.5046875000007</v>
      </c>
      <c r="BC41" s="69">
        <f t="shared" si="26"/>
        <v>4164.5046875000007</v>
      </c>
      <c r="BD41" s="69">
        <f t="shared" si="26"/>
        <v>4164.5046875000007</v>
      </c>
      <c r="BE41" s="69">
        <f t="shared" si="26"/>
        <v>4164.5046875000007</v>
      </c>
      <c r="BF41" s="69">
        <f t="shared" si="26"/>
        <v>4164.5046875000007</v>
      </c>
      <c r="BG41" s="69">
        <f t="shared" si="26"/>
        <v>4164.5046875000007</v>
      </c>
      <c r="BH41" s="69">
        <f t="shared" si="26"/>
        <v>4164.5046875000007</v>
      </c>
      <c r="BI41" s="69">
        <f t="shared" si="26"/>
        <v>4164.5046875000007</v>
      </c>
      <c r="BJ41" s="69">
        <f t="shared" si="26"/>
        <v>4164.5046875000007</v>
      </c>
      <c r="BK41" s="69">
        <f t="shared" si="26"/>
        <v>4059.5046875000007</v>
      </c>
    </row>
    <row r="42" spans="1:72" ht="12.75" x14ac:dyDescent="0.2">
      <c r="A42" s="133" t="s">
        <v>104</v>
      </c>
      <c r="B42" s="134"/>
      <c r="C42" s="135"/>
      <c r="D42" s="70">
        <f t="shared" ref="D42:BK42" si="27">D41+D14</f>
        <v>116450.625</v>
      </c>
      <c r="E42" s="70">
        <f t="shared" si="27"/>
        <v>105446.25</v>
      </c>
      <c r="F42" s="70">
        <f t="shared" si="27"/>
        <v>95261.875</v>
      </c>
      <c r="G42" s="70">
        <f t="shared" si="27"/>
        <v>85897.5</v>
      </c>
      <c r="H42" s="70">
        <f t="shared" si="27"/>
        <v>77353.125</v>
      </c>
      <c r="I42" s="70">
        <f t="shared" si="27"/>
        <v>69628.75</v>
      </c>
      <c r="J42" s="70">
        <f t="shared" si="27"/>
        <v>64599.375</v>
      </c>
      <c r="K42" s="70">
        <f t="shared" si="27"/>
        <v>60390</v>
      </c>
      <c r="L42" s="70">
        <f t="shared" si="27"/>
        <v>57000.625</v>
      </c>
      <c r="M42" s="70">
        <f t="shared" si="27"/>
        <v>54431.25</v>
      </c>
      <c r="N42" s="70">
        <f t="shared" si="27"/>
        <v>52681.875</v>
      </c>
      <c r="O42" s="70">
        <f t="shared" si="27"/>
        <v>47792.5</v>
      </c>
      <c r="P42" s="70">
        <f t="shared" si="27"/>
        <v>36320.760416666664</v>
      </c>
      <c r="Q42" s="70">
        <f t="shared" si="27"/>
        <v>27899.020833333328</v>
      </c>
      <c r="R42" s="70">
        <f t="shared" si="27"/>
        <v>20827.281249999993</v>
      </c>
      <c r="S42" s="70">
        <f t="shared" si="27"/>
        <v>15105.541666666659</v>
      </c>
      <c r="T42" s="70">
        <f t="shared" si="27"/>
        <v>10733.802083333325</v>
      </c>
      <c r="U42" s="70">
        <f t="shared" si="27"/>
        <v>7712.0624999999909</v>
      </c>
      <c r="V42" s="70">
        <f t="shared" si="27"/>
        <v>6040.322916666657</v>
      </c>
      <c r="W42" s="70">
        <f t="shared" si="27"/>
        <v>5718.583333333323</v>
      </c>
      <c r="X42" s="70">
        <f t="shared" si="27"/>
        <v>6746.8437499999891</v>
      </c>
      <c r="Y42" s="70">
        <f t="shared" si="27"/>
        <v>8625.1041666666551</v>
      </c>
      <c r="Z42" s="70">
        <f t="shared" si="27"/>
        <v>10603.364583333321</v>
      </c>
      <c r="AA42" s="70">
        <f t="shared" si="27"/>
        <v>12456.624999999987</v>
      </c>
      <c r="AB42" s="70">
        <f t="shared" si="27"/>
        <v>13750.195499999985</v>
      </c>
      <c r="AC42" s="70">
        <f t="shared" si="27"/>
        <v>15043.765999999983</v>
      </c>
      <c r="AD42" s="70">
        <f t="shared" si="27"/>
        <v>16337.336499999981</v>
      </c>
      <c r="AE42" s="70">
        <f t="shared" si="27"/>
        <v>17630.906999999977</v>
      </c>
      <c r="AF42" s="70">
        <f t="shared" si="27"/>
        <v>18924.477499999975</v>
      </c>
      <c r="AG42" s="70">
        <f t="shared" si="27"/>
        <v>20218.047999999973</v>
      </c>
      <c r="AH42" s="70">
        <f t="shared" si="27"/>
        <v>21511.618499999971</v>
      </c>
      <c r="AI42" s="70">
        <f t="shared" si="27"/>
        <v>22805.188999999969</v>
      </c>
      <c r="AJ42" s="70">
        <f t="shared" si="27"/>
        <v>24098.759499999967</v>
      </c>
      <c r="AK42" s="70">
        <f t="shared" si="27"/>
        <v>25392.329999999965</v>
      </c>
      <c r="AL42" s="70">
        <f t="shared" si="27"/>
        <v>26685.900499999963</v>
      </c>
      <c r="AM42" s="70">
        <f t="shared" si="27"/>
        <v>27769.470999999961</v>
      </c>
      <c r="AN42" s="70">
        <f t="shared" si="27"/>
        <v>29689.954062499961</v>
      </c>
      <c r="AO42" s="70">
        <f t="shared" si="27"/>
        <v>33610.43712499996</v>
      </c>
      <c r="AP42" s="70">
        <f t="shared" si="27"/>
        <v>37530.920187499956</v>
      </c>
      <c r="AQ42" s="70">
        <f t="shared" si="27"/>
        <v>41451.403249999959</v>
      </c>
      <c r="AR42" s="70">
        <f t="shared" si="27"/>
        <v>45371.886312499963</v>
      </c>
      <c r="AS42" s="70">
        <f t="shared" si="27"/>
        <v>49292.369374999966</v>
      </c>
      <c r="AT42" s="70">
        <f t="shared" si="27"/>
        <v>53212.852437499969</v>
      </c>
      <c r="AU42" s="70">
        <f t="shared" si="27"/>
        <v>57133.335499999972</v>
      </c>
      <c r="AV42" s="70">
        <f t="shared" si="27"/>
        <v>61053.818562499975</v>
      </c>
      <c r="AW42" s="70">
        <f t="shared" si="27"/>
        <v>64974.301624999978</v>
      </c>
      <c r="AX42" s="70">
        <f t="shared" si="27"/>
        <v>68894.784687499981</v>
      </c>
      <c r="AY42" s="71">
        <f t="shared" si="27"/>
        <v>72593.690249999985</v>
      </c>
      <c r="AZ42" s="71">
        <f t="shared" si="27"/>
        <v>76758.194937499982</v>
      </c>
      <c r="BA42" s="71">
        <f t="shared" si="27"/>
        <v>80922.699624999979</v>
      </c>
      <c r="BB42" s="71">
        <f t="shared" si="27"/>
        <v>85087.204312499976</v>
      </c>
      <c r="BC42" s="71">
        <f t="shared" si="27"/>
        <v>89251.708999999973</v>
      </c>
      <c r="BD42" s="71">
        <f t="shared" si="27"/>
        <v>93416.213687499971</v>
      </c>
      <c r="BE42" s="71">
        <f t="shared" si="27"/>
        <v>97580.718374999968</v>
      </c>
      <c r="BF42" s="71">
        <f t="shared" si="27"/>
        <v>101745.22306249996</v>
      </c>
      <c r="BG42" s="71">
        <f t="shared" si="27"/>
        <v>105909.72774999996</v>
      </c>
      <c r="BH42" s="71">
        <f t="shared" si="27"/>
        <v>110074.23243749996</v>
      </c>
      <c r="BI42" s="71">
        <f t="shared" si="27"/>
        <v>114238.73712499996</v>
      </c>
      <c r="BJ42" s="71">
        <f t="shared" si="27"/>
        <v>118403.24181249995</v>
      </c>
      <c r="BK42" s="71">
        <f t="shared" si="27"/>
        <v>122462.74649999995</v>
      </c>
    </row>
    <row r="43" spans="1:72" ht="12.75" x14ac:dyDescent="0.2">
      <c r="A43" s="136"/>
      <c r="B43" s="134"/>
      <c r="C43" s="1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1"/>
      <c r="BA43" s="1"/>
      <c r="BB43" s="1"/>
      <c r="BC43" s="1"/>
      <c r="BD43" s="1"/>
      <c r="BE43" s="1"/>
      <c r="BF43" s="1"/>
      <c r="BG43" s="1"/>
    </row>
    <row r="44" spans="1:72" ht="15.75" customHeight="1" x14ac:dyDescent="0.2">
      <c r="A44" s="75" t="s">
        <v>137</v>
      </c>
      <c r="W44" s="76"/>
    </row>
    <row r="45" spans="1:72" ht="15.75" customHeight="1" x14ac:dyDescent="0.2">
      <c r="A45" s="108">
        <v>1.2999999999999999E-2</v>
      </c>
      <c r="B45" s="75" t="s">
        <v>136</v>
      </c>
      <c r="C45" s="76">
        <f>-D21+SUM(D45:BK45)</f>
        <v>42253.040608209078</v>
      </c>
      <c r="D45" s="76">
        <f>D41/((1+$A$45)^D13)</f>
        <v>114956.19447186576</v>
      </c>
      <c r="E45" s="76">
        <f t="shared" ref="E45:BK45" si="28">E41/((1+$A$45)^E13)</f>
        <v>-10723.745309008555</v>
      </c>
      <c r="F45" s="76">
        <f t="shared" si="28"/>
        <v>-9797.2918656149213</v>
      </c>
      <c r="G45" s="76">
        <f t="shared" si="28"/>
        <v>-8892.8509930891287</v>
      </c>
      <c r="H45" s="76">
        <f t="shared" si="28"/>
        <v>-8010.0102871784793</v>
      </c>
      <c r="I45" s="76">
        <f t="shared" si="28"/>
        <v>-7148.3643032818845</v>
      </c>
      <c r="J45" s="76">
        <f t="shared" si="28"/>
        <v>-4594.6020408138111</v>
      </c>
      <c r="K45" s="76">
        <f t="shared" si="28"/>
        <v>-3796.1385479362316</v>
      </c>
      <c r="L45" s="76">
        <f t="shared" si="28"/>
        <v>-3017.4120026087271</v>
      </c>
      <c r="M45" s="76">
        <f t="shared" si="28"/>
        <v>-2258.0473288016387</v>
      </c>
      <c r="N45" s="76">
        <f t="shared" si="28"/>
        <v>-1517.6758268310518</v>
      </c>
      <c r="O45" s="76">
        <f t="shared" si="28"/>
        <v>-4187.3571379495379</v>
      </c>
      <c r="P45" s="76">
        <f t="shared" si="28"/>
        <v>-9698.5428729028808</v>
      </c>
      <c r="Q45" s="76">
        <f t="shared" si="28"/>
        <v>-7028.6120544398127</v>
      </c>
      <c r="R45" s="76">
        <f t="shared" si="28"/>
        <v>-5826.1891354106037</v>
      </c>
      <c r="S45" s="76">
        <f t="shared" si="28"/>
        <v>-4653.4704652957453</v>
      </c>
      <c r="T45" s="76">
        <f t="shared" si="28"/>
        <v>-3509.8916721111</v>
      </c>
      <c r="U45" s="76">
        <f t="shared" si="28"/>
        <v>-2394.897977235079</v>
      </c>
      <c r="V45" s="76">
        <f t="shared" si="28"/>
        <v>-1307.9440421287038</v>
      </c>
      <c r="W45" s="76">
        <f t="shared" si="28"/>
        <v>-248.49381740987604</v>
      </c>
      <c r="X45" s="76">
        <f t="shared" si="28"/>
        <v>783.97960575333616</v>
      </c>
      <c r="Y45" s="76">
        <f t="shared" si="28"/>
        <v>1413.6698905456296</v>
      </c>
      <c r="Z45" s="76">
        <f t="shared" si="28"/>
        <v>1469.8269899600336</v>
      </c>
      <c r="AA45" s="76">
        <f t="shared" si="28"/>
        <v>1359.2826113190504</v>
      </c>
      <c r="AB45" s="76">
        <f t="shared" si="28"/>
        <v>936.59960195762801</v>
      </c>
      <c r="AC45" s="76">
        <f t="shared" si="28"/>
        <v>924.58006116251534</v>
      </c>
      <c r="AD45" s="76">
        <f t="shared" si="28"/>
        <v>912.71476916339134</v>
      </c>
      <c r="AE45" s="76">
        <f t="shared" si="28"/>
        <v>901.00174645941888</v>
      </c>
      <c r="AF45" s="76">
        <f t="shared" si="28"/>
        <v>889.43903895302958</v>
      </c>
      <c r="AG45" s="76">
        <f t="shared" si="28"/>
        <v>878.02471762391849</v>
      </c>
      <c r="AH45" s="76">
        <f t="shared" si="28"/>
        <v>866.75687820722464</v>
      </c>
      <c r="AI45" s="76">
        <f t="shared" si="28"/>
        <v>855.63364087583886</v>
      </c>
      <c r="AJ45" s="76">
        <f t="shared" si="28"/>
        <v>844.65314992679066</v>
      </c>
      <c r="AK45" s="76">
        <f t="shared" si="28"/>
        <v>833.81357347165908</v>
      </c>
      <c r="AL45" s="76">
        <f t="shared" si="28"/>
        <v>823.11310313095669</v>
      </c>
      <c r="AM45" s="76">
        <f t="shared" si="28"/>
        <v>680.63948554858905</v>
      </c>
      <c r="AN45" s="76">
        <f t="shared" si="28"/>
        <v>1190.8608090702824</v>
      </c>
      <c r="AO45" s="76">
        <f t="shared" si="28"/>
        <v>2399.8309954478068</v>
      </c>
      <c r="AP45" s="76">
        <f t="shared" si="28"/>
        <v>2369.0335591784865</v>
      </c>
      <c r="AQ45" s="76">
        <f t="shared" si="28"/>
        <v>2338.6313516075879</v>
      </c>
      <c r="AR45" s="76">
        <f t="shared" si="28"/>
        <v>2308.6193006985072</v>
      </c>
      <c r="AS45" s="76">
        <f t="shared" si="28"/>
        <v>2278.992399504943</v>
      </c>
      <c r="AT45" s="76">
        <f t="shared" si="28"/>
        <v>2249.7457053355811</v>
      </c>
      <c r="AU45" s="76">
        <f t="shared" si="28"/>
        <v>2220.8743389294973</v>
      </c>
      <c r="AV45" s="76">
        <f t="shared" si="28"/>
        <v>2192.3734836421495</v>
      </c>
      <c r="AW45" s="76">
        <f t="shared" si="28"/>
        <v>2164.2383846418061</v>
      </c>
      <c r="AX45" s="76">
        <f t="shared" si="28"/>
        <v>2136.4643481162943</v>
      </c>
      <c r="AY45" s="76">
        <f t="shared" si="28"/>
        <v>1989.8478314037304</v>
      </c>
      <c r="AZ45" s="76">
        <f t="shared" si="28"/>
        <v>2211.5691980128945</v>
      </c>
      <c r="BA45" s="76">
        <f t="shared" si="28"/>
        <v>2183.1877571696887</v>
      </c>
      <c r="BB45" s="76">
        <f t="shared" si="28"/>
        <v>2155.170540147768</v>
      </c>
      <c r="BC45" s="76">
        <f t="shared" si="28"/>
        <v>2127.5128728013506</v>
      </c>
      <c r="BD45" s="76">
        <f t="shared" si="28"/>
        <v>2100.2101409687571</v>
      </c>
      <c r="BE45" s="76">
        <f t="shared" si="28"/>
        <v>2073.2577897026226</v>
      </c>
      <c r="BF45" s="76">
        <f t="shared" si="28"/>
        <v>2046.651322509993</v>
      </c>
      <c r="BG45" s="76">
        <f t="shared" si="28"/>
        <v>2020.3863006021647</v>
      </c>
      <c r="BH45" s="76">
        <f t="shared" si="28"/>
        <v>1994.4583421541606</v>
      </c>
      <c r="BI45" s="76">
        <f t="shared" si="28"/>
        <v>1968.8631215737025</v>
      </c>
      <c r="BJ45" s="76">
        <f t="shared" si="28"/>
        <v>1943.5963687795684</v>
      </c>
      <c r="BK45" s="76">
        <f t="shared" si="28"/>
        <v>1870.2786903327144</v>
      </c>
    </row>
    <row r="46" spans="1:72" ht="15.75" customHeight="1" x14ac:dyDescent="0.2"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</row>
    <row r="50" spans="7:9" ht="12.75" x14ac:dyDescent="0.2">
      <c r="G50" s="132"/>
      <c r="H50" s="114"/>
      <c r="I50" s="30"/>
    </row>
    <row r="51" spans="7:9" ht="12.75" x14ac:dyDescent="0.2">
      <c r="G51" s="132"/>
      <c r="H51" s="114"/>
      <c r="I51" s="30"/>
    </row>
    <row r="52" spans="7:9" ht="12.75" x14ac:dyDescent="0.2">
      <c r="G52" s="132"/>
      <c r="H52" s="114"/>
      <c r="I52" s="30"/>
    </row>
  </sheetData>
  <mergeCells count="41">
    <mergeCell ref="G51:H51"/>
    <mergeCell ref="G52:H52"/>
    <mergeCell ref="A41:C41"/>
    <mergeCell ref="A40:B40"/>
    <mergeCell ref="A42:C42"/>
    <mergeCell ref="A43:C43"/>
    <mergeCell ref="G50:H50"/>
    <mergeCell ref="A1:BG1"/>
    <mergeCell ref="A11:BG11"/>
    <mergeCell ref="B28:C28"/>
    <mergeCell ref="B29:C29"/>
    <mergeCell ref="B30:C30"/>
    <mergeCell ref="A20:A23"/>
    <mergeCell ref="A27:A36"/>
    <mergeCell ref="A17:A18"/>
    <mergeCell ref="A13:C13"/>
    <mergeCell ref="A14:C14"/>
    <mergeCell ref="A15:C15"/>
    <mergeCell ref="A16:C16"/>
    <mergeCell ref="B17:C17"/>
    <mergeCell ref="B3:B5"/>
    <mergeCell ref="A24:B24"/>
    <mergeCell ref="A25:C25"/>
    <mergeCell ref="B39:C39"/>
    <mergeCell ref="B36:C36"/>
    <mergeCell ref="B38:C38"/>
    <mergeCell ref="A37:C37"/>
    <mergeCell ref="B27:C27"/>
    <mergeCell ref="B31:C31"/>
    <mergeCell ref="A38:A39"/>
    <mergeCell ref="B34:C34"/>
    <mergeCell ref="B35:C35"/>
    <mergeCell ref="B18:C18"/>
    <mergeCell ref="B32:C32"/>
    <mergeCell ref="B33:C33"/>
    <mergeCell ref="A26:C26"/>
    <mergeCell ref="A19:C19"/>
    <mergeCell ref="B22:C22"/>
    <mergeCell ref="B23:C23"/>
    <mergeCell ref="B20:C20"/>
    <mergeCell ref="B21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H17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2" max="2" width="33.5703125" customWidth="1"/>
    <col min="5" max="5" width="18.5703125" customWidth="1"/>
  </cols>
  <sheetData>
    <row r="1" spans="1:8" ht="18" x14ac:dyDescent="0.25">
      <c r="A1" s="113" t="s">
        <v>30</v>
      </c>
      <c r="B1" s="114"/>
      <c r="C1" s="114"/>
      <c r="D1" s="114"/>
      <c r="E1" s="114"/>
      <c r="F1" s="114"/>
      <c r="G1" s="114"/>
      <c r="H1" s="114"/>
    </row>
    <row r="3" spans="1:8" ht="15.75" customHeight="1" x14ac:dyDescent="0.2">
      <c r="A3" s="138" t="s">
        <v>31</v>
      </c>
      <c r="B3" s="114"/>
      <c r="C3" s="13" t="s">
        <v>32</v>
      </c>
      <c r="E3" s="15" t="s">
        <v>33</v>
      </c>
    </row>
    <row r="4" spans="1:8" ht="15.75" customHeight="1" x14ac:dyDescent="0.2">
      <c r="A4" s="137" t="s">
        <v>34</v>
      </c>
      <c r="B4" s="114"/>
      <c r="C4" s="16">
        <v>10000</v>
      </c>
    </row>
    <row r="5" spans="1:8" ht="15.75" customHeight="1" x14ac:dyDescent="0.2">
      <c r="A5" s="137" t="s">
        <v>35</v>
      </c>
      <c r="B5" s="114"/>
      <c r="C5" s="17" t="e">
        <f>SUM(C6:C12)</f>
        <v>#REF!</v>
      </c>
      <c r="E5" s="139" t="s">
        <v>36</v>
      </c>
      <c r="F5" s="114"/>
      <c r="G5" s="139" t="s">
        <v>37</v>
      </c>
      <c r="H5" s="114"/>
    </row>
    <row r="6" spans="1:8" ht="15.75" customHeight="1" x14ac:dyDescent="0.2">
      <c r="A6" s="114"/>
      <c r="B6" s="19" t="s">
        <v>38</v>
      </c>
      <c r="C6" s="20">
        <v>0</v>
      </c>
      <c r="E6" s="140" t="s">
        <v>39</v>
      </c>
      <c r="F6" s="114"/>
      <c r="G6" s="140" t="s">
        <v>40</v>
      </c>
      <c r="H6" s="114"/>
    </row>
    <row r="7" spans="1:8" ht="15.75" customHeight="1" x14ac:dyDescent="0.2">
      <c r="A7" s="114"/>
      <c r="B7" s="19" t="s">
        <v>41</v>
      </c>
      <c r="C7" s="21">
        <f>SUM('Compte de Résultat'!C9:F9)</f>
        <v>16800</v>
      </c>
      <c r="E7" s="22" t="s">
        <v>42</v>
      </c>
      <c r="F7" s="23">
        <f>'Compte de Résultat'!F9</f>
        <v>8400</v>
      </c>
      <c r="G7" s="22" t="s">
        <v>43</v>
      </c>
      <c r="H7" s="24">
        <f>Trésorerie!D20</f>
        <v>70000</v>
      </c>
    </row>
    <row r="8" spans="1:8" ht="15.75" customHeight="1" x14ac:dyDescent="0.2">
      <c r="A8" s="114"/>
      <c r="B8" s="19" t="s">
        <v>44</v>
      </c>
      <c r="C8" s="21">
        <f>SUM('Compte de Résultat'!C13:F13)</f>
        <v>2000</v>
      </c>
      <c r="E8" s="22" t="s">
        <v>45</v>
      </c>
      <c r="F8" s="23">
        <f>'Compte de Résultat'!C47</f>
        <v>0</v>
      </c>
      <c r="G8" s="22" t="s">
        <v>46</v>
      </c>
      <c r="H8" s="24">
        <f>'Compte de Résultat'!F29</f>
        <v>45697.463416666658</v>
      </c>
    </row>
    <row r="9" spans="1:8" ht="15.75" customHeight="1" x14ac:dyDescent="0.2">
      <c r="A9" s="114"/>
      <c r="B9" s="19" t="s">
        <v>47</v>
      </c>
      <c r="C9" s="21" t="e">
        <f>'Compte de Résultat'!#REF!*'Compte de Résultat'!#REF!</f>
        <v>#REF!</v>
      </c>
      <c r="E9" s="22" t="s">
        <v>48</v>
      </c>
      <c r="F9" s="24" t="e">
        <f>'Compte de Résultat'!#REF!*'Compte de Résultat'!#REF!</f>
        <v>#REF!</v>
      </c>
      <c r="G9" s="25"/>
      <c r="H9" s="25"/>
    </row>
    <row r="10" spans="1:8" ht="15.75" customHeight="1" x14ac:dyDescent="0.2">
      <c r="A10" s="114"/>
      <c r="B10" s="19" t="s">
        <v>49</v>
      </c>
      <c r="C10" s="26">
        <f>'Compte de Résultat'!C47</f>
        <v>0</v>
      </c>
      <c r="E10" s="140" t="s">
        <v>50</v>
      </c>
      <c r="F10" s="114"/>
      <c r="G10" s="140" t="s">
        <v>51</v>
      </c>
      <c r="H10" s="114"/>
    </row>
    <row r="11" spans="1:8" ht="15.75" customHeight="1" x14ac:dyDescent="0.2">
      <c r="A11" s="114"/>
      <c r="B11" s="19" t="s">
        <v>52</v>
      </c>
      <c r="C11" s="26">
        <v>0</v>
      </c>
      <c r="E11" s="22" t="s">
        <v>53</v>
      </c>
      <c r="F11" s="24">
        <f>'Compte de Résultat'!F7</f>
        <v>1500</v>
      </c>
      <c r="G11" s="22" t="s">
        <v>54</v>
      </c>
      <c r="H11" s="24">
        <f>Trésorerie!D21</f>
        <v>40000</v>
      </c>
    </row>
    <row r="12" spans="1:8" ht="15.75" customHeight="1" x14ac:dyDescent="0.2">
      <c r="A12" s="114"/>
      <c r="B12" s="19" t="s">
        <v>55</v>
      </c>
      <c r="C12" s="26">
        <v>0</v>
      </c>
    </row>
    <row r="13" spans="1:8" ht="15.75" customHeight="1" x14ac:dyDescent="0.2">
      <c r="A13" s="137" t="s">
        <v>56</v>
      </c>
      <c r="B13" s="114"/>
      <c r="C13" s="17">
        <f>F11-H11</f>
        <v>-38500</v>
      </c>
      <c r="E13" s="12" t="s">
        <v>57</v>
      </c>
      <c r="F13" s="27" t="e">
        <f>SUM(F7:F9)+F11</f>
        <v>#REF!</v>
      </c>
      <c r="G13" s="12" t="s">
        <v>58</v>
      </c>
      <c r="H13" s="27">
        <f>SUM(H7:H8)+H11</f>
        <v>155697.46341666667</v>
      </c>
    </row>
    <row r="14" spans="1:8" ht="15.75" customHeight="1" x14ac:dyDescent="0.2">
      <c r="A14" s="138" t="s">
        <v>59</v>
      </c>
      <c r="B14" s="114"/>
      <c r="C14" s="27" t="e">
        <f>C4+C5+C13</f>
        <v>#REF!</v>
      </c>
    </row>
    <row r="15" spans="1:8" ht="15.75" customHeight="1" x14ac:dyDescent="0.2">
      <c r="A15" s="12" t="s">
        <v>60</v>
      </c>
      <c r="B15" s="28"/>
      <c r="C15" s="27"/>
    </row>
    <row r="16" spans="1:8" ht="15.75" customHeight="1" x14ac:dyDescent="0.2">
      <c r="A16" s="137" t="s">
        <v>61</v>
      </c>
      <c r="B16" s="114"/>
      <c r="C16" s="16">
        <v>70000</v>
      </c>
    </row>
    <row r="17" spans="1:3" ht="15.75" customHeight="1" x14ac:dyDescent="0.2">
      <c r="A17" s="137" t="s">
        <v>62</v>
      </c>
      <c r="B17" s="114"/>
      <c r="C17" s="16">
        <v>100000</v>
      </c>
    </row>
  </sheetData>
  <mergeCells count="15">
    <mergeCell ref="A1:H1"/>
    <mergeCell ref="A3:B3"/>
    <mergeCell ref="A4:B4"/>
    <mergeCell ref="A6:A12"/>
    <mergeCell ref="E5:F5"/>
    <mergeCell ref="E6:F6"/>
    <mergeCell ref="G5:H5"/>
    <mergeCell ref="G6:H6"/>
    <mergeCell ref="E10:F10"/>
    <mergeCell ref="G10:H10"/>
    <mergeCell ref="A17:B17"/>
    <mergeCell ref="A16:B16"/>
    <mergeCell ref="A14:B14"/>
    <mergeCell ref="A13:B13"/>
    <mergeCell ref="A5:B5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Compte de Résultat</vt:lpstr>
      <vt:lpstr>Conseil Présentation</vt:lpstr>
      <vt:lpstr>Trésorerie</vt:lpstr>
      <vt:lpstr>Plan de Financement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 Ferreol</dc:creator>
  <cp:lastModifiedBy>Alban Ferreol</cp:lastModifiedBy>
  <dcterms:created xsi:type="dcterms:W3CDTF">2019-11-27T23:40:04Z</dcterms:created>
  <dcterms:modified xsi:type="dcterms:W3CDTF">2019-12-18T15:49:30Z</dcterms:modified>
</cp:coreProperties>
</file>